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白鷐\Documents\Visual Studio 2017\Projects\百邦所得税汇算底稿工具\百邦所得税汇算底稿工具\bin\Release\"/>
    </mc:Choice>
  </mc:AlternateContent>
  <bookViews>
    <workbookView xWindow="360" yWindow="372" windowWidth="11640" windowHeight="4152" tabRatio="881" firstSheet="7" activeTab="8"/>
  </bookViews>
  <sheets>
    <sheet name="首页" sheetId="90" state="veryHidden" r:id="rId1"/>
    <sheet name="档案封面" sheetId="2" state="hidden" r:id="rId2"/>
    <sheet name="待办事项" sheetId="5" state="hidden" r:id="rId3"/>
    <sheet name="档案索引" sheetId="3" state="hidden" r:id="rId4"/>
    <sheet name="签发单" sheetId="6" state="hidden" r:id="rId5"/>
    <sheet name="三级复核" sheetId="7" state="hidden" r:id="rId6"/>
    <sheet name="业务约定" sheetId="208" state="hidden" r:id="rId7"/>
    <sheet name="地税、基本情况" sheetId="86" r:id="rId8"/>
    <sheet name="基本情况" sheetId="4" r:id="rId9"/>
    <sheet name="税审收费标准" sheetId="191" state="hidden" r:id="rId10"/>
    <sheet name="当局声明" sheetId="9" state="hidden" r:id="rId11"/>
    <sheet name="计划" sheetId="10" state="hidden" r:id="rId12"/>
    <sheet name="内控" sheetId="11" state="hidden" r:id="rId13"/>
    <sheet name="审核问卷" sheetId="12" state="hidden" r:id="rId14"/>
    <sheet name="重大问题" sheetId="13" state="hidden" r:id="rId15"/>
    <sheet name="交换意见" sheetId="14" state="hidden" r:id="rId16"/>
    <sheet name="资料清单" sheetId="15" state="hidden" r:id="rId17"/>
    <sheet name="审核标识" sheetId="16" state="hidden" r:id="rId18"/>
    <sheet name="盘点表" sheetId="18" state="hidden" r:id="rId19"/>
    <sheet name="通用记录" sheetId="19" state="hidden" r:id="rId20"/>
    <sheet name="凭证检查" sheetId="20" state="hidden" r:id="rId21"/>
    <sheet name="使用说明" sheetId="21" state="hidden" r:id="rId22"/>
    <sheet name="资产负债" sheetId="22" state="hidden" r:id="rId23"/>
    <sheet name="利润" sheetId="23" state="hidden" r:id="rId24"/>
    <sheet name="纳税申报数据" sheetId="24" state="hidden" r:id="rId25"/>
    <sheet name="工资福利" sheetId="26" state="hidden" r:id="rId26"/>
    <sheet name="招待" sheetId="27" state="hidden" r:id="rId27"/>
    <sheet name="固资折旧" sheetId="28" state="hidden" r:id="rId28"/>
    <sheet name="折旧测算" sheetId="29" state="hidden" r:id="rId29"/>
    <sheet name="无形长摊" sheetId="30" state="hidden" r:id="rId30"/>
    <sheet name="社保" sheetId="31" state="hidden" r:id="rId31"/>
    <sheet name="社保明细工资人数" sheetId="32" state="hidden" r:id="rId32"/>
    <sheet name="广宣" sheetId="33" state="hidden" r:id="rId33"/>
    <sheet name="捐赠" sheetId="34" state="hidden" r:id="rId34"/>
    <sheet name="利息" sheetId="35" state="hidden" r:id="rId35"/>
    <sheet name="租金" sheetId="36" state="hidden" r:id="rId36"/>
    <sheet name="补亏" sheetId="38" state="hidden" r:id="rId37"/>
    <sheet name="其他事项" sheetId="39" state="hidden" r:id="rId38"/>
    <sheet name="无限期结转扣除项目审核表" sheetId="84" state="hidden" r:id="rId39"/>
    <sheet name="跨年度确认所得情况表" sheetId="85" state="hidden" r:id="rId40"/>
    <sheet name="视同销售和房地产开发企业特定业务审核表" sheetId="161" state="hidden" r:id="rId41"/>
    <sheet name="未按权责发生制确认收入审核表" sheetId="162" state="hidden" r:id="rId42"/>
    <sheet name="投资收益审核表" sheetId="163" state="hidden" r:id="rId43"/>
    <sheet name="专项用途财政性资金审核表" sheetId="164" state="hidden" r:id="rId44"/>
    <sheet name="固定资产加速折旧审核表" sheetId="165" state="hidden" r:id="rId45"/>
    <sheet name="资产损失税前扣除审核表" sheetId="166" state="hidden" r:id="rId46"/>
    <sheet name="资产损失（专项申报）税前扣除审核表" sheetId="167" state="hidden" r:id="rId47"/>
    <sheet name="企业重组审核表" sheetId="168" state="hidden" r:id="rId48"/>
    <sheet name="政策性搬迁审核表" sheetId="169" state="hidden" r:id="rId49"/>
    <sheet name="特殊行业准备金审核表" sheetId="170" state="hidden" r:id="rId50"/>
    <sheet name="免税、减计收入及加计扣除优惠审核表" sheetId="171" state="hidden" r:id="rId51"/>
    <sheet name="股息红利优惠审核表" sheetId="172" state="hidden" r:id="rId52"/>
    <sheet name="综合利用资源生产产品取得的收入优惠审核表" sheetId="173" state="hidden" r:id="rId53"/>
    <sheet name="金融保险等机构取得涉农利息保费收入优惠审核表" sheetId="174" state="hidden" r:id="rId54"/>
    <sheet name="研发费用加计扣除优惠审核表" sheetId="175" state="hidden" r:id="rId55"/>
    <sheet name="所得减免优惠审核表" sheetId="176" state="hidden" r:id="rId56"/>
    <sheet name="抵扣应纳税所得额审核表" sheetId="177" state="hidden" r:id="rId57"/>
    <sheet name="减免所得税优惠审核表" sheetId="178" state="hidden" r:id="rId58"/>
    <sheet name="高新技术企业优惠情况审核表" sheetId="179" state="hidden" r:id="rId59"/>
    <sheet name="软件、集成电路企业优惠情况审核表" sheetId="180" state="hidden" r:id="rId60"/>
    <sheet name="税额抵免优惠审核表" sheetId="181" state="hidden" r:id="rId61"/>
    <sheet name="境外所得税收抵免审核表" sheetId="182" state="hidden" r:id="rId62"/>
    <sheet name="境外所得纳税调整后所得审核表" sheetId="183" state="hidden" r:id="rId63"/>
    <sheet name="境外分支机构弥补亏损审核表" sheetId="184" state="hidden" r:id="rId64"/>
    <sheet name="跨年度结转抵免境外所得税审核表" sheetId="185" state="hidden" r:id="rId65"/>
    <sheet name="跨地区经营汇总纳税企业年度分摊企业所得税审核表" sheetId="186" state="hidden" r:id="rId66"/>
    <sheet name="企业所得税汇总纳税分支机构所得税分配表" sheetId="187" state="hidden" r:id="rId67"/>
    <sheet name="减值准备审核表" sheetId="190" state="hidden" r:id="rId68"/>
    <sheet name="公允价值变动审定表" sheetId="189" state="hidden" r:id="rId69"/>
    <sheet name="主页" sheetId="40" state="hidden" r:id="rId70"/>
    <sheet name="报告目录" sheetId="188" state="hidden" r:id="rId71"/>
    <sheet name="主营收支" sheetId="41" state="hidden" r:id="rId72"/>
    <sheet name="收入与申报核对表" sheetId="42" state="hidden" r:id="rId73"/>
    <sheet name="毛利分析" sheetId="43" state="hidden" r:id="rId74"/>
    <sheet name="制造费用、生产成本" sheetId="44" state="hidden" r:id="rId75"/>
    <sheet name="成本倒轧" sheetId="45" state="hidden" r:id="rId76"/>
    <sheet name="存货计价测试" sheetId="46" state="hidden" r:id="rId77"/>
    <sheet name="主营税金" sheetId="47" state="hidden" r:id="rId78"/>
    <sheet name="税费缴纳测算" sheetId="48" state="hidden" r:id="rId79"/>
    <sheet name="其他业务" sheetId="49" state="hidden" r:id="rId80"/>
    <sheet name="营业费用" sheetId="50" state="hidden" r:id="rId81"/>
    <sheet name="管理费用" sheetId="51" state="hidden" r:id="rId82"/>
    <sheet name="财务费用" sheetId="52" state="hidden" r:id="rId83"/>
    <sheet name="营外收支" sheetId="53" state="hidden" r:id="rId84"/>
    <sheet name="货币资金" sheetId="54" state="hidden" r:id="rId85"/>
    <sheet name="现金证明" sheetId="17" state="hidden" r:id="rId86"/>
    <sheet name="银行调节" sheetId="55" state="hidden" r:id="rId87"/>
    <sheet name="应收" sheetId="56" state="hidden" r:id="rId88"/>
    <sheet name="预付" sheetId="57" state="hidden" r:id="rId89"/>
    <sheet name="其他应收" sheetId="58" state="hidden" r:id="rId90"/>
    <sheet name="存货" sheetId="59" state="hidden" r:id="rId91"/>
    <sheet name="待摊预提" sheetId="60" state="hidden" r:id="rId92"/>
    <sheet name="在建工程审核表" sheetId="61" state="hidden" r:id="rId93"/>
    <sheet name="对外投资" sheetId="209" state="hidden" r:id="rId94"/>
    <sheet name="应付" sheetId="62" state="hidden" r:id="rId95"/>
    <sheet name="预收" sheetId="63" state="hidden" r:id="rId96"/>
    <sheet name="其他应付" sheetId="64" state="hidden" r:id="rId97"/>
    <sheet name="借款" sheetId="211" state="hidden" r:id="rId98"/>
    <sheet name="实收公积" sheetId="65" state="hidden" r:id="rId99"/>
    <sheet name="未分利润" sheetId="66" state="hidden" r:id="rId100"/>
    <sheet name="报告封面" sheetId="194" state="hidden" r:id="rId101"/>
    <sheet name="报告正文" sheetId="195" state="hidden" r:id="rId102"/>
    <sheet name="企业情况表" sheetId="196" state="hidden" r:id="rId103"/>
    <sheet name="事项说明" sheetId="197" state="hidden" r:id="rId104"/>
    <sheet name="企业各税审核汇总表" sheetId="83" state="hidden" r:id="rId105"/>
    <sheet name="检查表" sheetId="116" state="hidden" r:id="rId106"/>
    <sheet name="余额表" sheetId="88" state="hidden" r:id="rId107"/>
    <sheet name="税金申报明细" sheetId="89" state="hidden" r:id="rId108"/>
    <sheet name="(三)子表12.企业所得税汇总纳税分支机构所得税分配表" sheetId="117" state="hidden" r:id="rId109"/>
    <sheet name="(四)无限期结转扣除项目情况表" sheetId="112" state="hidden" r:id="rId110"/>
    <sheet name="(五)跨年度确认所得情况表" sheetId="113" state="hidden" r:id="rId111"/>
    <sheet name="基本情况（封面）" sheetId="91" state="hidden" r:id="rId112"/>
    <sheet name="1.保留意见" sheetId="92" state="hidden" r:id="rId113"/>
    <sheet name="2.否定意见" sheetId="93" state="hidden" r:id="rId114"/>
    <sheet name="3.无保留意见" sheetId="94" state="hidden" r:id="rId115"/>
    <sheet name="4.无法表明意见" sheetId="95" state="hidden" r:id="rId116"/>
    <sheet name="(二)企业基本情况和审核事项说明" sheetId="96" state="hidden" r:id="rId117"/>
    <sheet name="(二)附表-科目说明" sheetId="97" state="hidden" r:id="rId118"/>
    <sheet name="(二)附表-纳税调整额的审核" sheetId="98" state="hidden" r:id="rId119"/>
    <sheet name="（三）企业所得税年度纳税申报表填报表单" sheetId="119" state="hidden" r:id="rId120"/>
    <sheet name="A000000企业基础信息表" sheetId="120" r:id="rId121"/>
    <sheet name="A100000中华人民共和国企业所得税年度纳税申报表（A类）" sheetId="121" state="hidden" r:id="rId122"/>
    <sheet name="A101010一般企业收入明细表" sheetId="122" state="hidden" r:id="rId123"/>
    <sheet name="A101020金融企业收入明细表" sheetId="123" state="hidden" r:id="rId124"/>
    <sheet name="A102010一般企业成本支出明细表" sheetId="124" state="hidden" r:id="rId125"/>
    <sheet name="A102020金融企业支出明细表" sheetId="125" state="hidden" r:id="rId126"/>
    <sheet name="A103000事业单位、民间非营利组织收入、支出明细表" sheetId="126" state="hidden" r:id="rId127"/>
    <sheet name="A104000期间费用明细表" sheetId="127" state="hidden" r:id="rId128"/>
    <sheet name="A105000纳税调整项目明细表" sheetId="128" state="hidden" r:id="rId129"/>
    <sheet name="A105010视同销售和房地产开发企业特定业务纳税调整明细表" sheetId="129" state="hidden" r:id="rId130"/>
    <sheet name="A105020未按权责发生制确认收入纳税调整明细表" sheetId="130" state="hidden" r:id="rId131"/>
    <sheet name="A105030投资收益纳税调整明细表" sheetId="131" state="hidden" r:id="rId132"/>
    <sheet name="A105040专项用途财政性资金纳税调整表" sheetId="132" state="hidden" r:id="rId133"/>
    <sheet name="A105050职工薪酬纳税调整明细表" sheetId="133" state="hidden" r:id="rId134"/>
    <sheet name="A105060广告费和业务宣传费跨年度纳税调整明细表" sheetId="134" state="hidden" r:id="rId135"/>
    <sheet name="A105070捐赠支出纳税调整明细表" sheetId="135" state="hidden" r:id="rId136"/>
    <sheet name="A105080资产折旧、摊销情况及纳税调整明细表" sheetId="136" state="hidden" r:id="rId137"/>
    <sheet name="A105081固定资产加速折旧、扣除明细表" sheetId="137" state="hidden" r:id="rId138"/>
    <sheet name="A105090资产损失税前扣除及纳税调整明细表" sheetId="138" state="hidden" r:id="rId139"/>
    <sheet name="A105091资产损失（专项申报）税前扣除及纳税调整明细表" sheetId="139" state="hidden" r:id="rId140"/>
    <sheet name="A105100企业重组纳税调整明细表" sheetId="140" state="hidden" r:id="rId141"/>
    <sheet name="A105110政策性搬迁纳税调整明细表" sheetId="141" state="hidden" r:id="rId142"/>
    <sheet name="A105120特殊行业准备金纳税调整明细表" sheetId="142" state="hidden" r:id="rId143"/>
    <sheet name="A106000企业所得税弥补亏损明细表" sheetId="143" state="hidden" r:id="rId144"/>
    <sheet name="A107010免税、减计收入及加计扣除优惠明细表" sheetId="144" state="hidden" r:id="rId145"/>
    <sheet name="A107011股息红利优惠明细表" sheetId="145" state="hidden" r:id="rId146"/>
    <sheet name="A107012综合利用资源生产产品取得的收入优惠明细表" sheetId="146" state="hidden" r:id="rId147"/>
    <sheet name="A107013金融保险等机构取得涉农利息保费收入优惠明细表" sheetId="147" state="hidden" r:id="rId148"/>
    <sheet name="A107014研发费用加计扣除优惠明细表" sheetId="148" state="hidden" r:id="rId149"/>
    <sheet name="A107020所得减免优惠明细表" sheetId="149" state="hidden" r:id="rId150"/>
    <sheet name="A107030抵扣应纳税所得额明细表" sheetId="150" state="hidden" r:id="rId151"/>
    <sheet name="A107040减免所得税优惠明细表" sheetId="151" state="hidden" r:id="rId152"/>
    <sheet name="A107041高新技术企业优惠情况及明细表" sheetId="152" state="hidden" r:id="rId153"/>
    <sheet name="A107042软件、集成电路企业优惠情况及明细表" sheetId="153" state="hidden" r:id="rId154"/>
    <sheet name="A107050税额抵免优惠明细表" sheetId="154" state="hidden" r:id="rId155"/>
    <sheet name="A108000境外所得税收抵免明细表" sheetId="155" state="hidden" r:id="rId156"/>
    <sheet name="A108010境外所得纳税调整后所得明细表" sheetId="156" state="hidden" r:id="rId157"/>
    <sheet name="A108020境外分支机构弥补亏损明细表" sheetId="157" state="hidden" r:id="rId158"/>
    <sheet name="A108030跨年度结转抵免境外所得税明细表" sheetId="158" state="hidden" r:id="rId159"/>
    <sheet name="A109000跨地区经营汇总纳税企业年度分摊企业所得税明细表" sheetId="159" state="hidden" r:id="rId160"/>
    <sheet name="A109010企业所得税汇总纳税分支机构所得税分配表" sheetId="160" state="hidden" r:id="rId161"/>
    <sheet name="A110010特殊性处理报告表" sheetId="200" state="hidden" r:id="rId162"/>
    <sheet name="A110011债务重组报告表" sheetId="201" state="hidden" r:id="rId163"/>
    <sheet name="A110012股权收购报告表 " sheetId="202" state="hidden" r:id="rId164"/>
    <sheet name="A110013资产收购报告表" sheetId="203" state="hidden" r:id="rId165"/>
    <sheet name="A110014企业合并报告表 " sheetId="204" state="hidden" r:id="rId166"/>
    <sheet name="A110015企业分立申报表" sheetId="205" state="hidden" r:id="rId167"/>
    <sheet name="A110016非货币资产投资递延纳税调整表" sheetId="206" state="hidden" r:id="rId168"/>
    <sheet name="A110017居民企业资产（股权）划转特殊性税务处理申报表" sheetId="207" state="hidden" r:id="rId169"/>
    <sheet name="研发加计扣除归集审核表" sheetId="212" state="hidden" r:id="rId170"/>
    <sheet name="研发项目可加计扣除研究开发费用情况归集表" sheetId="213" state="hidden" r:id="rId171"/>
    <sheet name="分支机构企业所得税申报表（A类）" sheetId="118" state="hidden" r:id="rId172"/>
    <sheet name="（四）企业各税（费）审核汇总表" sheetId="114" state="hidden" r:id="rId173"/>
    <sheet name="（五）社会保险费明细表" sheetId="115" state="hidden" r:id="rId174"/>
  </sheets>
  <definedNames>
    <definedName name="_xlnm._FilterDatabase" localSheetId="20" hidden="1">凭证检查!$A$5:$W$227</definedName>
    <definedName name="_xlnm._FilterDatabase" localSheetId="107" hidden="1">税金申报明细!$A$1:$R$1</definedName>
    <definedName name="_xlnm._FilterDatabase" localSheetId="106" hidden="1">余额表!$A$1:$K$22</definedName>
    <definedName name="Pic">OFFSET(首页!$A$3,IF(基本情况!$B$8="厦门明正税务师事务所有限公司",0,1),0)</definedName>
    <definedName name="_xlnm.Print_Area" localSheetId="120">A000000企业基础信息表!$A$1:$F$32</definedName>
    <definedName name="_xlnm.Print_Area" localSheetId="121">'A100000中华人民共和国企业所得税年度纳税申报表（A类）'!$A$1:$D$41</definedName>
    <definedName name="_xlnm.Print_Area" localSheetId="161">A110010特殊性处理报告表!$A$1:$G$15</definedName>
    <definedName name="_xlnm.Print_Area" localSheetId="162">A110011债务重组报告表!$A$1:$E$24</definedName>
    <definedName name="_xlnm.Print_Area" localSheetId="163">'A110012股权收购报告表 '!$A$1:$I$59</definedName>
    <definedName name="_xlnm.Print_Area" localSheetId="164">A110013资产收购报告表!$A$1:$I$25</definedName>
    <definedName name="_xlnm.Print_Area" localSheetId="165">'A110014企业合并报告表 '!$A$1:$D$25</definedName>
    <definedName name="_xlnm.Print_Area" localSheetId="166">A110015企业分立申报表!$A$1:$F$27</definedName>
    <definedName name="_xlnm.Print_Area" localSheetId="167">A110016非货币资产投资递延纳税调整表!$A$1:$T$10</definedName>
    <definedName name="_xlnm.Print_Area" localSheetId="168">'A110017居民企业资产（股权）划转特殊性税务处理申报表'!$A$1:$H$29</definedName>
    <definedName name="_xlnm.Print_Area" localSheetId="100">报告封面!$A$1:$I$25</definedName>
    <definedName name="_xlnm.Print_Area" localSheetId="101">报告正文!$A$1:$J$78</definedName>
    <definedName name="_xlnm.Print_Area" localSheetId="36">补亏!$A$1:$H$20</definedName>
    <definedName name="_xlnm.Print_Area" localSheetId="82">财务费用!$A$1:$H$31</definedName>
    <definedName name="_xlnm.Print_Area" localSheetId="75">成本倒轧!$A$1:$J$46</definedName>
    <definedName name="_xlnm.Print_Area" localSheetId="90">存货!$A$1:$F$31</definedName>
    <definedName name="_xlnm.Print_Area" localSheetId="76">存货计价测试!$A$1:$O$20</definedName>
    <definedName name="_xlnm.Print_Area" localSheetId="2">待办事项!$A$1:$K$50</definedName>
    <definedName name="_xlnm.Print_Area" localSheetId="91">待摊预提!$A$1:$J$23</definedName>
    <definedName name="_xlnm.Print_Area" localSheetId="10">当局声明!$A$1:$G$26</definedName>
    <definedName name="_xlnm.Print_Area" localSheetId="1">档案封面!$A$1:$I$21</definedName>
    <definedName name="_xlnm.Print_Area" localSheetId="3">档案索引!$A$1:$F$49</definedName>
    <definedName name="_xlnm.Print_Area" localSheetId="93">对外投资!$A$1:$J$29</definedName>
    <definedName name="_xlnm.Print_Area" localSheetId="25">工资福利!$A$1:$H$41</definedName>
    <definedName name="_xlnm.Print_Area" localSheetId="68">公允价值变动审定表!$A$1:$G$17</definedName>
    <definedName name="_xlnm.Print_Area" localSheetId="27">固资折旧!$A$1:$G$35</definedName>
    <definedName name="_xlnm.Print_Area" localSheetId="81">管理费用!$A$1:$H$48</definedName>
    <definedName name="_xlnm.Print_Area" localSheetId="32">广宣!$A$1:$K$42</definedName>
    <definedName name="_xlnm.Print_Area" localSheetId="84">货币资金!$A$1:$H$28</definedName>
    <definedName name="_xlnm.Print_Area" localSheetId="8">基本情况!$A$1:$E$66</definedName>
    <definedName name="_xlnm.Print_Area" localSheetId="11">计划!$B$1:$K$31</definedName>
    <definedName name="_xlnm.Print_Area" localSheetId="67">减值准备审核表!$A$1:$H$22</definedName>
    <definedName name="_xlnm.Print_Area" localSheetId="15">交换意见!$A$1:$G$31</definedName>
    <definedName name="_xlnm.Print_Area" localSheetId="97">借款!$A$1:$K$29</definedName>
    <definedName name="_xlnm.Print_Area" localSheetId="33">捐赠!$A$1:$J$23</definedName>
    <definedName name="_xlnm.Print_Area" localSheetId="39">跨年度确认所得情况表!$A$1:$G$18</definedName>
    <definedName name="_xlnm.Print_Area" localSheetId="23">利润!$A$1:$H$39</definedName>
    <definedName name="_xlnm.Print_Area" localSheetId="34">利息!$A$1:$L$28</definedName>
    <definedName name="_xlnm.Print_Area" localSheetId="73">毛利分析!$A$1:$G$40</definedName>
    <definedName name="_xlnm.Print_Area" localSheetId="24">纳税申报数据!$A$1:$K$26</definedName>
    <definedName name="_xlnm.Print_Area" localSheetId="12">内控!$A$1:$K$34</definedName>
    <definedName name="_xlnm.Print_Area" localSheetId="18">盘点表!$A$1:$G$35</definedName>
    <definedName name="_xlnm.Print_Area" localSheetId="20">凭证检查!$A$1:$Q$211</definedName>
    <definedName name="_xlnm.Print_Area" localSheetId="37">其他事项!$A$1:$F$45</definedName>
    <definedName name="_xlnm.Print_Area" localSheetId="79">其他业务!$A$1:$J$25</definedName>
    <definedName name="_xlnm.Print_Area" localSheetId="96">其他应付!$A$1:$F$43</definedName>
    <definedName name="_xlnm.Print_Area" localSheetId="89">其他应收!$A$1:$F$42</definedName>
    <definedName name="_xlnm.Print_Area" localSheetId="104">企业各税审核汇总表!$A$1:$F$66</definedName>
    <definedName name="_xlnm.Print_Area" localSheetId="102">企业情况表!$A$1:$K$30</definedName>
    <definedName name="_xlnm.Print_Area" localSheetId="4">签发单!$A$1:$E$25</definedName>
    <definedName name="_xlnm.Print_Area" localSheetId="5">三级复核!$A$1:$K$44</definedName>
    <definedName name="_xlnm.Print_Area" localSheetId="30">社保!$A$1:$G$34</definedName>
    <definedName name="_xlnm.Print_Area" localSheetId="31">社保明细工资人数!$A$1:$J$39</definedName>
    <definedName name="_xlnm.Print_Area" localSheetId="17">审核标识!$A$1:$E$22</definedName>
    <definedName name="_xlnm.Print_Area" localSheetId="13">审核问卷!$A$1:$N$47</definedName>
    <definedName name="_xlnm.Print_Area" localSheetId="98">实收公积!$A$1:$H$31</definedName>
    <definedName name="_xlnm.Print_Area" localSheetId="21">使用说明!$A$1:$B$22</definedName>
    <definedName name="_xlnm.Print_Area" localSheetId="103">事项说明!$A$1:$G$135</definedName>
    <definedName name="_xlnm.Print_Area" localSheetId="40">视同销售和房地产开发企业特定业务审核表!$A$1:$E$36</definedName>
    <definedName name="_xlnm.Print_Area" localSheetId="72">收入与申报核对表!$A$1:$K$28</definedName>
    <definedName name="_xlnm.Print_Area" localSheetId="78">税费缴纳测算!$A$1:$H$58</definedName>
    <definedName name="_xlnm.Print_Area" localSheetId="9">税审收费标准!$B$1:$I$15</definedName>
    <definedName name="_xlnm.Print_Area" localSheetId="19">通用记录!$A$1:$H$52</definedName>
    <definedName name="_xlnm.Print_Area" localSheetId="99">未分利润!$A$1:$G$28</definedName>
    <definedName name="_xlnm.Print_Area" localSheetId="38">无限期结转扣除项目审核表!$A$1:$L$10</definedName>
    <definedName name="_xlnm.Print_Area" localSheetId="29">无形长摊!$A$1:$O$31</definedName>
    <definedName name="_xlnm.Print_Area" localSheetId="85">现金证明!$A$1:$E$16</definedName>
    <definedName name="_xlnm.Print_Area" localSheetId="169">研发加计扣除归集审核表!$A$1:$D$79</definedName>
    <definedName name="_xlnm.Print_Area" localSheetId="170">研发项目可加计扣除研究开发费用情况归集表!$A$1:$D$79</definedName>
    <definedName name="_xlnm.Print_Area" localSheetId="6">业务约定!$A$1:$H$33</definedName>
    <definedName name="_xlnm.Print_Area" localSheetId="86">银行调节!$A$1:$B$34</definedName>
    <definedName name="_xlnm.Print_Area" localSheetId="83">营外收支!$A$1:$G$44</definedName>
    <definedName name="_xlnm.Print_Area" localSheetId="80">营业费用!$A$1:$H$48</definedName>
    <definedName name="_xlnm.Print_Area" localSheetId="94">应付!$A$1:$F$44</definedName>
    <definedName name="_xlnm.Print_Area" localSheetId="87">应收!$A$1:$F$42</definedName>
    <definedName name="_xlnm.Print_Area" localSheetId="88">预付!$A$1:$F$42</definedName>
    <definedName name="_xlnm.Print_Area" localSheetId="95">预收!$A$1:$F$43</definedName>
    <definedName name="_xlnm.Print_Area" localSheetId="92">在建工程审核表!$A$1:$H$19</definedName>
    <definedName name="_xlnm.Print_Area" localSheetId="26">招待!$A$1:$M$31</definedName>
    <definedName name="_xlnm.Print_Area" localSheetId="28">折旧测算!$A$1:$O$30</definedName>
    <definedName name="_xlnm.Print_Area" localSheetId="74">制造费用、生产成本!$A$1:$G$48</definedName>
    <definedName name="_xlnm.Print_Area" localSheetId="14">重大问题!$A$1:$G$17</definedName>
    <definedName name="_xlnm.Print_Area" localSheetId="69">主页!$A$1:$J$29</definedName>
    <definedName name="_xlnm.Print_Area" localSheetId="71">主营收支!$A$1:$H$48</definedName>
    <definedName name="_xlnm.Print_Area" localSheetId="77">主营税金!$A$1:$H$51</definedName>
    <definedName name="_xlnm.Print_Area" localSheetId="22">资产负债!$A$1:$H$35</definedName>
    <definedName name="_xlnm.Print_Area" localSheetId="16">资料清单!$A$1:$E$42</definedName>
    <definedName name="_xlnm.Print_Area" localSheetId="35">租金!$A$1:$J$28</definedName>
    <definedName name="_xlnm.Print_Titles" localSheetId="163">'A110012股权收购报告表 '!$1:$2</definedName>
    <definedName name="_xlnm.Print_Titles" localSheetId="3">档案索引!$1:$3</definedName>
    <definedName name="_xlnm.Print_Titles" localSheetId="20">凭证检查!$1:$5</definedName>
    <definedName name="_xlnm.Print_Titles" localSheetId="96">其他应付!$1:$12</definedName>
    <definedName name="_xlnm.Print_Titles" localSheetId="89">其他应收!$1:$14</definedName>
    <definedName name="_xlnm.Print_Titles" localSheetId="94">应付!$1:$12</definedName>
    <definedName name="_xlnm.Print_Titles" localSheetId="87">应收!$1:$14</definedName>
    <definedName name="_xlnm.Print_Titles" localSheetId="88">预付!$1:$14</definedName>
    <definedName name="_xlnm.Print_Titles" localSheetId="95">预收!$1:$12</definedName>
    <definedName name="_xlnm.Print_Titles" localSheetId="28">折旧测算!$1:$6</definedName>
    <definedName name="worksheetname">"workbookname=get.workbook(1)"</definedName>
    <definedName name="本年度">基本情况!$B$4</definedName>
    <definedName name="本年折旧">折旧测算!$L$9:$L$1004</definedName>
    <definedName name="编制列表">基本情况!$B$12:$B$16</definedName>
    <definedName name="工业企业">A000000企业基础信息表!$E$129:$E$709</definedName>
    <definedName name="工作人员列表">基本情况!$B$9:$B$16</definedName>
    <definedName name="购入日期">折旧测算!$D$9:$D$1004</definedName>
    <definedName name="行业类型">基本情况!$E$71:$E$90</definedName>
    <definedName name="减少日期">折旧测算!$G$9:$G$1004</definedName>
    <definedName name="建筑业">A000000企业基础信息表!$E$710:$E$730</definedName>
    <definedName name="截止日">基本情况!$G$6</definedName>
    <definedName name="截止月">基本情况!$F$6</definedName>
    <definedName name="企业类型">基本情况!$B$71:$B$135</definedName>
    <definedName name="起始日">基本情况!$G$5</definedName>
    <definedName name="起始月">基本情况!$F$5</definedName>
    <definedName name="签字列表">基本情况!$B$9:$B$11</definedName>
    <definedName name="税收折旧">折旧测算!$N$9:$N$1004</definedName>
    <definedName name="一至三年">A106000企业所得税弥补亏损明细表!$F$6:$F$8</definedName>
    <definedName name="折旧明细">折旧测算!$A$9:$O$1004</definedName>
    <definedName name="资产购入金额">折旧测算!$E$9:$E$1004</definedName>
    <definedName name="资产减少金额">折旧测算!$H$9:$H$1004</definedName>
    <definedName name="资产类别">折旧测算!$A$9:$A$1004</definedName>
    <definedName name="资产原值">折旧测算!$C$9:$C$1004</definedName>
  </definedNames>
  <calcPr calcId="152511"/>
</workbook>
</file>

<file path=xl/calcChain.xml><?xml version="1.0" encoding="utf-8"?>
<calcChain xmlns="http://schemas.openxmlformats.org/spreadsheetml/2006/main">
  <c r="D10" i="121" l="1"/>
  <c r="D11" i="121"/>
  <c r="B38" i="4"/>
  <c r="D22" i="212" l="1"/>
  <c r="D7" i="213" l="1"/>
  <c r="D8" i="213"/>
  <c r="D9" i="213"/>
  <c r="D11" i="213"/>
  <c r="D12" i="213"/>
  <c r="D13" i="213"/>
  <c r="D14" i="213"/>
  <c r="D15" i="213"/>
  <c r="D16" i="213"/>
  <c r="D17" i="213"/>
  <c r="D18" i="213"/>
  <c r="D20" i="213"/>
  <c r="D21" i="213"/>
  <c r="D23" i="213"/>
  <c r="D24" i="213"/>
  <c r="D25" i="213"/>
  <c r="D27" i="213"/>
  <c r="D28" i="213"/>
  <c r="D29" i="213"/>
  <c r="D30" i="213"/>
  <c r="B32" i="213"/>
  <c r="D32" i="213"/>
  <c r="B33" i="213"/>
  <c r="D33" i="213"/>
  <c r="B34" i="213"/>
  <c r="D34" i="213"/>
  <c r="B35" i="213"/>
  <c r="D35" i="213"/>
  <c r="B36" i="213"/>
  <c r="D36" i="213"/>
  <c r="B37" i="213"/>
  <c r="D37" i="213"/>
  <c r="B38" i="213"/>
  <c r="D38" i="213"/>
  <c r="B39" i="213"/>
  <c r="D39" i="213"/>
  <c r="B40" i="213"/>
  <c r="D40" i="213"/>
  <c r="B41" i="213"/>
  <c r="D41" i="213"/>
  <c r="B42" i="213"/>
  <c r="D42" i="213"/>
  <c r="B43" i="213"/>
  <c r="D43" i="213"/>
  <c r="B44" i="213"/>
  <c r="D44" i="213"/>
  <c r="B45" i="213"/>
  <c r="D45" i="213"/>
  <c r="B46" i="213"/>
  <c r="D46" i="213"/>
  <c r="B47" i="213"/>
  <c r="D47" i="213"/>
  <c r="B48" i="213"/>
  <c r="D48" i="213"/>
  <c r="B49" i="213"/>
  <c r="D49" i="213"/>
  <c r="B50" i="213"/>
  <c r="D50" i="213"/>
  <c r="B51" i="213"/>
  <c r="D51" i="213"/>
  <c r="B52" i="213"/>
  <c r="D52" i="213"/>
  <c r="B53" i="213"/>
  <c r="D53" i="213"/>
  <c r="B54" i="213"/>
  <c r="D54" i="213"/>
  <c r="B55" i="213"/>
  <c r="D55" i="213"/>
  <c r="B56" i="213"/>
  <c r="D56" i="213"/>
  <c r="B57" i="213"/>
  <c r="D57" i="213"/>
  <c r="B58" i="213"/>
  <c r="D58" i="213"/>
  <c r="B59" i="213"/>
  <c r="D59" i="213"/>
  <c r="B60" i="213"/>
  <c r="D60" i="213"/>
  <c r="B61" i="213"/>
  <c r="D61" i="213"/>
  <c r="B62" i="213"/>
  <c r="D62" i="213"/>
  <c r="B63" i="213"/>
  <c r="D63" i="213"/>
  <c r="B64" i="213"/>
  <c r="D64" i="213"/>
  <c r="B65" i="213"/>
  <c r="D65" i="213"/>
  <c r="B66" i="213"/>
  <c r="D66" i="213"/>
  <c r="B67" i="213"/>
  <c r="D67" i="213"/>
  <c r="B68" i="213"/>
  <c r="D68" i="213"/>
  <c r="B69" i="213"/>
  <c r="D69" i="213"/>
  <c r="B70" i="213"/>
  <c r="D70" i="213"/>
  <c r="B71" i="213"/>
  <c r="D71" i="213"/>
  <c r="D72" i="213"/>
  <c r="D73" i="213"/>
  <c r="D76" i="213"/>
  <c r="D77" i="213"/>
  <c r="D78" i="213"/>
  <c r="D6" i="212"/>
  <c r="D10" i="212"/>
  <c r="D19" i="212"/>
  <c r="D26" i="212"/>
  <c r="D31" i="212"/>
  <c r="D79" i="212"/>
  <c r="T15" i="175" s="1"/>
  <c r="D22" i="213" l="1"/>
  <c r="D26" i="213"/>
  <c r="D74" i="212"/>
  <c r="D75" i="212" s="1"/>
  <c r="D6" i="213"/>
  <c r="D19" i="213"/>
  <c r="D10" i="213"/>
  <c r="D79" i="213"/>
  <c r="F48" i="119" s="1"/>
  <c r="D31" i="213"/>
  <c r="H24" i="209"/>
  <c r="H23" i="209"/>
  <c r="H22" i="209"/>
  <c r="H21" i="209"/>
  <c r="H20" i="209"/>
  <c r="H19" i="209"/>
  <c r="H18" i="209"/>
  <c r="H17" i="209"/>
  <c r="H16" i="209"/>
  <c r="D74" i="213" l="1"/>
  <c r="D75" i="213" s="1"/>
  <c r="D25" i="211"/>
  <c r="D15" i="211"/>
  <c r="K24" i="211"/>
  <c r="K23" i="211"/>
  <c r="K22" i="211"/>
  <c r="K21" i="211"/>
  <c r="K20" i="211"/>
  <c r="K19" i="211"/>
  <c r="K18" i="211"/>
  <c r="K17" i="211"/>
  <c r="K16" i="211"/>
  <c r="K14" i="211"/>
  <c r="K13" i="211"/>
  <c r="K12" i="211"/>
  <c r="K11" i="211"/>
  <c r="K10" i="211"/>
  <c r="K9" i="211"/>
  <c r="K8" i="211"/>
  <c r="K7" i="211"/>
  <c r="K6" i="211"/>
  <c r="C26" i="211" l="1"/>
  <c r="C72" i="116"/>
  <c r="C73" i="116"/>
  <c r="H26" i="211"/>
  <c r="J25" i="211"/>
  <c r="I25" i="211"/>
  <c r="J15" i="211"/>
  <c r="I15" i="211"/>
  <c r="D27" i="211" s="1"/>
  <c r="G3" i="211"/>
  <c r="I2" i="211"/>
  <c r="G2" i="211"/>
  <c r="K25" i="211" l="1"/>
  <c r="K15" i="211"/>
  <c r="E25" i="209"/>
  <c r="F25" i="209"/>
  <c r="G25" i="209"/>
  <c r="I25" i="209"/>
  <c r="E15" i="209"/>
  <c r="F15" i="209"/>
  <c r="G15" i="209"/>
  <c r="I15" i="209"/>
  <c r="J21" i="209"/>
  <c r="J22" i="209"/>
  <c r="J23" i="209"/>
  <c r="J24" i="209"/>
  <c r="H9" i="209"/>
  <c r="J9" i="209" s="1"/>
  <c r="H10" i="209"/>
  <c r="J10" i="209" s="1"/>
  <c r="H11" i="209"/>
  <c r="J11" i="209" s="1"/>
  <c r="H12" i="209"/>
  <c r="J12" i="209" s="1"/>
  <c r="H13" i="209"/>
  <c r="J13" i="209" s="1"/>
  <c r="H14" i="209"/>
  <c r="J14" i="209" s="1"/>
  <c r="J20" i="209"/>
  <c r="J19" i="209"/>
  <c r="J18" i="209"/>
  <c r="J17" i="209"/>
  <c r="J16" i="209"/>
  <c r="H8" i="209"/>
  <c r="J8" i="209" s="1"/>
  <c r="H7" i="209"/>
  <c r="J7" i="209" s="1"/>
  <c r="H6" i="209"/>
  <c r="F3" i="209"/>
  <c r="H2" i="209"/>
  <c r="F2" i="209"/>
  <c r="F8" i="51"/>
  <c r="F8" i="50"/>
  <c r="F24" i="44"/>
  <c r="F10" i="51"/>
  <c r="F7" i="51"/>
  <c r="F10" i="50"/>
  <c r="F7" i="50"/>
  <c r="F23" i="44"/>
  <c r="F25" i="44"/>
  <c r="B7" i="120"/>
  <c r="F38" i="44" l="1"/>
  <c r="F42" i="50"/>
  <c r="F42" i="51"/>
  <c r="H15" i="209"/>
  <c r="C26" i="209" s="1"/>
  <c r="H25" i="209"/>
  <c r="J6" i="209"/>
  <c r="M34" i="90" a="1"/>
  <c r="M34" i="90" s="1"/>
  <c r="M1" i="90" a="1"/>
  <c r="M1" i="90" s="1"/>
  <c r="C70" i="116" l="1"/>
  <c r="C71" i="116"/>
  <c r="G26" i="209"/>
  <c r="D27" i="209"/>
  <c r="J15" i="209"/>
  <c r="J25" i="209"/>
  <c r="F16" i="194"/>
  <c r="F15" i="194"/>
  <c r="B16" i="91"/>
  <c r="B18" i="91" s="1"/>
  <c r="F64" i="195"/>
  <c r="B25" i="4"/>
  <c r="F12" i="194"/>
  <c r="D22" i="194" s="1"/>
  <c r="F7" i="194"/>
  <c r="A4" i="194"/>
  <c r="F66" i="195"/>
  <c r="G71" i="195"/>
  <c r="A32" i="195"/>
  <c r="A24" i="195"/>
  <c r="A17" i="195"/>
  <c r="D19" i="194" l="1"/>
  <c r="D21" i="194"/>
  <c r="H19" i="194"/>
  <c r="D20" i="194"/>
  <c r="F14" i="194"/>
  <c r="B21" i="91"/>
  <c r="B22" i="91"/>
  <c r="B23" i="91"/>
  <c r="B19" i="91"/>
  <c r="B20" i="91"/>
  <c r="B15" i="91"/>
  <c r="B17" i="91"/>
  <c r="F2" i="195" l="1"/>
  <c r="E11" i="195" l="1"/>
  <c r="E7" i="195"/>
  <c r="F3" i="195"/>
  <c r="E10" i="195"/>
  <c r="F6" i="195"/>
  <c r="F4" i="195"/>
  <c r="E9" i="195"/>
  <c r="F5" i="195"/>
  <c r="E8" i="195"/>
  <c r="A5" i="208" l="1"/>
  <c r="A29" i="208"/>
  <c r="A2" i="208"/>
  <c r="B6" i="120" l="1"/>
  <c r="B2" i="4"/>
  <c r="B43" i="4"/>
  <c r="F10" i="194" l="1"/>
  <c r="C2" i="211"/>
  <c r="C2" i="209"/>
  <c r="B47" i="4"/>
  <c r="B46" i="4"/>
  <c r="B45" i="4"/>
  <c r="B44" i="4"/>
  <c r="B48" i="4" s="1"/>
  <c r="B42" i="4"/>
  <c r="B41" i="4"/>
  <c r="B40" i="4"/>
  <c r="B39" i="4"/>
  <c r="B36" i="4"/>
  <c r="B35" i="4"/>
  <c r="B34" i="4"/>
  <c r="B33" i="4"/>
  <c r="B32" i="4"/>
  <c r="B31" i="4"/>
  <c r="F11" i="194" l="1"/>
  <c r="C4" i="208"/>
  <c r="B3" i="91"/>
  <c r="G46" i="195"/>
  <c r="A3" i="9"/>
  <c r="A33" i="208" l="1"/>
  <c r="C3" i="208"/>
  <c r="A6" i="2" l="1"/>
  <c r="D27" i="23" l="1"/>
  <c r="C27" i="23"/>
  <c r="H3" i="40" l="1"/>
  <c r="D28" i="152"/>
  <c r="D5" i="152"/>
  <c r="B7" i="148"/>
  <c r="Q7" i="148" s="1"/>
  <c r="B8" i="148"/>
  <c r="S8" i="148" s="1"/>
  <c r="B9" i="148"/>
  <c r="Q9" i="148" s="1"/>
  <c r="B10" i="148"/>
  <c r="S10" i="148" s="1"/>
  <c r="B11" i="148"/>
  <c r="Q11" i="148" s="1"/>
  <c r="B12" i="148"/>
  <c r="S12" i="148" s="1"/>
  <c r="B13" i="148"/>
  <c r="Q13" i="148" s="1"/>
  <c r="B14" i="148"/>
  <c r="S14" i="148" s="1"/>
  <c r="B6" i="148"/>
  <c r="S6" i="148" s="1"/>
  <c r="E44" i="180"/>
  <c r="E42" i="180"/>
  <c r="E41" i="180"/>
  <c r="E37" i="180"/>
  <c r="E34" i="180"/>
  <c r="E30" i="180"/>
  <c r="E29" i="180"/>
  <c r="E28" i="180"/>
  <c r="E27" i="180"/>
  <c r="E22" i="180"/>
  <c r="E21" i="180"/>
  <c r="E18" i="180"/>
  <c r="E15" i="180"/>
  <c r="E14" i="180"/>
  <c r="I14" i="146"/>
  <c r="G14" i="146"/>
  <c r="F14" i="146"/>
  <c r="E14" i="146"/>
  <c r="D14" i="146"/>
  <c r="I13" i="146"/>
  <c r="G13" i="146"/>
  <c r="F13" i="146"/>
  <c r="E13" i="146"/>
  <c r="D13" i="146"/>
  <c r="I12" i="146"/>
  <c r="G12" i="146"/>
  <c r="F12" i="146"/>
  <c r="E12" i="146"/>
  <c r="D12" i="146"/>
  <c r="I11" i="146"/>
  <c r="G11" i="146"/>
  <c r="F11" i="146"/>
  <c r="E11" i="146"/>
  <c r="D11" i="146"/>
  <c r="I10" i="146"/>
  <c r="G10" i="146"/>
  <c r="F10" i="146"/>
  <c r="E10" i="146"/>
  <c r="D10" i="146"/>
  <c r="I9" i="146"/>
  <c r="G9" i="146"/>
  <c r="F9" i="146"/>
  <c r="E9" i="146"/>
  <c r="D9" i="146"/>
  <c r="I8" i="146"/>
  <c r="G8" i="146"/>
  <c r="F8" i="146"/>
  <c r="E8" i="146"/>
  <c r="D8" i="146"/>
  <c r="I7" i="146"/>
  <c r="G7" i="146"/>
  <c r="F7" i="146"/>
  <c r="E7" i="146"/>
  <c r="D7" i="146"/>
  <c r="I6" i="146"/>
  <c r="G6" i="146"/>
  <c r="F6" i="146"/>
  <c r="E6" i="146"/>
  <c r="D6" i="146"/>
  <c r="B14" i="146"/>
  <c r="H14" i="146" s="1"/>
  <c r="B13" i="146"/>
  <c r="K13" i="146" s="1"/>
  <c r="B12" i="146"/>
  <c r="C12" i="146" s="1"/>
  <c r="B11" i="146"/>
  <c r="H11" i="146" s="1"/>
  <c r="B10" i="146"/>
  <c r="H10" i="146" s="1"/>
  <c r="B9" i="146"/>
  <c r="K9" i="146" s="1"/>
  <c r="B8" i="146"/>
  <c r="C8" i="146" s="1"/>
  <c r="B7" i="146"/>
  <c r="H7" i="146" s="1"/>
  <c r="B6" i="146"/>
  <c r="C6" i="146" s="1"/>
  <c r="M37" i="90" l="1" a="1"/>
  <c r="M37" i="90" s="1"/>
  <c r="C14" i="146"/>
  <c r="C10" i="146"/>
  <c r="J6" i="146"/>
  <c r="J8" i="146"/>
  <c r="J10" i="146"/>
  <c r="J12" i="146"/>
  <c r="J14" i="146"/>
  <c r="H8" i="146"/>
  <c r="H12" i="146"/>
  <c r="D6" i="148"/>
  <c r="H6" i="148"/>
  <c r="L6" i="148"/>
  <c r="P6" i="148"/>
  <c r="T6" i="148"/>
  <c r="F7" i="148"/>
  <c r="J7" i="148"/>
  <c r="N7" i="148"/>
  <c r="R7" i="148"/>
  <c r="D8" i="148"/>
  <c r="H8" i="148"/>
  <c r="L8" i="148"/>
  <c r="P8" i="148"/>
  <c r="T8" i="148"/>
  <c r="F9" i="148"/>
  <c r="J9" i="148"/>
  <c r="N9" i="148"/>
  <c r="R9" i="148"/>
  <c r="D10" i="148"/>
  <c r="H10" i="148"/>
  <c r="L10" i="148"/>
  <c r="P10" i="148"/>
  <c r="T10" i="148"/>
  <c r="F11" i="148"/>
  <c r="J11" i="148"/>
  <c r="N11" i="148"/>
  <c r="R11" i="148"/>
  <c r="D12" i="148"/>
  <c r="H12" i="148"/>
  <c r="L12" i="148"/>
  <c r="P12" i="148"/>
  <c r="T12" i="148"/>
  <c r="F13" i="148"/>
  <c r="J13" i="148"/>
  <c r="N13" i="148"/>
  <c r="R13" i="148"/>
  <c r="D14" i="148"/>
  <c r="H14" i="148"/>
  <c r="L14" i="148"/>
  <c r="P14" i="148"/>
  <c r="T14" i="148"/>
  <c r="C13" i="146"/>
  <c r="C9" i="146"/>
  <c r="K6" i="146"/>
  <c r="K8" i="146"/>
  <c r="K10" i="146"/>
  <c r="K12" i="146"/>
  <c r="K14" i="146"/>
  <c r="H9" i="146"/>
  <c r="H13" i="146"/>
  <c r="E6" i="148"/>
  <c r="I6" i="148"/>
  <c r="M6" i="148"/>
  <c r="Q6" i="148"/>
  <c r="C7" i="148"/>
  <c r="G7" i="148"/>
  <c r="K7" i="148"/>
  <c r="O7" i="148"/>
  <c r="S7" i="148"/>
  <c r="E8" i="148"/>
  <c r="I8" i="148"/>
  <c r="M8" i="148"/>
  <c r="Q8" i="148"/>
  <c r="C9" i="148"/>
  <c r="G9" i="148"/>
  <c r="K9" i="148"/>
  <c r="O9" i="148"/>
  <c r="S9" i="148"/>
  <c r="E10" i="148"/>
  <c r="I10" i="148"/>
  <c r="M10" i="148"/>
  <c r="Q10" i="148"/>
  <c r="C11" i="148"/>
  <c r="G11" i="148"/>
  <c r="K11" i="148"/>
  <c r="O11" i="148"/>
  <c r="S11" i="148"/>
  <c r="E12" i="148"/>
  <c r="I12" i="148"/>
  <c r="M12" i="148"/>
  <c r="Q12" i="148"/>
  <c r="C13" i="148"/>
  <c r="G13" i="148"/>
  <c r="K13" i="148"/>
  <c r="O13" i="148"/>
  <c r="S13" i="148"/>
  <c r="E14" i="148"/>
  <c r="I14" i="148"/>
  <c r="M14" i="148"/>
  <c r="Q14" i="148"/>
  <c r="J7" i="146"/>
  <c r="J9" i="146"/>
  <c r="J11" i="146"/>
  <c r="J13" i="146"/>
  <c r="H6" i="146"/>
  <c r="F6" i="148"/>
  <c r="J6" i="148"/>
  <c r="N6" i="148"/>
  <c r="R6" i="148"/>
  <c r="D7" i="148"/>
  <c r="H7" i="148"/>
  <c r="L7" i="148"/>
  <c r="P7" i="148"/>
  <c r="T7" i="148"/>
  <c r="F8" i="148"/>
  <c r="J8" i="148"/>
  <c r="N8" i="148"/>
  <c r="R8" i="148"/>
  <c r="D9" i="148"/>
  <c r="H9" i="148"/>
  <c r="L9" i="148"/>
  <c r="P9" i="148"/>
  <c r="T9" i="148"/>
  <c r="F10" i="148"/>
  <c r="J10" i="148"/>
  <c r="N10" i="148"/>
  <c r="R10" i="148"/>
  <c r="D11" i="148"/>
  <c r="H11" i="148"/>
  <c r="L11" i="148"/>
  <c r="P11" i="148"/>
  <c r="T11" i="148"/>
  <c r="F12" i="148"/>
  <c r="J12" i="148"/>
  <c r="N12" i="148"/>
  <c r="R12" i="148"/>
  <c r="D13" i="148"/>
  <c r="H13" i="148"/>
  <c r="L13" i="148"/>
  <c r="P13" i="148"/>
  <c r="T13" i="148"/>
  <c r="F14" i="148"/>
  <c r="J14" i="148"/>
  <c r="N14" i="148"/>
  <c r="R14" i="148"/>
  <c r="C11" i="146"/>
  <c r="C7" i="146"/>
  <c r="K7" i="146"/>
  <c r="K11" i="146"/>
  <c r="C6" i="148"/>
  <c r="G6" i="148"/>
  <c r="K6" i="148"/>
  <c r="O6" i="148"/>
  <c r="E7" i="148"/>
  <c r="I7" i="148"/>
  <c r="M7" i="148"/>
  <c r="C8" i="148"/>
  <c r="G8" i="148"/>
  <c r="K8" i="148"/>
  <c r="O8" i="148"/>
  <c r="E9" i="148"/>
  <c r="I9" i="148"/>
  <c r="M9" i="148"/>
  <c r="C10" i="148"/>
  <c r="G10" i="148"/>
  <c r="K10" i="148"/>
  <c r="O10" i="148"/>
  <c r="E11" i="148"/>
  <c r="I11" i="148"/>
  <c r="M11" i="148"/>
  <c r="C12" i="148"/>
  <c r="G12" i="148"/>
  <c r="K12" i="148"/>
  <c r="O12" i="148"/>
  <c r="E13" i="148"/>
  <c r="I13" i="148"/>
  <c r="M13" i="148"/>
  <c r="C14" i="148"/>
  <c r="G14" i="148"/>
  <c r="K14" i="148"/>
  <c r="O14" i="148"/>
  <c r="B14" i="137" l="1"/>
  <c r="C45" i="119"/>
  <c r="C44" i="119"/>
  <c r="C46" i="119"/>
  <c r="C47" i="119"/>
  <c r="C48" i="119"/>
  <c r="E15" i="200" l="1"/>
  <c r="E3" i="200"/>
  <c r="E29" i="207" l="1"/>
  <c r="E10" i="206"/>
  <c r="E27" i="205"/>
  <c r="D25" i="204"/>
  <c r="G25" i="203"/>
  <c r="B29" i="207"/>
  <c r="B10" i="206"/>
  <c r="B25" i="203"/>
  <c r="B27" i="205"/>
  <c r="B25" i="204"/>
  <c r="B59" i="202"/>
  <c r="E24" i="201"/>
  <c r="F59" i="202"/>
  <c r="B24" i="201"/>
  <c r="B15" i="200"/>
  <c r="B5" i="200"/>
  <c r="B3" i="200" l="1"/>
  <c r="D34" i="179"/>
  <c r="I20" i="22" l="1"/>
  <c r="C13" i="65" l="1"/>
  <c r="D13" i="65"/>
  <c r="E13" i="65"/>
  <c r="G13" i="65"/>
  <c r="F12" i="65"/>
  <c r="H12" i="65" s="1"/>
  <c r="N14" i="88"/>
  <c r="F23" i="24" l="1"/>
  <c r="I21" i="24"/>
  <c r="I20" i="24"/>
  <c r="G20" i="24"/>
  <c r="G21" i="24"/>
  <c r="H34" i="22" l="1"/>
  <c r="G34" i="22"/>
  <c r="H25" i="22"/>
  <c r="G25" i="22"/>
  <c r="H19" i="22"/>
  <c r="G19" i="22"/>
  <c r="G26" i="22" l="1"/>
  <c r="G35" i="22" s="1"/>
  <c r="H26" i="22"/>
  <c r="H35" i="22" s="1"/>
  <c r="B31" i="197"/>
  <c r="B32" i="197"/>
  <c r="B33" i="197"/>
  <c r="B34" i="197"/>
  <c r="B35" i="197"/>
  <c r="B36" i="197"/>
  <c r="B37" i="197"/>
  <c r="B38" i="197"/>
  <c r="B39" i="197"/>
  <c r="B40" i="197"/>
  <c r="B41" i="197"/>
  <c r="B42" i="197"/>
  <c r="B43" i="197"/>
  <c r="B44" i="197"/>
  <c r="B45" i="197"/>
  <c r="B46" i="197"/>
  <c r="B47" i="197"/>
  <c r="B48" i="197"/>
  <c r="B49" i="197"/>
  <c r="B50" i="197"/>
  <c r="B51" i="197"/>
  <c r="B52" i="197"/>
  <c r="B53" i="197"/>
  <c r="B59" i="197"/>
  <c r="B62" i="197"/>
  <c r="B65" i="197"/>
  <c r="B67" i="197"/>
  <c r="B68" i="197"/>
  <c r="B69" i="197"/>
  <c r="B70" i="197"/>
  <c r="B71" i="197"/>
  <c r="B72" i="197"/>
  <c r="B73" i="197"/>
  <c r="B74" i="197"/>
  <c r="B75" i="197"/>
  <c r="B76" i="197"/>
  <c r="B77" i="197"/>
  <c r="B78" i="197"/>
  <c r="B79" i="197"/>
  <c r="B85" i="197"/>
  <c r="B86" i="197"/>
  <c r="B87" i="197"/>
  <c r="B88" i="197"/>
  <c r="B89" i="197"/>
  <c r="B90" i="197"/>
  <c r="B91" i="197"/>
  <c r="B92" i="197"/>
  <c r="B93" i="197"/>
  <c r="B94" i="197"/>
  <c r="B95" i="197"/>
  <c r="B96" i="197"/>
  <c r="B97" i="197"/>
  <c r="B98" i="197"/>
  <c r="B99" i="197"/>
  <c r="B100" i="197"/>
  <c r="B101" i="197"/>
  <c r="B102" i="197"/>
  <c r="B103" i="197"/>
  <c r="B104" i="197"/>
  <c r="B105" i="197"/>
  <c r="B106" i="197"/>
  <c r="B107" i="197"/>
  <c r="B108" i="197"/>
  <c r="B109" i="197"/>
  <c r="B110" i="197"/>
  <c r="B111" i="197"/>
  <c r="B112" i="197"/>
  <c r="D135" i="197"/>
  <c r="E112" i="197"/>
  <c r="D112" i="197"/>
  <c r="E111" i="197"/>
  <c r="D111" i="197"/>
  <c r="E110" i="197"/>
  <c r="D110" i="197"/>
  <c r="D109" i="197"/>
  <c r="E105" i="197"/>
  <c r="D105" i="197"/>
  <c r="E103" i="197"/>
  <c r="E101" i="197"/>
  <c r="D101" i="197"/>
  <c r="D100" i="197"/>
  <c r="D99" i="197"/>
  <c r="E98" i="197"/>
  <c r="D98" i="197"/>
  <c r="E94" i="197"/>
  <c r="D94" i="197"/>
  <c r="D92" i="197"/>
  <c r="E91" i="197"/>
  <c r="D91" i="197"/>
  <c r="E88" i="197" l="1"/>
  <c r="E87" i="197"/>
  <c r="D87" i="197"/>
  <c r="D79" i="197"/>
  <c r="E79" i="197"/>
  <c r="E78" i="197"/>
  <c r="D78" i="197"/>
  <c r="E77" i="197"/>
  <c r="D77" i="197"/>
  <c r="D76" i="197"/>
  <c r="D71" i="197"/>
  <c r="E71" i="197"/>
  <c r="D72" i="197"/>
  <c r="E72" i="197"/>
  <c r="E70" i="197"/>
  <c r="D70" i="197"/>
  <c r="E68" i="197"/>
  <c r="D65" i="197"/>
  <c r="E65" i="197"/>
  <c r="E64" i="197"/>
  <c r="E63" i="197"/>
  <c r="D62" i="197"/>
  <c r="E61" i="197"/>
  <c r="E60" i="197"/>
  <c r="E58" i="197"/>
  <c r="E56" i="197"/>
  <c r="E57" i="197"/>
  <c r="E55" i="197"/>
  <c r="E54" i="197"/>
  <c r="E53" i="197"/>
  <c r="E52" i="197"/>
  <c r="E50" i="197"/>
  <c r="E45" i="197"/>
  <c r="E46" i="197"/>
  <c r="E47" i="197"/>
  <c r="E42" i="197"/>
  <c r="D42" i="197"/>
  <c r="E38" i="197"/>
  <c r="D38" i="197"/>
  <c r="E35" i="197"/>
  <c r="E34" i="197"/>
  <c r="D34" i="197"/>
  <c r="D31" i="197"/>
  <c r="D21" i="197"/>
  <c r="C16" i="197" s="1"/>
  <c r="A6" i="197"/>
  <c r="I29" i="196"/>
  <c r="D29" i="196"/>
  <c r="G3" i="196"/>
  <c r="A3" i="196"/>
  <c r="A14" i="195"/>
  <c r="D26" i="197"/>
  <c r="C22" i="197" s="1"/>
  <c r="G21" i="196"/>
  <c r="E21" i="196"/>
  <c r="D12" i="121" l="1"/>
  <c r="G7" i="23"/>
  <c r="D37" i="23" l="1"/>
  <c r="D39" i="23" s="1"/>
  <c r="H5" i="23" s="1"/>
  <c r="H11" i="23" s="1"/>
  <c r="H19" i="23" s="1"/>
  <c r="H22" i="23" s="1"/>
  <c r="C37" i="23"/>
  <c r="D27" i="197" s="1"/>
  <c r="D25" i="22"/>
  <c r="D34" i="22" s="1"/>
  <c r="C25" i="22"/>
  <c r="C34" i="22" s="1"/>
  <c r="D19" i="22"/>
  <c r="C19" i="22"/>
  <c r="D35" i="22" l="1"/>
  <c r="C35" i="22"/>
  <c r="B9" i="120" s="1"/>
  <c r="H37" i="22" l="1"/>
  <c r="H36" i="22"/>
  <c r="B36" i="22"/>
  <c r="D7" i="151"/>
  <c r="D8" i="151"/>
  <c r="D11" i="151"/>
  <c r="D12" i="151"/>
  <c r="D13" i="151"/>
  <c r="D15" i="151"/>
  <c r="D16" i="151"/>
  <c r="D17" i="151"/>
  <c r="D19" i="151"/>
  <c r="D20" i="151"/>
  <c r="D21" i="151"/>
  <c r="D23" i="151"/>
  <c r="D24" i="151"/>
  <c r="D25" i="151"/>
  <c r="D26" i="151"/>
  <c r="D27" i="151"/>
  <c r="D28" i="151"/>
  <c r="D30" i="151"/>
  <c r="D31" i="151"/>
  <c r="D33" i="151"/>
  <c r="D34" i="151"/>
  <c r="D36" i="151"/>
  <c r="D37" i="151"/>
  <c r="D38" i="151"/>
  <c r="D39" i="151"/>
  <c r="D40" i="151"/>
  <c r="D41" i="151"/>
  <c r="D42" i="151"/>
  <c r="D43" i="151"/>
  <c r="D44" i="151"/>
  <c r="D45" i="151"/>
  <c r="D46" i="151"/>
  <c r="D47" i="151"/>
  <c r="D48" i="151"/>
  <c r="D49" i="151"/>
  <c r="D50" i="151"/>
  <c r="D51" i="151"/>
  <c r="D52" i="151"/>
  <c r="C35" i="178"/>
  <c r="D35" i="151" s="1"/>
  <c r="C22" i="178"/>
  <c r="D22" i="151" s="1"/>
  <c r="C18" i="178"/>
  <c r="D18" i="151" s="1"/>
  <c r="C14" i="178"/>
  <c r="D14" i="151" s="1"/>
  <c r="C10" i="178"/>
  <c r="D10" i="151" s="1"/>
  <c r="C15" i="150"/>
  <c r="C16" i="150"/>
  <c r="C14" i="150"/>
  <c r="C6" i="150"/>
  <c r="C8" i="150"/>
  <c r="C5" i="150"/>
  <c r="C17" i="177"/>
  <c r="C19" i="177" s="1"/>
  <c r="C19" i="150" s="1"/>
  <c r="C7" i="177"/>
  <c r="C9" i="177" s="1"/>
  <c r="C9" i="150" s="1"/>
  <c r="C32" i="178" l="1"/>
  <c r="C29" i="178" s="1"/>
  <c r="D29" i="151" s="1"/>
  <c r="C7" i="150"/>
  <c r="C17" i="150"/>
  <c r="F33" i="119" s="1"/>
  <c r="D32" i="151"/>
  <c r="C9" i="178"/>
  <c r="D9" i="151" s="1"/>
  <c r="E22" i="137" l="1"/>
  <c r="F22" i="137"/>
  <c r="G22" i="137"/>
  <c r="H22" i="137"/>
  <c r="I22" i="137"/>
  <c r="J22" i="137"/>
  <c r="K22" i="137"/>
  <c r="L22" i="137"/>
  <c r="M22" i="137"/>
  <c r="N22" i="137"/>
  <c r="O22" i="137"/>
  <c r="Q22" i="137"/>
  <c r="R22" i="137"/>
  <c r="T22" i="137"/>
  <c r="E23" i="137"/>
  <c r="F23" i="137"/>
  <c r="G23" i="137"/>
  <c r="H23" i="137"/>
  <c r="I23" i="137"/>
  <c r="J23" i="137"/>
  <c r="K23" i="137"/>
  <c r="L23" i="137"/>
  <c r="M23" i="137"/>
  <c r="N23" i="137"/>
  <c r="O23" i="137"/>
  <c r="Q23" i="137"/>
  <c r="R23" i="137"/>
  <c r="U23" i="137"/>
  <c r="E25" i="137"/>
  <c r="F25" i="137"/>
  <c r="G25" i="137"/>
  <c r="H25" i="137"/>
  <c r="I25" i="137"/>
  <c r="J25" i="137"/>
  <c r="K25" i="137"/>
  <c r="L25" i="137"/>
  <c r="M25" i="137"/>
  <c r="N25" i="137"/>
  <c r="O25" i="137"/>
  <c r="Q25" i="137"/>
  <c r="R25" i="137"/>
  <c r="T25" i="137"/>
  <c r="E26" i="137"/>
  <c r="F26" i="137"/>
  <c r="G26" i="137"/>
  <c r="H26" i="137"/>
  <c r="I26" i="137"/>
  <c r="J26" i="137"/>
  <c r="K26" i="137"/>
  <c r="L26" i="137"/>
  <c r="M26" i="137"/>
  <c r="N26" i="137"/>
  <c r="O26" i="137"/>
  <c r="Q26" i="137"/>
  <c r="R26" i="137"/>
  <c r="U26" i="137"/>
  <c r="E28" i="137"/>
  <c r="F28" i="137"/>
  <c r="G28" i="137"/>
  <c r="H28" i="137"/>
  <c r="I28" i="137"/>
  <c r="J28" i="137"/>
  <c r="K28" i="137"/>
  <c r="L28" i="137"/>
  <c r="M28" i="137"/>
  <c r="N28" i="137"/>
  <c r="O28" i="137"/>
  <c r="Q28" i="137"/>
  <c r="R28" i="137"/>
  <c r="T28" i="137"/>
  <c r="E29" i="137"/>
  <c r="F29" i="137"/>
  <c r="G29" i="137"/>
  <c r="H29" i="137"/>
  <c r="I29" i="137"/>
  <c r="J29" i="137"/>
  <c r="K29" i="137"/>
  <c r="L29" i="137"/>
  <c r="M29" i="137"/>
  <c r="N29" i="137"/>
  <c r="O29" i="137"/>
  <c r="Q29" i="137"/>
  <c r="R29" i="137"/>
  <c r="U29" i="137"/>
  <c r="E31" i="137"/>
  <c r="F31" i="137"/>
  <c r="G31" i="137"/>
  <c r="H31" i="137"/>
  <c r="I31" i="137"/>
  <c r="J31" i="137"/>
  <c r="K31" i="137"/>
  <c r="L31" i="137"/>
  <c r="M31" i="137"/>
  <c r="N31" i="137"/>
  <c r="O31" i="137"/>
  <c r="Q31" i="137"/>
  <c r="R31" i="137"/>
  <c r="T31" i="137"/>
  <c r="E32" i="137"/>
  <c r="F32" i="137"/>
  <c r="G32" i="137"/>
  <c r="H32" i="137"/>
  <c r="I32" i="137"/>
  <c r="J32" i="137"/>
  <c r="K32" i="137"/>
  <c r="L32" i="137"/>
  <c r="M32" i="137"/>
  <c r="N32" i="137"/>
  <c r="O32" i="137"/>
  <c r="Q32" i="137"/>
  <c r="R32" i="137"/>
  <c r="U32" i="137"/>
  <c r="D22" i="137"/>
  <c r="D23" i="137"/>
  <c r="D25" i="137"/>
  <c r="D26" i="137"/>
  <c r="D28" i="137"/>
  <c r="D29" i="137"/>
  <c r="D31" i="137"/>
  <c r="D32" i="137"/>
  <c r="E7" i="137"/>
  <c r="F7" i="137"/>
  <c r="G7" i="137"/>
  <c r="H7" i="137"/>
  <c r="I7" i="137"/>
  <c r="J7" i="137"/>
  <c r="K7" i="137"/>
  <c r="L7" i="137"/>
  <c r="M7" i="137"/>
  <c r="N7" i="137"/>
  <c r="O7" i="137"/>
  <c r="Q7" i="137"/>
  <c r="R7" i="137"/>
  <c r="T7" i="137"/>
  <c r="E8" i="137"/>
  <c r="F8" i="137"/>
  <c r="G8" i="137"/>
  <c r="H8" i="137"/>
  <c r="I8" i="137"/>
  <c r="J8" i="137"/>
  <c r="K8" i="137"/>
  <c r="L8" i="137"/>
  <c r="M8" i="137"/>
  <c r="N8" i="137"/>
  <c r="O8" i="137"/>
  <c r="Q8" i="137"/>
  <c r="R8" i="137"/>
  <c r="U8" i="137"/>
  <c r="E10" i="137"/>
  <c r="F10" i="137"/>
  <c r="G10" i="137"/>
  <c r="H10" i="137"/>
  <c r="I10" i="137"/>
  <c r="J10" i="137"/>
  <c r="K10" i="137"/>
  <c r="L10" i="137"/>
  <c r="M10" i="137"/>
  <c r="N10" i="137"/>
  <c r="O10" i="137"/>
  <c r="Q10" i="137"/>
  <c r="R10" i="137"/>
  <c r="T10" i="137"/>
  <c r="E11" i="137"/>
  <c r="F11" i="137"/>
  <c r="G11" i="137"/>
  <c r="H11" i="137"/>
  <c r="I11" i="137"/>
  <c r="J11" i="137"/>
  <c r="K11" i="137"/>
  <c r="L11" i="137"/>
  <c r="M11" i="137"/>
  <c r="N11" i="137"/>
  <c r="O11" i="137"/>
  <c r="Q11" i="137"/>
  <c r="R11" i="137"/>
  <c r="U11" i="137"/>
  <c r="E14" i="137"/>
  <c r="F14" i="137"/>
  <c r="G14" i="137"/>
  <c r="H14" i="137"/>
  <c r="I14" i="137"/>
  <c r="J14" i="137"/>
  <c r="K14" i="137"/>
  <c r="L14" i="137"/>
  <c r="M14" i="137"/>
  <c r="N14" i="137"/>
  <c r="O14" i="137"/>
  <c r="Q14" i="137"/>
  <c r="R14" i="137"/>
  <c r="T14" i="137"/>
  <c r="E15" i="137"/>
  <c r="F15" i="137"/>
  <c r="G15" i="137"/>
  <c r="H15" i="137"/>
  <c r="I15" i="137"/>
  <c r="J15" i="137"/>
  <c r="K15" i="137"/>
  <c r="L15" i="137"/>
  <c r="M15" i="137"/>
  <c r="N15" i="137"/>
  <c r="O15" i="137"/>
  <c r="Q15" i="137"/>
  <c r="R15" i="137"/>
  <c r="U15" i="137"/>
  <c r="E17" i="137"/>
  <c r="F17" i="137"/>
  <c r="G17" i="137"/>
  <c r="H17" i="137"/>
  <c r="I17" i="137"/>
  <c r="J17" i="137"/>
  <c r="K17" i="137"/>
  <c r="L17" i="137"/>
  <c r="M17" i="137"/>
  <c r="N17" i="137"/>
  <c r="O17" i="137"/>
  <c r="Q17" i="137"/>
  <c r="R17" i="137"/>
  <c r="T17" i="137"/>
  <c r="E18" i="137"/>
  <c r="F18" i="137"/>
  <c r="G18" i="137"/>
  <c r="H18" i="137"/>
  <c r="I18" i="137"/>
  <c r="J18" i="137"/>
  <c r="K18" i="137"/>
  <c r="L18" i="137"/>
  <c r="M18" i="137"/>
  <c r="N18" i="137"/>
  <c r="O18" i="137"/>
  <c r="Q18" i="137"/>
  <c r="R18" i="137"/>
  <c r="U18" i="137"/>
  <c r="D7" i="137"/>
  <c r="D8" i="137"/>
  <c r="D10" i="137"/>
  <c r="D11" i="137"/>
  <c r="D14" i="137"/>
  <c r="D15" i="137"/>
  <c r="D17" i="137"/>
  <c r="D18" i="137"/>
  <c r="B7" i="137"/>
  <c r="S33" i="165"/>
  <c r="S32" i="137" s="1"/>
  <c r="S32" i="165"/>
  <c r="S31" i="137" s="1"/>
  <c r="S30" i="165"/>
  <c r="S29" i="137" s="1"/>
  <c r="S29" i="165"/>
  <c r="S28" i="137" s="1"/>
  <c r="S27" i="165"/>
  <c r="S26" i="137" s="1"/>
  <c r="S26" i="165"/>
  <c r="U26" i="165" s="1"/>
  <c r="S24" i="165"/>
  <c r="S23" i="137" s="1"/>
  <c r="S23" i="165"/>
  <c r="S22" i="137" s="1"/>
  <c r="P33" i="165"/>
  <c r="P32" i="137" s="1"/>
  <c r="P32" i="165"/>
  <c r="P31" i="137" s="1"/>
  <c r="P30" i="165"/>
  <c r="P29" i="137" s="1"/>
  <c r="P29" i="165"/>
  <c r="P28" i="137" s="1"/>
  <c r="P27" i="165"/>
  <c r="P26" i="137" s="1"/>
  <c r="P26" i="165"/>
  <c r="P25" i="137" s="1"/>
  <c r="P24" i="165"/>
  <c r="P23" i="165"/>
  <c r="P22" i="137" s="1"/>
  <c r="S19" i="165"/>
  <c r="T19" i="165" s="1"/>
  <c r="S18" i="165"/>
  <c r="S17" i="137" s="1"/>
  <c r="S16" i="165"/>
  <c r="T16" i="165" s="1"/>
  <c r="T15" i="137" s="1"/>
  <c r="S15" i="165"/>
  <c r="S14" i="137" s="1"/>
  <c r="S12" i="165"/>
  <c r="S11" i="137" s="1"/>
  <c r="S11" i="165"/>
  <c r="S10" i="137" s="1"/>
  <c r="S9" i="165"/>
  <c r="S8" i="137" s="1"/>
  <c r="S8" i="165"/>
  <c r="S7" i="137" s="1"/>
  <c r="P19" i="165"/>
  <c r="P18" i="137" s="1"/>
  <c r="P18" i="165"/>
  <c r="P17" i="137" s="1"/>
  <c r="P16" i="165"/>
  <c r="P15" i="137" s="1"/>
  <c r="P15" i="165"/>
  <c r="P14" i="137" s="1"/>
  <c r="P12" i="165"/>
  <c r="P11" i="137" s="1"/>
  <c r="P11" i="165"/>
  <c r="P10" i="137" s="1"/>
  <c r="P9" i="165"/>
  <c r="P8" i="137" s="1"/>
  <c r="P8" i="165"/>
  <c r="P7" i="137" s="1"/>
  <c r="R31" i="165"/>
  <c r="R30" i="137" s="1"/>
  <c r="Q31" i="165"/>
  <c r="Q30" i="137" s="1"/>
  <c r="O31" i="165"/>
  <c r="O30" i="137" s="1"/>
  <c r="N31" i="165"/>
  <c r="N30" i="137" s="1"/>
  <c r="M31" i="165"/>
  <c r="M30" i="137" s="1"/>
  <c r="L31" i="165"/>
  <c r="L30" i="137" s="1"/>
  <c r="K31" i="165"/>
  <c r="K30" i="137" s="1"/>
  <c r="J31" i="165"/>
  <c r="J30" i="137" s="1"/>
  <c r="I31" i="165"/>
  <c r="I30" i="137" s="1"/>
  <c r="H31" i="165"/>
  <c r="H30" i="137" s="1"/>
  <c r="G31" i="165"/>
  <c r="G30" i="137" s="1"/>
  <c r="F31" i="165"/>
  <c r="F30" i="137" s="1"/>
  <c r="E31" i="165"/>
  <c r="E30" i="137" s="1"/>
  <c r="D31" i="165"/>
  <c r="D30" i="137" s="1"/>
  <c r="R28" i="165"/>
  <c r="R27" i="137" s="1"/>
  <c r="Q28" i="165"/>
  <c r="Q27" i="137" s="1"/>
  <c r="O28" i="165"/>
  <c r="O27" i="137" s="1"/>
  <c r="N28" i="165"/>
  <c r="N27" i="137" s="1"/>
  <c r="M28" i="165"/>
  <c r="M27" i="137" s="1"/>
  <c r="L28" i="165"/>
  <c r="L27" i="137" s="1"/>
  <c r="K28" i="165"/>
  <c r="K27" i="137" s="1"/>
  <c r="J28" i="165"/>
  <c r="J27" i="137" s="1"/>
  <c r="I28" i="165"/>
  <c r="I27" i="137" s="1"/>
  <c r="H28" i="165"/>
  <c r="H27" i="137" s="1"/>
  <c r="G28" i="165"/>
  <c r="G27" i="137" s="1"/>
  <c r="F28" i="165"/>
  <c r="F27" i="137" s="1"/>
  <c r="E28" i="165"/>
  <c r="E27" i="137" s="1"/>
  <c r="D28" i="165"/>
  <c r="D27" i="137" s="1"/>
  <c r="R25" i="165"/>
  <c r="R24" i="137" s="1"/>
  <c r="Q25" i="165"/>
  <c r="Q24" i="137" s="1"/>
  <c r="O25" i="165"/>
  <c r="O24" i="137" s="1"/>
  <c r="N25" i="165"/>
  <c r="N24" i="137" s="1"/>
  <c r="M25" i="165"/>
  <c r="M24" i="137" s="1"/>
  <c r="L25" i="165"/>
  <c r="L24" i="137" s="1"/>
  <c r="K25" i="165"/>
  <c r="K24" i="137" s="1"/>
  <c r="J25" i="165"/>
  <c r="J24" i="137" s="1"/>
  <c r="I25" i="165"/>
  <c r="I24" i="137" s="1"/>
  <c r="H25" i="165"/>
  <c r="H24" i="137" s="1"/>
  <c r="G25" i="165"/>
  <c r="G24" i="137" s="1"/>
  <c r="F25" i="165"/>
  <c r="F24" i="137" s="1"/>
  <c r="E25" i="165"/>
  <c r="E24" i="137" s="1"/>
  <c r="D25" i="165"/>
  <c r="D24" i="137" s="1"/>
  <c r="R22" i="165"/>
  <c r="R21" i="137" s="1"/>
  <c r="Q22" i="165"/>
  <c r="Q21" i="137" s="1"/>
  <c r="O22" i="165"/>
  <c r="O21" i="137" s="1"/>
  <c r="N22" i="165"/>
  <c r="N21" i="137" s="1"/>
  <c r="M22" i="165"/>
  <c r="M21" i="137" s="1"/>
  <c r="L22" i="165"/>
  <c r="L21" i="137" s="1"/>
  <c r="K22" i="165"/>
  <c r="K21" i="137" s="1"/>
  <c r="J22" i="165"/>
  <c r="J21" i="137" s="1"/>
  <c r="I22" i="165"/>
  <c r="I21" i="137" s="1"/>
  <c r="H22" i="165"/>
  <c r="H21" i="137" s="1"/>
  <c r="G22" i="165"/>
  <c r="G21" i="137" s="1"/>
  <c r="F22" i="165"/>
  <c r="F21" i="137" s="1"/>
  <c r="E22" i="165"/>
  <c r="E21" i="137" s="1"/>
  <c r="D22" i="165"/>
  <c r="D21" i="137" s="1"/>
  <c r="R17" i="165"/>
  <c r="Q17" i="165"/>
  <c r="Q16" i="137" s="1"/>
  <c r="O17" i="165"/>
  <c r="O16" i="137" s="1"/>
  <c r="N17" i="165"/>
  <c r="M17" i="165"/>
  <c r="M16" i="137" s="1"/>
  <c r="L17" i="165"/>
  <c r="L16" i="137" s="1"/>
  <c r="K17" i="165"/>
  <c r="J17" i="165"/>
  <c r="J16" i="137" s="1"/>
  <c r="I17" i="165"/>
  <c r="I16" i="137" s="1"/>
  <c r="H17" i="165"/>
  <c r="H16" i="137" s="1"/>
  <c r="G17" i="165"/>
  <c r="F17" i="165"/>
  <c r="E17" i="165"/>
  <c r="E16" i="137" s="1"/>
  <c r="D17" i="165"/>
  <c r="D16" i="137" s="1"/>
  <c r="R14" i="165"/>
  <c r="R13" i="137" s="1"/>
  <c r="Q14" i="165"/>
  <c r="E14" i="165"/>
  <c r="E13" i="165" s="1"/>
  <c r="E12" i="137" s="1"/>
  <c r="F14" i="165"/>
  <c r="F13" i="137" s="1"/>
  <c r="G14" i="165"/>
  <c r="G13" i="137" s="1"/>
  <c r="H14" i="165"/>
  <c r="H13" i="137" s="1"/>
  <c r="I14" i="165"/>
  <c r="I13" i="165" s="1"/>
  <c r="I12" i="137" s="1"/>
  <c r="J14" i="165"/>
  <c r="J13" i="137" s="1"/>
  <c r="K14" i="165"/>
  <c r="K13" i="137" s="1"/>
  <c r="L14" i="165"/>
  <c r="L13" i="137" s="1"/>
  <c r="M14" i="165"/>
  <c r="M13" i="165" s="1"/>
  <c r="M12" i="137" s="1"/>
  <c r="N14" i="165"/>
  <c r="N13" i="137" s="1"/>
  <c r="O14" i="165"/>
  <c r="O13" i="137" s="1"/>
  <c r="D14" i="165"/>
  <c r="R10" i="165"/>
  <c r="R9" i="137" s="1"/>
  <c r="Q10" i="165"/>
  <c r="Q9" i="137" s="1"/>
  <c r="E10" i="165"/>
  <c r="E9" i="137" s="1"/>
  <c r="F10" i="165"/>
  <c r="F9" i="137" s="1"/>
  <c r="G10" i="165"/>
  <c r="G9" i="137" s="1"/>
  <c r="H10" i="165"/>
  <c r="H9" i="137" s="1"/>
  <c r="I10" i="165"/>
  <c r="I9" i="137" s="1"/>
  <c r="J10" i="165"/>
  <c r="J9" i="137" s="1"/>
  <c r="K10" i="165"/>
  <c r="K9" i="137" s="1"/>
  <c r="L10" i="165"/>
  <c r="L9" i="137" s="1"/>
  <c r="M10" i="165"/>
  <c r="M9" i="137" s="1"/>
  <c r="N10" i="165"/>
  <c r="N9" i="137" s="1"/>
  <c r="O10" i="165"/>
  <c r="O9" i="137" s="1"/>
  <c r="D10" i="165"/>
  <c r="D9" i="137" s="1"/>
  <c r="R7" i="165"/>
  <c r="R6" i="137" s="1"/>
  <c r="Q7" i="165"/>
  <c r="Q6" i="137" s="1"/>
  <c r="E7" i="165"/>
  <c r="E6" i="137" s="1"/>
  <c r="F7" i="165"/>
  <c r="F6" i="137" s="1"/>
  <c r="G7" i="165"/>
  <c r="G6" i="137" s="1"/>
  <c r="H7" i="165"/>
  <c r="H6" i="137" s="1"/>
  <c r="I7" i="165"/>
  <c r="I6" i="137" s="1"/>
  <c r="J7" i="165"/>
  <c r="J6" i="137" s="1"/>
  <c r="K7" i="165"/>
  <c r="K6" i="137" s="1"/>
  <c r="L7" i="165"/>
  <c r="L6" i="137" s="1"/>
  <c r="M7" i="165"/>
  <c r="M6" i="137" s="1"/>
  <c r="N7" i="165"/>
  <c r="N6" i="137" s="1"/>
  <c r="O7" i="165"/>
  <c r="O6" i="137" s="1"/>
  <c r="D7" i="165"/>
  <c r="D6" i="137" l="1"/>
  <c r="P31" i="165"/>
  <c r="P30" i="137" s="1"/>
  <c r="L13" i="165"/>
  <c r="L12" i="137" s="1"/>
  <c r="J13" i="165"/>
  <c r="J12" i="137" s="1"/>
  <c r="S10" i="165"/>
  <c r="S9" i="137" s="1"/>
  <c r="P28" i="165"/>
  <c r="P27" i="137" s="1"/>
  <c r="H13" i="165"/>
  <c r="H20" i="165" s="1"/>
  <c r="H19" i="137" s="1"/>
  <c r="P25" i="165"/>
  <c r="P24" i="137" s="1"/>
  <c r="O13" i="165"/>
  <c r="O12" i="137" s="1"/>
  <c r="D13" i="165"/>
  <c r="D12" i="137" s="1"/>
  <c r="S17" i="165"/>
  <c r="S16" i="137" s="1"/>
  <c r="T9" i="165"/>
  <c r="T24" i="165"/>
  <c r="S18" i="137"/>
  <c r="Q34" i="165"/>
  <c r="Q33" i="137" s="1"/>
  <c r="T30" i="165"/>
  <c r="T18" i="137"/>
  <c r="T17" i="165"/>
  <c r="T16" i="137" s="1"/>
  <c r="U25" i="137"/>
  <c r="U25" i="165"/>
  <c r="U24" i="137" s="1"/>
  <c r="O20" i="165"/>
  <c r="O19" i="137" s="1"/>
  <c r="G13" i="165"/>
  <c r="K13" i="165"/>
  <c r="D34" i="165"/>
  <c r="D33" i="137" s="1"/>
  <c r="N34" i="165"/>
  <c r="N33" i="137" s="1"/>
  <c r="P10" i="165"/>
  <c r="P9" i="137" s="1"/>
  <c r="P14" i="165"/>
  <c r="P13" i="137" s="1"/>
  <c r="Q13" i="165"/>
  <c r="Q12" i="137" s="1"/>
  <c r="T14" i="165"/>
  <c r="T13" i="137" s="1"/>
  <c r="F13" i="165"/>
  <c r="N13" i="165"/>
  <c r="P17" i="165"/>
  <c r="P16" i="137" s="1"/>
  <c r="R13" i="165"/>
  <c r="S22" i="165"/>
  <c r="S21" i="137" s="1"/>
  <c r="S28" i="165"/>
  <c r="S27" i="137" s="1"/>
  <c r="S31" i="165"/>
  <c r="S30" i="137" s="1"/>
  <c r="R34" i="165"/>
  <c r="R33" i="137" s="1"/>
  <c r="O34" i="165"/>
  <c r="O33" i="137" s="1"/>
  <c r="M34" i="165"/>
  <c r="M33" i="137" s="1"/>
  <c r="K34" i="165"/>
  <c r="K33" i="137" s="1"/>
  <c r="I34" i="165"/>
  <c r="I33" i="137" s="1"/>
  <c r="G34" i="165"/>
  <c r="G33" i="137" s="1"/>
  <c r="E34" i="165"/>
  <c r="E33" i="137" s="1"/>
  <c r="S14" i="165"/>
  <c r="S13" i="137" s="1"/>
  <c r="T12" i="165"/>
  <c r="U11" i="165"/>
  <c r="U18" i="165"/>
  <c r="P22" i="165"/>
  <c r="P21" i="137" s="1"/>
  <c r="P23" i="137"/>
  <c r="T27" i="165"/>
  <c r="T33" i="165"/>
  <c r="U32" i="165"/>
  <c r="R16" i="137"/>
  <c r="N16" i="137"/>
  <c r="F16" i="137"/>
  <c r="S15" i="137"/>
  <c r="Q13" i="137"/>
  <c r="M13" i="137"/>
  <c r="I13" i="137"/>
  <c r="E13" i="137"/>
  <c r="L34" i="165"/>
  <c r="L33" i="137" s="1"/>
  <c r="J34" i="165"/>
  <c r="J33" i="137" s="1"/>
  <c r="H34" i="165"/>
  <c r="H33" i="137" s="1"/>
  <c r="F34" i="165"/>
  <c r="F33" i="137" s="1"/>
  <c r="U8" i="165"/>
  <c r="U15" i="165"/>
  <c r="S25" i="165"/>
  <c r="S24" i="137" s="1"/>
  <c r="S25" i="137"/>
  <c r="U23" i="165"/>
  <c r="U29" i="165"/>
  <c r="D13" i="137"/>
  <c r="K16" i="137"/>
  <c r="G16" i="137"/>
  <c r="S7" i="165"/>
  <c r="S6" i="137" s="1"/>
  <c r="P7" i="165"/>
  <c r="M20" i="165"/>
  <c r="M19" i="137" s="1"/>
  <c r="I20" i="165"/>
  <c r="I19" i="137" s="1"/>
  <c r="E20" i="165"/>
  <c r="E19" i="137" s="1"/>
  <c r="J20" i="165" l="1"/>
  <c r="J19" i="137" s="1"/>
  <c r="L20" i="165"/>
  <c r="L19" i="137" s="1"/>
  <c r="D20" i="165"/>
  <c r="D19" i="137" s="1"/>
  <c r="S13" i="165"/>
  <c r="S12" i="137" s="1"/>
  <c r="T13" i="165"/>
  <c r="T12" i="137" s="1"/>
  <c r="P34" i="165"/>
  <c r="P33" i="137" s="1"/>
  <c r="H12" i="137"/>
  <c r="P13" i="165"/>
  <c r="P12" i="137" s="1"/>
  <c r="S34" i="165"/>
  <c r="S33" i="137" s="1"/>
  <c r="Q20" i="165"/>
  <c r="Q19" i="137" s="1"/>
  <c r="T23" i="137"/>
  <c r="T22" i="165"/>
  <c r="T21" i="137" s="1"/>
  <c r="T29" i="137"/>
  <c r="T28" i="165"/>
  <c r="T27" i="137" s="1"/>
  <c r="T8" i="137"/>
  <c r="T7" i="165"/>
  <c r="T6" i="137" s="1"/>
  <c r="U22" i="137"/>
  <c r="U22" i="165"/>
  <c r="U7" i="137"/>
  <c r="U7" i="165"/>
  <c r="T31" i="165"/>
  <c r="T30" i="137" s="1"/>
  <c r="T32" i="137"/>
  <c r="U17" i="137"/>
  <c r="U17" i="165"/>
  <c r="U16" i="137" s="1"/>
  <c r="T10" i="165"/>
  <c r="T11" i="137"/>
  <c r="R20" i="165"/>
  <c r="R19" i="137" s="1"/>
  <c r="R12" i="137"/>
  <c r="N20" i="165"/>
  <c r="N19" i="137" s="1"/>
  <c r="N12" i="137"/>
  <c r="K20" i="165"/>
  <c r="K19" i="137" s="1"/>
  <c r="K12" i="137"/>
  <c r="P6" i="137"/>
  <c r="U28" i="137"/>
  <c r="U28" i="165"/>
  <c r="U27" i="137" s="1"/>
  <c r="U14" i="137"/>
  <c r="U14" i="165"/>
  <c r="U31" i="165"/>
  <c r="U30" i="137" s="1"/>
  <c r="U31" i="137"/>
  <c r="T25" i="165"/>
  <c r="T26" i="137"/>
  <c r="U10" i="137"/>
  <c r="U10" i="165"/>
  <c r="U9" i="137" s="1"/>
  <c r="F20" i="165"/>
  <c r="F19" i="137" s="1"/>
  <c r="F12" i="137"/>
  <c r="G20" i="165"/>
  <c r="G19" i="137" s="1"/>
  <c r="G12" i="137"/>
  <c r="C17" i="122"/>
  <c r="S20" i="165" l="1"/>
  <c r="S19" i="137" s="1"/>
  <c r="P20" i="165"/>
  <c r="P19" i="137" s="1"/>
  <c r="F20" i="119"/>
  <c r="T24" i="137"/>
  <c r="T34" i="165"/>
  <c r="T33" i="137" s="1"/>
  <c r="T9" i="137"/>
  <c r="T20" i="165"/>
  <c r="T19" i="137" s="1"/>
  <c r="U13" i="137"/>
  <c r="U13" i="165"/>
  <c r="U12" i="137" s="1"/>
  <c r="U6" i="137"/>
  <c r="U21" i="137"/>
  <c r="U34" i="165"/>
  <c r="U33" i="137" s="1"/>
  <c r="B10" i="160"/>
  <c r="C10" i="160"/>
  <c r="D10" i="160"/>
  <c r="E10" i="160"/>
  <c r="F10" i="160"/>
  <c r="B11" i="160"/>
  <c r="C11" i="160"/>
  <c r="D11" i="160"/>
  <c r="E11" i="160"/>
  <c r="F11" i="160"/>
  <c r="B12" i="160"/>
  <c r="C12" i="160"/>
  <c r="D12" i="160"/>
  <c r="E12" i="160"/>
  <c r="F12" i="160"/>
  <c r="B13" i="160"/>
  <c r="C13" i="160"/>
  <c r="D13" i="160"/>
  <c r="E13" i="160"/>
  <c r="F13" i="160"/>
  <c r="B14" i="160"/>
  <c r="C14" i="160"/>
  <c r="D14" i="160"/>
  <c r="E14" i="160"/>
  <c r="F14" i="160"/>
  <c r="B15" i="160"/>
  <c r="C15" i="160"/>
  <c r="D15" i="160"/>
  <c r="E15" i="160"/>
  <c r="F15" i="160"/>
  <c r="B16" i="160"/>
  <c r="C16" i="160"/>
  <c r="D16" i="160"/>
  <c r="E16" i="160"/>
  <c r="F16" i="160"/>
  <c r="B17" i="160"/>
  <c r="C17" i="160"/>
  <c r="D17" i="160"/>
  <c r="E17" i="160"/>
  <c r="F17" i="160"/>
  <c r="B18" i="160"/>
  <c r="C18" i="160"/>
  <c r="D18" i="160"/>
  <c r="E18" i="160"/>
  <c r="F18" i="160"/>
  <c r="B19" i="160"/>
  <c r="C19" i="160"/>
  <c r="D19" i="160"/>
  <c r="E19" i="160"/>
  <c r="F19" i="160"/>
  <c r="B20" i="160"/>
  <c r="C20" i="160"/>
  <c r="D20" i="160"/>
  <c r="E20" i="160"/>
  <c r="F20" i="160"/>
  <c r="B21" i="160"/>
  <c r="C21" i="160"/>
  <c r="D21" i="160"/>
  <c r="E21" i="160"/>
  <c r="F21" i="160"/>
  <c r="B22" i="160"/>
  <c r="C22" i="160"/>
  <c r="D22" i="160"/>
  <c r="E22" i="160"/>
  <c r="F22" i="160"/>
  <c r="C9" i="160"/>
  <c r="D9" i="160"/>
  <c r="E9" i="160"/>
  <c r="F9" i="160"/>
  <c r="B9" i="160"/>
  <c r="M22" i="90" l="1" a="1"/>
  <c r="M22" i="90" s="1"/>
  <c r="U20" i="165"/>
  <c r="U19" i="137" s="1"/>
  <c r="C7" i="145"/>
  <c r="C8" i="145"/>
  <c r="C9" i="145"/>
  <c r="C10" i="145"/>
  <c r="C11" i="145"/>
  <c r="C12" i="145"/>
  <c r="C13" i="145"/>
  <c r="C14" i="145"/>
  <c r="C6" i="145"/>
  <c r="B7" i="145"/>
  <c r="F7" i="145" s="1"/>
  <c r="B8" i="145"/>
  <c r="F8" i="145" s="1"/>
  <c r="B9" i="145"/>
  <c r="F9" i="145" s="1"/>
  <c r="B10" i="145"/>
  <c r="F10" i="145" s="1"/>
  <c r="B11" i="145"/>
  <c r="F11" i="145" s="1"/>
  <c r="B12" i="145"/>
  <c r="F12" i="145" s="1"/>
  <c r="B13" i="145"/>
  <c r="F13" i="145" s="1"/>
  <c r="B14" i="145"/>
  <c r="F14" i="145" s="1"/>
  <c r="B6" i="145"/>
  <c r="F6" i="145" s="1"/>
  <c r="D19" i="179" l="1"/>
  <c r="D18" i="179"/>
  <c r="J24" i="27" l="1"/>
  <c r="J5" i="196" l="1"/>
  <c r="J4" i="196"/>
  <c r="D11" i="52" l="1"/>
  <c r="BA38" i="88" l="1"/>
  <c r="AZ38" i="88"/>
  <c r="AY38" i="88"/>
  <c r="AX38" i="88"/>
  <c r="BA37" i="88"/>
  <c r="AZ37" i="88"/>
  <c r="AY37" i="88"/>
  <c r="AX37" i="88"/>
  <c r="BA36" i="88"/>
  <c r="AZ36" i="88"/>
  <c r="AY36" i="88"/>
  <c r="AX36" i="88"/>
  <c r="BA35" i="88"/>
  <c r="AZ35" i="88"/>
  <c r="AY35" i="88"/>
  <c r="AX35" i="88"/>
  <c r="BA34" i="88"/>
  <c r="AZ34" i="88"/>
  <c r="AY34" i="88"/>
  <c r="AX34" i="88"/>
  <c r="BA33" i="88"/>
  <c r="AZ33" i="88"/>
  <c r="AY33" i="88"/>
  <c r="AX33" i="88"/>
  <c r="BA32" i="88"/>
  <c r="AZ32" i="88"/>
  <c r="AY32" i="88"/>
  <c r="AX32" i="88"/>
  <c r="BA31" i="88"/>
  <c r="AZ31" i="88"/>
  <c r="AY31" i="88"/>
  <c r="AX31" i="88"/>
  <c r="BA30" i="88"/>
  <c r="AZ30" i="88"/>
  <c r="AY30" i="88"/>
  <c r="AX30" i="88"/>
  <c r="BA29" i="88"/>
  <c r="AZ29" i="88"/>
  <c r="AY29" i="88"/>
  <c r="AX29" i="88"/>
  <c r="BA28" i="88"/>
  <c r="AZ28" i="88"/>
  <c r="AY28" i="88"/>
  <c r="AX28" i="88"/>
  <c r="BA27" i="88"/>
  <c r="AZ27" i="88"/>
  <c r="AY27" i="88"/>
  <c r="AX27" i="88"/>
  <c r="BA26" i="88"/>
  <c r="AZ26" i="88"/>
  <c r="AY26" i="88"/>
  <c r="AX26" i="88"/>
  <c r="BA25" i="88"/>
  <c r="AZ25" i="88"/>
  <c r="AY25" i="88"/>
  <c r="AX25" i="88"/>
  <c r="BA24" i="88"/>
  <c r="AZ24" i="88"/>
  <c r="AY24" i="88"/>
  <c r="AX24" i="88"/>
  <c r="BA23" i="88"/>
  <c r="AZ23" i="88"/>
  <c r="AY23" i="88"/>
  <c r="AX23" i="88"/>
  <c r="BA22" i="88"/>
  <c r="AZ22" i="88"/>
  <c r="AY22" i="88"/>
  <c r="AX22" i="88"/>
  <c r="BA21" i="88"/>
  <c r="AZ21" i="88"/>
  <c r="AY21" i="88"/>
  <c r="AX21" i="88"/>
  <c r="BA20" i="88"/>
  <c r="AZ20" i="88"/>
  <c r="AY20" i="88"/>
  <c r="AX20" i="88"/>
  <c r="BA19" i="88"/>
  <c r="AZ19" i="88"/>
  <c r="AY19" i="88"/>
  <c r="AX19" i="88"/>
  <c r="BA18" i="88"/>
  <c r="AZ18" i="88"/>
  <c r="AY18" i="88"/>
  <c r="AX18" i="88"/>
  <c r="BA17" i="88"/>
  <c r="AZ17" i="88"/>
  <c r="AY17" i="88"/>
  <c r="AX17" i="88"/>
  <c r="BA16" i="88"/>
  <c r="AZ16" i="88"/>
  <c r="AY16" i="88"/>
  <c r="AX16" i="88"/>
  <c r="BA15" i="88"/>
  <c r="AZ15" i="88"/>
  <c r="AY15" i="88"/>
  <c r="AX15" i="88"/>
  <c r="BA14" i="88"/>
  <c r="AZ14" i="88"/>
  <c r="AY14" i="88"/>
  <c r="AX14" i="88"/>
  <c r="BA13" i="88"/>
  <c r="AZ13" i="88"/>
  <c r="AY13" i="88"/>
  <c r="AX13" i="88"/>
  <c r="BA12" i="88"/>
  <c r="AZ12" i="88"/>
  <c r="AY12" i="88"/>
  <c r="AX12" i="88"/>
  <c r="BA11" i="88"/>
  <c r="AZ11" i="88"/>
  <c r="AY11" i="88"/>
  <c r="AX11" i="88"/>
  <c r="BA10" i="88"/>
  <c r="AZ10" i="88"/>
  <c r="AY10" i="88"/>
  <c r="AX10" i="88"/>
  <c r="BA9" i="88"/>
  <c r="AZ9" i="88"/>
  <c r="AY9" i="88"/>
  <c r="AX9" i="88"/>
  <c r="BA8" i="88"/>
  <c r="AZ8" i="88"/>
  <c r="AY8" i="88"/>
  <c r="AX8" i="88"/>
  <c r="BA7" i="88"/>
  <c r="AZ7" i="88"/>
  <c r="AY7" i="88"/>
  <c r="AX7" i="88"/>
  <c r="BA6" i="88"/>
  <c r="AZ6" i="88"/>
  <c r="AY6" i="88"/>
  <c r="AX6" i="88"/>
  <c r="BA5" i="88"/>
  <c r="AZ5" i="88"/>
  <c r="AY5" i="88"/>
  <c r="AX5" i="88"/>
  <c r="BA4" i="88"/>
  <c r="AZ4" i="88"/>
  <c r="AY4" i="88"/>
  <c r="AX4" i="88"/>
  <c r="BA3" i="88"/>
  <c r="AZ3" i="88"/>
  <c r="AY3" i="88"/>
  <c r="AX3" i="88"/>
  <c r="BA2" i="88"/>
  <c r="AZ2" i="88"/>
  <c r="AY2" i="88"/>
  <c r="AX2" i="88"/>
  <c r="C6" i="186" l="1"/>
  <c r="C6" i="159" s="1"/>
  <c r="C5" i="186"/>
  <c r="C5" i="159" s="1"/>
  <c r="C4" i="186"/>
  <c r="C4" i="159" l="1"/>
  <c r="M43" i="90" a="1"/>
  <c r="M43" i="90" s="1"/>
  <c r="J34" i="191"/>
  <c r="J32" i="191"/>
  <c r="H15" i="191"/>
  <c r="G15" i="191"/>
  <c r="H14" i="191"/>
  <c r="G14" i="191"/>
  <c r="H13" i="191"/>
  <c r="G13" i="191"/>
  <c r="H12" i="191"/>
  <c r="G12" i="191"/>
  <c r="H11" i="191"/>
  <c r="G11" i="191"/>
  <c r="H10" i="191"/>
  <c r="G10" i="191"/>
  <c r="F10" i="191"/>
  <c r="E10" i="191"/>
  <c r="D10" i="191"/>
  <c r="C10" i="191"/>
  <c r="E4" i="191"/>
  <c r="H2" i="191"/>
  <c r="D2" i="191"/>
  <c r="B14" i="120" l="1" a="1"/>
  <c r="B14" i="120" s="1"/>
  <c r="C16" i="96" l="1"/>
  <c r="A1" i="185" l="1"/>
  <c r="A1" i="184"/>
  <c r="A1" i="183"/>
  <c r="T1" i="182"/>
  <c r="O1" i="181"/>
  <c r="F1" i="180"/>
  <c r="E1" i="179"/>
  <c r="D1" i="178"/>
  <c r="D1" i="177"/>
  <c r="J1" i="176"/>
  <c r="U1" i="175"/>
  <c r="D1" i="174"/>
  <c r="L1" i="173"/>
  <c r="A1" i="172"/>
  <c r="D1" i="171"/>
  <c r="G1" i="189"/>
  <c r="H1" i="190"/>
  <c r="I1" i="187"/>
  <c r="D1" i="186"/>
  <c r="F1" i="170"/>
  <c r="D1" i="169"/>
  <c r="J1" i="168"/>
  <c r="I1" i="167"/>
  <c r="F1" i="166"/>
  <c r="V1" i="165"/>
  <c r="Q1" i="164"/>
  <c r="N1" i="163"/>
  <c r="I1" i="162"/>
  <c r="E1" i="161"/>
  <c r="E3" i="161"/>
  <c r="D4" i="161"/>
  <c r="D3" i="161"/>
  <c r="F2" i="85"/>
  <c r="K3" i="84"/>
  <c r="C38" i="123"/>
  <c r="C30" i="123"/>
  <c r="C22" i="123"/>
  <c r="C21" i="123" s="1"/>
  <c r="C13" i="123"/>
  <c r="C6" i="123"/>
  <c r="C29" i="125"/>
  <c r="C28" i="125" s="1"/>
  <c r="C18" i="125"/>
  <c r="C14" i="125"/>
  <c r="C6" i="125"/>
  <c r="C36" i="125"/>
  <c r="C27" i="126"/>
  <c r="C21" i="126"/>
  <c r="C13" i="126"/>
  <c r="C10" i="126"/>
  <c r="C4" i="126" s="1"/>
  <c r="E7" i="158"/>
  <c r="C7" i="131"/>
  <c r="C5" i="123" l="1"/>
  <c r="C4" i="123" s="1"/>
  <c r="C5" i="125"/>
  <c r="C4" i="125" s="1"/>
  <c r="P13" i="132"/>
  <c r="E36" i="197" l="1"/>
  <c r="E89" i="197"/>
  <c r="D38" i="128"/>
  <c r="C38" i="128"/>
  <c r="D13" i="52" l="1"/>
  <c r="E11" i="143"/>
  <c r="A17" i="38"/>
  <c r="F16" i="38"/>
  <c r="J6" i="143" s="1"/>
  <c r="I36" i="149"/>
  <c r="J8" i="143" l="1"/>
  <c r="J7" i="143"/>
  <c r="J9" i="143"/>
  <c r="D7" i="143"/>
  <c r="E7" i="143"/>
  <c r="D8" i="143"/>
  <c r="E8" i="143"/>
  <c r="D9" i="143"/>
  <c r="E9" i="143"/>
  <c r="D10" i="143"/>
  <c r="F10" i="143" s="1"/>
  <c r="E10" i="143"/>
  <c r="E6" i="143"/>
  <c r="D6" i="143"/>
  <c r="B11" i="120" l="1"/>
  <c r="C14" i="96" s="1"/>
  <c r="D31" i="39"/>
  <c r="D59" i="197" s="1"/>
  <c r="D42" i="50"/>
  <c r="D41" i="50"/>
  <c r="D40" i="50"/>
  <c r="D39" i="50"/>
  <c r="D38" i="50"/>
  <c r="D37" i="50"/>
  <c r="D36" i="50"/>
  <c r="D35" i="50"/>
  <c r="D34" i="50"/>
  <c r="D33" i="50"/>
  <c r="D32" i="50"/>
  <c r="D31" i="50"/>
  <c r="D30" i="50"/>
  <c r="D29" i="50"/>
  <c r="D28" i="50"/>
  <c r="D27" i="50"/>
  <c r="D26" i="50"/>
  <c r="D25" i="50"/>
  <c r="D24" i="50"/>
  <c r="D23" i="50"/>
  <c r="D22" i="50"/>
  <c r="D21" i="50"/>
  <c r="D20" i="50"/>
  <c r="D19" i="50"/>
  <c r="D18" i="50"/>
  <c r="D17" i="50"/>
  <c r="D16" i="50"/>
  <c r="D15" i="50"/>
  <c r="D14" i="50"/>
  <c r="D13" i="50"/>
  <c r="D12" i="50"/>
  <c r="D11" i="50"/>
  <c r="D10" i="50"/>
  <c r="D9" i="50"/>
  <c r="D8" i="50"/>
  <c r="D7" i="50"/>
  <c r="D6" i="50"/>
  <c r="G44" i="51" l="1"/>
  <c r="F44" i="51"/>
  <c r="G44" i="50"/>
  <c r="F44" i="50"/>
  <c r="D44" i="50"/>
  <c r="C34" i="116" l="1"/>
  <c r="C45" i="50"/>
  <c r="F9" i="119"/>
  <c r="C9" i="119" s="1"/>
  <c r="F8" i="119"/>
  <c r="G8" i="119" s="1"/>
  <c r="C8" i="119" l="1"/>
  <c r="G9" i="119"/>
  <c r="F6" i="119"/>
  <c r="C6" i="119" s="1"/>
  <c r="G6" i="119" l="1"/>
  <c r="G27" i="52"/>
  <c r="F27" i="52"/>
  <c r="H29" i="127"/>
  <c r="H11" i="127"/>
  <c r="F7" i="127"/>
  <c r="F8" i="127"/>
  <c r="F11" i="127"/>
  <c r="F16" i="127"/>
  <c r="F20" i="127"/>
  <c r="F21" i="127"/>
  <c r="F23" i="127"/>
  <c r="F24" i="127"/>
  <c r="F29" i="127"/>
  <c r="D29" i="127"/>
  <c r="D24" i="127"/>
  <c r="D23" i="127"/>
  <c r="D21" i="127"/>
  <c r="D20" i="127"/>
  <c r="D11" i="127"/>
  <c r="D8" i="127"/>
  <c r="D7" i="127"/>
  <c r="D7" i="52"/>
  <c r="D9" i="52"/>
  <c r="D10" i="52"/>
  <c r="D14" i="52"/>
  <c r="D6" i="52"/>
  <c r="X80" i="88"/>
  <c r="X81" i="88"/>
  <c r="X82" i="88"/>
  <c r="X83" i="88"/>
  <c r="X84" i="88"/>
  <c r="X85" i="88"/>
  <c r="X79" i="88"/>
  <c r="D8" i="51"/>
  <c r="D9" i="51"/>
  <c r="D10" i="51"/>
  <c r="D11" i="51"/>
  <c r="D12" i="51"/>
  <c r="D13" i="51"/>
  <c r="D14" i="51"/>
  <c r="D15" i="51"/>
  <c r="D16" i="51"/>
  <c r="D17" i="51"/>
  <c r="D18" i="51"/>
  <c r="D19" i="51"/>
  <c r="D20" i="51"/>
  <c r="D21" i="51"/>
  <c r="D22" i="51"/>
  <c r="D23" i="51"/>
  <c r="D24" i="51"/>
  <c r="D25" i="51"/>
  <c r="D26" i="51"/>
  <c r="D27" i="51"/>
  <c r="D28" i="51"/>
  <c r="D29" i="51"/>
  <c r="D30" i="51"/>
  <c r="D31" i="51"/>
  <c r="D32" i="51"/>
  <c r="D33" i="51"/>
  <c r="D34" i="51"/>
  <c r="D35" i="51"/>
  <c r="D36" i="51"/>
  <c r="D37" i="51"/>
  <c r="D38" i="51"/>
  <c r="D39" i="51"/>
  <c r="D40" i="51"/>
  <c r="D41" i="51"/>
  <c r="D42" i="51"/>
  <c r="D7" i="51"/>
  <c r="D6" i="51"/>
  <c r="X62" i="88"/>
  <c r="X63" i="88"/>
  <c r="X64" i="88"/>
  <c r="X65" i="88"/>
  <c r="X66" i="88"/>
  <c r="X67" i="88"/>
  <c r="X68" i="88"/>
  <c r="X69" i="88"/>
  <c r="X70" i="88"/>
  <c r="X71" i="88"/>
  <c r="X72" i="88"/>
  <c r="X73" i="88"/>
  <c r="X74" i="88"/>
  <c r="X75" i="88"/>
  <c r="X76" i="88"/>
  <c r="X77" i="88"/>
  <c r="X42" i="88"/>
  <c r="X43" i="88"/>
  <c r="X44" i="88"/>
  <c r="X45" i="88"/>
  <c r="X46" i="88"/>
  <c r="X47" i="88"/>
  <c r="X48" i="88"/>
  <c r="X49" i="88"/>
  <c r="X50" i="88"/>
  <c r="X51" i="88"/>
  <c r="X52" i="88"/>
  <c r="X53" i="88"/>
  <c r="X54" i="88"/>
  <c r="X55" i="88"/>
  <c r="X56" i="88"/>
  <c r="X57" i="88"/>
  <c r="X58" i="88"/>
  <c r="X59" i="88"/>
  <c r="X60" i="88"/>
  <c r="X61" i="88"/>
  <c r="X41" i="88"/>
  <c r="X24" i="88"/>
  <c r="X25" i="88"/>
  <c r="X26" i="88"/>
  <c r="X27" i="88"/>
  <c r="X28" i="88"/>
  <c r="X29" i="88"/>
  <c r="X30" i="88"/>
  <c r="X31" i="88"/>
  <c r="X32" i="88"/>
  <c r="X33" i="88"/>
  <c r="X34" i="88"/>
  <c r="X35" i="88"/>
  <c r="X36" i="88"/>
  <c r="X37" i="88"/>
  <c r="X38" i="88"/>
  <c r="X39" i="88"/>
  <c r="X4" i="88"/>
  <c r="X5" i="88"/>
  <c r="X6" i="88"/>
  <c r="X7" i="88"/>
  <c r="X8" i="88"/>
  <c r="X9" i="88"/>
  <c r="X10" i="88"/>
  <c r="X11" i="88"/>
  <c r="X12" i="88"/>
  <c r="X13" i="88"/>
  <c r="X14" i="88"/>
  <c r="X15" i="88"/>
  <c r="X16" i="88"/>
  <c r="X17" i="88"/>
  <c r="X18" i="88"/>
  <c r="X19" i="88"/>
  <c r="X20" i="88"/>
  <c r="X21" i="88"/>
  <c r="X22" i="88"/>
  <c r="X23" i="88"/>
  <c r="X3" i="88"/>
  <c r="D44" i="51" l="1"/>
  <c r="D27" i="52"/>
  <c r="H27" i="50"/>
  <c r="H28" i="50"/>
  <c r="H29" i="50"/>
  <c r="C7" i="127" s="1"/>
  <c r="H30" i="50"/>
  <c r="C8" i="127" s="1"/>
  <c r="H31" i="50"/>
  <c r="C11" i="127" s="1"/>
  <c r="H32" i="50"/>
  <c r="C14" i="127" s="1"/>
  <c r="H41" i="51"/>
  <c r="E24" i="127" s="1"/>
  <c r="H42" i="51"/>
  <c r="H34" i="51"/>
  <c r="E17" i="127" s="1"/>
  <c r="H35" i="51"/>
  <c r="E18" i="127" s="1"/>
  <c r="H36" i="51"/>
  <c r="E19" i="127" s="1"/>
  <c r="H37" i="51"/>
  <c r="E20" i="127" s="1"/>
  <c r="H38" i="51"/>
  <c r="E21" i="127" s="1"/>
  <c r="C36" i="116" l="1"/>
  <c r="C28" i="52"/>
  <c r="C45" i="51"/>
  <c r="C35" i="116"/>
  <c r="D16" i="127"/>
  <c r="D30" i="127" s="1"/>
  <c r="F30" i="127"/>
  <c r="H26" i="127"/>
  <c r="H27" i="127"/>
  <c r="H30" i="127" l="1"/>
  <c r="G7" i="132"/>
  <c r="J6" i="163"/>
  <c r="F3" i="52" l="1"/>
  <c r="F2" i="52"/>
  <c r="G2" i="52"/>
  <c r="F3" i="51"/>
  <c r="F2" i="51"/>
  <c r="G2" i="51"/>
  <c r="F3" i="50"/>
  <c r="F2" i="50"/>
  <c r="G2" i="50"/>
  <c r="C7" i="124" l="1"/>
  <c r="H38" i="41"/>
  <c r="C7" i="122"/>
  <c r="H21" i="41"/>
  <c r="C14" i="122"/>
  <c r="H9" i="49"/>
  <c r="C14" i="124" s="1"/>
  <c r="E9" i="49"/>
  <c r="D41" i="121"/>
  <c r="G60" i="195" s="1"/>
  <c r="D40" i="121"/>
  <c r="G59" i="195" s="1"/>
  <c r="F45" i="128"/>
  <c r="F111" i="197" s="1"/>
  <c r="F46" i="128"/>
  <c r="F112" i="197" s="1"/>
  <c r="F44" i="128"/>
  <c r="F110" i="197" s="1"/>
  <c r="E45" i="128"/>
  <c r="F78" i="197" s="1"/>
  <c r="E46" i="128"/>
  <c r="F79" i="197" s="1"/>
  <c r="E44" i="128"/>
  <c r="F77" i="197" s="1"/>
  <c r="D30" i="39"/>
  <c r="D27" i="128"/>
  <c r="E49" i="197" s="1"/>
  <c r="F39" i="39"/>
  <c r="D40" i="39"/>
  <c r="F40" i="39" s="1"/>
  <c r="F7" i="39"/>
  <c r="D15" i="128"/>
  <c r="E39" i="197" s="1"/>
  <c r="C15" i="128"/>
  <c r="D39" i="197" s="1"/>
  <c r="F10" i="39"/>
  <c r="D14" i="128"/>
  <c r="C14" i="128"/>
  <c r="F22" i="190"/>
  <c r="E22" i="190"/>
  <c r="D22" i="190"/>
  <c r="C22" i="190"/>
  <c r="H21" i="190"/>
  <c r="H20" i="190"/>
  <c r="H19" i="190"/>
  <c r="H18" i="190"/>
  <c r="H17" i="190"/>
  <c r="H16" i="190"/>
  <c r="H15" i="190"/>
  <c r="H14" i="190"/>
  <c r="H13" i="190"/>
  <c r="H12" i="190"/>
  <c r="H11" i="190"/>
  <c r="H9" i="190"/>
  <c r="H8" i="190"/>
  <c r="H7" i="190"/>
  <c r="H6" i="190"/>
  <c r="A4" i="187"/>
  <c r="E5" i="153"/>
  <c r="E6" i="153"/>
  <c r="E7" i="153"/>
  <c r="E8" i="153"/>
  <c r="E9" i="153"/>
  <c r="E10" i="153"/>
  <c r="E11" i="153"/>
  <c r="E12" i="153"/>
  <c r="E13" i="153"/>
  <c r="E16" i="153"/>
  <c r="E17" i="153"/>
  <c r="E19" i="153"/>
  <c r="E20" i="153"/>
  <c r="E23" i="153"/>
  <c r="E24" i="153"/>
  <c r="E25" i="153"/>
  <c r="E26" i="153"/>
  <c r="E31" i="153"/>
  <c r="E32" i="153"/>
  <c r="E33" i="153"/>
  <c r="E35" i="153"/>
  <c r="E36" i="153"/>
  <c r="E38" i="153"/>
  <c r="E39" i="153"/>
  <c r="E40" i="153"/>
  <c r="E43" i="153"/>
  <c r="E45" i="153"/>
  <c r="E4" i="153"/>
  <c r="D6" i="152"/>
  <c r="D7" i="152"/>
  <c r="D8" i="152"/>
  <c r="D9" i="152"/>
  <c r="D11" i="152"/>
  <c r="D12" i="152"/>
  <c r="D13" i="152"/>
  <c r="D15" i="152"/>
  <c r="D16" i="152"/>
  <c r="D17" i="152"/>
  <c r="D22" i="152"/>
  <c r="D23" i="152"/>
  <c r="D24" i="152"/>
  <c r="D25" i="152"/>
  <c r="D26" i="152"/>
  <c r="D27" i="152"/>
  <c r="D29" i="152"/>
  <c r="D31" i="152"/>
  <c r="D32" i="152"/>
  <c r="D33" i="152"/>
  <c r="D4" i="152"/>
  <c r="F35" i="119" s="1"/>
  <c r="D10" i="179"/>
  <c r="C7" i="149"/>
  <c r="D7" i="149"/>
  <c r="E7" i="149"/>
  <c r="F7" i="149"/>
  <c r="G7" i="149"/>
  <c r="I7" i="149"/>
  <c r="C8" i="149"/>
  <c r="D8" i="149"/>
  <c r="E8" i="149"/>
  <c r="F8" i="149"/>
  <c r="G8" i="149"/>
  <c r="I8" i="149"/>
  <c r="C9" i="149"/>
  <c r="D9" i="149"/>
  <c r="E9" i="149"/>
  <c r="F9" i="149"/>
  <c r="G9" i="149"/>
  <c r="I9" i="149"/>
  <c r="C10" i="149"/>
  <c r="D10" i="149"/>
  <c r="E10" i="149"/>
  <c r="F10" i="149"/>
  <c r="G10" i="149"/>
  <c r="I10" i="149"/>
  <c r="C11" i="149"/>
  <c r="D11" i="149"/>
  <c r="E11" i="149"/>
  <c r="F11" i="149"/>
  <c r="G11" i="149"/>
  <c r="I11" i="149"/>
  <c r="C12" i="149"/>
  <c r="D12" i="149"/>
  <c r="E12" i="149"/>
  <c r="F12" i="149"/>
  <c r="G12" i="149"/>
  <c r="I12" i="149"/>
  <c r="C13" i="149"/>
  <c r="D13" i="149"/>
  <c r="E13" i="149"/>
  <c r="F13" i="149"/>
  <c r="G13" i="149"/>
  <c r="I13" i="149"/>
  <c r="C14" i="149"/>
  <c r="D14" i="149"/>
  <c r="E14" i="149"/>
  <c r="F14" i="149"/>
  <c r="G14" i="149"/>
  <c r="I14" i="149"/>
  <c r="C15" i="149"/>
  <c r="D15" i="149"/>
  <c r="E15" i="149"/>
  <c r="F15" i="149"/>
  <c r="G15" i="149"/>
  <c r="I15" i="149"/>
  <c r="C16" i="149"/>
  <c r="D16" i="149"/>
  <c r="E16" i="149"/>
  <c r="F16" i="149"/>
  <c r="G16" i="149"/>
  <c r="I16" i="149"/>
  <c r="C18" i="149"/>
  <c r="D18" i="149"/>
  <c r="E18" i="149"/>
  <c r="F18" i="149"/>
  <c r="G18" i="149"/>
  <c r="I18" i="149"/>
  <c r="C19" i="149"/>
  <c r="D19" i="149"/>
  <c r="E19" i="149"/>
  <c r="F19" i="149"/>
  <c r="G19" i="149"/>
  <c r="I19" i="149"/>
  <c r="C20" i="149"/>
  <c r="D20" i="149"/>
  <c r="E20" i="149"/>
  <c r="F20" i="149"/>
  <c r="G20" i="149"/>
  <c r="I20" i="149"/>
  <c r="C22" i="149"/>
  <c r="D22" i="149"/>
  <c r="E22" i="149"/>
  <c r="F22" i="149"/>
  <c r="G22" i="149"/>
  <c r="I22" i="149"/>
  <c r="C23" i="149"/>
  <c r="D23" i="149"/>
  <c r="E23" i="149"/>
  <c r="F23" i="149"/>
  <c r="G23" i="149"/>
  <c r="I23" i="149"/>
  <c r="C24" i="149"/>
  <c r="D24" i="149"/>
  <c r="E24" i="149"/>
  <c r="F24" i="149"/>
  <c r="G24" i="149"/>
  <c r="I24" i="149"/>
  <c r="C25" i="149"/>
  <c r="D25" i="149"/>
  <c r="E25" i="149"/>
  <c r="F25" i="149"/>
  <c r="G25" i="149"/>
  <c r="I25" i="149"/>
  <c r="C26" i="149"/>
  <c r="D26" i="149"/>
  <c r="E26" i="149"/>
  <c r="F26" i="149"/>
  <c r="G26" i="149"/>
  <c r="I26" i="149"/>
  <c r="C27" i="149"/>
  <c r="D27" i="149"/>
  <c r="E27" i="149"/>
  <c r="F27" i="149"/>
  <c r="G27" i="149"/>
  <c r="I27" i="149"/>
  <c r="C28" i="149"/>
  <c r="D28" i="149"/>
  <c r="E28" i="149"/>
  <c r="F28" i="149"/>
  <c r="G28" i="149"/>
  <c r="I28" i="149"/>
  <c r="C29" i="149"/>
  <c r="D29" i="149"/>
  <c r="E29" i="149"/>
  <c r="F29" i="149"/>
  <c r="G29" i="149"/>
  <c r="I29" i="149"/>
  <c r="C31" i="149"/>
  <c r="D31" i="149"/>
  <c r="E31" i="149"/>
  <c r="F31" i="149"/>
  <c r="G31" i="149"/>
  <c r="I31" i="149"/>
  <c r="C32" i="149"/>
  <c r="D32" i="149"/>
  <c r="E32" i="149"/>
  <c r="F32" i="149"/>
  <c r="G32" i="149"/>
  <c r="I32" i="149"/>
  <c r="C33" i="149"/>
  <c r="D33" i="149"/>
  <c r="E33" i="149"/>
  <c r="F33" i="149"/>
  <c r="G33" i="149"/>
  <c r="I33" i="149"/>
  <c r="C34" i="149"/>
  <c r="D34" i="149"/>
  <c r="E34" i="149"/>
  <c r="F34" i="149"/>
  <c r="G34" i="149"/>
  <c r="I34" i="149"/>
  <c r="C35" i="149"/>
  <c r="D35" i="149"/>
  <c r="E35" i="149"/>
  <c r="F35" i="149"/>
  <c r="G35" i="149"/>
  <c r="I35" i="149"/>
  <c r="C36" i="149"/>
  <c r="D36" i="149"/>
  <c r="E36" i="149"/>
  <c r="F36" i="149"/>
  <c r="G36" i="149"/>
  <c r="C37" i="149"/>
  <c r="D37" i="149"/>
  <c r="E37" i="149"/>
  <c r="F37" i="149"/>
  <c r="I38" i="149"/>
  <c r="I39" i="149"/>
  <c r="C41" i="149"/>
  <c r="D41" i="149"/>
  <c r="E41" i="149"/>
  <c r="F41" i="149"/>
  <c r="G41" i="149"/>
  <c r="I41" i="149"/>
  <c r="C42" i="149"/>
  <c r="D42" i="149"/>
  <c r="E42" i="149"/>
  <c r="F42" i="149"/>
  <c r="G42" i="149"/>
  <c r="I42" i="149"/>
  <c r="C43" i="149"/>
  <c r="D43" i="149"/>
  <c r="E43" i="149"/>
  <c r="F43" i="149"/>
  <c r="G43" i="149"/>
  <c r="I43" i="149"/>
  <c r="C9" i="147"/>
  <c r="C10" i="147"/>
  <c r="C11" i="147"/>
  <c r="C14" i="147"/>
  <c r="C5" i="147"/>
  <c r="C15" i="174"/>
  <c r="C15" i="147" s="1"/>
  <c r="C8" i="174"/>
  <c r="C12" i="174" s="1"/>
  <c r="C12" i="147" s="1"/>
  <c r="C6" i="174"/>
  <c r="B15" i="146"/>
  <c r="D7" i="145"/>
  <c r="E7" i="145"/>
  <c r="G7" i="145"/>
  <c r="H7" i="145"/>
  <c r="I7" i="145"/>
  <c r="K7" i="145"/>
  <c r="L7" i="145"/>
  <c r="O7" i="145"/>
  <c r="D8" i="145"/>
  <c r="E8" i="145"/>
  <c r="G8" i="145"/>
  <c r="H8" i="145"/>
  <c r="I8" i="145"/>
  <c r="K8" i="145"/>
  <c r="L8" i="145"/>
  <c r="O8" i="145"/>
  <c r="D9" i="145"/>
  <c r="E9" i="145"/>
  <c r="G9" i="145"/>
  <c r="H9" i="145"/>
  <c r="I9" i="145"/>
  <c r="K9" i="145"/>
  <c r="L9" i="145"/>
  <c r="O9" i="145"/>
  <c r="D10" i="145"/>
  <c r="E10" i="145"/>
  <c r="G10" i="145"/>
  <c r="H10" i="145"/>
  <c r="I10" i="145"/>
  <c r="K10" i="145"/>
  <c r="L10" i="145"/>
  <c r="O10" i="145"/>
  <c r="D11" i="145"/>
  <c r="E11" i="145"/>
  <c r="G11" i="145"/>
  <c r="H11" i="145"/>
  <c r="I11" i="145"/>
  <c r="K11" i="145"/>
  <c r="L11" i="145"/>
  <c r="O11" i="145"/>
  <c r="D12" i="145"/>
  <c r="E12" i="145"/>
  <c r="G12" i="145"/>
  <c r="H12" i="145"/>
  <c r="I12" i="145"/>
  <c r="K12" i="145"/>
  <c r="L12" i="145"/>
  <c r="O12" i="145"/>
  <c r="D13" i="145"/>
  <c r="E13" i="145"/>
  <c r="G13" i="145"/>
  <c r="H13" i="145"/>
  <c r="I13" i="145"/>
  <c r="K13" i="145"/>
  <c r="L13" i="145"/>
  <c r="O13" i="145"/>
  <c r="D14" i="145"/>
  <c r="E14" i="145"/>
  <c r="G14" i="145"/>
  <c r="H14" i="145"/>
  <c r="I14" i="145"/>
  <c r="K14" i="145"/>
  <c r="L14" i="145"/>
  <c r="O14" i="145"/>
  <c r="B15" i="145"/>
  <c r="D6" i="145"/>
  <c r="E6" i="145"/>
  <c r="G6" i="145"/>
  <c r="H6" i="145"/>
  <c r="I6" i="145"/>
  <c r="K6" i="145"/>
  <c r="L6" i="145"/>
  <c r="O6" i="145"/>
  <c r="F28" i="119"/>
  <c r="C5" i="144"/>
  <c r="C7" i="144"/>
  <c r="C9" i="144"/>
  <c r="C10" i="144"/>
  <c r="C11" i="144"/>
  <c r="C12" i="144"/>
  <c r="C13" i="144"/>
  <c r="C14" i="144"/>
  <c r="C15" i="144"/>
  <c r="C16" i="144"/>
  <c r="C17" i="144"/>
  <c r="C22" i="144"/>
  <c r="C23" i="144"/>
  <c r="C27" i="144"/>
  <c r="C28" i="144"/>
  <c r="C29" i="144"/>
  <c r="C6" i="142"/>
  <c r="D6" i="142"/>
  <c r="C8" i="142"/>
  <c r="D8" i="142"/>
  <c r="C9" i="142"/>
  <c r="D9" i="142"/>
  <c r="C10" i="142"/>
  <c r="D10" i="142"/>
  <c r="C11" i="142"/>
  <c r="D11" i="142"/>
  <c r="C12" i="142"/>
  <c r="D12" i="142"/>
  <c r="C13" i="142"/>
  <c r="D13" i="142"/>
  <c r="C14" i="142"/>
  <c r="D14" i="142"/>
  <c r="C16" i="142"/>
  <c r="D16" i="142"/>
  <c r="C17" i="142"/>
  <c r="D17" i="142"/>
  <c r="C18" i="142"/>
  <c r="D18" i="142"/>
  <c r="C19" i="142"/>
  <c r="D19" i="142"/>
  <c r="C21" i="142"/>
  <c r="D21" i="142"/>
  <c r="C22" i="142"/>
  <c r="D22" i="142"/>
  <c r="C23" i="142"/>
  <c r="D23" i="142"/>
  <c r="C24" i="142"/>
  <c r="D24" i="142"/>
  <c r="C26" i="142"/>
  <c r="D26" i="142"/>
  <c r="C27" i="142"/>
  <c r="D27" i="142"/>
  <c r="C28" i="142"/>
  <c r="D28" i="142"/>
  <c r="C30" i="142"/>
  <c r="D30" i="142"/>
  <c r="C31" i="142"/>
  <c r="D31" i="142"/>
  <c r="C32" i="142"/>
  <c r="D32" i="142"/>
  <c r="C33" i="142"/>
  <c r="D33" i="142"/>
  <c r="C6" i="141"/>
  <c r="C7" i="141"/>
  <c r="C8" i="141"/>
  <c r="C9" i="141"/>
  <c r="C10" i="141"/>
  <c r="C11" i="141"/>
  <c r="C14" i="141"/>
  <c r="C15" i="141"/>
  <c r="C16" i="141"/>
  <c r="C17" i="141"/>
  <c r="C18" i="141"/>
  <c r="C19" i="141"/>
  <c r="C22" i="141"/>
  <c r="C23" i="141"/>
  <c r="C24" i="141"/>
  <c r="C25" i="141"/>
  <c r="C26" i="141"/>
  <c r="C7" i="140"/>
  <c r="D7" i="140"/>
  <c r="F7" i="140"/>
  <c r="G7" i="140"/>
  <c r="C8" i="140"/>
  <c r="D8" i="140"/>
  <c r="F8" i="140"/>
  <c r="G8" i="140"/>
  <c r="C9" i="140"/>
  <c r="D9" i="140"/>
  <c r="F9" i="140"/>
  <c r="G9" i="140"/>
  <c r="C10" i="140"/>
  <c r="D10" i="140"/>
  <c r="F10" i="140"/>
  <c r="G10" i="140"/>
  <c r="C11" i="140"/>
  <c r="D11" i="140"/>
  <c r="F11" i="140"/>
  <c r="G11" i="140"/>
  <c r="C12" i="140"/>
  <c r="D12" i="140"/>
  <c r="F12" i="140"/>
  <c r="G12" i="140"/>
  <c r="C13" i="140"/>
  <c r="D13" i="140"/>
  <c r="F13" i="140"/>
  <c r="G13" i="140"/>
  <c r="C14" i="140"/>
  <c r="D14" i="140"/>
  <c r="F14" i="140"/>
  <c r="G14" i="140"/>
  <c r="C15" i="140"/>
  <c r="D15" i="140"/>
  <c r="F15" i="140"/>
  <c r="G15" i="140"/>
  <c r="C16" i="140"/>
  <c r="D16" i="140"/>
  <c r="F16" i="140"/>
  <c r="G16" i="140"/>
  <c r="C17" i="140"/>
  <c r="D17" i="140"/>
  <c r="F17" i="140"/>
  <c r="G17" i="140"/>
  <c r="C18" i="140"/>
  <c r="D18" i="140"/>
  <c r="F18" i="140"/>
  <c r="G18" i="140"/>
  <c r="D6" i="140"/>
  <c r="F6" i="140"/>
  <c r="G6" i="140"/>
  <c r="C6" i="140"/>
  <c r="B8" i="139"/>
  <c r="B9" i="139"/>
  <c r="B10" i="139"/>
  <c r="B12" i="139"/>
  <c r="B13" i="139"/>
  <c r="B14" i="139"/>
  <c r="B15" i="139"/>
  <c r="B17" i="139"/>
  <c r="B18" i="139"/>
  <c r="B19" i="139"/>
  <c r="B20" i="139"/>
  <c r="B22" i="139"/>
  <c r="B23" i="139"/>
  <c r="B24" i="139"/>
  <c r="B7" i="139"/>
  <c r="C7" i="139"/>
  <c r="D7" i="139"/>
  <c r="E7" i="139"/>
  <c r="F7" i="139"/>
  <c r="C8" i="139"/>
  <c r="D8" i="139"/>
  <c r="E8" i="139"/>
  <c r="F8" i="139"/>
  <c r="C9" i="139"/>
  <c r="D9" i="139"/>
  <c r="E9" i="139"/>
  <c r="F9" i="139"/>
  <c r="C10" i="139"/>
  <c r="D10" i="139"/>
  <c r="E10" i="139"/>
  <c r="F10" i="139"/>
  <c r="C12" i="139"/>
  <c r="D12" i="139"/>
  <c r="E12" i="139"/>
  <c r="F12" i="139"/>
  <c r="C13" i="139"/>
  <c r="D13" i="139"/>
  <c r="E13" i="139"/>
  <c r="F13" i="139"/>
  <c r="C14" i="139"/>
  <c r="D14" i="139"/>
  <c r="E14" i="139"/>
  <c r="F14" i="139"/>
  <c r="C15" i="139"/>
  <c r="D15" i="139"/>
  <c r="E15" i="139"/>
  <c r="F15" i="139"/>
  <c r="C17" i="139"/>
  <c r="D17" i="139"/>
  <c r="E17" i="139"/>
  <c r="F17" i="139"/>
  <c r="C18" i="139"/>
  <c r="D18" i="139"/>
  <c r="E18" i="139"/>
  <c r="F18" i="139"/>
  <c r="C19" i="139"/>
  <c r="D19" i="139"/>
  <c r="E19" i="139"/>
  <c r="F19" i="139"/>
  <c r="C20" i="139"/>
  <c r="D20" i="139"/>
  <c r="E20" i="139"/>
  <c r="F20" i="139"/>
  <c r="C22" i="139"/>
  <c r="D22" i="139"/>
  <c r="E22" i="139"/>
  <c r="F22" i="139"/>
  <c r="C23" i="139"/>
  <c r="D23" i="139"/>
  <c r="E23" i="139"/>
  <c r="F23" i="139"/>
  <c r="C24" i="139"/>
  <c r="D24" i="139"/>
  <c r="E24" i="139"/>
  <c r="F24" i="139"/>
  <c r="C6" i="138"/>
  <c r="D6" i="138"/>
  <c r="C7" i="138"/>
  <c r="D7" i="138"/>
  <c r="C8" i="138"/>
  <c r="D8" i="138"/>
  <c r="C9" i="138"/>
  <c r="D9" i="138"/>
  <c r="C10" i="138"/>
  <c r="D10" i="138"/>
  <c r="C11" i="138"/>
  <c r="D11" i="138"/>
  <c r="C12" i="138"/>
  <c r="D12" i="138"/>
  <c r="H25" i="26"/>
  <c r="F10" i="133" s="1"/>
  <c r="F6" i="133"/>
  <c r="D8" i="132"/>
  <c r="E8" i="132"/>
  <c r="F8" i="132"/>
  <c r="H8" i="132"/>
  <c r="I8" i="132"/>
  <c r="J8" i="132"/>
  <c r="K8" i="132"/>
  <c r="L8" i="132"/>
  <c r="M8" i="132"/>
  <c r="O8" i="132"/>
  <c r="P8" i="132"/>
  <c r="D9" i="132"/>
  <c r="E9" i="132"/>
  <c r="F9" i="132"/>
  <c r="I9" i="132"/>
  <c r="J9" i="132"/>
  <c r="K9" i="132"/>
  <c r="L9" i="132"/>
  <c r="M9" i="132"/>
  <c r="O9" i="132"/>
  <c r="P9" i="132"/>
  <c r="D10" i="132"/>
  <c r="E10" i="132"/>
  <c r="F10" i="132"/>
  <c r="J10" i="132"/>
  <c r="K10" i="132"/>
  <c r="L10" i="132"/>
  <c r="M10" i="132"/>
  <c r="O10" i="132"/>
  <c r="P10" i="132"/>
  <c r="D11" i="132"/>
  <c r="E11" i="132"/>
  <c r="F11" i="132"/>
  <c r="K11" i="132"/>
  <c r="L11" i="132"/>
  <c r="M11" i="132"/>
  <c r="O11" i="132"/>
  <c r="P11" i="132"/>
  <c r="D12" i="132"/>
  <c r="E12" i="132"/>
  <c r="F12" i="132"/>
  <c r="L12" i="132"/>
  <c r="M12" i="132"/>
  <c r="O12" i="132"/>
  <c r="P12" i="132"/>
  <c r="N13" i="132"/>
  <c r="O13" i="132"/>
  <c r="D7" i="132"/>
  <c r="E7" i="132"/>
  <c r="F7" i="132"/>
  <c r="H7" i="132"/>
  <c r="I7" i="132"/>
  <c r="J7" i="132"/>
  <c r="K7" i="132"/>
  <c r="L7" i="132"/>
  <c r="M7" i="132"/>
  <c r="O7" i="132"/>
  <c r="P7" i="132"/>
  <c r="D7" i="131"/>
  <c r="F7" i="131"/>
  <c r="G7" i="131"/>
  <c r="H7" i="131"/>
  <c r="I7" i="131"/>
  <c r="C8" i="131"/>
  <c r="D8" i="131"/>
  <c r="F8" i="131"/>
  <c r="G8" i="131"/>
  <c r="H8" i="131"/>
  <c r="I8" i="131"/>
  <c r="C9" i="131"/>
  <c r="D9" i="131"/>
  <c r="F9" i="131"/>
  <c r="G9" i="131"/>
  <c r="H9" i="131"/>
  <c r="I9" i="131"/>
  <c r="C10" i="131"/>
  <c r="D10" i="131"/>
  <c r="F10" i="131"/>
  <c r="G10" i="131"/>
  <c r="H10" i="131"/>
  <c r="I10" i="131"/>
  <c r="C11" i="131"/>
  <c r="D11" i="131"/>
  <c r="F11" i="131"/>
  <c r="G11" i="131"/>
  <c r="H11" i="131"/>
  <c r="I11" i="131"/>
  <c r="C12" i="131"/>
  <c r="D12" i="131"/>
  <c r="F12" i="131"/>
  <c r="G12" i="131"/>
  <c r="H12" i="131"/>
  <c r="I12" i="131"/>
  <c r="C13" i="131"/>
  <c r="D13" i="131"/>
  <c r="F13" i="131"/>
  <c r="G13" i="131"/>
  <c r="H13" i="131"/>
  <c r="I13" i="131"/>
  <c r="C14" i="131"/>
  <c r="D14" i="131"/>
  <c r="F14" i="131"/>
  <c r="G14" i="131"/>
  <c r="H14" i="131"/>
  <c r="I14" i="131"/>
  <c r="D6" i="131"/>
  <c r="F6" i="131"/>
  <c r="G6" i="131"/>
  <c r="H6" i="131"/>
  <c r="I6" i="131"/>
  <c r="J6" i="131"/>
  <c r="C6" i="131"/>
  <c r="C7" i="130"/>
  <c r="D7" i="130"/>
  <c r="E7" i="130"/>
  <c r="F7" i="130"/>
  <c r="G7" i="130"/>
  <c r="C8" i="130"/>
  <c r="D8" i="130"/>
  <c r="E8" i="130"/>
  <c r="F8" i="130"/>
  <c r="G8" i="130"/>
  <c r="C9" i="130"/>
  <c r="D9" i="130"/>
  <c r="E9" i="130"/>
  <c r="F9" i="130"/>
  <c r="G9" i="130"/>
  <c r="C11" i="130"/>
  <c r="D11" i="130"/>
  <c r="E11" i="130"/>
  <c r="F11" i="130"/>
  <c r="G11" i="130"/>
  <c r="C12" i="130"/>
  <c r="D12" i="130"/>
  <c r="E12" i="130"/>
  <c r="F12" i="130"/>
  <c r="G12" i="130"/>
  <c r="C13" i="130"/>
  <c r="D13" i="130"/>
  <c r="E13" i="130"/>
  <c r="F13" i="130"/>
  <c r="G13" i="130"/>
  <c r="C15" i="130"/>
  <c r="D15" i="130"/>
  <c r="E15" i="130"/>
  <c r="F15" i="130"/>
  <c r="G15" i="130"/>
  <c r="C16" i="130"/>
  <c r="D16" i="130"/>
  <c r="E16" i="130"/>
  <c r="F16" i="130"/>
  <c r="G16" i="130"/>
  <c r="C17" i="130"/>
  <c r="D17" i="130"/>
  <c r="E17" i="130"/>
  <c r="F17" i="130"/>
  <c r="G17" i="130"/>
  <c r="C18" i="130"/>
  <c r="D18" i="130"/>
  <c r="E18" i="130"/>
  <c r="F18" i="130"/>
  <c r="G18" i="130"/>
  <c r="C6" i="129"/>
  <c r="C7" i="129"/>
  <c r="C8" i="129"/>
  <c r="C9" i="129"/>
  <c r="C10" i="129"/>
  <c r="C11" i="129"/>
  <c r="C12" i="129"/>
  <c r="C13" i="129"/>
  <c r="C14" i="129"/>
  <c r="C16" i="129"/>
  <c r="C17" i="129"/>
  <c r="C18" i="129"/>
  <c r="C19" i="129"/>
  <c r="C20" i="129"/>
  <c r="C21" i="129"/>
  <c r="C22" i="129"/>
  <c r="C23" i="129"/>
  <c r="C24" i="129"/>
  <c r="C27" i="129"/>
  <c r="D27" i="129"/>
  <c r="C28" i="129"/>
  <c r="C29" i="129"/>
  <c r="C31" i="129"/>
  <c r="D31" i="129"/>
  <c r="C32" i="129"/>
  <c r="C33" i="129"/>
  <c r="E44" i="153"/>
  <c r="E42" i="153"/>
  <c r="E41" i="153"/>
  <c r="E37" i="153"/>
  <c r="E34" i="153"/>
  <c r="E30" i="153"/>
  <c r="E29" i="153"/>
  <c r="E28" i="153"/>
  <c r="E27" i="153"/>
  <c r="E22" i="153"/>
  <c r="E21" i="153"/>
  <c r="E18" i="153"/>
  <c r="E15" i="153"/>
  <c r="E14" i="153"/>
  <c r="D34" i="152"/>
  <c r="C6" i="178" s="1"/>
  <c r="D30" i="179"/>
  <c r="D30" i="152" s="1"/>
  <c r="D21" i="179"/>
  <c r="D19" i="152"/>
  <c r="D18" i="152"/>
  <c r="H43" i="176"/>
  <c r="H43" i="149" s="1"/>
  <c r="H42" i="176"/>
  <c r="H42" i="149" s="1"/>
  <c r="H41" i="176"/>
  <c r="H41" i="149" s="1"/>
  <c r="I40" i="176"/>
  <c r="I40" i="149" s="1"/>
  <c r="G40" i="176"/>
  <c r="G40" i="149" s="1"/>
  <c r="F40" i="176"/>
  <c r="F40" i="149" s="1"/>
  <c r="E40" i="176"/>
  <c r="E40" i="149" s="1"/>
  <c r="D40" i="176"/>
  <c r="D40" i="149" s="1"/>
  <c r="C40" i="176"/>
  <c r="C40" i="149" s="1"/>
  <c r="I37" i="176"/>
  <c r="I37" i="149" s="1"/>
  <c r="H37" i="176"/>
  <c r="H37" i="149" s="1"/>
  <c r="H36" i="176"/>
  <c r="H36" i="149" s="1"/>
  <c r="H35" i="176"/>
  <c r="H35" i="149" s="1"/>
  <c r="H34" i="176"/>
  <c r="H34" i="149" s="1"/>
  <c r="H33" i="176"/>
  <c r="H33" i="149" s="1"/>
  <c r="H32" i="176"/>
  <c r="H32" i="149" s="1"/>
  <c r="H31" i="176"/>
  <c r="H31" i="149" s="1"/>
  <c r="I30" i="176"/>
  <c r="I30" i="149" s="1"/>
  <c r="G30" i="176"/>
  <c r="G30" i="149" s="1"/>
  <c r="F30" i="176"/>
  <c r="F30" i="149" s="1"/>
  <c r="E30" i="176"/>
  <c r="E30" i="149" s="1"/>
  <c r="D30" i="176"/>
  <c r="D30" i="149" s="1"/>
  <c r="C30" i="176"/>
  <c r="C30" i="149" s="1"/>
  <c r="H29" i="176"/>
  <c r="H29" i="149" s="1"/>
  <c r="H28" i="176"/>
  <c r="H28" i="149" s="1"/>
  <c r="H27" i="176"/>
  <c r="H27" i="149" s="1"/>
  <c r="H26" i="176"/>
  <c r="H26" i="149" s="1"/>
  <c r="H25" i="176"/>
  <c r="H25" i="149" s="1"/>
  <c r="H24" i="176"/>
  <c r="H24" i="149" s="1"/>
  <c r="H23" i="176"/>
  <c r="H23" i="149" s="1"/>
  <c r="H22" i="176"/>
  <c r="I21" i="176"/>
  <c r="I21" i="149" s="1"/>
  <c r="G21" i="176"/>
  <c r="G21" i="149" s="1"/>
  <c r="F21" i="176"/>
  <c r="F21" i="149" s="1"/>
  <c r="E21" i="176"/>
  <c r="E21" i="149" s="1"/>
  <c r="D21" i="176"/>
  <c r="D21" i="149" s="1"/>
  <c r="C21" i="176"/>
  <c r="C21" i="149" s="1"/>
  <c r="H20" i="176"/>
  <c r="H20" i="149" s="1"/>
  <c r="H19" i="176"/>
  <c r="H19" i="149" s="1"/>
  <c r="H18" i="176"/>
  <c r="H18" i="149" s="1"/>
  <c r="I17" i="176"/>
  <c r="I17" i="149" s="1"/>
  <c r="G17" i="176"/>
  <c r="G17" i="149" s="1"/>
  <c r="F17" i="176"/>
  <c r="F17" i="149" s="1"/>
  <c r="E17" i="176"/>
  <c r="E17" i="149" s="1"/>
  <c r="D17" i="176"/>
  <c r="D17" i="149" s="1"/>
  <c r="C17" i="176"/>
  <c r="C17" i="149" s="1"/>
  <c r="H16" i="176"/>
  <c r="H16" i="149" s="1"/>
  <c r="H15" i="176"/>
  <c r="H15" i="149" s="1"/>
  <c r="H14" i="176"/>
  <c r="H14" i="149" s="1"/>
  <c r="H13" i="176"/>
  <c r="H13" i="149" s="1"/>
  <c r="H12" i="176"/>
  <c r="H12" i="149" s="1"/>
  <c r="H11" i="176"/>
  <c r="H11" i="149" s="1"/>
  <c r="H10" i="176"/>
  <c r="H10" i="149" s="1"/>
  <c r="H9" i="176"/>
  <c r="H9" i="149" s="1"/>
  <c r="H8" i="176"/>
  <c r="H8" i="149" s="1"/>
  <c r="H7" i="176"/>
  <c r="I6" i="176"/>
  <c r="I6" i="149" s="1"/>
  <c r="G6" i="176"/>
  <c r="G5" i="176" s="1"/>
  <c r="F6" i="176"/>
  <c r="F6" i="149" s="1"/>
  <c r="E6" i="176"/>
  <c r="E6" i="149" s="1"/>
  <c r="D6" i="176"/>
  <c r="D6" i="149" s="1"/>
  <c r="C6" i="176"/>
  <c r="C5" i="176" s="1"/>
  <c r="R15" i="175"/>
  <c r="R15" i="148" s="1"/>
  <c r="Q15" i="175"/>
  <c r="Q15" i="148" s="1"/>
  <c r="P15" i="175"/>
  <c r="P15" i="148" s="1"/>
  <c r="N15" i="175"/>
  <c r="N15" i="148" s="1"/>
  <c r="L15" i="175"/>
  <c r="L15" i="148" s="1"/>
  <c r="J15" i="175"/>
  <c r="J15" i="148" s="1"/>
  <c r="I15" i="175"/>
  <c r="I15" i="148" s="1"/>
  <c r="H15" i="175"/>
  <c r="H15" i="148" s="1"/>
  <c r="G15" i="175"/>
  <c r="G15" i="148" s="1"/>
  <c r="F15" i="175"/>
  <c r="F15" i="148" s="1"/>
  <c r="E15" i="175"/>
  <c r="E15" i="148" s="1"/>
  <c r="D15" i="175"/>
  <c r="D15" i="148" s="1"/>
  <c r="C15" i="175"/>
  <c r="C15" i="148" s="1"/>
  <c r="S14" i="175"/>
  <c r="O14" i="175"/>
  <c r="K14" i="175"/>
  <c r="M14" i="175" s="1"/>
  <c r="S13" i="175"/>
  <c r="O13" i="175"/>
  <c r="K13" i="175"/>
  <c r="S12" i="175"/>
  <c r="O12" i="175"/>
  <c r="K12" i="175"/>
  <c r="M12" i="175" s="1"/>
  <c r="S11" i="175"/>
  <c r="O11" i="175"/>
  <c r="K11" i="175"/>
  <c r="S10" i="175"/>
  <c r="O10" i="175"/>
  <c r="K10" i="175"/>
  <c r="M10" i="175" s="1"/>
  <c r="S9" i="175"/>
  <c r="O9" i="175"/>
  <c r="K9" i="175"/>
  <c r="S8" i="175"/>
  <c r="O8" i="175"/>
  <c r="K8" i="175"/>
  <c r="M8" i="175" s="1"/>
  <c r="S7" i="175"/>
  <c r="O7" i="175"/>
  <c r="K7" i="175"/>
  <c r="M7" i="175" s="1"/>
  <c r="S6" i="175"/>
  <c r="O6" i="175"/>
  <c r="K6" i="175"/>
  <c r="J15" i="173"/>
  <c r="J15" i="146" s="1"/>
  <c r="K14" i="173"/>
  <c r="K13" i="173"/>
  <c r="K12" i="173"/>
  <c r="K11" i="173"/>
  <c r="K10" i="173"/>
  <c r="K9" i="173"/>
  <c r="K8" i="173"/>
  <c r="K7" i="173"/>
  <c r="K6" i="173"/>
  <c r="G15" i="172"/>
  <c r="G15" i="145" s="1"/>
  <c r="M14" i="172"/>
  <c r="N14" i="172" s="1"/>
  <c r="P14" i="172" s="1"/>
  <c r="P14" i="145" s="1"/>
  <c r="J14" i="172"/>
  <c r="J14" i="145" s="1"/>
  <c r="M13" i="172"/>
  <c r="M13" i="145" s="1"/>
  <c r="J13" i="172"/>
  <c r="M12" i="172"/>
  <c r="N12" i="172" s="1"/>
  <c r="P12" i="172" s="1"/>
  <c r="P12" i="145" s="1"/>
  <c r="J12" i="172"/>
  <c r="M11" i="172"/>
  <c r="M11" i="145" s="1"/>
  <c r="J11" i="172"/>
  <c r="M10" i="172"/>
  <c r="N10" i="172" s="1"/>
  <c r="P10" i="172" s="1"/>
  <c r="P10" i="145" s="1"/>
  <c r="J10" i="172"/>
  <c r="J10" i="145" s="1"/>
  <c r="M9" i="172"/>
  <c r="M9" i="145" s="1"/>
  <c r="J9" i="172"/>
  <c r="M8" i="172"/>
  <c r="N8" i="172" s="1"/>
  <c r="P8" i="172" s="1"/>
  <c r="P8" i="145" s="1"/>
  <c r="J8" i="172"/>
  <c r="J8" i="145" s="1"/>
  <c r="M7" i="172"/>
  <c r="M7" i="145" s="1"/>
  <c r="J7" i="172"/>
  <c r="M6" i="172"/>
  <c r="N6" i="172" s="1"/>
  <c r="P6" i="172" s="1"/>
  <c r="P6" i="145" s="1"/>
  <c r="J6" i="172"/>
  <c r="C26" i="171"/>
  <c r="C26" i="144" s="1"/>
  <c r="C8" i="171"/>
  <c r="C8" i="144" s="1"/>
  <c r="E33" i="170"/>
  <c r="E33" i="142" s="1"/>
  <c r="E32" i="170"/>
  <c r="E32" i="142" s="1"/>
  <c r="E31" i="170"/>
  <c r="E31" i="142" s="1"/>
  <c r="E30" i="170"/>
  <c r="E30" i="142" s="1"/>
  <c r="D29" i="170"/>
  <c r="D29" i="142" s="1"/>
  <c r="C29" i="170"/>
  <c r="E28" i="170"/>
  <c r="E28" i="142" s="1"/>
  <c r="E27" i="170"/>
  <c r="E27" i="142" s="1"/>
  <c r="E26" i="170"/>
  <c r="E26" i="142" s="1"/>
  <c r="D25" i="170"/>
  <c r="D25" i="142" s="1"/>
  <c r="C25" i="170"/>
  <c r="E24" i="170"/>
  <c r="E24" i="142" s="1"/>
  <c r="E23" i="170"/>
  <c r="E23" i="142" s="1"/>
  <c r="E22" i="170"/>
  <c r="E22" i="142" s="1"/>
  <c r="E21" i="170"/>
  <c r="E21" i="142" s="1"/>
  <c r="D20" i="170"/>
  <c r="D20" i="142" s="1"/>
  <c r="C20" i="170"/>
  <c r="E19" i="170"/>
  <c r="E19" i="142" s="1"/>
  <c r="E18" i="170"/>
  <c r="E18" i="142" s="1"/>
  <c r="E17" i="170"/>
  <c r="E17" i="142" s="1"/>
  <c r="E16" i="170"/>
  <c r="E16" i="142" s="1"/>
  <c r="D15" i="170"/>
  <c r="D15" i="142" s="1"/>
  <c r="C15" i="170"/>
  <c r="E14" i="170"/>
  <c r="E14" i="142" s="1"/>
  <c r="E13" i="170"/>
  <c r="E13" i="142" s="1"/>
  <c r="E12" i="170"/>
  <c r="E12" i="142" s="1"/>
  <c r="E11" i="170"/>
  <c r="E11" i="142" s="1"/>
  <c r="E10" i="170"/>
  <c r="E10" i="142" s="1"/>
  <c r="E9" i="170"/>
  <c r="E9" i="142" s="1"/>
  <c r="E8" i="170"/>
  <c r="E8" i="142" s="1"/>
  <c r="D7" i="170"/>
  <c r="D7" i="142" s="1"/>
  <c r="C7" i="170"/>
  <c r="C7" i="142" s="1"/>
  <c r="E6" i="170"/>
  <c r="E6" i="142" s="1"/>
  <c r="C21" i="169"/>
  <c r="C27" i="169" s="1"/>
  <c r="C27" i="141" s="1"/>
  <c r="C13" i="169"/>
  <c r="C12" i="169" s="1"/>
  <c r="C12" i="141" s="1"/>
  <c r="C5" i="169"/>
  <c r="C4" i="169" s="1"/>
  <c r="E7" i="168"/>
  <c r="E7" i="140" s="1"/>
  <c r="H7" i="168"/>
  <c r="H7" i="140" s="1"/>
  <c r="E8" i="168"/>
  <c r="E8" i="140" s="1"/>
  <c r="H8" i="168"/>
  <c r="E9" i="168"/>
  <c r="E9" i="140" s="1"/>
  <c r="H9" i="168"/>
  <c r="E10" i="168"/>
  <c r="E10" i="140" s="1"/>
  <c r="H10" i="168"/>
  <c r="E11" i="168"/>
  <c r="E11" i="140" s="1"/>
  <c r="H11" i="168"/>
  <c r="H11" i="140" s="1"/>
  <c r="E12" i="168"/>
  <c r="E12" i="140" s="1"/>
  <c r="H12" i="168"/>
  <c r="E13" i="168"/>
  <c r="H13" i="168"/>
  <c r="H13" i="140" s="1"/>
  <c r="E14" i="168"/>
  <c r="E14" i="140" s="1"/>
  <c r="H14" i="168"/>
  <c r="E15" i="168"/>
  <c r="E15" i="140" s="1"/>
  <c r="H15" i="168"/>
  <c r="E16" i="168"/>
  <c r="E16" i="140" s="1"/>
  <c r="H16" i="168"/>
  <c r="H16" i="140" s="1"/>
  <c r="E17" i="168"/>
  <c r="E17" i="140" s="1"/>
  <c r="H17" i="168"/>
  <c r="H17" i="140" s="1"/>
  <c r="E18" i="168"/>
  <c r="E18" i="140" s="1"/>
  <c r="H18" i="168"/>
  <c r="H6" i="168"/>
  <c r="E6" i="168"/>
  <c r="D19" i="168"/>
  <c r="D19" i="140" s="1"/>
  <c r="F19" i="168"/>
  <c r="F19" i="140" s="1"/>
  <c r="G19" i="168"/>
  <c r="G19" i="140" s="1"/>
  <c r="C19" i="168"/>
  <c r="C19" i="140" s="1"/>
  <c r="G7" i="167"/>
  <c r="H7" i="167" s="1"/>
  <c r="H7" i="139" s="1"/>
  <c r="G8" i="167"/>
  <c r="H8" i="167" s="1"/>
  <c r="H8" i="139" s="1"/>
  <c r="G9" i="167"/>
  <c r="H9" i="167" s="1"/>
  <c r="H9" i="139" s="1"/>
  <c r="G10" i="167"/>
  <c r="H10" i="167" s="1"/>
  <c r="H10" i="139" s="1"/>
  <c r="G12" i="167"/>
  <c r="H12" i="167" s="1"/>
  <c r="H12" i="139" s="1"/>
  <c r="G13" i="167"/>
  <c r="H13" i="167" s="1"/>
  <c r="H13" i="139" s="1"/>
  <c r="G14" i="167"/>
  <c r="H14" i="167" s="1"/>
  <c r="H14" i="139" s="1"/>
  <c r="G15" i="167"/>
  <c r="H15" i="167" s="1"/>
  <c r="H15" i="139" s="1"/>
  <c r="G17" i="167"/>
  <c r="H17" i="167" s="1"/>
  <c r="H17" i="139" s="1"/>
  <c r="G18" i="167"/>
  <c r="H18" i="167" s="1"/>
  <c r="H18" i="139" s="1"/>
  <c r="G19" i="167"/>
  <c r="H19" i="167" s="1"/>
  <c r="H19" i="139" s="1"/>
  <c r="G20" i="167"/>
  <c r="H20" i="167" s="1"/>
  <c r="H20" i="139" s="1"/>
  <c r="G22" i="167"/>
  <c r="H22" i="167" s="1"/>
  <c r="H22" i="139" s="1"/>
  <c r="G23" i="167"/>
  <c r="H23" i="167" s="1"/>
  <c r="H23" i="139" s="1"/>
  <c r="G24" i="167"/>
  <c r="H24" i="167" s="1"/>
  <c r="H24" i="139" s="1"/>
  <c r="D21" i="167"/>
  <c r="D21" i="139" s="1"/>
  <c r="E21" i="167"/>
  <c r="E21" i="139" s="1"/>
  <c r="F21" i="167"/>
  <c r="F21" i="139" s="1"/>
  <c r="C21" i="167"/>
  <c r="C17" i="166" s="1"/>
  <c r="C17" i="138" s="1"/>
  <c r="F16" i="167"/>
  <c r="F16" i="139" s="1"/>
  <c r="E16" i="167"/>
  <c r="E16" i="139" s="1"/>
  <c r="D16" i="167"/>
  <c r="D16" i="139" s="1"/>
  <c r="C16" i="167"/>
  <c r="C16" i="139" s="1"/>
  <c r="F11" i="167"/>
  <c r="E11" i="167"/>
  <c r="E11" i="139" s="1"/>
  <c r="D11" i="167"/>
  <c r="D11" i="139" s="1"/>
  <c r="C11" i="167"/>
  <c r="C11" i="139" s="1"/>
  <c r="D6" i="167"/>
  <c r="D6" i="139" s="1"/>
  <c r="E6" i="167"/>
  <c r="E6" i="139" s="1"/>
  <c r="F6" i="167"/>
  <c r="C6" i="167"/>
  <c r="D5" i="166"/>
  <c r="D5" i="138" s="1"/>
  <c r="C5" i="166"/>
  <c r="E7" i="166"/>
  <c r="E7" i="138" s="1"/>
  <c r="E8" i="166"/>
  <c r="E8" i="138" s="1"/>
  <c r="E9" i="166"/>
  <c r="E9" i="138" s="1"/>
  <c r="E10" i="166"/>
  <c r="E10" i="138" s="1"/>
  <c r="E11" i="166"/>
  <c r="E11" i="138" s="1"/>
  <c r="E12" i="166"/>
  <c r="E12" i="138" s="1"/>
  <c r="E6" i="166"/>
  <c r="E6" i="138" s="1"/>
  <c r="D6" i="151" l="1"/>
  <c r="E6" i="140"/>
  <c r="C5" i="138"/>
  <c r="C6" i="147"/>
  <c r="C14" i="166"/>
  <c r="C14" i="138" s="1"/>
  <c r="C4" i="141"/>
  <c r="D10" i="152"/>
  <c r="D14" i="179"/>
  <c r="D14" i="152" s="1"/>
  <c r="D5" i="176"/>
  <c r="D44" i="176" s="1"/>
  <c r="D44" i="149" s="1"/>
  <c r="E15" i="170"/>
  <c r="E15" i="142" s="1"/>
  <c r="E25" i="170"/>
  <c r="E25" i="142" s="1"/>
  <c r="F5" i="176"/>
  <c r="F44" i="176" s="1"/>
  <c r="F44" i="149" s="1"/>
  <c r="H6" i="176"/>
  <c r="E90" i="197"/>
  <c r="E37" i="197"/>
  <c r="D107" i="197"/>
  <c r="D74" i="197"/>
  <c r="D90" i="197"/>
  <c r="D37" i="197"/>
  <c r="F29" i="119"/>
  <c r="C29" i="119" s="1"/>
  <c r="C15" i="166"/>
  <c r="C15" i="138" s="1"/>
  <c r="C16" i="166"/>
  <c r="C16" i="138" s="1"/>
  <c r="F23" i="119"/>
  <c r="C33" i="119"/>
  <c r="G33" i="119"/>
  <c r="C28" i="119"/>
  <c r="G28" i="119"/>
  <c r="G35" i="119"/>
  <c r="C35" i="119"/>
  <c r="F36" i="119"/>
  <c r="H21" i="176"/>
  <c r="H21" i="149" s="1"/>
  <c r="H19" i="168"/>
  <c r="H19" i="140" s="1"/>
  <c r="C5" i="170"/>
  <c r="Q12" i="172"/>
  <c r="Q12" i="145" s="1"/>
  <c r="N13" i="172"/>
  <c r="P13" i="172" s="1"/>
  <c r="P13" i="145" s="1"/>
  <c r="E20" i="170"/>
  <c r="E20" i="142" s="1"/>
  <c r="C8" i="147"/>
  <c r="F30" i="119" s="1"/>
  <c r="G6" i="167"/>
  <c r="H6" i="167" s="1"/>
  <c r="I18" i="168"/>
  <c r="I18" i="140" s="1"/>
  <c r="I17" i="168"/>
  <c r="I17" i="140" s="1"/>
  <c r="I13" i="168"/>
  <c r="I13" i="140" s="1"/>
  <c r="K15" i="173"/>
  <c r="K15" i="146" s="1"/>
  <c r="T7" i="175"/>
  <c r="M9" i="175"/>
  <c r="T10" i="175"/>
  <c r="I15" i="168"/>
  <c r="I15" i="140" s="1"/>
  <c r="I14" i="168"/>
  <c r="I14" i="140" s="1"/>
  <c r="I10" i="168"/>
  <c r="I10" i="140" s="1"/>
  <c r="I9" i="168"/>
  <c r="I9" i="140" s="1"/>
  <c r="I8" i="168"/>
  <c r="I8" i="140" s="1"/>
  <c r="I7" i="168"/>
  <c r="I7" i="140" s="1"/>
  <c r="N9" i="172"/>
  <c r="P9" i="172" s="1"/>
  <c r="P9" i="145" s="1"/>
  <c r="T6" i="175"/>
  <c r="T11" i="175"/>
  <c r="M13" i="175"/>
  <c r="T14" i="175"/>
  <c r="H17" i="176"/>
  <c r="H17" i="149" s="1"/>
  <c r="H40" i="176"/>
  <c r="H40" i="149" s="1"/>
  <c r="C21" i="139"/>
  <c r="H15" i="140"/>
  <c r="C6" i="149"/>
  <c r="J9" i="49"/>
  <c r="G11" i="167"/>
  <c r="H11" i="167" s="1"/>
  <c r="H11" i="139" s="1"/>
  <c r="G23" i="139"/>
  <c r="G19" i="139"/>
  <c r="G15" i="139"/>
  <c r="G7" i="139"/>
  <c r="H7" i="149"/>
  <c r="G6" i="149"/>
  <c r="H6" i="149"/>
  <c r="C44" i="176"/>
  <c r="C44" i="149" s="1"/>
  <c r="C5" i="149"/>
  <c r="G44" i="176"/>
  <c r="G44" i="149" s="1"/>
  <c r="G5" i="149"/>
  <c r="G21" i="167"/>
  <c r="G9" i="139"/>
  <c r="E5" i="166"/>
  <c r="E5" i="138" s="1"/>
  <c r="E25" i="167"/>
  <c r="E25" i="139" s="1"/>
  <c r="G16" i="167"/>
  <c r="I6" i="168"/>
  <c r="I6" i="140" s="1"/>
  <c r="I12" i="168"/>
  <c r="I12" i="140" s="1"/>
  <c r="C20" i="169"/>
  <c r="C20" i="141" s="1"/>
  <c r="D5" i="170"/>
  <c r="E29" i="170"/>
  <c r="E29" i="142" s="1"/>
  <c r="J15" i="172"/>
  <c r="J15" i="145" s="1"/>
  <c r="N7" i="172"/>
  <c r="S15" i="148"/>
  <c r="M11" i="175"/>
  <c r="T12" i="175"/>
  <c r="T13" i="175"/>
  <c r="E5" i="176"/>
  <c r="I5" i="176"/>
  <c r="H30" i="176"/>
  <c r="H30" i="149" s="1"/>
  <c r="C6" i="139"/>
  <c r="F11" i="139"/>
  <c r="E13" i="140"/>
  <c r="H12" i="140"/>
  <c r="H8" i="140"/>
  <c r="C21" i="141"/>
  <c r="C13" i="141"/>
  <c r="C5" i="141"/>
  <c r="C20" i="142"/>
  <c r="F25" i="167"/>
  <c r="F25" i="139" s="1"/>
  <c r="F6" i="139"/>
  <c r="G17" i="139"/>
  <c r="G13" i="139"/>
  <c r="C25" i="167"/>
  <c r="E19" i="168"/>
  <c r="E19" i="140" s="1"/>
  <c r="I16" i="168"/>
  <c r="I16" i="140" s="1"/>
  <c r="I11" i="168"/>
  <c r="I11" i="140" s="1"/>
  <c r="E7" i="170"/>
  <c r="E7" i="142" s="1"/>
  <c r="N11" i="172"/>
  <c r="K15" i="175"/>
  <c r="K15" i="148" s="1"/>
  <c r="T8" i="175"/>
  <c r="T9" i="175"/>
  <c r="D20" i="179"/>
  <c r="D20" i="152" s="1"/>
  <c r="H18" i="140"/>
  <c r="H14" i="140"/>
  <c r="H10" i="140"/>
  <c r="M6" i="145"/>
  <c r="M14" i="145"/>
  <c r="M12" i="145"/>
  <c r="M10" i="145"/>
  <c r="M8" i="145"/>
  <c r="H22" i="149"/>
  <c r="C15" i="142"/>
  <c r="D5" i="149"/>
  <c r="D25" i="167"/>
  <c r="D25" i="139" s="1"/>
  <c r="G24" i="139"/>
  <c r="G22" i="139"/>
  <c r="G20" i="139"/>
  <c r="G18" i="139"/>
  <c r="G14" i="139"/>
  <c r="G12" i="139"/>
  <c r="G10" i="139"/>
  <c r="G8" i="139"/>
  <c r="H6" i="140"/>
  <c r="H9" i="140"/>
  <c r="C29" i="142"/>
  <c r="C25" i="142"/>
  <c r="N6" i="145"/>
  <c r="J6" i="145"/>
  <c r="N14" i="145"/>
  <c r="N13" i="145"/>
  <c r="J13" i="145"/>
  <c r="N12" i="145"/>
  <c r="J12" i="145"/>
  <c r="J11" i="145"/>
  <c r="N10" i="145"/>
  <c r="J9" i="145"/>
  <c r="N8" i="145"/>
  <c r="J7" i="145"/>
  <c r="D21" i="152"/>
  <c r="H22" i="190"/>
  <c r="M45" i="90" s="1" a="1"/>
  <c r="M45" i="90" s="1"/>
  <c r="C16" i="174"/>
  <c r="C16" i="147" s="1"/>
  <c r="C21" i="171" s="1"/>
  <c r="C20" i="171" s="1"/>
  <c r="C20" i="144" s="1"/>
  <c r="M6" i="175"/>
  <c r="O15" i="148"/>
  <c r="Q8" i="172"/>
  <c r="Q8" i="145" s="1"/>
  <c r="Q10" i="172"/>
  <c r="Q10" i="145" s="1"/>
  <c r="Q14" i="172"/>
  <c r="Q14" i="145" s="1"/>
  <c r="Q6" i="172"/>
  <c r="Q6" i="145" s="1"/>
  <c r="E23" i="187"/>
  <c r="E23" i="160" s="1"/>
  <c r="F23" i="187"/>
  <c r="F23" i="160" s="1"/>
  <c r="D23" i="187"/>
  <c r="A6" i="160"/>
  <c r="C8" i="186"/>
  <c r="C9" i="159"/>
  <c r="C10" i="159"/>
  <c r="C11" i="159"/>
  <c r="C12" i="159"/>
  <c r="C13" i="159"/>
  <c r="C18" i="159"/>
  <c r="O7" i="185"/>
  <c r="P7" i="185"/>
  <c r="Q7" i="185"/>
  <c r="R7" i="185"/>
  <c r="R7" i="158" s="1"/>
  <c r="O8" i="185"/>
  <c r="P8" i="185"/>
  <c r="P8" i="158" s="1"/>
  <c r="Q8" i="185"/>
  <c r="Q8" i="158" s="1"/>
  <c r="R8" i="185"/>
  <c r="R8" i="158" s="1"/>
  <c r="O9" i="185"/>
  <c r="O9" i="158" s="1"/>
  <c r="P9" i="185"/>
  <c r="P9" i="158" s="1"/>
  <c r="Q9" i="185"/>
  <c r="Q9" i="158" s="1"/>
  <c r="R9" i="185"/>
  <c r="R9" i="158" s="1"/>
  <c r="O10" i="185"/>
  <c r="P10" i="185"/>
  <c r="P10" i="158" s="1"/>
  <c r="Q10" i="185"/>
  <c r="Q10" i="158" s="1"/>
  <c r="R10" i="185"/>
  <c r="R10" i="158" s="1"/>
  <c r="O11" i="185"/>
  <c r="O11" i="158" s="1"/>
  <c r="P11" i="185"/>
  <c r="P11" i="158" s="1"/>
  <c r="Q11" i="185"/>
  <c r="Q11" i="158" s="1"/>
  <c r="R11" i="185"/>
  <c r="R11" i="158" s="1"/>
  <c r="O12" i="185"/>
  <c r="O12" i="158" s="1"/>
  <c r="P12" i="185"/>
  <c r="P12" i="158" s="1"/>
  <c r="Q12" i="185"/>
  <c r="Q12" i="158" s="1"/>
  <c r="R12" i="185"/>
  <c r="R12" i="158" s="1"/>
  <c r="O13" i="185"/>
  <c r="O13" i="158" s="1"/>
  <c r="P13" i="185"/>
  <c r="P13" i="158" s="1"/>
  <c r="Q13" i="185"/>
  <c r="Q13" i="158" s="1"/>
  <c r="R13" i="185"/>
  <c r="R13" i="158" s="1"/>
  <c r="O14" i="185"/>
  <c r="P14" i="185"/>
  <c r="P14" i="158" s="1"/>
  <c r="Q14" i="185"/>
  <c r="Q14" i="158" s="1"/>
  <c r="R14" i="185"/>
  <c r="R14" i="158" s="1"/>
  <c r="P6" i="185"/>
  <c r="P6" i="158" s="1"/>
  <c r="Q6" i="185"/>
  <c r="Q6" i="158" s="1"/>
  <c r="R6" i="185"/>
  <c r="O6" i="185"/>
  <c r="O6" i="158" s="1"/>
  <c r="N7" i="185"/>
  <c r="N7" i="158" s="1"/>
  <c r="N8" i="185"/>
  <c r="N9" i="185"/>
  <c r="N9" i="158" s="1"/>
  <c r="N10" i="185"/>
  <c r="N10" i="158" s="1"/>
  <c r="N11" i="185"/>
  <c r="N11" i="158" s="1"/>
  <c r="N12" i="185"/>
  <c r="N12" i="158" s="1"/>
  <c r="N13" i="185"/>
  <c r="N13" i="158" s="1"/>
  <c r="N14" i="185"/>
  <c r="N14" i="158" s="1"/>
  <c r="N6" i="185"/>
  <c r="N6" i="158" s="1"/>
  <c r="D15" i="185"/>
  <c r="D15" i="158" s="1"/>
  <c r="E15" i="185"/>
  <c r="E15" i="158" s="1"/>
  <c r="F15" i="185"/>
  <c r="F15" i="158" s="1"/>
  <c r="G15" i="185"/>
  <c r="G15" i="158" s="1"/>
  <c r="I15" i="185"/>
  <c r="I15" i="158" s="1"/>
  <c r="J15" i="185"/>
  <c r="J15" i="158" s="1"/>
  <c r="K15" i="185"/>
  <c r="K15" i="158" s="1"/>
  <c r="L15" i="185"/>
  <c r="L15" i="158" s="1"/>
  <c r="M15" i="185"/>
  <c r="M15" i="158" s="1"/>
  <c r="C15" i="185"/>
  <c r="C15" i="158" s="1"/>
  <c r="H7" i="185"/>
  <c r="H7" i="158" s="1"/>
  <c r="H8" i="185"/>
  <c r="H8" i="158" s="1"/>
  <c r="H9" i="185"/>
  <c r="H9" i="158" s="1"/>
  <c r="H10" i="185"/>
  <c r="H10" i="158" s="1"/>
  <c r="H11" i="185"/>
  <c r="H11" i="158" s="1"/>
  <c r="H12" i="185"/>
  <c r="H12" i="158" s="1"/>
  <c r="H13" i="185"/>
  <c r="H13" i="158" s="1"/>
  <c r="H14" i="185"/>
  <c r="H14" i="158" s="1"/>
  <c r="H6" i="185"/>
  <c r="C7" i="158"/>
  <c r="D7" i="158"/>
  <c r="F7" i="158"/>
  <c r="G7" i="158"/>
  <c r="I7" i="158"/>
  <c r="J7" i="158"/>
  <c r="K7" i="158"/>
  <c r="L7" i="158"/>
  <c r="M7" i="158"/>
  <c r="P7" i="158"/>
  <c r="Q7" i="158"/>
  <c r="C8" i="158"/>
  <c r="D8" i="158"/>
  <c r="E8" i="158"/>
  <c r="F8" i="158"/>
  <c r="G8" i="158"/>
  <c r="I8" i="158"/>
  <c r="J8" i="158"/>
  <c r="K8" i="158"/>
  <c r="L8" i="158"/>
  <c r="M8" i="158"/>
  <c r="N8" i="158"/>
  <c r="C9" i="158"/>
  <c r="D9" i="158"/>
  <c r="E9" i="158"/>
  <c r="F9" i="158"/>
  <c r="G9" i="158"/>
  <c r="I9" i="158"/>
  <c r="J9" i="158"/>
  <c r="K9" i="158"/>
  <c r="L9" i="158"/>
  <c r="M9" i="158"/>
  <c r="C10" i="158"/>
  <c r="D10" i="158"/>
  <c r="E10" i="158"/>
  <c r="F10" i="158"/>
  <c r="G10" i="158"/>
  <c r="I10" i="158"/>
  <c r="J10" i="158"/>
  <c r="K10" i="158"/>
  <c r="L10" i="158"/>
  <c r="M10" i="158"/>
  <c r="C11" i="158"/>
  <c r="D11" i="158"/>
  <c r="E11" i="158"/>
  <c r="F11" i="158"/>
  <c r="G11" i="158"/>
  <c r="I11" i="158"/>
  <c r="J11" i="158"/>
  <c r="K11" i="158"/>
  <c r="L11" i="158"/>
  <c r="M11" i="158"/>
  <c r="C12" i="158"/>
  <c r="D12" i="158"/>
  <c r="E12" i="158"/>
  <c r="F12" i="158"/>
  <c r="G12" i="158"/>
  <c r="I12" i="158"/>
  <c r="J12" i="158"/>
  <c r="K12" i="158"/>
  <c r="L12" i="158"/>
  <c r="M12" i="158"/>
  <c r="C13" i="158"/>
  <c r="D13" i="158"/>
  <c r="E13" i="158"/>
  <c r="F13" i="158"/>
  <c r="G13" i="158"/>
  <c r="I13" i="158"/>
  <c r="J13" i="158"/>
  <c r="K13" i="158"/>
  <c r="L13" i="158"/>
  <c r="M13" i="158"/>
  <c r="C14" i="158"/>
  <c r="D14" i="158"/>
  <c r="E14" i="158"/>
  <c r="F14" i="158"/>
  <c r="G14" i="158"/>
  <c r="I14" i="158"/>
  <c r="J14" i="158"/>
  <c r="K14" i="158"/>
  <c r="L14" i="158"/>
  <c r="M14" i="158"/>
  <c r="C6" i="158"/>
  <c r="D6" i="158"/>
  <c r="E6" i="158"/>
  <c r="F6" i="158"/>
  <c r="G6" i="158"/>
  <c r="I6" i="158"/>
  <c r="J6" i="158"/>
  <c r="K6" i="158"/>
  <c r="L6" i="158"/>
  <c r="M6" i="158"/>
  <c r="C10" i="157"/>
  <c r="D10" i="157"/>
  <c r="E10" i="157"/>
  <c r="G10" i="157"/>
  <c r="H10" i="157"/>
  <c r="I10" i="157"/>
  <c r="J10" i="157"/>
  <c r="K10" i="157"/>
  <c r="M10" i="157"/>
  <c r="N10" i="157"/>
  <c r="O10" i="157"/>
  <c r="P10" i="157"/>
  <c r="Q10" i="157"/>
  <c r="R10" i="157"/>
  <c r="S10" i="157"/>
  <c r="C11" i="157"/>
  <c r="D11" i="157"/>
  <c r="E11" i="157"/>
  <c r="G11" i="157"/>
  <c r="H11" i="157"/>
  <c r="I11" i="157"/>
  <c r="J11" i="157"/>
  <c r="K11" i="157"/>
  <c r="M11" i="157"/>
  <c r="N11" i="157"/>
  <c r="O11" i="157"/>
  <c r="P11" i="157"/>
  <c r="Q11" i="157"/>
  <c r="R11" i="157"/>
  <c r="S11" i="157"/>
  <c r="C12" i="157"/>
  <c r="D12" i="157"/>
  <c r="E12" i="157"/>
  <c r="G12" i="157"/>
  <c r="H12" i="157"/>
  <c r="I12" i="157"/>
  <c r="J12" i="157"/>
  <c r="K12" i="157"/>
  <c r="M12" i="157"/>
  <c r="N12" i="157"/>
  <c r="O12" i="157"/>
  <c r="P12" i="157"/>
  <c r="Q12" i="157"/>
  <c r="R12" i="157"/>
  <c r="S12" i="157"/>
  <c r="C13" i="157"/>
  <c r="D13" i="157"/>
  <c r="E13" i="157"/>
  <c r="G13" i="157"/>
  <c r="H13" i="157"/>
  <c r="I13" i="157"/>
  <c r="J13" i="157"/>
  <c r="K13" i="157"/>
  <c r="M13" i="157"/>
  <c r="N13" i="157"/>
  <c r="O13" i="157"/>
  <c r="P13" i="157"/>
  <c r="Q13" i="157"/>
  <c r="R13" i="157"/>
  <c r="S13" i="157"/>
  <c r="C14" i="157"/>
  <c r="D14" i="157"/>
  <c r="E14" i="157"/>
  <c r="G14" i="157"/>
  <c r="H14" i="157"/>
  <c r="I14" i="157"/>
  <c r="J14" i="157"/>
  <c r="K14" i="157"/>
  <c r="M14" i="157"/>
  <c r="N14" i="157"/>
  <c r="O14" i="157"/>
  <c r="P14" i="157"/>
  <c r="Q14" i="157"/>
  <c r="R14" i="157"/>
  <c r="S14" i="157"/>
  <c r="C15" i="157"/>
  <c r="D15" i="157"/>
  <c r="E15" i="157"/>
  <c r="G15" i="157"/>
  <c r="H15" i="157"/>
  <c r="I15" i="157"/>
  <c r="J15" i="157"/>
  <c r="K15" i="157"/>
  <c r="M15" i="157"/>
  <c r="N15" i="157"/>
  <c r="O15" i="157"/>
  <c r="P15" i="157"/>
  <c r="Q15" i="157"/>
  <c r="R15" i="157"/>
  <c r="S15" i="157"/>
  <c r="C16" i="157"/>
  <c r="D16" i="157"/>
  <c r="E16" i="157"/>
  <c r="G16" i="157"/>
  <c r="H16" i="157"/>
  <c r="I16" i="157"/>
  <c r="J16" i="157"/>
  <c r="K16" i="157"/>
  <c r="M16" i="157"/>
  <c r="N16" i="157"/>
  <c r="O16" i="157"/>
  <c r="P16" i="157"/>
  <c r="Q16" i="157"/>
  <c r="R16" i="157"/>
  <c r="S16" i="157"/>
  <c r="C17" i="157"/>
  <c r="D17" i="157"/>
  <c r="E17" i="157"/>
  <c r="G17" i="157"/>
  <c r="H17" i="157"/>
  <c r="I17" i="157"/>
  <c r="J17" i="157"/>
  <c r="K17" i="157"/>
  <c r="M17" i="157"/>
  <c r="N17" i="157"/>
  <c r="O17" i="157"/>
  <c r="P17" i="157"/>
  <c r="Q17" i="157"/>
  <c r="R17" i="157"/>
  <c r="S17" i="157"/>
  <c r="C9" i="157"/>
  <c r="D9" i="157"/>
  <c r="E9" i="157"/>
  <c r="G9" i="157"/>
  <c r="H9" i="157"/>
  <c r="I9" i="157"/>
  <c r="J9" i="157"/>
  <c r="K9" i="157"/>
  <c r="M9" i="157"/>
  <c r="N9" i="157"/>
  <c r="O9" i="157"/>
  <c r="P9" i="157"/>
  <c r="Q9" i="157"/>
  <c r="R9" i="157"/>
  <c r="S9" i="157"/>
  <c r="T10" i="184"/>
  <c r="T10" i="157" s="1"/>
  <c r="T11" i="184"/>
  <c r="T11" i="157" s="1"/>
  <c r="T12" i="184"/>
  <c r="T12" i="157" s="1"/>
  <c r="T13" i="184"/>
  <c r="T13" i="157" s="1"/>
  <c r="T14" i="184"/>
  <c r="T14" i="157" s="1"/>
  <c r="T15" i="184"/>
  <c r="T15" i="157" s="1"/>
  <c r="T16" i="184"/>
  <c r="T16" i="157" s="1"/>
  <c r="T17" i="184"/>
  <c r="T17" i="157" s="1"/>
  <c r="T9" i="184"/>
  <c r="T9" i="157" s="1"/>
  <c r="G18" i="184"/>
  <c r="G18" i="157" s="1"/>
  <c r="H18" i="184"/>
  <c r="H18" i="157" s="1"/>
  <c r="I18" i="184"/>
  <c r="I18" i="157" s="1"/>
  <c r="J18" i="184"/>
  <c r="J18" i="157" s="1"/>
  <c r="K18" i="184"/>
  <c r="K18" i="157" s="1"/>
  <c r="M18" i="184"/>
  <c r="M18" i="157" s="1"/>
  <c r="N18" i="184"/>
  <c r="N18" i="157" s="1"/>
  <c r="O18" i="184"/>
  <c r="O18" i="157" s="1"/>
  <c r="P18" i="184"/>
  <c r="P18" i="157" s="1"/>
  <c r="Q18" i="184"/>
  <c r="Q18" i="157" s="1"/>
  <c r="R18" i="184"/>
  <c r="R18" i="157" s="1"/>
  <c r="S18" i="184"/>
  <c r="S18" i="157" s="1"/>
  <c r="L10" i="184"/>
  <c r="L10" i="157" s="1"/>
  <c r="L11" i="184"/>
  <c r="L11" i="157" s="1"/>
  <c r="L12" i="184"/>
  <c r="L12" i="157" s="1"/>
  <c r="L13" i="184"/>
  <c r="L13" i="157" s="1"/>
  <c r="L14" i="184"/>
  <c r="L14" i="157" s="1"/>
  <c r="L15" i="184"/>
  <c r="L15" i="157" s="1"/>
  <c r="L16" i="184"/>
  <c r="L16" i="157" s="1"/>
  <c r="L17" i="184"/>
  <c r="L17" i="157" s="1"/>
  <c r="L9" i="184"/>
  <c r="L9" i="157" s="1"/>
  <c r="D18" i="184"/>
  <c r="D18" i="157" s="1"/>
  <c r="E18" i="184"/>
  <c r="E18" i="157" s="1"/>
  <c r="C18" i="184"/>
  <c r="C18" i="157" s="1"/>
  <c r="F10" i="184"/>
  <c r="F10" i="157" s="1"/>
  <c r="F11" i="184"/>
  <c r="F11" i="157" s="1"/>
  <c r="F12" i="184"/>
  <c r="F12" i="157" s="1"/>
  <c r="F13" i="184"/>
  <c r="F13" i="157" s="1"/>
  <c r="F14" i="184"/>
  <c r="F14" i="157" s="1"/>
  <c r="F15" i="184"/>
  <c r="F15" i="157" s="1"/>
  <c r="F16" i="184"/>
  <c r="F16" i="157" s="1"/>
  <c r="F17" i="184"/>
  <c r="F17" i="157" s="1"/>
  <c r="F9" i="184"/>
  <c r="N7" i="183"/>
  <c r="N7" i="156" s="1"/>
  <c r="N8" i="183"/>
  <c r="N8" i="156" s="1"/>
  <c r="N9" i="183"/>
  <c r="N9" i="156" s="1"/>
  <c r="N10" i="183"/>
  <c r="N10" i="156" s="1"/>
  <c r="N11" i="183"/>
  <c r="N11" i="156" s="1"/>
  <c r="N12" i="183"/>
  <c r="N13" i="183"/>
  <c r="N13" i="156" s="1"/>
  <c r="N14" i="183"/>
  <c r="N14" i="156" s="1"/>
  <c r="N6" i="183"/>
  <c r="N6" i="156" s="1"/>
  <c r="J7" i="183"/>
  <c r="O7" i="183" s="1"/>
  <c r="S7" i="183" s="1"/>
  <c r="S7" i="156" s="1"/>
  <c r="J8" i="183"/>
  <c r="J8" i="156" s="1"/>
  <c r="J9" i="183"/>
  <c r="O9" i="183" s="1"/>
  <c r="J10" i="183"/>
  <c r="O10" i="183" s="1"/>
  <c r="J11" i="183"/>
  <c r="O11" i="183" s="1"/>
  <c r="S11" i="183" s="1"/>
  <c r="S11" i="156" s="1"/>
  <c r="J12" i="183"/>
  <c r="O12" i="183" s="1"/>
  <c r="J13" i="183"/>
  <c r="O13" i="183" s="1"/>
  <c r="J14" i="183"/>
  <c r="O14" i="183" s="1"/>
  <c r="J6" i="183"/>
  <c r="D15" i="183"/>
  <c r="D15" i="156" s="1"/>
  <c r="E15" i="183"/>
  <c r="E15" i="156" s="1"/>
  <c r="F15" i="183"/>
  <c r="F15" i="156" s="1"/>
  <c r="G15" i="183"/>
  <c r="G15" i="156" s="1"/>
  <c r="H15" i="183"/>
  <c r="H15" i="156" s="1"/>
  <c r="I15" i="183"/>
  <c r="I15" i="156" s="1"/>
  <c r="K15" i="183"/>
  <c r="K15" i="156" s="1"/>
  <c r="L15" i="183"/>
  <c r="L15" i="156" s="1"/>
  <c r="M15" i="183"/>
  <c r="M15" i="156" s="1"/>
  <c r="P15" i="183"/>
  <c r="P15" i="156" s="1"/>
  <c r="Q15" i="183"/>
  <c r="Q15" i="156" s="1"/>
  <c r="R15" i="183"/>
  <c r="R15" i="156" s="1"/>
  <c r="C15" i="183"/>
  <c r="B7" i="156"/>
  <c r="C7" i="156"/>
  <c r="D7" i="156"/>
  <c r="E7" i="156"/>
  <c r="F7" i="156"/>
  <c r="G7" i="156"/>
  <c r="H7" i="156"/>
  <c r="I7" i="156"/>
  <c r="K7" i="156"/>
  <c r="L7" i="156"/>
  <c r="M7" i="156"/>
  <c r="P7" i="156"/>
  <c r="Q7" i="156"/>
  <c r="R7" i="156"/>
  <c r="B8" i="156"/>
  <c r="C8" i="156"/>
  <c r="D8" i="156"/>
  <c r="E8" i="156"/>
  <c r="F8" i="156"/>
  <c r="G8" i="156"/>
  <c r="H8" i="156"/>
  <c r="I8" i="156"/>
  <c r="K8" i="156"/>
  <c r="L8" i="156"/>
  <c r="M8" i="156"/>
  <c r="P8" i="156"/>
  <c r="Q8" i="156"/>
  <c r="R8" i="156"/>
  <c r="B9" i="156"/>
  <c r="C9" i="156"/>
  <c r="D9" i="156"/>
  <c r="E9" i="156"/>
  <c r="F9" i="156"/>
  <c r="G9" i="156"/>
  <c r="H9" i="156"/>
  <c r="I9" i="156"/>
  <c r="K9" i="156"/>
  <c r="L9" i="156"/>
  <c r="M9" i="156"/>
  <c r="P9" i="156"/>
  <c r="Q9" i="156"/>
  <c r="R9" i="156"/>
  <c r="B10" i="156"/>
  <c r="C10" i="156"/>
  <c r="D10" i="156"/>
  <c r="E10" i="156"/>
  <c r="F10" i="156"/>
  <c r="G10" i="156"/>
  <c r="H10" i="156"/>
  <c r="I10" i="156"/>
  <c r="K10" i="156"/>
  <c r="L10" i="156"/>
  <c r="M10" i="156"/>
  <c r="P10" i="156"/>
  <c r="Q10" i="156"/>
  <c r="R10" i="156"/>
  <c r="B11" i="156"/>
  <c r="C11" i="156"/>
  <c r="D11" i="156"/>
  <c r="E11" i="156"/>
  <c r="F11" i="156"/>
  <c r="G11" i="156"/>
  <c r="H11" i="156"/>
  <c r="I11" i="156"/>
  <c r="K11" i="156"/>
  <c r="L11" i="156"/>
  <c r="M11" i="156"/>
  <c r="P11" i="156"/>
  <c r="Q11" i="156"/>
  <c r="R11" i="156"/>
  <c r="B12" i="156"/>
  <c r="C12" i="156"/>
  <c r="D12" i="156"/>
  <c r="E12" i="156"/>
  <c r="F12" i="156"/>
  <c r="G12" i="156"/>
  <c r="H12" i="156"/>
  <c r="I12" i="156"/>
  <c r="K12" i="156"/>
  <c r="L12" i="156"/>
  <c r="M12" i="156"/>
  <c r="N12" i="156"/>
  <c r="P12" i="156"/>
  <c r="Q12" i="156"/>
  <c r="R12" i="156"/>
  <c r="B13" i="156"/>
  <c r="C13" i="156"/>
  <c r="D13" i="156"/>
  <c r="E13" i="156"/>
  <c r="F13" i="156"/>
  <c r="G13" i="156"/>
  <c r="H13" i="156"/>
  <c r="I13" i="156"/>
  <c r="K13" i="156"/>
  <c r="L13" i="156"/>
  <c r="M13" i="156"/>
  <c r="P13" i="156"/>
  <c r="Q13" i="156"/>
  <c r="R13" i="156"/>
  <c r="B14" i="156"/>
  <c r="C14" i="156"/>
  <c r="D14" i="156"/>
  <c r="E14" i="156"/>
  <c r="F14" i="156"/>
  <c r="G14" i="156"/>
  <c r="H14" i="156"/>
  <c r="I14" i="156"/>
  <c r="K14" i="156"/>
  <c r="L14" i="156"/>
  <c r="M14" i="156"/>
  <c r="P14" i="156"/>
  <c r="Q14" i="156"/>
  <c r="R14" i="156"/>
  <c r="C6" i="156"/>
  <c r="D6" i="156"/>
  <c r="E6" i="156"/>
  <c r="F6" i="156"/>
  <c r="G6" i="156"/>
  <c r="H6" i="156"/>
  <c r="I6" i="156"/>
  <c r="K6" i="156"/>
  <c r="L6" i="156"/>
  <c r="M6" i="156"/>
  <c r="P6" i="156"/>
  <c r="Q6" i="156"/>
  <c r="R6" i="156"/>
  <c r="B6" i="156"/>
  <c r="S7" i="182"/>
  <c r="S7" i="155" s="1"/>
  <c r="S8" i="182"/>
  <c r="S8" i="155" s="1"/>
  <c r="S9" i="182"/>
  <c r="S9" i="155" s="1"/>
  <c r="S10" i="182"/>
  <c r="S10" i="155" s="1"/>
  <c r="S11" i="182"/>
  <c r="S11" i="155" s="1"/>
  <c r="S12" i="182"/>
  <c r="S12" i="155" s="1"/>
  <c r="S13" i="182"/>
  <c r="S13" i="155" s="1"/>
  <c r="S14" i="182"/>
  <c r="S14" i="155" s="1"/>
  <c r="S6" i="182"/>
  <c r="S6" i="155" s="1"/>
  <c r="B7" i="185"/>
  <c r="B7" i="158" s="1"/>
  <c r="B8" i="185"/>
  <c r="B8" i="158" s="1"/>
  <c r="B9" i="185"/>
  <c r="B9" i="158" s="1"/>
  <c r="B10" i="185"/>
  <c r="B10" i="158" s="1"/>
  <c r="B11" i="185"/>
  <c r="B11" i="158" s="1"/>
  <c r="B12" i="185"/>
  <c r="B12" i="158" s="1"/>
  <c r="B13" i="185"/>
  <c r="B13" i="158" s="1"/>
  <c r="B14" i="185"/>
  <c r="B14" i="158" s="1"/>
  <c r="B6" i="185"/>
  <c r="B6" i="158" s="1"/>
  <c r="B10" i="184"/>
  <c r="B10" i="157" s="1"/>
  <c r="B11" i="184"/>
  <c r="B11" i="157" s="1"/>
  <c r="B12" i="184"/>
  <c r="B12" i="157" s="1"/>
  <c r="B13" i="184"/>
  <c r="B13" i="157" s="1"/>
  <c r="B14" i="184"/>
  <c r="B14" i="157" s="1"/>
  <c r="B15" i="184"/>
  <c r="B15" i="157" s="1"/>
  <c r="B16" i="184"/>
  <c r="B16" i="157" s="1"/>
  <c r="B17" i="184"/>
  <c r="B17" i="157" s="1"/>
  <c r="B9" i="184"/>
  <c r="B9" i="157" s="1"/>
  <c r="B7" i="182"/>
  <c r="B7" i="155" s="1"/>
  <c r="B8" i="182"/>
  <c r="B8" i="155" s="1"/>
  <c r="B9" i="182"/>
  <c r="B9" i="155" s="1"/>
  <c r="B10" i="182"/>
  <c r="B10" i="155" s="1"/>
  <c r="B11" i="182"/>
  <c r="B11" i="155" s="1"/>
  <c r="B12" i="182"/>
  <c r="B12" i="155" s="1"/>
  <c r="B13" i="182"/>
  <c r="B13" i="155" s="1"/>
  <c r="B14" i="182"/>
  <c r="B14" i="155" s="1"/>
  <c r="B6" i="182"/>
  <c r="B6" i="155" s="1"/>
  <c r="P15" i="182"/>
  <c r="P15" i="155" s="1"/>
  <c r="Q15" i="182"/>
  <c r="Q15" i="155" s="1"/>
  <c r="R15" i="182"/>
  <c r="R15" i="155" s="1"/>
  <c r="L15" i="155"/>
  <c r="K12" i="182"/>
  <c r="K12" i="155" s="1"/>
  <c r="K13" i="182"/>
  <c r="K13" i="155" s="1"/>
  <c r="E7" i="182"/>
  <c r="E7" i="155" s="1"/>
  <c r="E8" i="182"/>
  <c r="E8" i="155" s="1"/>
  <c r="E9" i="182"/>
  <c r="E9" i="155" s="1"/>
  <c r="E10" i="182"/>
  <c r="E10" i="155" s="1"/>
  <c r="E11" i="182"/>
  <c r="E11" i="155" s="1"/>
  <c r="E12" i="182"/>
  <c r="E12" i="155" s="1"/>
  <c r="E13" i="182"/>
  <c r="E13" i="155" s="1"/>
  <c r="E14" i="182"/>
  <c r="E14" i="155" s="1"/>
  <c r="E6" i="182"/>
  <c r="E6" i="155" s="1"/>
  <c r="G15" i="155"/>
  <c r="I15" i="155"/>
  <c r="G7" i="155"/>
  <c r="I7" i="155"/>
  <c r="L7" i="155"/>
  <c r="P7" i="155"/>
  <c r="Q7" i="155"/>
  <c r="R7" i="155"/>
  <c r="G8" i="155"/>
  <c r="I8" i="155"/>
  <c r="L8" i="155"/>
  <c r="P8" i="155"/>
  <c r="Q8" i="155"/>
  <c r="R8" i="155"/>
  <c r="G9" i="155"/>
  <c r="I9" i="155"/>
  <c r="L9" i="155"/>
  <c r="P9" i="155"/>
  <c r="Q9" i="155"/>
  <c r="R9" i="155"/>
  <c r="G10" i="155"/>
  <c r="I10" i="155"/>
  <c r="L10" i="155"/>
  <c r="P10" i="155"/>
  <c r="Q10" i="155"/>
  <c r="R10" i="155"/>
  <c r="G11" i="155"/>
  <c r="I11" i="155"/>
  <c r="L11" i="155"/>
  <c r="P11" i="155"/>
  <c r="Q11" i="155"/>
  <c r="R11" i="155"/>
  <c r="G12" i="155"/>
  <c r="I12" i="155"/>
  <c r="L12" i="155"/>
  <c r="P12" i="155"/>
  <c r="Q12" i="155"/>
  <c r="R12" i="155"/>
  <c r="G13" i="155"/>
  <c r="I13" i="155"/>
  <c r="L13" i="155"/>
  <c r="P13" i="155"/>
  <c r="Q13" i="155"/>
  <c r="R13" i="155"/>
  <c r="G14" i="155"/>
  <c r="I14" i="155"/>
  <c r="L14" i="155"/>
  <c r="P14" i="155"/>
  <c r="Q14" i="155"/>
  <c r="R14" i="155"/>
  <c r="G6" i="155"/>
  <c r="I6" i="155"/>
  <c r="L6" i="155"/>
  <c r="P6" i="155"/>
  <c r="Q6" i="155"/>
  <c r="R6" i="155"/>
  <c r="L10" i="181"/>
  <c r="L10" i="154" s="1"/>
  <c r="L9" i="181"/>
  <c r="L9" i="154" s="1"/>
  <c r="L8" i="181"/>
  <c r="L8" i="154" s="1"/>
  <c r="L7" i="181"/>
  <c r="L7" i="154" s="1"/>
  <c r="L6" i="181"/>
  <c r="L6" i="154" s="1"/>
  <c r="D6" i="154"/>
  <c r="C11" i="181"/>
  <c r="C11" i="154" s="1"/>
  <c r="F7" i="181"/>
  <c r="F7" i="154" s="1"/>
  <c r="F8" i="181"/>
  <c r="F8" i="154" s="1"/>
  <c r="F9" i="181"/>
  <c r="M9" i="181" s="1"/>
  <c r="M9" i="154" s="1"/>
  <c r="F10" i="181"/>
  <c r="F10" i="154" s="1"/>
  <c r="F11" i="181"/>
  <c r="F11" i="154" s="1"/>
  <c r="F6" i="181"/>
  <c r="F6" i="154" s="1"/>
  <c r="K15" i="154"/>
  <c r="K16" i="154"/>
  <c r="K14" i="154"/>
  <c r="K10" i="154"/>
  <c r="K7" i="154"/>
  <c r="K8" i="154"/>
  <c r="K9" i="154"/>
  <c r="J7" i="154"/>
  <c r="J8" i="154"/>
  <c r="J9" i="154"/>
  <c r="I8" i="154"/>
  <c r="I7" i="154"/>
  <c r="H7" i="154"/>
  <c r="D7" i="154"/>
  <c r="E7" i="154"/>
  <c r="D8" i="154"/>
  <c r="E8" i="154"/>
  <c r="D9" i="154"/>
  <c r="E9" i="154"/>
  <c r="D10" i="154"/>
  <c r="E10" i="154"/>
  <c r="E11" i="154"/>
  <c r="E6" i="154"/>
  <c r="G6" i="154"/>
  <c r="H6" i="154"/>
  <c r="I6" i="154"/>
  <c r="J6" i="154"/>
  <c r="K6" i="154"/>
  <c r="K10" i="143"/>
  <c r="C11" i="143"/>
  <c r="C10" i="143" s="1"/>
  <c r="C9" i="143" s="1"/>
  <c r="C8" i="143" s="1"/>
  <c r="C7" i="143" s="1"/>
  <c r="C6" i="143" s="1"/>
  <c r="J31" i="136"/>
  <c r="J30" i="136"/>
  <c r="C31" i="136"/>
  <c r="D31" i="136"/>
  <c r="G31" i="136"/>
  <c r="G30" i="136"/>
  <c r="D30" i="136"/>
  <c r="C30" i="136"/>
  <c r="O27" i="30"/>
  <c r="O26" i="30"/>
  <c r="K27" i="30"/>
  <c r="E31" i="136" s="1"/>
  <c r="K26" i="30"/>
  <c r="E30" i="136" s="1"/>
  <c r="E27" i="30"/>
  <c r="F31" i="136" s="1"/>
  <c r="E26" i="30"/>
  <c r="F30" i="136" s="1"/>
  <c r="N25" i="30"/>
  <c r="M25" i="30"/>
  <c r="G25" i="30"/>
  <c r="I25" i="30"/>
  <c r="J25" i="30"/>
  <c r="F25" i="30"/>
  <c r="D25" i="30"/>
  <c r="C25" i="30"/>
  <c r="J26" i="136"/>
  <c r="J27" i="136"/>
  <c r="J28" i="136"/>
  <c r="J25" i="136"/>
  <c r="J18" i="136"/>
  <c r="J19" i="136"/>
  <c r="J20" i="136"/>
  <c r="J21" i="136"/>
  <c r="J22" i="136"/>
  <c r="J23" i="136"/>
  <c r="J17" i="136"/>
  <c r="N17" i="30"/>
  <c r="N12" i="30"/>
  <c r="N7" i="30" s="1"/>
  <c r="J15" i="136"/>
  <c r="J14" i="136"/>
  <c r="H8" i="136"/>
  <c r="H9" i="136"/>
  <c r="H10" i="136"/>
  <c r="H11" i="136"/>
  <c r="H7" i="136"/>
  <c r="H15" i="136"/>
  <c r="H14" i="136"/>
  <c r="G15" i="136"/>
  <c r="G14" i="136"/>
  <c r="D15" i="136"/>
  <c r="D14" i="136"/>
  <c r="F25" i="28"/>
  <c r="E15" i="136" s="1"/>
  <c r="F24" i="28"/>
  <c r="E26" i="28"/>
  <c r="D26" i="28"/>
  <c r="C26" i="28"/>
  <c r="F15" i="28"/>
  <c r="G15" i="28" s="1"/>
  <c r="F15" i="136" s="1"/>
  <c r="F14" i="28"/>
  <c r="G14" i="28" s="1"/>
  <c r="F14" i="136" s="1"/>
  <c r="D16" i="28"/>
  <c r="E16" i="28"/>
  <c r="C16" i="28"/>
  <c r="K7" i="182" l="1"/>
  <c r="M7" i="182" s="1"/>
  <c r="M26" i="90" a="1"/>
  <c r="M26" i="90" s="1"/>
  <c r="K6" i="182"/>
  <c r="K6" i="155" s="1"/>
  <c r="K11" i="182"/>
  <c r="N9" i="145"/>
  <c r="F26" i="28"/>
  <c r="M31" i="90" a="1"/>
  <c r="M31" i="90" s="1"/>
  <c r="C34" i="170"/>
  <c r="C34" i="142" s="1"/>
  <c r="F25" i="119" s="1"/>
  <c r="O6" i="183"/>
  <c r="C5" i="142"/>
  <c r="H6" i="158"/>
  <c r="G6" i="139"/>
  <c r="M36" i="90" a="1"/>
  <c r="M36" i="90" s="1"/>
  <c r="M30" i="90" a="1"/>
  <c r="M30" i="90" s="1"/>
  <c r="K9" i="182"/>
  <c r="K9" i="155" s="1"/>
  <c r="J12" i="156"/>
  <c r="F9" i="157"/>
  <c r="D14" i="166"/>
  <c r="D14" i="138" s="1"/>
  <c r="E25" i="30"/>
  <c r="J6" i="156"/>
  <c r="J7" i="156"/>
  <c r="F5" i="149"/>
  <c r="K8" i="182"/>
  <c r="M8" i="182" s="1"/>
  <c r="M8" i="155" s="1"/>
  <c r="J11" i="156"/>
  <c r="J9" i="156"/>
  <c r="M8" i="181"/>
  <c r="N8" i="181" s="1"/>
  <c r="N8" i="154" s="1"/>
  <c r="Q13" i="172"/>
  <c r="Q13" i="145" s="1"/>
  <c r="F9" i="154"/>
  <c r="D53" i="197"/>
  <c r="O15" i="185"/>
  <c r="O15" i="158" s="1"/>
  <c r="T18" i="184"/>
  <c r="T18" i="157" s="1"/>
  <c r="O7" i="158"/>
  <c r="E5" i="170"/>
  <c r="E5" i="142" s="1"/>
  <c r="J10" i="156"/>
  <c r="T15" i="148"/>
  <c r="F31" i="119" s="1"/>
  <c r="F24" i="119"/>
  <c r="G24" i="119" s="1"/>
  <c r="E107" i="197"/>
  <c r="E74" i="197"/>
  <c r="H5" i="176"/>
  <c r="H5" i="149" s="1"/>
  <c r="F39" i="119"/>
  <c r="G39" i="119" s="1"/>
  <c r="F40" i="119"/>
  <c r="G40" i="119" s="1"/>
  <c r="R15" i="185"/>
  <c r="R15" i="158" s="1"/>
  <c r="F37" i="119"/>
  <c r="C37" i="119" s="1"/>
  <c r="G29" i="119"/>
  <c r="G11" i="187"/>
  <c r="G11" i="160" s="1"/>
  <c r="G15" i="187"/>
  <c r="G15" i="160" s="1"/>
  <c r="G19" i="187"/>
  <c r="G19" i="160" s="1"/>
  <c r="G9" i="187"/>
  <c r="G10" i="187"/>
  <c r="G10" i="160" s="1"/>
  <c r="G22" i="187"/>
  <c r="G22" i="160" s="1"/>
  <c r="G12" i="187"/>
  <c r="G12" i="160" s="1"/>
  <c r="G16" i="187"/>
  <c r="G16" i="160" s="1"/>
  <c r="G20" i="187"/>
  <c r="G20" i="160" s="1"/>
  <c r="G18" i="187"/>
  <c r="G18" i="160" s="1"/>
  <c r="G13" i="187"/>
  <c r="G13" i="160" s="1"/>
  <c r="G17" i="187"/>
  <c r="G17" i="160" s="1"/>
  <c r="G21" i="187"/>
  <c r="G21" i="160" s="1"/>
  <c r="G14" i="187"/>
  <c r="G14" i="160" s="1"/>
  <c r="G30" i="119"/>
  <c r="C30" i="119"/>
  <c r="F41" i="119"/>
  <c r="C36" i="128"/>
  <c r="C23" i="119"/>
  <c r="G23" i="119"/>
  <c r="G36" i="119"/>
  <c r="C36" i="119"/>
  <c r="F38" i="119"/>
  <c r="H15" i="185"/>
  <c r="H15" i="158" s="1"/>
  <c r="D15" i="166"/>
  <c r="D15" i="138" s="1"/>
  <c r="S6" i="183"/>
  <c r="D6" i="182" s="1"/>
  <c r="C15" i="136"/>
  <c r="M10" i="181"/>
  <c r="N10" i="181" s="1"/>
  <c r="N10" i="154" s="1"/>
  <c r="D23" i="160"/>
  <c r="G11" i="139"/>
  <c r="Q9" i="172"/>
  <c r="Q9" i="145" s="1"/>
  <c r="M7" i="181"/>
  <c r="M7" i="154" s="1"/>
  <c r="C21" i="144"/>
  <c r="O14" i="156"/>
  <c r="S14" i="183"/>
  <c r="C14" i="182"/>
  <c r="C14" i="155" s="1"/>
  <c r="C10" i="182"/>
  <c r="C10" i="155" s="1"/>
  <c r="S10" i="183"/>
  <c r="O10" i="156"/>
  <c r="S12" i="183"/>
  <c r="C12" i="182"/>
  <c r="C12" i="155" s="1"/>
  <c r="O12" i="156"/>
  <c r="C13" i="182"/>
  <c r="C13" i="155" s="1"/>
  <c r="S13" i="183"/>
  <c r="O13" i="156"/>
  <c r="C9" i="182"/>
  <c r="C9" i="155" s="1"/>
  <c r="O9" i="156"/>
  <c r="S9" i="183"/>
  <c r="C25" i="139"/>
  <c r="C13" i="166"/>
  <c r="C13" i="138" s="1"/>
  <c r="P7" i="172"/>
  <c r="N7" i="145"/>
  <c r="H21" i="167"/>
  <c r="G21" i="139"/>
  <c r="D17" i="166"/>
  <c r="D17" i="138" s="1"/>
  <c r="M15" i="175"/>
  <c r="M15" i="148" s="1"/>
  <c r="D34" i="170"/>
  <c r="D5" i="142"/>
  <c r="H16" i="167"/>
  <c r="G16" i="139"/>
  <c r="D16" i="166"/>
  <c r="D16" i="138" s="1"/>
  <c r="L18" i="184"/>
  <c r="L18" i="157" s="1"/>
  <c r="K15" i="136"/>
  <c r="N9" i="181"/>
  <c r="N9" i="154" s="1"/>
  <c r="C11" i="182"/>
  <c r="C11" i="155" s="1"/>
  <c r="C7" i="182"/>
  <c r="C7" i="155" s="1"/>
  <c r="K14" i="182"/>
  <c r="K14" i="155" s="1"/>
  <c r="K10" i="182"/>
  <c r="K10" i="155" s="1"/>
  <c r="J13" i="156"/>
  <c r="N15" i="183"/>
  <c r="N15" i="156" s="1"/>
  <c r="O8" i="183"/>
  <c r="R6" i="158"/>
  <c r="E15" i="166"/>
  <c r="E15" i="138" s="1"/>
  <c r="I19" i="168"/>
  <c r="I19" i="140" s="1"/>
  <c r="P11" i="172"/>
  <c r="N11" i="145"/>
  <c r="E44" i="176"/>
  <c r="E44" i="149" s="1"/>
  <c r="E5" i="149"/>
  <c r="M6" i="181"/>
  <c r="M6" i="154" s="1"/>
  <c r="E14" i="136"/>
  <c r="J29" i="136"/>
  <c r="K25" i="30"/>
  <c r="K30" i="136"/>
  <c r="K31" i="136"/>
  <c r="S15" i="182"/>
  <c r="S15" i="155" s="1"/>
  <c r="J14" i="156"/>
  <c r="O7" i="156"/>
  <c r="N15" i="185"/>
  <c r="N15" i="158" s="1"/>
  <c r="P15" i="185"/>
  <c r="P15" i="158" s="1"/>
  <c r="I44" i="176"/>
  <c r="I44" i="149" s="1"/>
  <c r="I5" i="149"/>
  <c r="E14" i="166"/>
  <c r="E14" i="138" s="1"/>
  <c r="H6" i="139"/>
  <c r="F18" i="184"/>
  <c r="F18" i="157" s="1"/>
  <c r="Q15" i="185"/>
  <c r="Q15" i="158" s="1"/>
  <c r="C14" i="136"/>
  <c r="O11" i="156"/>
  <c r="G25" i="167"/>
  <c r="K14" i="136"/>
  <c r="S8" i="185"/>
  <c r="S8" i="158" s="1"/>
  <c r="E15" i="182"/>
  <c r="E15" i="155" s="1"/>
  <c r="M12" i="182"/>
  <c r="S12" i="185" s="1"/>
  <c r="S12" i="158" s="1"/>
  <c r="M6" i="182"/>
  <c r="S6" i="185" s="1"/>
  <c r="S7" i="185"/>
  <c r="T7" i="185" s="1"/>
  <c r="T7" i="158" s="1"/>
  <c r="C10" i="181"/>
  <c r="C8" i="159"/>
  <c r="O14" i="158"/>
  <c r="O10" i="158"/>
  <c r="O8" i="158"/>
  <c r="D11" i="182"/>
  <c r="D7" i="182"/>
  <c r="M7" i="155"/>
  <c r="N7" i="182"/>
  <c r="K7" i="155"/>
  <c r="M13" i="182"/>
  <c r="S13" i="185" s="1"/>
  <c r="J15" i="183"/>
  <c r="J15" i="156" s="1"/>
  <c r="O25" i="30"/>
  <c r="F16" i="28"/>
  <c r="G31" i="119" l="1"/>
  <c r="C31" i="119"/>
  <c r="M9" i="182"/>
  <c r="S9" i="185" s="1"/>
  <c r="K8" i="155"/>
  <c r="H44" i="176"/>
  <c r="H44" i="149" s="1"/>
  <c r="F32" i="119" s="1"/>
  <c r="M11" i="182"/>
  <c r="K11" i="155"/>
  <c r="M33" i="90" a="1"/>
  <c r="M33" i="90" s="1"/>
  <c r="C6" i="182"/>
  <c r="N8" i="182"/>
  <c r="O8" i="182" s="1"/>
  <c r="S6" i="156"/>
  <c r="O6" i="156"/>
  <c r="G9" i="160"/>
  <c r="M41" i="90" a="1"/>
  <c r="M41" i="90" s="1"/>
  <c r="M25" i="90" a="1"/>
  <c r="M25" i="90" s="1"/>
  <c r="M32" i="90" a="1"/>
  <c r="M32" i="90" s="1"/>
  <c r="M8" i="154"/>
  <c r="C24" i="119"/>
  <c r="M10" i="154"/>
  <c r="C39" i="119"/>
  <c r="D103" i="197"/>
  <c r="D68" i="197"/>
  <c r="C40" i="119"/>
  <c r="G37" i="119"/>
  <c r="G32" i="119"/>
  <c r="C32" i="119"/>
  <c r="G41" i="119"/>
  <c r="C41" i="119"/>
  <c r="C38" i="119"/>
  <c r="G38" i="119"/>
  <c r="M14" i="182"/>
  <c r="M14" i="155" s="1"/>
  <c r="S7" i="158"/>
  <c r="N7" i="181"/>
  <c r="N7" i="154" s="1"/>
  <c r="K15" i="182"/>
  <c r="K15" i="155" s="1"/>
  <c r="N14" i="182"/>
  <c r="O14" i="182" s="1"/>
  <c r="M12" i="155"/>
  <c r="T8" i="185"/>
  <c r="T8" i="158" s="1"/>
  <c r="N12" i="182"/>
  <c r="O12" i="182" s="1"/>
  <c r="M10" i="182"/>
  <c r="M10" i="155" s="1"/>
  <c r="S10" i="156"/>
  <c r="D10" i="182"/>
  <c r="P11" i="145"/>
  <c r="Q11" i="172"/>
  <c r="Q11" i="145" s="1"/>
  <c r="E16" i="166"/>
  <c r="E16" i="138" s="1"/>
  <c r="H16" i="139"/>
  <c r="H25" i="167"/>
  <c r="M24" i="90" s="1" a="1"/>
  <c r="M24" i="90" s="1"/>
  <c r="F6" i="182"/>
  <c r="D6" i="155"/>
  <c r="S14" i="156"/>
  <c r="D14" i="182"/>
  <c r="P7" i="145"/>
  <c r="P15" i="172"/>
  <c r="Q7" i="172"/>
  <c r="Q7" i="145" s="1"/>
  <c r="O8" i="156"/>
  <c r="C8" i="182"/>
  <c r="S8" i="183"/>
  <c r="O15" i="183"/>
  <c r="O15" i="156" s="1"/>
  <c r="E17" i="166"/>
  <c r="E17" i="138" s="1"/>
  <c r="H21" i="139"/>
  <c r="D9" i="182"/>
  <c r="S9" i="156"/>
  <c r="D13" i="182"/>
  <c r="S13" i="156"/>
  <c r="D12" i="182"/>
  <c r="S12" i="156"/>
  <c r="G23" i="187"/>
  <c r="G23" i="160" s="1"/>
  <c r="N10" i="182"/>
  <c r="N10" i="155" s="1"/>
  <c r="D13" i="166"/>
  <c r="G25" i="139"/>
  <c r="D34" i="142"/>
  <c r="E34" i="170"/>
  <c r="E34" i="142" s="1"/>
  <c r="C18" i="166"/>
  <c r="C18" i="138" s="1"/>
  <c r="S13" i="158"/>
  <c r="T13" i="185"/>
  <c r="T13" i="158" s="1"/>
  <c r="N6" i="182"/>
  <c r="M6" i="155"/>
  <c r="T12" i="185"/>
  <c r="T12" i="158" s="1"/>
  <c r="S9" i="158"/>
  <c r="T9" i="185"/>
  <c r="T9" i="158" s="1"/>
  <c r="T6" i="185"/>
  <c r="S6" i="158"/>
  <c r="C10" i="154"/>
  <c r="C9" i="181"/>
  <c r="D11" i="155"/>
  <c r="F11" i="182"/>
  <c r="D7" i="155"/>
  <c r="F7" i="182"/>
  <c r="N14" i="155"/>
  <c r="N13" i="182"/>
  <c r="M13" i="155"/>
  <c r="N7" i="155"/>
  <c r="O7" i="182"/>
  <c r="M9" i="155"/>
  <c r="N9" i="182"/>
  <c r="C21" i="124"/>
  <c r="C22" i="124"/>
  <c r="C23" i="124"/>
  <c r="C24" i="124"/>
  <c r="C25" i="124"/>
  <c r="C26" i="124"/>
  <c r="C27" i="124"/>
  <c r="C28" i="124"/>
  <c r="C20" i="124"/>
  <c r="D31" i="53"/>
  <c r="D36" i="53" s="1"/>
  <c r="C31" i="53"/>
  <c r="C36" i="53" s="1"/>
  <c r="E27" i="53"/>
  <c r="C25" i="128" s="1"/>
  <c r="D47" i="197" s="1"/>
  <c r="E28" i="53"/>
  <c r="E29" i="53"/>
  <c r="E30" i="53"/>
  <c r="E32" i="53"/>
  <c r="E33" i="53"/>
  <c r="G18" i="136"/>
  <c r="G19" i="136"/>
  <c r="G20" i="136"/>
  <c r="G21" i="136"/>
  <c r="G22" i="136"/>
  <c r="G23" i="136"/>
  <c r="G17" i="136"/>
  <c r="D18" i="136"/>
  <c r="D19" i="136"/>
  <c r="D20" i="136"/>
  <c r="D21" i="136"/>
  <c r="D22" i="136"/>
  <c r="D23" i="136"/>
  <c r="D17" i="136"/>
  <c r="C18" i="136"/>
  <c r="C19" i="136"/>
  <c r="C20" i="136"/>
  <c r="C21" i="136"/>
  <c r="C22" i="136"/>
  <c r="C23" i="136"/>
  <c r="C17" i="136"/>
  <c r="O22" i="30"/>
  <c r="K21" i="30"/>
  <c r="E20" i="136" s="1"/>
  <c r="K22" i="30"/>
  <c r="E21" i="136" s="1"/>
  <c r="K23" i="30"/>
  <c r="E22" i="136" s="1"/>
  <c r="E21" i="30"/>
  <c r="F20" i="136" s="1"/>
  <c r="E22" i="30"/>
  <c r="F21" i="136" s="1"/>
  <c r="G26" i="136"/>
  <c r="G27" i="136"/>
  <c r="G28" i="136"/>
  <c r="G25" i="136"/>
  <c r="D26" i="136"/>
  <c r="D27" i="136"/>
  <c r="D28" i="136"/>
  <c r="K28" i="136" s="1"/>
  <c r="D25" i="136"/>
  <c r="C26" i="136"/>
  <c r="C27" i="136"/>
  <c r="C28" i="136"/>
  <c r="C25" i="136"/>
  <c r="O11" i="30"/>
  <c r="K11" i="30"/>
  <c r="E28" i="136" s="1"/>
  <c r="E11" i="30"/>
  <c r="F28" i="136" s="1"/>
  <c r="J24" i="136"/>
  <c r="N11" i="182" l="1"/>
  <c r="M11" i="155"/>
  <c r="S11" i="185"/>
  <c r="K27" i="136"/>
  <c r="S14" i="185"/>
  <c r="N8" i="155"/>
  <c r="C6" i="155"/>
  <c r="M27" i="90" a="1"/>
  <c r="M27" i="90" s="1"/>
  <c r="N12" i="155"/>
  <c r="D37" i="53"/>
  <c r="H36" i="53"/>
  <c r="O10" i="182"/>
  <c r="T10" i="182" s="1"/>
  <c r="T10" i="155" s="1"/>
  <c r="M15" i="182"/>
  <c r="M15" i="155" s="1"/>
  <c r="S10" i="185"/>
  <c r="S10" i="158" s="1"/>
  <c r="K26" i="136"/>
  <c r="D18" i="166"/>
  <c r="D18" i="138" s="1"/>
  <c r="D13" i="138"/>
  <c r="F12" i="182"/>
  <c r="D12" i="155"/>
  <c r="D9" i="155"/>
  <c r="F9" i="182"/>
  <c r="S8" i="156"/>
  <c r="D8" i="182"/>
  <c r="S15" i="183"/>
  <c r="S15" i="156" s="1"/>
  <c r="P15" i="145"/>
  <c r="Q15" i="172"/>
  <c r="F10" i="182"/>
  <c r="D10" i="155"/>
  <c r="K17" i="136"/>
  <c r="K20" i="136"/>
  <c r="F13" i="182"/>
  <c r="D13" i="155"/>
  <c r="D14" i="155"/>
  <c r="F14" i="182"/>
  <c r="E13" i="166"/>
  <c r="H25" i="139"/>
  <c r="F22" i="119" s="1"/>
  <c r="C8" i="155"/>
  <c r="C15" i="182"/>
  <c r="C15" i="155" s="1"/>
  <c r="F6" i="155"/>
  <c r="H6" i="182"/>
  <c r="K22" i="136"/>
  <c r="K18" i="136"/>
  <c r="O6" i="182"/>
  <c r="N6" i="155"/>
  <c r="T6" i="158"/>
  <c r="S14" i="158"/>
  <c r="T14" i="185"/>
  <c r="T14" i="158" s="1"/>
  <c r="C8" i="181"/>
  <c r="C9" i="154"/>
  <c r="H7" i="182"/>
  <c r="F7" i="155"/>
  <c r="F11" i="155"/>
  <c r="H11" i="182"/>
  <c r="O12" i="155"/>
  <c r="T12" i="182"/>
  <c r="T12" i="155" s="1"/>
  <c r="T7" i="182"/>
  <c r="T7" i="155" s="1"/>
  <c r="O7" i="155"/>
  <c r="N13" i="155"/>
  <c r="O13" i="182"/>
  <c r="O14" i="155"/>
  <c r="T14" i="182"/>
  <c r="T14" i="155" s="1"/>
  <c r="O8" i="155"/>
  <c r="T8" i="182"/>
  <c r="T8" i="155" s="1"/>
  <c r="O9" i="182"/>
  <c r="N9" i="155"/>
  <c r="N15" i="182"/>
  <c r="N15" i="155" s="1"/>
  <c r="K23" i="136"/>
  <c r="K21" i="136"/>
  <c r="K19" i="136"/>
  <c r="D40" i="128"/>
  <c r="C19" i="171"/>
  <c r="C40" i="128"/>
  <c r="D42" i="128"/>
  <c r="E41" i="128"/>
  <c r="F74" i="197" s="1"/>
  <c r="F41" i="128"/>
  <c r="F107" i="197" s="1"/>
  <c r="C42" i="128"/>
  <c r="C29" i="124"/>
  <c r="C25" i="171"/>
  <c r="K25" i="136"/>
  <c r="J16" i="136"/>
  <c r="G16" i="136"/>
  <c r="D16" i="136"/>
  <c r="C16" i="136"/>
  <c r="K13" i="136"/>
  <c r="J13" i="136"/>
  <c r="D13" i="136"/>
  <c r="E13" i="136"/>
  <c r="F13" i="136"/>
  <c r="G13" i="136"/>
  <c r="H13" i="136"/>
  <c r="C13" i="136"/>
  <c r="S11" i="158" l="1"/>
  <c r="T11" i="185"/>
  <c r="T11" i="158" s="1"/>
  <c r="N11" i="155"/>
  <c r="O11" i="182"/>
  <c r="M40" i="90" a="1"/>
  <c r="M40" i="90" s="1"/>
  <c r="Q15" i="145"/>
  <c r="M29" i="90" a="1"/>
  <c r="M29" i="90" s="1"/>
  <c r="E108" i="197"/>
  <c r="E75" i="197"/>
  <c r="D106" i="197"/>
  <c r="D73" i="197"/>
  <c r="E106" i="197"/>
  <c r="E73" i="197"/>
  <c r="D108" i="197"/>
  <c r="D75" i="197"/>
  <c r="G25" i="119"/>
  <c r="C25" i="119"/>
  <c r="O10" i="155"/>
  <c r="C22" i="119"/>
  <c r="G22" i="119"/>
  <c r="T10" i="185"/>
  <c r="T10" i="158" s="1"/>
  <c r="S15" i="185"/>
  <c r="S15" i="158" s="1"/>
  <c r="H9" i="182"/>
  <c r="F9" i="155"/>
  <c r="K16" i="136"/>
  <c r="H14" i="182"/>
  <c r="F14" i="155"/>
  <c r="F12" i="155"/>
  <c r="H12" i="182"/>
  <c r="H6" i="155"/>
  <c r="J6" i="182"/>
  <c r="J6" i="155" s="1"/>
  <c r="E18" i="166"/>
  <c r="E13" i="138"/>
  <c r="H13" i="182"/>
  <c r="F13" i="155"/>
  <c r="H10" i="182"/>
  <c r="F10" i="155"/>
  <c r="F8" i="182"/>
  <c r="D8" i="155"/>
  <c r="D15" i="182"/>
  <c r="D15" i="155" s="1"/>
  <c r="O6" i="155"/>
  <c r="T6" i="182"/>
  <c r="T6" i="155" s="1"/>
  <c r="C24" i="171"/>
  <c r="C24" i="144" s="1"/>
  <c r="C25" i="144"/>
  <c r="C19" i="144"/>
  <c r="C18" i="171"/>
  <c r="C18" i="144" s="1"/>
  <c r="C7" i="181"/>
  <c r="C8" i="154"/>
  <c r="J11" i="182"/>
  <c r="J11" i="155" s="1"/>
  <c r="H11" i="155"/>
  <c r="J7" i="182"/>
  <c r="H7" i="155"/>
  <c r="O13" i="155"/>
  <c r="T13" i="182"/>
  <c r="T13" i="155" s="1"/>
  <c r="O9" i="155"/>
  <c r="T9" i="182"/>
  <c r="T9" i="155" s="1"/>
  <c r="O15" i="182"/>
  <c r="O15" i="155" s="1"/>
  <c r="E40" i="128"/>
  <c r="F73" i="197" s="1"/>
  <c r="C6" i="171"/>
  <c r="F42" i="128"/>
  <c r="F108" i="197" s="1"/>
  <c r="D37" i="128"/>
  <c r="E42" i="128"/>
  <c r="F75" i="197" s="1"/>
  <c r="T11" i="182" l="1"/>
  <c r="T11" i="155" s="1"/>
  <c r="O11" i="155"/>
  <c r="E18" i="138"/>
  <c r="F21" i="119" s="1"/>
  <c r="C21" i="119" s="1"/>
  <c r="M23" i="90" a="1"/>
  <c r="M23" i="90" s="1"/>
  <c r="T15" i="185"/>
  <c r="E104" i="197"/>
  <c r="E69" i="197"/>
  <c r="J9" i="182"/>
  <c r="J9" i="155" s="1"/>
  <c r="H9" i="155"/>
  <c r="H10" i="155"/>
  <c r="J10" i="182"/>
  <c r="J10" i="155" s="1"/>
  <c r="J12" i="182"/>
  <c r="J12" i="155" s="1"/>
  <c r="H12" i="155"/>
  <c r="H8" i="182"/>
  <c r="F8" i="155"/>
  <c r="F15" i="182"/>
  <c r="F15" i="155" s="1"/>
  <c r="J13" i="182"/>
  <c r="J13" i="155" s="1"/>
  <c r="H13" i="155"/>
  <c r="H14" i="155"/>
  <c r="J14" i="182"/>
  <c r="J14" i="155" s="1"/>
  <c r="C4" i="171"/>
  <c r="C6" i="144"/>
  <c r="F40" i="128"/>
  <c r="F106" i="197" s="1"/>
  <c r="C6" i="181"/>
  <c r="C6" i="154" s="1"/>
  <c r="C7" i="154"/>
  <c r="J7" i="155"/>
  <c r="T15" i="182"/>
  <c r="T15" i="155" s="1"/>
  <c r="G13" i="135"/>
  <c r="B13" i="135"/>
  <c r="G12" i="135"/>
  <c r="B12" i="135"/>
  <c r="G11" i="135"/>
  <c r="B11" i="135"/>
  <c r="G10" i="135"/>
  <c r="B10" i="135"/>
  <c r="G9" i="135"/>
  <c r="B9" i="135"/>
  <c r="G8" i="135"/>
  <c r="B8" i="135"/>
  <c r="G7" i="135"/>
  <c r="B7" i="135"/>
  <c r="G6" i="135"/>
  <c r="B6" i="135"/>
  <c r="C14" i="134"/>
  <c r="C13" i="134"/>
  <c r="C11" i="134"/>
  <c r="C5" i="134"/>
  <c r="F16" i="133"/>
  <c r="C16" i="133"/>
  <c r="C10" i="133"/>
  <c r="E9" i="133"/>
  <c r="E8" i="133" s="1"/>
  <c r="E17" i="133" s="1"/>
  <c r="C6" i="133"/>
  <c r="E13" i="128"/>
  <c r="F38" i="128"/>
  <c r="E38" i="128"/>
  <c r="E32" i="128"/>
  <c r="F53" i="197" s="1"/>
  <c r="D30" i="128"/>
  <c r="C30" i="128"/>
  <c r="D26" i="128"/>
  <c r="C26" i="128"/>
  <c r="C23" i="128"/>
  <c r="D45" i="197" s="1"/>
  <c r="F15" i="128"/>
  <c r="F91" i="197" s="1"/>
  <c r="E15" i="128"/>
  <c r="F39" i="197" s="1"/>
  <c r="F14" i="128"/>
  <c r="F90" i="197" s="1"/>
  <c r="E14" i="128"/>
  <c r="F37" i="197" s="1"/>
  <c r="K1" i="127"/>
  <c r="C19" i="124"/>
  <c r="D15" i="121" s="1"/>
  <c r="D39" i="121"/>
  <c r="G58" i="195" s="1"/>
  <c r="D17" i="121"/>
  <c r="G36" i="195" s="1"/>
  <c r="E64" i="114"/>
  <c r="D64" i="114"/>
  <c r="E63" i="114"/>
  <c r="D63" i="114"/>
  <c r="F62" i="114"/>
  <c r="E62" i="114"/>
  <c r="D62" i="114"/>
  <c r="E60" i="114"/>
  <c r="F58" i="114"/>
  <c r="E58" i="114"/>
  <c r="D58" i="114"/>
  <c r="E56" i="114"/>
  <c r="F54" i="114"/>
  <c r="E54" i="114"/>
  <c r="D54" i="114"/>
  <c r="E52" i="114"/>
  <c r="F50" i="114"/>
  <c r="E50" i="114"/>
  <c r="D50" i="114"/>
  <c r="E48" i="114"/>
  <c r="F46" i="114"/>
  <c r="E46" i="114"/>
  <c r="D46" i="114"/>
  <c r="E44" i="114"/>
  <c r="F42" i="114"/>
  <c r="E42" i="114"/>
  <c r="D42" i="114"/>
  <c r="E40" i="114"/>
  <c r="F38" i="114"/>
  <c r="E38" i="114"/>
  <c r="D38" i="114"/>
  <c r="E36" i="114"/>
  <c r="F34" i="114"/>
  <c r="E34" i="114"/>
  <c r="D34" i="114"/>
  <c r="E32" i="114"/>
  <c r="F30" i="114"/>
  <c r="E30" i="114"/>
  <c r="D30" i="114"/>
  <c r="E28" i="114"/>
  <c r="F26" i="114"/>
  <c r="E26" i="114"/>
  <c r="D26" i="114"/>
  <c r="E24" i="114"/>
  <c r="F22" i="114"/>
  <c r="E22" i="114"/>
  <c r="D22" i="114"/>
  <c r="E20" i="114"/>
  <c r="F18" i="114"/>
  <c r="E18" i="114"/>
  <c r="D18" i="114"/>
  <c r="E16" i="114"/>
  <c r="F14" i="114"/>
  <c r="E14" i="114"/>
  <c r="D14" i="114"/>
  <c r="E12" i="114"/>
  <c r="F10" i="114"/>
  <c r="E10" i="114"/>
  <c r="D10" i="114"/>
  <c r="E8" i="114"/>
  <c r="F6" i="114"/>
  <c r="E6" i="114"/>
  <c r="D6" i="114"/>
  <c r="F15" i="113"/>
  <c r="E15" i="113"/>
  <c r="D15" i="113"/>
  <c r="C15" i="113"/>
  <c r="B15" i="113"/>
  <c r="A15" i="113"/>
  <c r="F14" i="113"/>
  <c r="E14" i="113"/>
  <c r="D14" i="113"/>
  <c r="C14" i="113"/>
  <c r="B14" i="113"/>
  <c r="A14" i="113"/>
  <c r="F13" i="113"/>
  <c r="E13" i="113"/>
  <c r="D13" i="113"/>
  <c r="C13" i="113"/>
  <c r="B13" i="113"/>
  <c r="A13" i="113"/>
  <c r="F12" i="113"/>
  <c r="E12" i="113"/>
  <c r="D12" i="113"/>
  <c r="C12" i="113"/>
  <c r="B12" i="113"/>
  <c r="A12" i="113"/>
  <c r="F11" i="113"/>
  <c r="E11" i="113"/>
  <c r="D11" i="113"/>
  <c r="C11" i="113"/>
  <c r="B11" i="113"/>
  <c r="A11" i="113"/>
  <c r="F10" i="113"/>
  <c r="E10" i="113"/>
  <c r="D10" i="113"/>
  <c r="C10" i="113"/>
  <c r="B10" i="113"/>
  <c r="A10" i="113"/>
  <c r="F9" i="113"/>
  <c r="E9" i="113"/>
  <c r="D9" i="113"/>
  <c r="C9" i="113"/>
  <c r="B9" i="113"/>
  <c r="A9" i="113"/>
  <c r="F8" i="113"/>
  <c r="E8" i="113"/>
  <c r="D8" i="113"/>
  <c r="C8" i="113"/>
  <c r="B8" i="113"/>
  <c r="A8" i="113"/>
  <c r="F7" i="113"/>
  <c r="E7" i="113"/>
  <c r="D7" i="113"/>
  <c r="C7" i="113"/>
  <c r="B7" i="113"/>
  <c r="A7" i="113"/>
  <c r="E10" i="112"/>
  <c r="D10" i="112"/>
  <c r="C10" i="112"/>
  <c r="B10" i="112"/>
  <c r="A10" i="112"/>
  <c r="E8" i="112"/>
  <c r="D8" i="112"/>
  <c r="C8" i="112"/>
  <c r="B8" i="112"/>
  <c r="A8" i="112"/>
  <c r="C26" i="96"/>
  <c r="B26" i="96"/>
  <c r="D25" i="96"/>
  <c r="C25" i="96"/>
  <c r="B25" i="96"/>
  <c r="D24" i="96"/>
  <c r="C24" i="96"/>
  <c r="B24" i="96"/>
  <c r="D23" i="96"/>
  <c r="C23" i="96"/>
  <c r="B23" i="96"/>
  <c r="D22" i="96"/>
  <c r="C22" i="96"/>
  <c r="B22" i="96"/>
  <c r="C11" i="96"/>
  <c r="C9" i="96"/>
  <c r="B3" i="94"/>
  <c r="B13" i="91"/>
  <c r="B12" i="91" s="1"/>
  <c r="B11" i="91"/>
  <c r="B10" i="91" s="1"/>
  <c r="B9" i="91"/>
  <c r="B8" i="91"/>
  <c r="B5" i="91"/>
  <c r="N13" i="88"/>
  <c r="N12" i="88"/>
  <c r="N11" i="88"/>
  <c r="N10" i="88"/>
  <c r="N9" i="88"/>
  <c r="N8" i="88"/>
  <c r="N7" i="88"/>
  <c r="N6" i="88"/>
  <c r="N5" i="88"/>
  <c r="N4" i="88"/>
  <c r="N3" i="88"/>
  <c r="O2" i="88" s="1"/>
  <c r="N2" i="88"/>
  <c r="AF1" i="88"/>
  <c r="E65" i="83"/>
  <c r="D65" i="83"/>
  <c r="D65" i="114" s="1"/>
  <c r="F64" i="83"/>
  <c r="F64" i="114" s="1"/>
  <c r="F63" i="83"/>
  <c r="F63" i="114" s="1"/>
  <c r="D60" i="83"/>
  <c r="D60" i="114" s="1"/>
  <c r="D59" i="83"/>
  <c r="D56" i="83"/>
  <c r="D55" i="83"/>
  <c r="D52" i="83"/>
  <c r="D48" i="83"/>
  <c r="D48" i="114" s="1"/>
  <c r="D47" i="83"/>
  <c r="D44" i="83"/>
  <c r="D44" i="114" s="1"/>
  <c r="D40" i="83"/>
  <c r="D40" i="114" s="1"/>
  <c r="D36" i="83"/>
  <c r="D35" i="83"/>
  <c r="D32" i="83"/>
  <c r="D31" i="83"/>
  <c r="D28" i="83"/>
  <c r="D28" i="114" s="1"/>
  <c r="D24" i="83"/>
  <c r="D20" i="83"/>
  <c r="D20" i="114" s="1"/>
  <c r="D16" i="83"/>
  <c r="D16" i="114" s="1"/>
  <c r="D12" i="83"/>
  <c r="D12" i="114" s="1"/>
  <c r="D11" i="83"/>
  <c r="D8" i="83"/>
  <c r="D8" i="114" s="1"/>
  <c r="D7" i="83"/>
  <c r="E23" i="66"/>
  <c r="E22" i="66"/>
  <c r="E21" i="66"/>
  <c r="E20" i="66"/>
  <c r="E18" i="66"/>
  <c r="E17" i="66"/>
  <c r="E16" i="66"/>
  <c r="E15" i="66"/>
  <c r="E14" i="66"/>
  <c r="D13" i="66"/>
  <c r="D19" i="66" s="1"/>
  <c r="D24" i="66" s="1"/>
  <c r="E26" i="66" s="1"/>
  <c r="E12" i="66"/>
  <c r="E11" i="66"/>
  <c r="E10" i="66"/>
  <c r="E5" i="66"/>
  <c r="G4" i="66"/>
  <c r="F4" i="66"/>
  <c r="E4" i="66"/>
  <c r="H25" i="65"/>
  <c r="G24" i="65"/>
  <c r="E24" i="65"/>
  <c r="D24" i="65"/>
  <c r="C24" i="65"/>
  <c r="F23" i="65"/>
  <c r="H23" i="65" s="1"/>
  <c r="F22" i="65"/>
  <c r="H22" i="65" s="1"/>
  <c r="F21" i="65"/>
  <c r="H21" i="65" s="1"/>
  <c r="F20" i="65"/>
  <c r="H20" i="65" s="1"/>
  <c r="F19" i="65"/>
  <c r="G18" i="65"/>
  <c r="E18" i="65"/>
  <c r="D18" i="65"/>
  <c r="C18" i="65"/>
  <c r="F17" i="65"/>
  <c r="H17" i="65" s="1"/>
  <c r="F16" i="65"/>
  <c r="H16" i="65" s="1"/>
  <c r="F15" i="65"/>
  <c r="H15" i="65" s="1"/>
  <c r="F14" i="65"/>
  <c r="H14" i="65" s="1"/>
  <c r="F11" i="65"/>
  <c r="H11" i="65" s="1"/>
  <c r="F10" i="65"/>
  <c r="F9" i="65"/>
  <c r="H9" i="65" s="1"/>
  <c r="F8" i="65"/>
  <c r="H8" i="65" s="1"/>
  <c r="B53" i="4" s="1"/>
  <c r="F17" i="196" s="1"/>
  <c r="F7" i="65"/>
  <c r="H7" i="65" s="1"/>
  <c r="B52" i="4" s="1"/>
  <c r="F16" i="196" s="1"/>
  <c r="F4" i="65"/>
  <c r="H3" i="65"/>
  <c r="G3" i="65"/>
  <c r="F3" i="65"/>
  <c r="E302" i="64"/>
  <c r="E301" i="64"/>
  <c r="E300" i="64"/>
  <c r="E299" i="64"/>
  <c r="E298" i="64"/>
  <c r="E297" i="64"/>
  <c r="E296" i="64"/>
  <c r="E295" i="64"/>
  <c r="E294" i="64"/>
  <c r="E293" i="64"/>
  <c r="E292" i="64"/>
  <c r="E291" i="64"/>
  <c r="E290" i="64"/>
  <c r="E289" i="64"/>
  <c r="E288" i="64"/>
  <c r="E287" i="64"/>
  <c r="E286" i="64"/>
  <c r="E285" i="64"/>
  <c r="E284" i="64"/>
  <c r="E283" i="64"/>
  <c r="E282" i="64"/>
  <c r="E281" i="64"/>
  <c r="E280" i="64"/>
  <c r="E279" i="64"/>
  <c r="E278" i="64"/>
  <c r="E277" i="64"/>
  <c r="E276" i="64"/>
  <c r="E275" i="64"/>
  <c r="E274" i="64"/>
  <c r="E273" i="64"/>
  <c r="E272" i="64"/>
  <c r="E271" i="64"/>
  <c r="E270" i="64"/>
  <c r="E269" i="64"/>
  <c r="E268" i="64"/>
  <c r="E267" i="64"/>
  <c r="E266" i="64"/>
  <c r="E265" i="64"/>
  <c r="E264" i="64"/>
  <c r="E263" i="64"/>
  <c r="E262" i="64"/>
  <c r="E261" i="64"/>
  <c r="E260" i="64"/>
  <c r="E259" i="64"/>
  <c r="E258" i="64"/>
  <c r="E257" i="64"/>
  <c r="E256" i="64"/>
  <c r="E255" i="64"/>
  <c r="E254" i="64"/>
  <c r="E253" i="64"/>
  <c r="E252" i="64"/>
  <c r="E251" i="64"/>
  <c r="E250" i="64"/>
  <c r="E249" i="64"/>
  <c r="E248" i="64"/>
  <c r="E247" i="64"/>
  <c r="E246" i="64"/>
  <c r="E245" i="64"/>
  <c r="E244" i="64"/>
  <c r="E243" i="64"/>
  <c r="E242" i="64"/>
  <c r="E241" i="64"/>
  <c r="E240" i="64"/>
  <c r="E239" i="64"/>
  <c r="E238" i="64"/>
  <c r="E237" i="64"/>
  <c r="E236" i="64"/>
  <c r="E235" i="64"/>
  <c r="E234" i="64"/>
  <c r="E233" i="64"/>
  <c r="E232" i="64"/>
  <c r="E231" i="64"/>
  <c r="E230" i="64"/>
  <c r="E229" i="64"/>
  <c r="E228" i="64"/>
  <c r="E227" i="64"/>
  <c r="E226" i="64"/>
  <c r="E225" i="64"/>
  <c r="E224" i="64"/>
  <c r="E223" i="64"/>
  <c r="E222" i="64"/>
  <c r="E221" i="64"/>
  <c r="E220" i="64"/>
  <c r="E219" i="64"/>
  <c r="E218" i="64"/>
  <c r="E217" i="64"/>
  <c r="E216" i="64"/>
  <c r="E215" i="64"/>
  <c r="E214" i="64"/>
  <c r="E213" i="64"/>
  <c r="E212" i="64"/>
  <c r="E211" i="64"/>
  <c r="E210" i="64"/>
  <c r="E209" i="64"/>
  <c r="E208" i="64"/>
  <c r="E207" i="64"/>
  <c r="E206" i="64"/>
  <c r="E205" i="64"/>
  <c r="E204" i="64"/>
  <c r="E203" i="64"/>
  <c r="E202" i="64"/>
  <c r="E201" i="64"/>
  <c r="E200" i="64"/>
  <c r="E199" i="64"/>
  <c r="E198" i="64"/>
  <c r="E197" i="64"/>
  <c r="E196" i="64"/>
  <c r="E195" i="64"/>
  <c r="E194" i="64"/>
  <c r="E193" i="64"/>
  <c r="E192" i="64"/>
  <c r="E191" i="64"/>
  <c r="E190" i="64"/>
  <c r="E189" i="64"/>
  <c r="E188" i="64"/>
  <c r="E187" i="64"/>
  <c r="E186" i="64"/>
  <c r="E185" i="64"/>
  <c r="E184" i="64"/>
  <c r="E183" i="64"/>
  <c r="E182" i="64"/>
  <c r="E181" i="64"/>
  <c r="E180" i="64"/>
  <c r="E179" i="64"/>
  <c r="E178" i="64"/>
  <c r="E177" i="64"/>
  <c r="E176" i="64"/>
  <c r="E175" i="64"/>
  <c r="E174" i="64"/>
  <c r="E173" i="64"/>
  <c r="E172" i="64"/>
  <c r="E171" i="64"/>
  <c r="E170" i="64"/>
  <c r="E169" i="64"/>
  <c r="E168" i="64"/>
  <c r="E167" i="64"/>
  <c r="E166" i="64"/>
  <c r="E165" i="64"/>
  <c r="E164" i="64"/>
  <c r="E163" i="64"/>
  <c r="E162" i="64"/>
  <c r="E161" i="64"/>
  <c r="E160" i="64"/>
  <c r="E159" i="64"/>
  <c r="E158" i="64"/>
  <c r="E157" i="64"/>
  <c r="E156" i="64"/>
  <c r="E155" i="64"/>
  <c r="E154" i="64"/>
  <c r="E153" i="64"/>
  <c r="E152" i="64"/>
  <c r="E151" i="64"/>
  <c r="E150" i="64"/>
  <c r="E149" i="64"/>
  <c r="E148" i="64"/>
  <c r="E147" i="64"/>
  <c r="E146" i="64"/>
  <c r="E145" i="64"/>
  <c r="E144" i="64"/>
  <c r="E143" i="64"/>
  <c r="E142" i="64"/>
  <c r="E141" i="64"/>
  <c r="E140" i="64"/>
  <c r="E139" i="64"/>
  <c r="E138" i="64"/>
  <c r="E137" i="64"/>
  <c r="E136" i="64"/>
  <c r="E135" i="64"/>
  <c r="E134" i="64"/>
  <c r="E133" i="64"/>
  <c r="E132" i="64"/>
  <c r="E131" i="64"/>
  <c r="E130" i="64"/>
  <c r="E129" i="64"/>
  <c r="E128" i="64"/>
  <c r="E127" i="64"/>
  <c r="E126" i="64"/>
  <c r="E125" i="64"/>
  <c r="E124" i="64"/>
  <c r="E123" i="64"/>
  <c r="E122" i="64"/>
  <c r="E121" i="64"/>
  <c r="E120" i="64"/>
  <c r="E119" i="64"/>
  <c r="E118" i="64"/>
  <c r="E117" i="64"/>
  <c r="E116" i="64"/>
  <c r="E115" i="64"/>
  <c r="E114" i="64"/>
  <c r="E113" i="64"/>
  <c r="E112" i="64"/>
  <c r="E111" i="64"/>
  <c r="E110" i="64"/>
  <c r="E109" i="64"/>
  <c r="E108" i="64"/>
  <c r="E107" i="64"/>
  <c r="E106" i="64"/>
  <c r="E105" i="64"/>
  <c r="E104" i="64"/>
  <c r="E103" i="64"/>
  <c r="E102" i="64"/>
  <c r="E101" i="64"/>
  <c r="E100" i="64"/>
  <c r="E99" i="64"/>
  <c r="E98" i="64"/>
  <c r="E97" i="64"/>
  <c r="E96" i="64"/>
  <c r="E95" i="64"/>
  <c r="E94" i="64"/>
  <c r="E93" i="64"/>
  <c r="E92" i="64"/>
  <c r="E91" i="64"/>
  <c r="E90" i="64"/>
  <c r="E89" i="64"/>
  <c r="E88" i="64"/>
  <c r="E87" i="64"/>
  <c r="E86" i="64"/>
  <c r="E85" i="64"/>
  <c r="E84" i="64"/>
  <c r="E83" i="64"/>
  <c r="E82" i="64"/>
  <c r="E81" i="64"/>
  <c r="E80" i="64"/>
  <c r="E79" i="64"/>
  <c r="E78" i="64"/>
  <c r="E77" i="64"/>
  <c r="E76" i="64"/>
  <c r="E75" i="64"/>
  <c r="E74" i="64"/>
  <c r="E73" i="64"/>
  <c r="E72" i="64"/>
  <c r="E71" i="64"/>
  <c r="E70" i="64"/>
  <c r="E69" i="64"/>
  <c r="E68" i="64"/>
  <c r="E67" i="64"/>
  <c r="E66" i="64"/>
  <c r="E65" i="64"/>
  <c r="E64" i="64"/>
  <c r="E63" i="64"/>
  <c r="E62" i="64"/>
  <c r="E61" i="64"/>
  <c r="E60" i="64"/>
  <c r="E59" i="64"/>
  <c r="E58" i="64"/>
  <c r="E57" i="64"/>
  <c r="E56" i="64"/>
  <c r="E55" i="64"/>
  <c r="E54" i="64"/>
  <c r="E53" i="64"/>
  <c r="E52" i="64"/>
  <c r="E51" i="64"/>
  <c r="E50" i="64"/>
  <c r="E49" i="64"/>
  <c r="E48" i="64"/>
  <c r="E47" i="64"/>
  <c r="E46" i="64"/>
  <c r="E45" i="64"/>
  <c r="E44" i="64"/>
  <c r="E43" i="64"/>
  <c r="E42" i="64"/>
  <c r="E41" i="64"/>
  <c r="E40" i="64"/>
  <c r="E39" i="64"/>
  <c r="E38" i="64"/>
  <c r="E37" i="64"/>
  <c r="E36" i="64"/>
  <c r="E35" i="64"/>
  <c r="E34" i="64"/>
  <c r="E33" i="64"/>
  <c r="E32" i="64"/>
  <c r="E31" i="64"/>
  <c r="E30" i="64"/>
  <c r="E29" i="64"/>
  <c r="E28" i="64"/>
  <c r="E27" i="64"/>
  <c r="E26" i="64"/>
  <c r="E25" i="64"/>
  <c r="E24" i="64"/>
  <c r="E23" i="64"/>
  <c r="E22" i="64"/>
  <c r="E21" i="64"/>
  <c r="E20" i="64"/>
  <c r="E19" i="64"/>
  <c r="E18" i="64"/>
  <c r="E17" i="64"/>
  <c r="E16" i="64"/>
  <c r="E15" i="64"/>
  <c r="E14" i="64"/>
  <c r="E13" i="64"/>
  <c r="F12" i="64"/>
  <c r="D12" i="64"/>
  <c r="B9" i="64" s="1"/>
  <c r="C12" i="64"/>
  <c r="B12" i="64"/>
  <c r="F11" i="64"/>
  <c r="C11" i="64"/>
  <c r="E11" i="64" s="1"/>
  <c r="B11" i="64"/>
  <c r="D4" i="64"/>
  <c r="F3" i="64"/>
  <c r="E3" i="64"/>
  <c r="D3" i="64"/>
  <c r="E302" i="63"/>
  <c r="E301" i="63"/>
  <c r="E300" i="63"/>
  <c r="E299" i="63"/>
  <c r="E298" i="63"/>
  <c r="E297" i="63"/>
  <c r="E296" i="63"/>
  <c r="E295" i="63"/>
  <c r="E294" i="63"/>
  <c r="E293" i="63"/>
  <c r="E292" i="63"/>
  <c r="E291" i="63"/>
  <c r="E290" i="63"/>
  <c r="E289" i="63"/>
  <c r="E288" i="63"/>
  <c r="E287" i="63"/>
  <c r="E286" i="63"/>
  <c r="E285" i="63"/>
  <c r="E284" i="63"/>
  <c r="E283" i="63"/>
  <c r="E282" i="63"/>
  <c r="E281" i="63"/>
  <c r="E280" i="63"/>
  <c r="E279" i="63"/>
  <c r="E278" i="63"/>
  <c r="E277" i="63"/>
  <c r="E276" i="63"/>
  <c r="E275" i="63"/>
  <c r="E274" i="63"/>
  <c r="E273" i="63"/>
  <c r="E272" i="63"/>
  <c r="E271" i="63"/>
  <c r="E270" i="63"/>
  <c r="E269" i="63"/>
  <c r="E268" i="63"/>
  <c r="E267" i="63"/>
  <c r="E266" i="63"/>
  <c r="E265" i="63"/>
  <c r="E264" i="63"/>
  <c r="E263" i="63"/>
  <c r="E262" i="63"/>
  <c r="E261" i="63"/>
  <c r="E260" i="63"/>
  <c r="E259" i="63"/>
  <c r="E258" i="63"/>
  <c r="E257" i="63"/>
  <c r="E256" i="63"/>
  <c r="E255" i="63"/>
  <c r="E254" i="63"/>
  <c r="E253" i="63"/>
  <c r="E252" i="63"/>
  <c r="E251" i="63"/>
  <c r="E250" i="63"/>
  <c r="E249" i="63"/>
  <c r="E248" i="63"/>
  <c r="E247" i="63"/>
  <c r="E246" i="63"/>
  <c r="E245" i="63"/>
  <c r="E244" i="63"/>
  <c r="E243" i="63"/>
  <c r="E242" i="63"/>
  <c r="E241" i="63"/>
  <c r="E240" i="63"/>
  <c r="E239" i="63"/>
  <c r="E238" i="63"/>
  <c r="E237" i="63"/>
  <c r="E236" i="63"/>
  <c r="E235" i="63"/>
  <c r="E234" i="63"/>
  <c r="E233" i="63"/>
  <c r="E232" i="63"/>
  <c r="E231" i="63"/>
  <c r="E230" i="63"/>
  <c r="E229" i="63"/>
  <c r="E228" i="63"/>
  <c r="E227" i="63"/>
  <c r="E226" i="63"/>
  <c r="E225" i="63"/>
  <c r="E224" i="63"/>
  <c r="E223" i="63"/>
  <c r="E222" i="63"/>
  <c r="E221" i="63"/>
  <c r="E220" i="63"/>
  <c r="E219" i="63"/>
  <c r="E218" i="63"/>
  <c r="E217" i="63"/>
  <c r="E216" i="63"/>
  <c r="E215" i="63"/>
  <c r="E214" i="63"/>
  <c r="E213" i="63"/>
  <c r="E212" i="63"/>
  <c r="E211" i="63"/>
  <c r="E210" i="63"/>
  <c r="E209" i="63"/>
  <c r="E208" i="63"/>
  <c r="E207" i="63"/>
  <c r="E206" i="63"/>
  <c r="E205" i="63"/>
  <c r="E204" i="63"/>
  <c r="E203" i="63"/>
  <c r="E202" i="63"/>
  <c r="E201" i="63"/>
  <c r="E200" i="63"/>
  <c r="E199" i="63"/>
  <c r="E198" i="63"/>
  <c r="E197" i="63"/>
  <c r="E196" i="63"/>
  <c r="E195" i="63"/>
  <c r="E194" i="63"/>
  <c r="E193" i="63"/>
  <c r="E192" i="63"/>
  <c r="E191" i="63"/>
  <c r="E190" i="63"/>
  <c r="E189" i="63"/>
  <c r="E188" i="63"/>
  <c r="E187" i="63"/>
  <c r="E186" i="63"/>
  <c r="E185" i="63"/>
  <c r="E184" i="63"/>
  <c r="E183" i="63"/>
  <c r="E182" i="63"/>
  <c r="E181" i="63"/>
  <c r="E180" i="63"/>
  <c r="E179" i="63"/>
  <c r="E178" i="63"/>
  <c r="E177" i="63"/>
  <c r="E176" i="63"/>
  <c r="E175" i="63"/>
  <c r="E174" i="63"/>
  <c r="E173" i="63"/>
  <c r="E172" i="63"/>
  <c r="E171" i="63"/>
  <c r="E170" i="63"/>
  <c r="E169" i="63"/>
  <c r="E168" i="63"/>
  <c r="E167" i="63"/>
  <c r="E166" i="63"/>
  <c r="E165" i="63"/>
  <c r="E164" i="63"/>
  <c r="E163" i="63"/>
  <c r="E162" i="63"/>
  <c r="E161" i="63"/>
  <c r="E160" i="63"/>
  <c r="E159" i="63"/>
  <c r="E158" i="63"/>
  <c r="E157" i="63"/>
  <c r="E156" i="63"/>
  <c r="E155" i="63"/>
  <c r="E154" i="63"/>
  <c r="E153" i="63"/>
  <c r="E152" i="63"/>
  <c r="E151" i="63"/>
  <c r="E150" i="63"/>
  <c r="E149" i="63"/>
  <c r="E148" i="63"/>
  <c r="E147" i="63"/>
  <c r="E146" i="63"/>
  <c r="E145" i="63"/>
  <c r="E144" i="63"/>
  <c r="E143" i="63"/>
  <c r="E142" i="63"/>
  <c r="E141" i="63"/>
  <c r="E140" i="63"/>
  <c r="E139" i="63"/>
  <c r="E138" i="63"/>
  <c r="E137" i="63"/>
  <c r="E136" i="63"/>
  <c r="E135" i="63"/>
  <c r="E134" i="63"/>
  <c r="E133" i="63"/>
  <c r="E132" i="63"/>
  <c r="E131" i="63"/>
  <c r="E130" i="63"/>
  <c r="E129" i="63"/>
  <c r="E128" i="63"/>
  <c r="E127" i="63"/>
  <c r="E126" i="63"/>
  <c r="E125" i="63"/>
  <c r="E124" i="63"/>
  <c r="E123" i="63"/>
  <c r="E122" i="63"/>
  <c r="E121" i="63"/>
  <c r="E120" i="63"/>
  <c r="E119" i="63"/>
  <c r="E118" i="63"/>
  <c r="E117" i="63"/>
  <c r="E116" i="63"/>
  <c r="E115" i="63"/>
  <c r="E114" i="63"/>
  <c r="E113" i="63"/>
  <c r="E112" i="63"/>
  <c r="E111" i="63"/>
  <c r="E110" i="63"/>
  <c r="E109" i="63"/>
  <c r="E108" i="63"/>
  <c r="E107" i="63"/>
  <c r="E106" i="63"/>
  <c r="E105" i="63"/>
  <c r="E104" i="63"/>
  <c r="E103" i="63"/>
  <c r="E102" i="63"/>
  <c r="E101" i="63"/>
  <c r="E100" i="63"/>
  <c r="E99" i="63"/>
  <c r="E98" i="63"/>
  <c r="E97" i="63"/>
  <c r="E96" i="63"/>
  <c r="E95" i="63"/>
  <c r="E94" i="63"/>
  <c r="E93" i="63"/>
  <c r="E92" i="63"/>
  <c r="E91" i="63"/>
  <c r="E90" i="63"/>
  <c r="E89" i="63"/>
  <c r="E88" i="63"/>
  <c r="E87" i="63"/>
  <c r="E86" i="63"/>
  <c r="E85" i="63"/>
  <c r="E84" i="63"/>
  <c r="E83" i="63"/>
  <c r="E82" i="63"/>
  <c r="E81" i="63"/>
  <c r="E80" i="63"/>
  <c r="E79" i="63"/>
  <c r="E78" i="63"/>
  <c r="E77" i="63"/>
  <c r="E76" i="63"/>
  <c r="E75" i="63"/>
  <c r="E74" i="63"/>
  <c r="E73" i="63"/>
  <c r="E72" i="63"/>
  <c r="E71" i="63"/>
  <c r="E70" i="63"/>
  <c r="E69" i="63"/>
  <c r="E68" i="63"/>
  <c r="E67" i="63"/>
  <c r="E66" i="63"/>
  <c r="E65" i="63"/>
  <c r="E64" i="63"/>
  <c r="E63" i="63"/>
  <c r="E62" i="63"/>
  <c r="E61" i="63"/>
  <c r="E60" i="63"/>
  <c r="E59" i="63"/>
  <c r="E58" i="63"/>
  <c r="E57" i="63"/>
  <c r="E56" i="63"/>
  <c r="E55" i="63"/>
  <c r="E54" i="63"/>
  <c r="E53" i="63"/>
  <c r="E52" i="63"/>
  <c r="E51" i="63"/>
  <c r="E50" i="63"/>
  <c r="E49" i="63"/>
  <c r="E48" i="63"/>
  <c r="E47" i="63"/>
  <c r="E46" i="63"/>
  <c r="E45" i="63"/>
  <c r="E44" i="63"/>
  <c r="E43" i="63"/>
  <c r="E42" i="63"/>
  <c r="E41" i="63"/>
  <c r="E40" i="63"/>
  <c r="E39" i="63"/>
  <c r="E38" i="63"/>
  <c r="E37" i="63"/>
  <c r="E36" i="63"/>
  <c r="E35" i="63"/>
  <c r="E34" i="63"/>
  <c r="E33" i="63"/>
  <c r="E32" i="63"/>
  <c r="E31" i="63"/>
  <c r="E30" i="63"/>
  <c r="E29" i="63"/>
  <c r="E28" i="63"/>
  <c r="E27" i="63"/>
  <c r="E26" i="63"/>
  <c r="E25" i="63"/>
  <c r="E24" i="63"/>
  <c r="E23" i="63"/>
  <c r="E22" i="63"/>
  <c r="E21" i="63"/>
  <c r="E20" i="63"/>
  <c r="E19" i="63"/>
  <c r="E18" i="63"/>
  <c r="E17" i="63"/>
  <c r="E16" i="63"/>
  <c r="E15" i="63"/>
  <c r="E14" i="63"/>
  <c r="E13" i="63"/>
  <c r="F12" i="63"/>
  <c r="D12" i="63"/>
  <c r="C12" i="63"/>
  <c r="B12" i="63"/>
  <c r="F11" i="63"/>
  <c r="C11" i="63"/>
  <c r="E11" i="63" s="1"/>
  <c r="B11" i="63"/>
  <c r="D4" i="63"/>
  <c r="F3" i="63"/>
  <c r="E3" i="63"/>
  <c r="D3" i="63"/>
  <c r="E302" i="62"/>
  <c r="E301" i="62"/>
  <c r="E300" i="62"/>
  <c r="E299" i="62"/>
  <c r="E298" i="62"/>
  <c r="E297" i="62"/>
  <c r="E296" i="62"/>
  <c r="E295" i="62"/>
  <c r="E294" i="62"/>
  <c r="E293" i="62"/>
  <c r="E292" i="62"/>
  <c r="E291" i="62"/>
  <c r="E290" i="62"/>
  <c r="E289" i="62"/>
  <c r="E288" i="62"/>
  <c r="E287" i="62"/>
  <c r="E286" i="62"/>
  <c r="E285" i="62"/>
  <c r="E284" i="62"/>
  <c r="E283" i="62"/>
  <c r="E282" i="62"/>
  <c r="E281" i="62"/>
  <c r="E280" i="62"/>
  <c r="E279" i="62"/>
  <c r="E278" i="62"/>
  <c r="E277" i="62"/>
  <c r="E276" i="62"/>
  <c r="E275" i="62"/>
  <c r="E274" i="62"/>
  <c r="E273" i="62"/>
  <c r="E272" i="62"/>
  <c r="E271" i="62"/>
  <c r="E270" i="62"/>
  <c r="E269" i="62"/>
  <c r="E268" i="62"/>
  <c r="E267" i="62"/>
  <c r="E266" i="62"/>
  <c r="E265" i="62"/>
  <c r="E264" i="62"/>
  <c r="E263" i="62"/>
  <c r="E262" i="62"/>
  <c r="E261" i="62"/>
  <c r="E260" i="62"/>
  <c r="E259" i="62"/>
  <c r="E258" i="62"/>
  <c r="E257" i="62"/>
  <c r="E256" i="62"/>
  <c r="E255" i="62"/>
  <c r="E254" i="62"/>
  <c r="E253" i="62"/>
  <c r="E252" i="62"/>
  <c r="E251" i="62"/>
  <c r="E250" i="62"/>
  <c r="E249" i="62"/>
  <c r="E248" i="62"/>
  <c r="E247" i="62"/>
  <c r="E246" i="62"/>
  <c r="E245" i="62"/>
  <c r="E244" i="62"/>
  <c r="E243" i="62"/>
  <c r="E242" i="62"/>
  <c r="E241" i="62"/>
  <c r="E240" i="62"/>
  <c r="E239" i="62"/>
  <c r="E238" i="62"/>
  <c r="E237" i="62"/>
  <c r="E236" i="62"/>
  <c r="E235" i="62"/>
  <c r="E234" i="62"/>
  <c r="E233" i="62"/>
  <c r="E232" i="62"/>
  <c r="E231" i="62"/>
  <c r="E230" i="62"/>
  <c r="E229" i="62"/>
  <c r="E228" i="62"/>
  <c r="E227" i="62"/>
  <c r="E226" i="62"/>
  <c r="E225" i="62"/>
  <c r="E224" i="62"/>
  <c r="E223" i="62"/>
  <c r="E222" i="62"/>
  <c r="E221" i="62"/>
  <c r="E220" i="62"/>
  <c r="E219" i="62"/>
  <c r="E218" i="62"/>
  <c r="E217" i="62"/>
  <c r="E216" i="62"/>
  <c r="E215" i="62"/>
  <c r="E214" i="62"/>
  <c r="E213" i="62"/>
  <c r="E212" i="62"/>
  <c r="E211" i="62"/>
  <c r="E210" i="62"/>
  <c r="E209" i="62"/>
  <c r="E208" i="62"/>
  <c r="E207" i="62"/>
  <c r="E206" i="62"/>
  <c r="E205" i="62"/>
  <c r="E204" i="62"/>
  <c r="E203" i="62"/>
  <c r="E202" i="62"/>
  <c r="E201" i="62"/>
  <c r="E200" i="62"/>
  <c r="E199" i="62"/>
  <c r="E198" i="62"/>
  <c r="E197" i="62"/>
  <c r="E196" i="62"/>
  <c r="E195" i="62"/>
  <c r="E194" i="62"/>
  <c r="E193" i="62"/>
  <c r="E192" i="62"/>
  <c r="E191" i="62"/>
  <c r="E190" i="62"/>
  <c r="E189" i="62"/>
  <c r="E188" i="62"/>
  <c r="E187" i="62"/>
  <c r="E186" i="62"/>
  <c r="E185" i="62"/>
  <c r="E184" i="62"/>
  <c r="E183" i="62"/>
  <c r="E182" i="62"/>
  <c r="E181" i="62"/>
  <c r="E180" i="62"/>
  <c r="E179" i="62"/>
  <c r="E178" i="62"/>
  <c r="E177" i="62"/>
  <c r="E176" i="62"/>
  <c r="E175" i="62"/>
  <c r="E174" i="62"/>
  <c r="E173" i="62"/>
  <c r="E172" i="62"/>
  <c r="E171" i="62"/>
  <c r="E170" i="62"/>
  <c r="E169" i="62"/>
  <c r="E168" i="62"/>
  <c r="E167" i="62"/>
  <c r="E166" i="62"/>
  <c r="E165" i="62"/>
  <c r="E164" i="62"/>
  <c r="E163" i="62"/>
  <c r="E162" i="62"/>
  <c r="E161" i="62"/>
  <c r="E160" i="62"/>
  <c r="E159" i="62"/>
  <c r="E158" i="62"/>
  <c r="E157" i="62"/>
  <c r="E156" i="62"/>
  <c r="E155" i="62"/>
  <c r="E154" i="62"/>
  <c r="E153" i="62"/>
  <c r="E152" i="62"/>
  <c r="E151" i="62"/>
  <c r="E150" i="62"/>
  <c r="E149" i="62"/>
  <c r="E148" i="62"/>
  <c r="E147" i="62"/>
  <c r="E146" i="62"/>
  <c r="E145" i="62"/>
  <c r="E144" i="62"/>
  <c r="E143" i="62"/>
  <c r="E142" i="62"/>
  <c r="E141" i="62"/>
  <c r="E140" i="62"/>
  <c r="E139" i="62"/>
  <c r="E138" i="62"/>
  <c r="E137" i="62"/>
  <c r="E136" i="62"/>
  <c r="E135" i="62"/>
  <c r="E134" i="62"/>
  <c r="E133" i="62"/>
  <c r="E132" i="62"/>
  <c r="E131" i="62"/>
  <c r="E130" i="62"/>
  <c r="E129" i="62"/>
  <c r="E128" i="62"/>
  <c r="E127" i="62"/>
  <c r="E126" i="62"/>
  <c r="E125" i="62"/>
  <c r="E124" i="62"/>
  <c r="E123" i="62"/>
  <c r="E122" i="62"/>
  <c r="E121" i="62"/>
  <c r="E120" i="62"/>
  <c r="E119" i="62"/>
  <c r="E118" i="62"/>
  <c r="E117" i="62"/>
  <c r="E116" i="62"/>
  <c r="E115" i="62"/>
  <c r="E114" i="62"/>
  <c r="E113" i="62"/>
  <c r="E112" i="62"/>
  <c r="E111" i="62"/>
  <c r="E110" i="62"/>
  <c r="E109" i="62"/>
  <c r="E108" i="62"/>
  <c r="E107" i="62"/>
  <c r="E106" i="62"/>
  <c r="E105" i="62"/>
  <c r="E104" i="62"/>
  <c r="E103" i="62"/>
  <c r="E102" i="62"/>
  <c r="E101" i="62"/>
  <c r="E100" i="62"/>
  <c r="E99" i="62"/>
  <c r="E98" i="62"/>
  <c r="E97" i="62"/>
  <c r="E96" i="62"/>
  <c r="E95" i="62"/>
  <c r="E94" i="62"/>
  <c r="E93" i="62"/>
  <c r="E92" i="62"/>
  <c r="E91" i="62"/>
  <c r="E90" i="62"/>
  <c r="E89" i="62"/>
  <c r="E88" i="62"/>
  <c r="E87" i="62"/>
  <c r="E86" i="62"/>
  <c r="E85" i="62"/>
  <c r="E84" i="62"/>
  <c r="E83" i="62"/>
  <c r="E82" i="62"/>
  <c r="E81" i="62"/>
  <c r="E80" i="62"/>
  <c r="E79" i="62"/>
  <c r="E78" i="62"/>
  <c r="E77" i="62"/>
  <c r="E76" i="62"/>
  <c r="E75" i="62"/>
  <c r="E74" i="62"/>
  <c r="E73" i="62"/>
  <c r="E72" i="62"/>
  <c r="E71" i="62"/>
  <c r="E70" i="62"/>
  <c r="E69" i="62"/>
  <c r="E68" i="62"/>
  <c r="E67" i="62"/>
  <c r="E66" i="62"/>
  <c r="E65" i="62"/>
  <c r="E64" i="62"/>
  <c r="E63" i="62"/>
  <c r="E62" i="62"/>
  <c r="E61" i="62"/>
  <c r="E60" i="62"/>
  <c r="E59" i="62"/>
  <c r="E58" i="62"/>
  <c r="E57" i="62"/>
  <c r="E56" i="62"/>
  <c r="E55" i="62"/>
  <c r="E54" i="62"/>
  <c r="E53" i="62"/>
  <c r="E52" i="62"/>
  <c r="E51" i="62"/>
  <c r="E50" i="62"/>
  <c r="E49" i="62"/>
  <c r="E48" i="62"/>
  <c r="E47" i="62"/>
  <c r="E46" i="62"/>
  <c r="E45" i="62"/>
  <c r="E44" i="62"/>
  <c r="E43" i="62"/>
  <c r="E42" i="62"/>
  <c r="E41" i="62"/>
  <c r="E40" i="62"/>
  <c r="E39" i="62"/>
  <c r="E38" i="62"/>
  <c r="E37" i="62"/>
  <c r="E36" i="62"/>
  <c r="E35" i="62"/>
  <c r="E34" i="62"/>
  <c r="E33" i="62"/>
  <c r="E32" i="62"/>
  <c r="E31" i="62"/>
  <c r="E30" i="62"/>
  <c r="E29" i="62"/>
  <c r="E28" i="62"/>
  <c r="E27" i="62"/>
  <c r="E26" i="62"/>
  <c r="E25" i="62"/>
  <c r="E24" i="62"/>
  <c r="E23" i="62"/>
  <c r="E22" i="62"/>
  <c r="E21" i="62"/>
  <c r="E20" i="62"/>
  <c r="E19" i="62"/>
  <c r="E18" i="62"/>
  <c r="E17" i="62"/>
  <c r="E16" i="62"/>
  <c r="E15" i="62"/>
  <c r="E14" i="62"/>
  <c r="E13" i="62"/>
  <c r="F12" i="62"/>
  <c r="D12" i="62"/>
  <c r="C12" i="62"/>
  <c r="B12" i="62"/>
  <c r="F11" i="62"/>
  <c r="C11" i="62"/>
  <c r="E11" i="62" s="1"/>
  <c r="B11" i="62"/>
  <c r="D4" i="62"/>
  <c r="F3" i="62"/>
  <c r="E3" i="62"/>
  <c r="D3" i="62"/>
  <c r="G15" i="61"/>
  <c r="F15" i="61"/>
  <c r="E15" i="61"/>
  <c r="D15" i="61"/>
  <c r="C15" i="61"/>
  <c r="H14" i="61"/>
  <c r="H13" i="61"/>
  <c r="H12" i="61"/>
  <c r="H11" i="61"/>
  <c r="H10" i="61"/>
  <c r="H9" i="61"/>
  <c r="H8" i="61"/>
  <c r="H7" i="61"/>
  <c r="F4" i="61"/>
  <c r="G3" i="61"/>
  <c r="F3" i="61"/>
  <c r="I19" i="60"/>
  <c r="G19" i="60"/>
  <c r="F19" i="60"/>
  <c r="E19" i="60"/>
  <c r="D19" i="60"/>
  <c r="H18" i="60"/>
  <c r="J18" i="60" s="1"/>
  <c r="H17" i="60"/>
  <c r="J17" i="60" s="1"/>
  <c r="H16" i="60"/>
  <c r="J16" i="60" s="1"/>
  <c r="H15" i="60"/>
  <c r="J15" i="60" s="1"/>
  <c r="H14" i="60"/>
  <c r="J14" i="60" s="1"/>
  <c r="H13" i="60"/>
  <c r="J13" i="60" s="1"/>
  <c r="I12" i="60"/>
  <c r="G12" i="60"/>
  <c r="F12" i="60"/>
  <c r="E12" i="60"/>
  <c r="D12" i="60"/>
  <c r="H11" i="60"/>
  <c r="J11" i="60" s="1"/>
  <c r="H10" i="60"/>
  <c r="J10" i="60" s="1"/>
  <c r="H9" i="60"/>
  <c r="J9" i="60" s="1"/>
  <c r="H8" i="60"/>
  <c r="J8" i="60" s="1"/>
  <c r="H7" i="60"/>
  <c r="J7" i="60" s="1"/>
  <c r="H6" i="60"/>
  <c r="I3" i="60"/>
  <c r="F3" i="60"/>
  <c r="H2" i="60"/>
  <c r="F2" i="60"/>
  <c r="E27" i="59"/>
  <c r="C27" i="59"/>
  <c r="B28" i="59" s="1"/>
  <c r="F26" i="59"/>
  <c r="F25" i="59"/>
  <c r="F24" i="59"/>
  <c r="F23" i="59"/>
  <c r="F22" i="59"/>
  <c r="F21" i="59"/>
  <c r="F20" i="59"/>
  <c r="F19" i="59"/>
  <c r="F18" i="59"/>
  <c r="F17" i="59"/>
  <c r="F16" i="59"/>
  <c r="F15" i="59"/>
  <c r="F14" i="59"/>
  <c r="F13" i="59"/>
  <c r="F12" i="59"/>
  <c r="F11" i="59"/>
  <c r="F10" i="59"/>
  <c r="F9" i="59"/>
  <c r="F8" i="59"/>
  <c r="F7" i="59"/>
  <c r="D4" i="59"/>
  <c r="F3" i="59"/>
  <c r="E3" i="59"/>
  <c r="D3" i="59"/>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E15" i="58"/>
  <c r="F14" i="58"/>
  <c r="D14" i="58"/>
  <c r="C14" i="58"/>
  <c r="B14" i="58"/>
  <c r="F13" i="58"/>
  <c r="C13" i="58"/>
  <c r="B13" i="58"/>
  <c r="E13" i="58" s="1"/>
  <c r="F11" i="58"/>
  <c r="D4" i="58"/>
  <c r="F3" i="58"/>
  <c r="E3" i="58"/>
  <c r="D3" i="58"/>
  <c r="E304" i="57"/>
  <c r="E303" i="57"/>
  <c r="E302" i="57"/>
  <c r="E301" i="57"/>
  <c r="E300" i="57"/>
  <c r="E299" i="57"/>
  <c r="E298" i="57"/>
  <c r="E297" i="57"/>
  <c r="E296" i="57"/>
  <c r="E295" i="57"/>
  <c r="E294" i="57"/>
  <c r="E293" i="57"/>
  <c r="E292" i="57"/>
  <c r="E291" i="57"/>
  <c r="E290" i="57"/>
  <c r="E289" i="57"/>
  <c r="E288" i="57"/>
  <c r="E287" i="57"/>
  <c r="E286" i="57"/>
  <c r="E285" i="57"/>
  <c r="E284" i="57"/>
  <c r="E283" i="57"/>
  <c r="E282" i="57"/>
  <c r="E281" i="57"/>
  <c r="E280" i="57"/>
  <c r="E279" i="57"/>
  <c r="E278" i="57"/>
  <c r="E277" i="57"/>
  <c r="E276" i="57"/>
  <c r="E275" i="57"/>
  <c r="E274" i="57"/>
  <c r="E273" i="57"/>
  <c r="E272" i="57"/>
  <c r="E271" i="57"/>
  <c r="E270" i="57"/>
  <c r="E269" i="57"/>
  <c r="E268" i="57"/>
  <c r="E267" i="57"/>
  <c r="E266" i="57"/>
  <c r="E265" i="57"/>
  <c r="E264" i="57"/>
  <c r="E263" i="57"/>
  <c r="E262" i="57"/>
  <c r="E261" i="57"/>
  <c r="E260" i="57"/>
  <c r="E259" i="57"/>
  <c r="E258" i="57"/>
  <c r="E257" i="57"/>
  <c r="E256" i="57"/>
  <c r="E255" i="57"/>
  <c r="E254" i="57"/>
  <c r="E253" i="57"/>
  <c r="E252" i="57"/>
  <c r="E251" i="57"/>
  <c r="E250" i="57"/>
  <c r="E249" i="57"/>
  <c r="E248" i="57"/>
  <c r="E247" i="57"/>
  <c r="E246" i="57"/>
  <c r="E245" i="57"/>
  <c r="E244" i="57"/>
  <c r="E243" i="57"/>
  <c r="E242" i="57"/>
  <c r="E241" i="57"/>
  <c r="E240" i="57"/>
  <c r="E239" i="57"/>
  <c r="E238" i="57"/>
  <c r="E237" i="57"/>
  <c r="E236" i="57"/>
  <c r="E235" i="57"/>
  <c r="E234" i="57"/>
  <c r="E233" i="57"/>
  <c r="E232" i="57"/>
  <c r="E231" i="57"/>
  <c r="E230" i="57"/>
  <c r="E229" i="57"/>
  <c r="E228" i="57"/>
  <c r="E227" i="57"/>
  <c r="E226" i="57"/>
  <c r="E225" i="57"/>
  <c r="E224" i="57"/>
  <c r="E223" i="57"/>
  <c r="E222" i="57"/>
  <c r="E221" i="57"/>
  <c r="E220" i="57"/>
  <c r="E219" i="57"/>
  <c r="E218" i="57"/>
  <c r="E217" i="57"/>
  <c r="E216" i="57"/>
  <c r="E215" i="57"/>
  <c r="E214" i="57"/>
  <c r="E213" i="57"/>
  <c r="E212" i="57"/>
  <c r="E211" i="57"/>
  <c r="E210" i="57"/>
  <c r="E209" i="57"/>
  <c r="E208" i="57"/>
  <c r="E207" i="57"/>
  <c r="E206" i="57"/>
  <c r="E205" i="57"/>
  <c r="E204" i="57"/>
  <c r="E203" i="57"/>
  <c r="E202" i="57"/>
  <c r="E201" i="57"/>
  <c r="E200" i="57"/>
  <c r="E199" i="57"/>
  <c r="E198" i="57"/>
  <c r="E197" i="57"/>
  <c r="E196" i="57"/>
  <c r="E195" i="57"/>
  <c r="E194" i="57"/>
  <c r="E193" i="57"/>
  <c r="E192" i="57"/>
  <c r="E191" i="57"/>
  <c r="E190" i="57"/>
  <c r="E189" i="57"/>
  <c r="E188" i="57"/>
  <c r="E187" i="57"/>
  <c r="E186" i="57"/>
  <c r="E185" i="57"/>
  <c r="E184" i="57"/>
  <c r="E183" i="57"/>
  <c r="E182" i="57"/>
  <c r="E181" i="57"/>
  <c r="E180" i="57"/>
  <c r="E179" i="57"/>
  <c r="E178" i="57"/>
  <c r="E177" i="57"/>
  <c r="E176" i="57"/>
  <c r="E175" i="57"/>
  <c r="E174" i="57"/>
  <c r="E173" i="57"/>
  <c r="E172" i="57"/>
  <c r="E171" i="57"/>
  <c r="E170" i="57"/>
  <c r="E169" i="57"/>
  <c r="E168" i="57"/>
  <c r="E167" i="57"/>
  <c r="E166" i="57"/>
  <c r="E165" i="57"/>
  <c r="E164" i="57"/>
  <c r="E163" i="57"/>
  <c r="E162" i="57"/>
  <c r="E161" i="57"/>
  <c r="E160" i="57"/>
  <c r="E159" i="57"/>
  <c r="E158" i="57"/>
  <c r="E157" i="57"/>
  <c r="E156" i="57"/>
  <c r="E155" i="57"/>
  <c r="E154" i="57"/>
  <c r="E153" i="57"/>
  <c r="E152" i="57"/>
  <c r="E151" i="57"/>
  <c r="E150" i="57"/>
  <c r="E149" i="57"/>
  <c r="E148" i="57"/>
  <c r="E147" i="57"/>
  <c r="E146" i="57"/>
  <c r="E145" i="57"/>
  <c r="E144" i="57"/>
  <c r="E143" i="57"/>
  <c r="E142" i="57"/>
  <c r="E141" i="57"/>
  <c r="E140" i="57"/>
  <c r="E139" i="57"/>
  <c r="E138" i="57"/>
  <c r="E137" i="57"/>
  <c r="E136" i="57"/>
  <c r="E135" i="57"/>
  <c r="E134" i="57"/>
  <c r="E133" i="57"/>
  <c r="E132" i="57"/>
  <c r="E131" i="57"/>
  <c r="E130" i="57"/>
  <c r="E129" i="57"/>
  <c r="E128" i="57"/>
  <c r="E127" i="57"/>
  <c r="E126" i="57"/>
  <c r="E125" i="57"/>
  <c r="E124" i="57"/>
  <c r="E123" i="57"/>
  <c r="E122" i="57"/>
  <c r="E121" i="57"/>
  <c r="E120" i="57"/>
  <c r="E119" i="57"/>
  <c r="E118" i="57"/>
  <c r="E117" i="57"/>
  <c r="E116" i="57"/>
  <c r="E115" i="57"/>
  <c r="E114" i="57"/>
  <c r="E113" i="57"/>
  <c r="E112" i="57"/>
  <c r="E111" i="57"/>
  <c r="E110" i="57"/>
  <c r="E109" i="57"/>
  <c r="E108" i="57"/>
  <c r="E107" i="57"/>
  <c r="E106" i="57"/>
  <c r="E105" i="57"/>
  <c r="E104" i="57"/>
  <c r="E103" i="57"/>
  <c r="E102" i="57"/>
  <c r="E101" i="57"/>
  <c r="E100" i="57"/>
  <c r="E99" i="57"/>
  <c r="E98" i="57"/>
  <c r="E97" i="57"/>
  <c r="E96" i="57"/>
  <c r="E95" i="57"/>
  <c r="E94" i="57"/>
  <c r="E93" i="57"/>
  <c r="E92" i="57"/>
  <c r="E91" i="57"/>
  <c r="E90" i="57"/>
  <c r="E89" i="57"/>
  <c r="E88" i="57"/>
  <c r="E87" i="57"/>
  <c r="E86" i="57"/>
  <c r="E85" i="57"/>
  <c r="E84" i="57"/>
  <c r="E83" i="57"/>
  <c r="E82" i="57"/>
  <c r="E81" i="57"/>
  <c r="E80" i="57"/>
  <c r="E79" i="57"/>
  <c r="E78" i="57"/>
  <c r="E77" i="57"/>
  <c r="E76" i="57"/>
  <c r="E75" i="57"/>
  <c r="E74" i="57"/>
  <c r="E73" i="57"/>
  <c r="E72" i="57"/>
  <c r="E71" i="57"/>
  <c r="E70" i="57"/>
  <c r="E69" i="57"/>
  <c r="E68" i="57"/>
  <c r="E67" i="57"/>
  <c r="E66" i="57"/>
  <c r="E65" i="57"/>
  <c r="E64" i="57"/>
  <c r="E63" i="57"/>
  <c r="E62" i="57"/>
  <c r="E61" i="57"/>
  <c r="E60" i="57"/>
  <c r="E59" i="57"/>
  <c r="E58" i="57"/>
  <c r="E57" i="57"/>
  <c r="E56" i="57"/>
  <c r="E55" i="57"/>
  <c r="E54" i="57"/>
  <c r="E53" i="57"/>
  <c r="E52" i="57"/>
  <c r="E51" i="57"/>
  <c r="E50" i="57"/>
  <c r="E49" i="57"/>
  <c r="E48" i="57"/>
  <c r="E47" i="57"/>
  <c r="E46" i="57"/>
  <c r="E45" i="57"/>
  <c r="E44" i="57"/>
  <c r="E43" i="57"/>
  <c r="E42" i="57"/>
  <c r="E41" i="57"/>
  <c r="E40" i="57"/>
  <c r="E39" i="57"/>
  <c r="E38" i="57"/>
  <c r="E37" i="57"/>
  <c r="E36" i="57"/>
  <c r="E35" i="57"/>
  <c r="E34" i="57"/>
  <c r="E33" i="57"/>
  <c r="E32" i="57"/>
  <c r="E31" i="57"/>
  <c r="E30" i="57"/>
  <c r="E29" i="57"/>
  <c r="E28" i="57"/>
  <c r="E27" i="57"/>
  <c r="E26" i="57"/>
  <c r="E25" i="57"/>
  <c r="E24" i="57"/>
  <c r="E23" i="57"/>
  <c r="E22" i="57"/>
  <c r="E21" i="57"/>
  <c r="E20" i="57"/>
  <c r="E19" i="57"/>
  <c r="E18" i="57"/>
  <c r="E17" i="57"/>
  <c r="E16" i="57"/>
  <c r="E15" i="57"/>
  <c r="F14" i="57"/>
  <c r="D14" i="57"/>
  <c r="E7" i="57" s="1"/>
  <c r="C14" i="57"/>
  <c r="B14" i="57"/>
  <c r="F13" i="57"/>
  <c r="C13" i="57"/>
  <c r="B13" i="57"/>
  <c r="E13" i="57" s="1"/>
  <c r="F11" i="57"/>
  <c r="D4" i="57"/>
  <c r="F3" i="57"/>
  <c r="E3" i="57"/>
  <c r="D3" i="57"/>
  <c r="E304" i="56"/>
  <c r="E303" i="56"/>
  <c r="E302" i="56"/>
  <c r="E301" i="56"/>
  <c r="E300" i="56"/>
  <c r="E299" i="56"/>
  <c r="E298" i="56"/>
  <c r="E297" i="56"/>
  <c r="E296" i="56"/>
  <c r="E295" i="56"/>
  <c r="E294" i="56"/>
  <c r="E293" i="56"/>
  <c r="E292" i="56"/>
  <c r="E291" i="56"/>
  <c r="E290" i="56"/>
  <c r="E289" i="56"/>
  <c r="E288" i="56"/>
  <c r="E287" i="56"/>
  <c r="E286" i="56"/>
  <c r="E285" i="56"/>
  <c r="E284" i="56"/>
  <c r="E283" i="56"/>
  <c r="E282" i="56"/>
  <c r="E281" i="56"/>
  <c r="E280" i="56"/>
  <c r="E279" i="56"/>
  <c r="E278" i="56"/>
  <c r="E277" i="56"/>
  <c r="E276" i="56"/>
  <c r="E275" i="56"/>
  <c r="E274" i="56"/>
  <c r="E273" i="56"/>
  <c r="E272" i="56"/>
  <c r="E271" i="56"/>
  <c r="E270" i="56"/>
  <c r="E269" i="56"/>
  <c r="E268" i="56"/>
  <c r="E267" i="56"/>
  <c r="E266" i="56"/>
  <c r="E265" i="56"/>
  <c r="E264" i="56"/>
  <c r="E263" i="56"/>
  <c r="E262" i="56"/>
  <c r="E261" i="56"/>
  <c r="E260" i="56"/>
  <c r="E259" i="56"/>
  <c r="E258" i="56"/>
  <c r="E257" i="56"/>
  <c r="E256" i="56"/>
  <c r="E255" i="56"/>
  <c r="E254" i="56"/>
  <c r="E253" i="56"/>
  <c r="E252" i="56"/>
  <c r="E251" i="56"/>
  <c r="E250" i="56"/>
  <c r="E249" i="56"/>
  <c r="E248" i="56"/>
  <c r="E247" i="56"/>
  <c r="E246" i="56"/>
  <c r="E245" i="56"/>
  <c r="E244" i="56"/>
  <c r="E243" i="56"/>
  <c r="E242" i="56"/>
  <c r="E241" i="56"/>
  <c r="E240" i="56"/>
  <c r="E239" i="56"/>
  <c r="E238" i="56"/>
  <c r="E237" i="56"/>
  <c r="E236" i="56"/>
  <c r="E235" i="56"/>
  <c r="E234" i="56"/>
  <c r="E233" i="56"/>
  <c r="E232" i="56"/>
  <c r="E231" i="56"/>
  <c r="E230" i="56"/>
  <c r="E229" i="56"/>
  <c r="E228" i="56"/>
  <c r="E227" i="56"/>
  <c r="E226" i="56"/>
  <c r="E225" i="56"/>
  <c r="E224" i="56"/>
  <c r="E223" i="56"/>
  <c r="E222" i="56"/>
  <c r="E221" i="56"/>
  <c r="E220" i="56"/>
  <c r="E219" i="56"/>
  <c r="E218" i="56"/>
  <c r="E217" i="56"/>
  <c r="E216" i="56"/>
  <c r="E215" i="56"/>
  <c r="E214" i="56"/>
  <c r="E213" i="56"/>
  <c r="E212" i="56"/>
  <c r="E211" i="56"/>
  <c r="E210" i="56"/>
  <c r="E209" i="56"/>
  <c r="E208" i="56"/>
  <c r="E207" i="56"/>
  <c r="E206" i="56"/>
  <c r="E205" i="56"/>
  <c r="E204" i="56"/>
  <c r="E203" i="56"/>
  <c r="E202" i="56"/>
  <c r="E201" i="56"/>
  <c r="E200" i="56"/>
  <c r="E199" i="56"/>
  <c r="E198" i="56"/>
  <c r="E197" i="56"/>
  <c r="E196" i="56"/>
  <c r="E195" i="56"/>
  <c r="E194" i="56"/>
  <c r="E193" i="56"/>
  <c r="E192" i="56"/>
  <c r="E191" i="56"/>
  <c r="E190" i="56"/>
  <c r="E189" i="56"/>
  <c r="E188" i="56"/>
  <c r="E187" i="56"/>
  <c r="E186" i="56"/>
  <c r="E185" i="56"/>
  <c r="E184" i="56"/>
  <c r="E183" i="56"/>
  <c r="E182" i="56"/>
  <c r="E181" i="56"/>
  <c r="E180" i="56"/>
  <c r="E179" i="56"/>
  <c r="E178" i="56"/>
  <c r="E177" i="56"/>
  <c r="E176" i="56"/>
  <c r="E175" i="56"/>
  <c r="E174" i="56"/>
  <c r="E173" i="56"/>
  <c r="E172" i="56"/>
  <c r="E171" i="56"/>
  <c r="E170" i="56"/>
  <c r="E169" i="56"/>
  <c r="E168" i="56"/>
  <c r="E167" i="56"/>
  <c r="E166" i="56"/>
  <c r="E165" i="56"/>
  <c r="E164" i="56"/>
  <c r="E163" i="56"/>
  <c r="E162" i="56"/>
  <c r="E161" i="56"/>
  <c r="E160" i="56"/>
  <c r="E159" i="56"/>
  <c r="E158" i="56"/>
  <c r="E157" i="56"/>
  <c r="E156" i="56"/>
  <c r="E155" i="56"/>
  <c r="E154" i="56"/>
  <c r="E153" i="56"/>
  <c r="E152" i="56"/>
  <c r="E151" i="56"/>
  <c r="E150" i="56"/>
  <c r="E149" i="56"/>
  <c r="E148" i="56"/>
  <c r="E147" i="56"/>
  <c r="E146" i="56"/>
  <c r="E145" i="56"/>
  <c r="E144" i="56"/>
  <c r="E143" i="56"/>
  <c r="E142" i="56"/>
  <c r="E141" i="56"/>
  <c r="E140" i="56"/>
  <c r="E139" i="56"/>
  <c r="E138" i="56"/>
  <c r="E137" i="56"/>
  <c r="E136" i="56"/>
  <c r="E135" i="56"/>
  <c r="E134" i="56"/>
  <c r="E133" i="56"/>
  <c r="E132" i="56"/>
  <c r="E131" i="56"/>
  <c r="E130" i="56"/>
  <c r="E129" i="56"/>
  <c r="E128" i="56"/>
  <c r="E127" i="56"/>
  <c r="E126" i="56"/>
  <c r="E125" i="56"/>
  <c r="E124" i="56"/>
  <c r="E123" i="56"/>
  <c r="E122" i="56"/>
  <c r="E121" i="56"/>
  <c r="E120" i="56"/>
  <c r="E119" i="56"/>
  <c r="E118" i="56"/>
  <c r="E117" i="56"/>
  <c r="E116" i="56"/>
  <c r="E115" i="56"/>
  <c r="E114" i="56"/>
  <c r="E113" i="56"/>
  <c r="E112" i="56"/>
  <c r="E111" i="56"/>
  <c r="E110" i="56"/>
  <c r="E109" i="56"/>
  <c r="E108" i="56"/>
  <c r="E107" i="56"/>
  <c r="E106" i="56"/>
  <c r="E105" i="56"/>
  <c r="E104" i="56"/>
  <c r="E103" i="56"/>
  <c r="E102" i="56"/>
  <c r="E101" i="56"/>
  <c r="E100" i="56"/>
  <c r="E99" i="56"/>
  <c r="E98" i="56"/>
  <c r="E97" i="56"/>
  <c r="E96" i="56"/>
  <c r="E95" i="56"/>
  <c r="E94" i="56"/>
  <c r="E93" i="56"/>
  <c r="E92" i="56"/>
  <c r="E91" i="56"/>
  <c r="E90" i="56"/>
  <c r="E89" i="56"/>
  <c r="E88" i="56"/>
  <c r="E87" i="56"/>
  <c r="E86" i="56"/>
  <c r="E85" i="56"/>
  <c r="E84" i="56"/>
  <c r="E83" i="56"/>
  <c r="E82" i="56"/>
  <c r="E81" i="56"/>
  <c r="E80" i="56"/>
  <c r="E79" i="56"/>
  <c r="E78" i="56"/>
  <c r="E77" i="56"/>
  <c r="E76" i="56"/>
  <c r="E75" i="56"/>
  <c r="E74" i="56"/>
  <c r="E73" i="56"/>
  <c r="E72" i="56"/>
  <c r="E71" i="56"/>
  <c r="E70" i="56"/>
  <c r="E69" i="56"/>
  <c r="E68" i="56"/>
  <c r="E67" i="56"/>
  <c r="E66" i="56"/>
  <c r="E65" i="56"/>
  <c r="E64" i="56"/>
  <c r="E63" i="56"/>
  <c r="E62" i="56"/>
  <c r="E61" i="56"/>
  <c r="E60" i="56"/>
  <c r="E59" i="56"/>
  <c r="E58" i="56"/>
  <c r="E57" i="56"/>
  <c r="E56" i="56"/>
  <c r="E55" i="56"/>
  <c r="E54" i="56"/>
  <c r="E53" i="56"/>
  <c r="E52" i="56"/>
  <c r="E51" i="56"/>
  <c r="E50" i="56"/>
  <c r="E49" i="56"/>
  <c r="E48" i="56"/>
  <c r="E47" i="56"/>
  <c r="E46" i="56"/>
  <c r="E45" i="56"/>
  <c r="E44" i="56"/>
  <c r="E43" i="56"/>
  <c r="E42" i="56"/>
  <c r="E41" i="56"/>
  <c r="E40" i="56"/>
  <c r="E39" i="56"/>
  <c r="E38" i="56"/>
  <c r="E37" i="56"/>
  <c r="E36" i="56"/>
  <c r="E35" i="56"/>
  <c r="E34" i="56"/>
  <c r="E33" i="56"/>
  <c r="E32" i="56"/>
  <c r="E31" i="56"/>
  <c r="E30" i="56"/>
  <c r="E29" i="56"/>
  <c r="E28" i="56"/>
  <c r="E27" i="56"/>
  <c r="E26" i="56"/>
  <c r="E25" i="56"/>
  <c r="E24" i="56"/>
  <c r="E23" i="56"/>
  <c r="E22" i="56"/>
  <c r="E21" i="56"/>
  <c r="E20" i="56"/>
  <c r="E19" i="56"/>
  <c r="E18" i="56"/>
  <c r="E17" i="56"/>
  <c r="E16" i="56"/>
  <c r="E15" i="56"/>
  <c r="F14" i="56"/>
  <c r="D14" i="56"/>
  <c r="C14" i="56"/>
  <c r="B14" i="56"/>
  <c r="F13" i="56"/>
  <c r="C13" i="56"/>
  <c r="B13" i="56"/>
  <c r="F11" i="56"/>
  <c r="D4" i="56"/>
  <c r="F3" i="56"/>
  <c r="E3" i="56"/>
  <c r="D3" i="56"/>
  <c r="A34" i="55"/>
  <c r="C16" i="17"/>
  <c r="G23" i="54"/>
  <c r="F23" i="54"/>
  <c r="E23" i="54"/>
  <c r="D23" i="54"/>
  <c r="H22" i="54"/>
  <c r="H21" i="54"/>
  <c r="H20" i="54"/>
  <c r="D19" i="54"/>
  <c r="H18" i="54"/>
  <c r="G18" i="54" s="1"/>
  <c r="E18" i="54"/>
  <c r="H17" i="54"/>
  <c r="G17" i="54" s="1"/>
  <c r="E17" i="54"/>
  <c r="H16" i="54"/>
  <c r="G16" i="54" s="1"/>
  <c r="E16" i="54"/>
  <c r="H15" i="54"/>
  <c r="G15" i="54" s="1"/>
  <c r="E15" i="54"/>
  <c r="H14" i="54"/>
  <c r="G14" i="54" s="1"/>
  <c r="E14" i="54"/>
  <c r="H13" i="54"/>
  <c r="G13" i="54" s="1"/>
  <c r="E13" i="54"/>
  <c r="H12" i="54"/>
  <c r="E12" i="54"/>
  <c r="D10" i="54"/>
  <c r="H9" i="54"/>
  <c r="G9" i="54"/>
  <c r="E8" i="54"/>
  <c r="D8" i="17" s="1"/>
  <c r="B8" i="17" s="1"/>
  <c r="E7" i="54"/>
  <c r="D7" i="17" s="1"/>
  <c r="B7" i="17" s="1"/>
  <c r="E6" i="54"/>
  <c r="H3" i="54"/>
  <c r="E3" i="54"/>
  <c r="G2" i="54"/>
  <c r="E2" i="54"/>
  <c r="E35" i="53"/>
  <c r="E34" i="53"/>
  <c r="E26" i="53"/>
  <c r="E25" i="53"/>
  <c r="E24" i="53"/>
  <c r="E23" i="53"/>
  <c r="E22" i="53"/>
  <c r="E20" i="53"/>
  <c r="E19" i="53"/>
  <c r="E18" i="53"/>
  <c r="E17" i="53"/>
  <c r="E16" i="53"/>
  <c r="D15" i="53"/>
  <c r="D21" i="53" s="1"/>
  <c r="C15" i="53"/>
  <c r="C21" i="53" s="1"/>
  <c r="E14" i="53"/>
  <c r="C28" i="122" s="1"/>
  <c r="E13" i="53"/>
  <c r="E12" i="53"/>
  <c r="E11" i="53"/>
  <c r="E10" i="53"/>
  <c r="E9" i="53"/>
  <c r="E8" i="53"/>
  <c r="E7" i="53"/>
  <c r="E6" i="53"/>
  <c r="G3" i="53"/>
  <c r="E3" i="53"/>
  <c r="F2" i="53"/>
  <c r="E2" i="53"/>
  <c r="H26" i="52"/>
  <c r="H25" i="52"/>
  <c r="H24" i="52"/>
  <c r="H23" i="52"/>
  <c r="H22" i="52"/>
  <c r="H21" i="52"/>
  <c r="H20" i="52"/>
  <c r="H19" i="52"/>
  <c r="H18" i="52"/>
  <c r="H17" i="52"/>
  <c r="H16" i="52"/>
  <c r="H15" i="52"/>
  <c r="H14" i="52"/>
  <c r="G29" i="127" s="1"/>
  <c r="H13" i="52"/>
  <c r="H12" i="52"/>
  <c r="H11" i="52"/>
  <c r="H10" i="52"/>
  <c r="G28" i="127" s="1"/>
  <c r="H9" i="52"/>
  <c r="G27" i="127" s="1"/>
  <c r="H8" i="52"/>
  <c r="H7" i="52"/>
  <c r="H6" i="52"/>
  <c r="G11" i="127" s="1"/>
  <c r="H3" i="52"/>
  <c r="H43" i="51"/>
  <c r="H40" i="51"/>
  <c r="E23" i="127" s="1"/>
  <c r="H39" i="51"/>
  <c r="E22" i="127" s="1"/>
  <c r="H33" i="51"/>
  <c r="E15" i="127" s="1"/>
  <c r="H32" i="51"/>
  <c r="E14" i="127" s="1"/>
  <c r="H31" i="51"/>
  <c r="E11" i="127" s="1"/>
  <c r="D20" i="39" s="1"/>
  <c r="H30" i="51"/>
  <c r="E8" i="127" s="1"/>
  <c r="H29" i="51"/>
  <c r="E7" i="127" s="1"/>
  <c r="H28" i="51"/>
  <c r="H27" i="51"/>
  <c r="H26" i="51"/>
  <c r="H25" i="51"/>
  <c r="H24" i="51"/>
  <c r="H23" i="51"/>
  <c r="H22" i="51"/>
  <c r="H21" i="51"/>
  <c r="H20" i="51"/>
  <c r="H19" i="51"/>
  <c r="E13" i="127" s="1"/>
  <c r="H18" i="51"/>
  <c r="H17" i="51"/>
  <c r="C24" i="31" s="1"/>
  <c r="H16" i="51"/>
  <c r="H15" i="51"/>
  <c r="H14" i="51"/>
  <c r="H13" i="51"/>
  <c r="C27" i="31" s="1"/>
  <c r="H12" i="51"/>
  <c r="H11" i="51"/>
  <c r="H10" i="51"/>
  <c r="H9" i="51"/>
  <c r="G10" i="26" s="1"/>
  <c r="H8" i="51"/>
  <c r="F10" i="26" s="1"/>
  <c r="H7" i="51"/>
  <c r="E10" i="26" s="1"/>
  <c r="H6" i="51"/>
  <c r="H3" i="51"/>
  <c r="D46" i="50"/>
  <c r="H43" i="50"/>
  <c r="H42" i="50"/>
  <c r="H41" i="50"/>
  <c r="C24" i="127" s="1"/>
  <c r="H40" i="50"/>
  <c r="C23" i="127" s="1"/>
  <c r="H39" i="50"/>
  <c r="C22" i="127" s="1"/>
  <c r="H38" i="50"/>
  <c r="C21" i="127" s="1"/>
  <c r="H37" i="50"/>
  <c r="C20" i="127" s="1"/>
  <c r="H36" i="50"/>
  <c r="C19" i="127" s="1"/>
  <c r="H35" i="50"/>
  <c r="C18" i="127" s="1"/>
  <c r="H34" i="50"/>
  <c r="C17" i="127" s="1"/>
  <c r="H33" i="50"/>
  <c r="C15" i="127" s="1"/>
  <c r="H26" i="50"/>
  <c r="H25" i="50"/>
  <c r="C25" i="127" s="1"/>
  <c r="H24" i="50"/>
  <c r="H23" i="50"/>
  <c r="H22" i="50"/>
  <c r="H21" i="50"/>
  <c r="H20" i="50"/>
  <c r="H19" i="50"/>
  <c r="C13" i="127" s="1"/>
  <c r="H18" i="50"/>
  <c r="H17" i="50"/>
  <c r="E24" i="31" s="1"/>
  <c r="H16" i="50"/>
  <c r="H15" i="50"/>
  <c r="H14" i="50"/>
  <c r="H13" i="50"/>
  <c r="E27" i="31" s="1"/>
  <c r="H12" i="50"/>
  <c r="H11" i="50"/>
  <c r="H10" i="50"/>
  <c r="H9" i="50"/>
  <c r="G9" i="26" s="1"/>
  <c r="H8" i="50"/>
  <c r="F9" i="26" s="1"/>
  <c r="H7" i="50"/>
  <c r="E9" i="26" s="1"/>
  <c r="H6" i="50"/>
  <c r="H3" i="50"/>
  <c r="I17" i="49"/>
  <c r="I18" i="49" s="1"/>
  <c r="G17" i="49"/>
  <c r="G18" i="49" s="1"/>
  <c r="D17" i="49"/>
  <c r="D18" i="49" s="1"/>
  <c r="C17" i="49"/>
  <c r="C18" i="122" s="1"/>
  <c r="H16" i="49"/>
  <c r="J16" i="49" s="1"/>
  <c r="E16" i="49"/>
  <c r="H15" i="49"/>
  <c r="J15" i="49" s="1"/>
  <c r="E15" i="49"/>
  <c r="H14" i="49"/>
  <c r="J14" i="49" s="1"/>
  <c r="E14" i="49"/>
  <c r="E13" i="49"/>
  <c r="H12" i="49"/>
  <c r="C12" i="49"/>
  <c r="H11" i="49"/>
  <c r="J11" i="49" s="1"/>
  <c r="E11" i="49"/>
  <c r="H10" i="49"/>
  <c r="C10" i="49"/>
  <c r="C15" i="122" s="1"/>
  <c r="H4" i="49"/>
  <c r="J3" i="49"/>
  <c r="I3" i="49"/>
  <c r="H3" i="49"/>
  <c r="G55" i="48"/>
  <c r="F55" i="48" s="1"/>
  <c r="G54" i="48"/>
  <c r="F54" i="48" s="1"/>
  <c r="G53" i="48"/>
  <c r="G52" i="48"/>
  <c r="F52" i="48" s="1"/>
  <c r="G51" i="48"/>
  <c r="E50" i="48"/>
  <c r="C50" i="48"/>
  <c r="G49" i="48"/>
  <c r="F49" i="48" s="1"/>
  <c r="G48" i="48"/>
  <c r="F48" i="48" s="1"/>
  <c r="G47" i="48"/>
  <c r="F47" i="48" s="1"/>
  <c r="G46" i="48"/>
  <c r="F46" i="48" s="1"/>
  <c r="G45" i="48"/>
  <c r="F45" i="48" s="1"/>
  <c r="G44" i="48"/>
  <c r="F44" i="48" s="1"/>
  <c r="G43" i="48"/>
  <c r="F43" i="48" s="1"/>
  <c r="G42" i="48"/>
  <c r="F42" i="48" s="1"/>
  <c r="G41" i="48"/>
  <c r="F41" i="48" s="1"/>
  <c r="G40" i="48"/>
  <c r="F40" i="48" s="1"/>
  <c r="G39" i="48"/>
  <c r="F39" i="48" s="1"/>
  <c r="G38" i="48"/>
  <c r="F38" i="48" s="1"/>
  <c r="G37" i="48"/>
  <c r="F37" i="48" s="1"/>
  <c r="E36" i="48"/>
  <c r="C17" i="48" s="1"/>
  <c r="D51" i="83" s="1"/>
  <c r="C36" i="48"/>
  <c r="E32" i="48"/>
  <c r="F31" i="48"/>
  <c r="E31" i="48"/>
  <c r="G25" i="48"/>
  <c r="F24" i="48"/>
  <c r="F23" i="48"/>
  <c r="E59" i="83" s="1"/>
  <c r="C22" i="48"/>
  <c r="F21" i="48"/>
  <c r="F20" i="48"/>
  <c r="E55" i="83" s="1"/>
  <c r="C19" i="48"/>
  <c r="D43" i="83" s="1"/>
  <c r="F18" i="48"/>
  <c r="E47" i="83" s="1"/>
  <c r="F14" i="48"/>
  <c r="E35" i="83" s="1"/>
  <c r="F13" i="48"/>
  <c r="E31" i="83" s="1"/>
  <c r="C12" i="48"/>
  <c r="D27" i="83" s="1"/>
  <c r="C11" i="48"/>
  <c r="D23" i="83" s="1"/>
  <c r="C10" i="48"/>
  <c r="D19" i="83" s="1"/>
  <c r="C9" i="48"/>
  <c r="D15" i="83" s="1"/>
  <c r="F8" i="48"/>
  <c r="E11" i="83" s="1"/>
  <c r="F7" i="48"/>
  <c r="E7" i="83" s="1"/>
  <c r="E4" i="48"/>
  <c r="F3" i="48"/>
  <c r="E3" i="48"/>
  <c r="E42" i="47"/>
  <c r="G41" i="47"/>
  <c r="F41" i="47" s="1"/>
  <c r="E4" i="47"/>
  <c r="G3" i="47"/>
  <c r="F3" i="47"/>
  <c r="E3" i="47"/>
  <c r="H20" i="46"/>
  <c r="G20" i="46"/>
  <c r="E20" i="46"/>
  <c r="F19" i="46"/>
  <c r="F18" i="46"/>
  <c r="F17" i="46"/>
  <c r="F16" i="46"/>
  <c r="F15" i="46"/>
  <c r="F14" i="46"/>
  <c r="F13" i="46"/>
  <c r="F12" i="46"/>
  <c r="F11" i="46"/>
  <c r="F10" i="46"/>
  <c r="F9" i="46"/>
  <c r="K8" i="46"/>
  <c r="F8" i="46"/>
  <c r="C8" i="46"/>
  <c r="K4" i="46"/>
  <c r="M3" i="46"/>
  <c r="K3" i="46"/>
  <c r="E14" i="45"/>
  <c r="E19" i="45" s="1"/>
  <c r="E25" i="45" s="1"/>
  <c r="E40" i="45" s="1"/>
  <c r="D14" i="45"/>
  <c r="F5" i="45"/>
  <c r="J4" i="45"/>
  <c r="H4" i="45"/>
  <c r="F4" i="45"/>
  <c r="E40" i="44"/>
  <c r="G40" i="44" s="1"/>
  <c r="E39" i="44"/>
  <c r="G39" i="44" s="1"/>
  <c r="E38" i="44"/>
  <c r="G38" i="44" s="1"/>
  <c r="E37" i="44"/>
  <c r="G37" i="44" s="1"/>
  <c r="E36" i="44"/>
  <c r="G36" i="44" s="1"/>
  <c r="E35" i="44"/>
  <c r="G35" i="44" s="1"/>
  <c r="E34" i="44"/>
  <c r="G34" i="44" s="1"/>
  <c r="E33" i="44"/>
  <c r="G33" i="44" s="1"/>
  <c r="E32" i="44"/>
  <c r="G32" i="44" s="1"/>
  <c r="E31" i="44"/>
  <c r="G31" i="44" s="1"/>
  <c r="E30" i="44"/>
  <c r="G30" i="44" s="1"/>
  <c r="E29" i="44"/>
  <c r="G29" i="44" s="1"/>
  <c r="E28" i="44"/>
  <c r="G28" i="44" s="1"/>
  <c r="E27" i="44"/>
  <c r="G27" i="44" s="1"/>
  <c r="E26" i="44"/>
  <c r="G26" i="44" s="1"/>
  <c r="E25" i="44"/>
  <c r="G25" i="44" s="1"/>
  <c r="E24" i="44"/>
  <c r="G24" i="44" s="1"/>
  <c r="E23" i="44"/>
  <c r="G23" i="44" s="1"/>
  <c r="E22" i="44"/>
  <c r="G22" i="44" s="1"/>
  <c r="F21" i="44"/>
  <c r="D21" i="44"/>
  <c r="C21" i="44"/>
  <c r="B21" i="44"/>
  <c r="E20" i="44"/>
  <c r="G20" i="44" s="1"/>
  <c r="E19" i="44"/>
  <c r="G19" i="44" s="1"/>
  <c r="E18" i="44"/>
  <c r="G18" i="44" s="1"/>
  <c r="E17" i="44"/>
  <c r="G17" i="44" s="1"/>
  <c r="E16" i="44"/>
  <c r="G16" i="44" s="1"/>
  <c r="E15" i="44"/>
  <c r="G15" i="44" s="1"/>
  <c r="E14" i="44"/>
  <c r="G14" i="44" s="1"/>
  <c r="F13" i="44"/>
  <c r="D13" i="44"/>
  <c r="C13" i="44"/>
  <c r="B13" i="44"/>
  <c r="E12" i="44"/>
  <c r="G12" i="44" s="1"/>
  <c r="E11" i="44"/>
  <c r="G11" i="44" s="1"/>
  <c r="E10" i="44"/>
  <c r="G10" i="44" s="1"/>
  <c r="F9" i="44"/>
  <c r="D9" i="44"/>
  <c r="C9" i="44"/>
  <c r="B9" i="44"/>
  <c r="F5" i="44"/>
  <c r="G4" i="44"/>
  <c r="F4" i="44"/>
  <c r="G2" i="44"/>
  <c r="F34" i="43"/>
  <c r="E34" i="43"/>
  <c r="D34" i="43"/>
  <c r="C34" i="43"/>
  <c r="F19" i="43"/>
  <c r="E19" i="43"/>
  <c r="D19" i="43"/>
  <c r="C19" i="43"/>
  <c r="F18" i="43"/>
  <c r="E18" i="43"/>
  <c r="D18" i="43"/>
  <c r="C18" i="43"/>
  <c r="F17" i="43"/>
  <c r="E17" i="43"/>
  <c r="D17" i="43"/>
  <c r="C17" i="43"/>
  <c r="F16" i="43"/>
  <c r="E16" i="43"/>
  <c r="D16" i="43"/>
  <c r="C16" i="43"/>
  <c r="F15" i="43"/>
  <c r="E15" i="43"/>
  <c r="D15" i="43"/>
  <c r="C15" i="43"/>
  <c r="F14" i="43"/>
  <c r="E14" i="43"/>
  <c r="D14" i="43"/>
  <c r="C14" i="43"/>
  <c r="F13" i="43"/>
  <c r="E13" i="43"/>
  <c r="D13" i="43"/>
  <c r="C13" i="43"/>
  <c r="F12" i="43"/>
  <c r="E12" i="43"/>
  <c r="D12" i="43"/>
  <c r="C12" i="43"/>
  <c r="F11" i="43"/>
  <c r="E11" i="43"/>
  <c r="D11" i="43"/>
  <c r="C11" i="43"/>
  <c r="F10" i="43"/>
  <c r="E10" i="43"/>
  <c r="D10" i="43"/>
  <c r="C10" i="43"/>
  <c r="F9" i="43"/>
  <c r="E9" i="43"/>
  <c r="D9" i="43"/>
  <c r="C9" i="43"/>
  <c r="F8" i="43"/>
  <c r="E8" i="43"/>
  <c r="D8" i="43"/>
  <c r="C8" i="43"/>
  <c r="F5" i="43"/>
  <c r="G4" i="43"/>
  <c r="F4" i="43"/>
  <c r="K24" i="42"/>
  <c r="K25" i="42" s="1"/>
  <c r="I24" i="42"/>
  <c r="F24" i="42"/>
  <c r="E24" i="42"/>
  <c r="D24" i="42"/>
  <c r="J23" i="42"/>
  <c r="H23" i="42"/>
  <c r="J22" i="42"/>
  <c r="G22" i="42"/>
  <c r="H22" i="42" s="1"/>
  <c r="J21" i="42"/>
  <c r="G21" i="42"/>
  <c r="J20" i="42"/>
  <c r="G20" i="42"/>
  <c r="C12" i="47" s="1"/>
  <c r="J19" i="42"/>
  <c r="G19" i="42"/>
  <c r="H19" i="42" s="1"/>
  <c r="J18" i="42"/>
  <c r="G18" i="42"/>
  <c r="H18" i="42" s="1"/>
  <c r="J17" i="42"/>
  <c r="G17" i="42"/>
  <c r="C11" i="47" s="1"/>
  <c r="J16" i="42"/>
  <c r="G16" i="42"/>
  <c r="C10" i="47" s="1"/>
  <c r="J15" i="42"/>
  <c r="G15" i="42"/>
  <c r="C9" i="47" s="1"/>
  <c r="J14" i="42"/>
  <c r="G14" i="42"/>
  <c r="I13" i="42"/>
  <c r="F13" i="42"/>
  <c r="D13" i="42"/>
  <c r="J12" i="42"/>
  <c r="H12" i="42"/>
  <c r="J11" i="42"/>
  <c r="G11" i="42"/>
  <c r="H11" i="42" s="1"/>
  <c r="E10" i="42"/>
  <c r="C8" i="49" s="1"/>
  <c r="C13" i="122" s="1"/>
  <c r="J9" i="42"/>
  <c r="J8" i="42"/>
  <c r="G8" i="42"/>
  <c r="I4" i="42"/>
  <c r="K3" i="42"/>
  <c r="J3" i="42"/>
  <c r="I3" i="42"/>
  <c r="H39" i="41"/>
  <c r="G37" i="41"/>
  <c r="G40" i="41" s="1"/>
  <c r="C11" i="124" s="1"/>
  <c r="F37" i="41"/>
  <c r="F40" i="41" s="1"/>
  <c r="E37" i="41"/>
  <c r="D37" i="41"/>
  <c r="C37" i="41"/>
  <c r="H36" i="41"/>
  <c r="H35" i="41"/>
  <c r="H34" i="41"/>
  <c r="H33" i="41"/>
  <c r="H32" i="41"/>
  <c r="H31" i="41"/>
  <c r="H30" i="41"/>
  <c r="H29" i="41"/>
  <c r="H28" i="41"/>
  <c r="H27" i="41"/>
  <c r="H26" i="41"/>
  <c r="H25" i="41"/>
  <c r="H22" i="41"/>
  <c r="G20" i="41"/>
  <c r="G23" i="41" s="1"/>
  <c r="C11" i="122" s="1"/>
  <c r="F20" i="41"/>
  <c r="F23" i="41" s="1"/>
  <c r="C10" i="122" s="1"/>
  <c r="E20" i="41"/>
  <c r="E23" i="41" s="1"/>
  <c r="C9" i="122" s="1"/>
  <c r="D20" i="41"/>
  <c r="D23" i="41" s="1"/>
  <c r="C20" i="41"/>
  <c r="H19" i="41"/>
  <c r="H18" i="41"/>
  <c r="H17" i="41"/>
  <c r="H16" i="41"/>
  <c r="H15" i="41"/>
  <c r="H14" i="41"/>
  <c r="H13" i="41"/>
  <c r="H12" i="41"/>
  <c r="H11" i="41"/>
  <c r="H10" i="41"/>
  <c r="H9" i="41"/>
  <c r="H8" i="41"/>
  <c r="F5" i="41"/>
  <c r="H4" i="41"/>
  <c r="F4" i="41"/>
  <c r="H2" i="41"/>
  <c r="D38" i="39"/>
  <c r="D64" i="197" s="1"/>
  <c r="B38" i="39"/>
  <c r="B64" i="197" s="1"/>
  <c r="D37" i="39"/>
  <c r="D63" i="197" s="1"/>
  <c r="B37" i="39"/>
  <c r="B63" i="197" s="1"/>
  <c r="F36" i="39"/>
  <c r="F101" i="197" s="1"/>
  <c r="F35" i="39"/>
  <c r="E35" i="39"/>
  <c r="D34" i="39"/>
  <c r="D61" i="197" s="1"/>
  <c r="B34" i="39"/>
  <c r="B61" i="197" s="1"/>
  <c r="D32" i="39"/>
  <c r="D60" i="197" s="1"/>
  <c r="B32" i="39"/>
  <c r="B60" i="197" s="1"/>
  <c r="F30" i="39"/>
  <c r="D29" i="39"/>
  <c r="D28" i="39"/>
  <c r="D58" i="197" s="1"/>
  <c r="B28" i="39"/>
  <c r="B58" i="197" s="1"/>
  <c r="F27" i="39"/>
  <c r="F98" i="197" s="1"/>
  <c r="D26" i="39"/>
  <c r="D57" i="197" s="1"/>
  <c r="B26" i="39"/>
  <c r="B57" i="197" s="1"/>
  <c r="D25" i="39"/>
  <c r="D56" i="197" s="1"/>
  <c r="B25" i="39"/>
  <c r="B56" i="197" s="1"/>
  <c r="D24" i="39"/>
  <c r="C31" i="128" s="1"/>
  <c r="D52" i="197" s="1"/>
  <c r="D23" i="39"/>
  <c r="D55" i="197" s="1"/>
  <c r="B23" i="39"/>
  <c r="B55" i="197" s="1"/>
  <c r="D22" i="39"/>
  <c r="D54" i="197" s="1"/>
  <c r="B22" i="39"/>
  <c r="B54" i="197" s="1"/>
  <c r="F14" i="39"/>
  <c r="F71" i="197" s="1"/>
  <c r="F13" i="39"/>
  <c r="F70" i="197" s="1"/>
  <c r="F12" i="39"/>
  <c r="F34" i="197" s="1"/>
  <c r="F11" i="39"/>
  <c r="F9" i="39"/>
  <c r="F38" i="197" s="1"/>
  <c r="F8" i="39"/>
  <c r="D4" i="39"/>
  <c r="F3" i="39"/>
  <c r="E3" i="39"/>
  <c r="D3" i="39"/>
  <c r="G16" i="189"/>
  <c r="G15" i="189"/>
  <c r="G14" i="189"/>
  <c r="G13" i="189"/>
  <c r="F12" i="189"/>
  <c r="E12" i="189"/>
  <c r="D12" i="189"/>
  <c r="C12" i="189"/>
  <c r="G11" i="189"/>
  <c r="G10" i="189"/>
  <c r="G9" i="189"/>
  <c r="F8" i="189"/>
  <c r="E8" i="189"/>
  <c r="D8" i="189"/>
  <c r="C8" i="189"/>
  <c r="M13" i="164"/>
  <c r="M13" i="132" s="1"/>
  <c r="D50" i="197" s="1"/>
  <c r="L13" i="164"/>
  <c r="L13" i="132" s="1"/>
  <c r="F13" i="164"/>
  <c r="E13" i="164"/>
  <c r="E13" i="132" s="1"/>
  <c r="D13" i="164"/>
  <c r="D13" i="132" s="1"/>
  <c r="N12" i="164"/>
  <c r="N12" i="132" s="1"/>
  <c r="C12" i="164"/>
  <c r="N11" i="164"/>
  <c r="N11" i="132" s="1"/>
  <c r="N10" i="164"/>
  <c r="N10" i="132" s="1"/>
  <c r="N9" i="164"/>
  <c r="N9" i="132" s="1"/>
  <c r="N8" i="164"/>
  <c r="N8" i="132" s="1"/>
  <c r="N7" i="164"/>
  <c r="I15" i="163"/>
  <c r="I15" i="131" s="1"/>
  <c r="H15" i="163"/>
  <c r="H15" i="131" s="1"/>
  <c r="G15" i="163"/>
  <c r="G15" i="131" s="1"/>
  <c r="F15" i="163"/>
  <c r="F15" i="131" s="1"/>
  <c r="D15" i="163"/>
  <c r="D15" i="131" s="1"/>
  <c r="C15" i="163"/>
  <c r="K14" i="163"/>
  <c r="K14" i="131" s="1"/>
  <c r="J14" i="163"/>
  <c r="J14" i="131" s="1"/>
  <c r="E14" i="163"/>
  <c r="E14" i="131" s="1"/>
  <c r="K13" i="163"/>
  <c r="K13" i="131" s="1"/>
  <c r="J13" i="163"/>
  <c r="J13" i="131" s="1"/>
  <c r="E13" i="163"/>
  <c r="E13" i="131" s="1"/>
  <c r="K12" i="163"/>
  <c r="K12" i="131" s="1"/>
  <c r="J12" i="163"/>
  <c r="J12" i="131" s="1"/>
  <c r="E12" i="163"/>
  <c r="E12" i="131" s="1"/>
  <c r="K11" i="163"/>
  <c r="J11" i="163"/>
  <c r="J11" i="131" s="1"/>
  <c r="E11" i="163"/>
  <c r="E11" i="131" s="1"/>
  <c r="K10" i="163"/>
  <c r="K10" i="131" s="1"/>
  <c r="J10" i="163"/>
  <c r="J10" i="131" s="1"/>
  <c r="E10" i="163"/>
  <c r="E10" i="131" s="1"/>
  <c r="K9" i="163"/>
  <c r="K9" i="131" s="1"/>
  <c r="J9" i="163"/>
  <c r="J9" i="131" s="1"/>
  <c r="E9" i="163"/>
  <c r="E9" i="131" s="1"/>
  <c r="K8" i="163"/>
  <c r="K8" i="131" s="1"/>
  <c r="J8" i="163"/>
  <c r="J8" i="131" s="1"/>
  <c r="E8" i="163"/>
  <c r="E8" i="131" s="1"/>
  <c r="K7" i="163"/>
  <c r="J7" i="163"/>
  <c r="J7" i="131" s="1"/>
  <c r="E7" i="163"/>
  <c r="E7" i="131" s="1"/>
  <c r="K6" i="163"/>
  <c r="K6" i="131" s="1"/>
  <c r="E6" i="163"/>
  <c r="H18" i="162"/>
  <c r="H18" i="130" s="1"/>
  <c r="H17" i="162"/>
  <c r="H17" i="130" s="1"/>
  <c r="H16" i="162"/>
  <c r="H16" i="130" s="1"/>
  <c r="H15" i="162"/>
  <c r="H15" i="130" s="1"/>
  <c r="G14" i="162"/>
  <c r="G14" i="130" s="1"/>
  <c r="F14" i="162"/>
  <c r="F14" i="130" s="1"/>
  <c r="E14" i="162"/>
  <c r="E14" i="130" s="1"/>
  <c r="D14" i="162"/>
  <c r="D14" i="130" s="1"/>
  <c r="C14" i="162"/>
  <c r="C14" i="130" s="1"/>
  <c r="H13" i="162"/>
  <c r="H13" i="130" s="1"/>
  <c r="H12" i="162"/>
  <c r="H12" i="130" s="1"/>
  <c r="H11" i="162"/>
  <c r="H11" i="130" s="1"/>
  <c r="G10" i="162"/>
  <c r="G10" i="130" s="1"/>
  <c r="F10" i="162"/>
  <c r="F10" i="130" s="1"/>
  <c r="E10" i="162"/>
  <c r="E10" i="130" s="1"/>
  <c r="D10" i="162"/>
  <c r="D10" i="130" s="1"/>
  <c r="C10" i="162"/>
  <c r="C10" i="130" s="1"/>
  <c r="H9" i="162"/>
  <c r="H9" i="130" s="1"/>
  <c r="H8" i="162"/>
  <c r="H8" i="130" s="1"/>
  <c r="H7" i="162"/>
  <c r="H7" i="130" s="1"/>
  <c r="G6" i="162"/>
  <c r="G6" i="130" s="1"/>
  <c r="F6" i="162"/>
  <c r="E6" i="162"/>
  <c r="D6" i="162"/>
  <c r="D6" i="130" s="1"/>
  <c r="C6" i="162"/>
  <c r="D36" i="161"/>
  <c r="D33" i="129" s="1"/>
  <c r="D35" i="161"/>
  <c r="D32" i="129" s="1"/>
  <c r="C33" i="161"/>
  <c r="C30" i="129" s="1"/>
  <c r="D32" i="161"/>
  <c r="D29" i="129" s="1"/>
  <c r="D31" i="161"/>
  <c r="D28" i="129" s="1"/>
  <c r="C29" i="161"/>
  <c r="D27" i="161"/>
  <c r="D24" i="129" s="1"/>
  <c r="D26" i="161"/>
  <c r="D23" i="129" s="1"/>
  <c r="D25" i="161"/>
  <c r="D22" i="129" s="1"/>
  <c r="D24" i="161"/>
  <c r="D21" i="129" s="1"/>
  <c r="D23" i="161"/>
  <c r="D20" i="129" s="1"/>
  <c r="D22" i="161"/>
  <c r="D19" i="129" s="1"/>
  <c r="D21" i="161"/>
  <c r="D18" i="129" s="1"/>
  <c r="D20" i="161"/>
  <c r="D17" i="129" s="1"/>
  <c r="D19" i="161"/>
  <c r="D16" i="129" s="1"/>
  <c r="C18" i="161"/>
  <c r="C15" i="129" s="1"/>
  <c r="D17" i="128" s="1"/>
  <c r="E92" i="197" s="1"/>
  <c r="D17" i="161"/>
  <c r="D14" i="129" s="1"/>
  <c r="D16" i="161"/>
  <c r="D13" i="129" s="1"/>
  <c r="D15" i="161"/>
  <c r="D12" i="129" s="1"/>
  <c r="D14" i="161"/>
  <c r="D11" i="129" s="1"/>
  <c r="D13" i="161"/>
  <c r="D10" i="129" s="1"/>
  <c r="D12" i="161"/>
  <c r="D9" i="129" s="1"/>
  <c r="D11" i="161"/>
  <c r="D8" i="129" s="1"/>
  <c r="D10" i="161"/>
  <c r="D7" i="129" s="1"/>
  <c r="D9" i="161"/>
  <c r="D6" i="129" s="1"/>
  <c r="C8" i="161"/>
  <c r="F17" i="85"/>
  <c r="D17" i="85"/>
  <c r="M17" i="90" s="1" a="1"/>
  <c r="M17" i="90" s="1"/>
  <c r="E4" i="85"/>
  <c r="F3" i="85"/>
  <c r="E3" i="85"/>
  <c r="E3" i="84"/>
  <c r="G2" i="84"/>
  <c r="E2" i="84"/>
  <c r="A16" i="38"/>
  <c r="F15" i="38"/>
  <c r="A15" i="38"/>
  <c r="F14" i="38"/>
  <c r="A14" i="38"/>
  <c r="F13" i="38"/>
  <c r="F7" i="143" s="1"/>
  <c r="A13" i="38"/>
  <c r="F12" i="38"/>
  <c r="A12" i="38"/>
  <c r="F11" i="38"/>
  <c r="A11" i="38"/>
  <c r="F10" i="38"/>
  <c r="A10" i="38"/>
  <c r="F9" i="38"/>
  <c r="A9" i="38"/>
  <c r="F8" i="38"/>
  <c r="A8" i="38"/>
  <c r="F7" i="38"/>
  <c r="A7" i="38"/>
  <c r="E4" i="38"/>
  <c r="H3" i="38"/>
  <c r="F3" i="38"/>
  <c r="E3" i="38"/>
  <c r="D18" i="36"/>
  <c r="D28" i="36" s="1"/>
  <c r="D17" i="36"/>
  <c r="D16" i="36"/>
  <c r="D14" i="36"/>
  <c r="D13" i="36"/>
  <c r="D12" i="36"/>
  <c r="D11" i="36"/>
  <c r="D66" i="197" s="1"/>
  <c r="D9" i="36"/>
  <c r="D8" i="36"/>
  <c r="F4" i="36"/>
  <c r="J3" i="36"/>
  <c r="H3" i="36"/>
  <c r="F3" i="36"/>
  <c r="I18" i="35"/>
  <c r="D22" i="128" s="1"/>
  <c r="H18" i="35"/>
  <c r="D18" i="35"/>
  <c r="J17" i="35"/>
  <c r="J16" i="35"/>
  <c r="J15" i="35"/>
  <c r="J14" i="35"/>
  <c r="J13" i="35"/>
  <c r="J12" i="35"/>
  <c r="J11" i="35"/>
  <c r="J10" i="35"/>
  <c r="J9" i="35"/>
  <c r="J8" i="35"/>
  <c r="K4" i="35"/>
  <c r="H4" i="35"/>
  <c r="J3" i="35"/>
  <c r="H3" i="35"/>
  <c r="I15" i="34"/>
  <c r="D15" i="34"/>
  <c r="C15" i="34"/>
  <c r="J14" i="34"/>
  <c r="C13" i="135" s="1"/>
  <c r="J13" i="34"/>
  <c r="C12" i="135" s="1"/>
  <c r="J12" i="34"/>
  <c r="C11" i="135" s="1"/>
  <c r="J11" i="34"/>
  <c r="C10" i="135" s="1"/>
  <c r="J10" i="34"/>
  <c r="C9" i="135" s="1"/>
  <c r="J9" i="34"/>
  <c r="C8" i="135" s="1"/>
  <c r="J8" i="34"/>
  <c r="C7" i="135" s="1"/>
  <c r="J7" i="34"/>
  <c r="H4" i="34"/>
  <c r="J3" i="34"/>
  <c r="I3" i="34"/>
  <c r="H3" i="34"/>
  <c r="J34" i="33"/>
  <c r="G23" i="33"/>
  <c r="J20" i="33"/>
  <c r="E20" i="33"/>
  <c r="J19" i="33"/>
  <c r="G19" i="33" s="1"/>
  <c r="J18" i="33"/>
  <c r="G18" i="33" s="1"/>
  <c r="J17" i="33"/>
  <c r="G17" i="33" s="1"/>
  <c r="J16" i="33"/>
  <c r="E15" i="33"/>
  <c r="J14" i="33"/>
  <c r="G14" i="33" s="1"/>
  <c r="J13" i="33"/>
  <c r="G13" i="33" s="1"/>
  <c r="J12" i="33"/>
  <c r="G12" i="33" s="1"/>
  <c r="J11" i="33"/>
  <c r="G11" i="33" s="1"/>
  <c r="J10" i="33"/>
  <c r="G10" i="33" s="1"/>
  <c r="J9" i="33"/>
  <c r="G9" i="33" s="1"/>
  <c r="J8" i="33"/>
  <c r="G8" i="33" s="1"/>
  <c r="E7" i="33"/>
  <c r="K4" i="33"/>
  <c r="F4" i="33"/>
  <c r="J3" i="33"/>
  <c r="F3" i="33"/>
  <c r="J36" i="32"/>
  <c r="H36" i="32"/>
  <c r="F36" i="32"/>
  <c r="D16" i="31" s="1"/>
  <c r="D36" i="32"/>
  <c r="B36" i="32"/>
  <c r="D15" i="31" s="1"/>
  <c r="C14" i="133" s="1"/>
  <c r="J21" i="32"/>
  <c r="H21" i="32"/>
  <c r="F21" i="32"/>
  <c r="E17" i="31" s="1"/>
  <c r="D21" i="32"/>
  <c r="B21" i="32"/>
  <c r="G5" i="32"/>
  <c r="I4" i="32"/>
  <c r="G4" i="32"/>
  <c r="F19" i="31"/>
  <c r="F18" i="31"/>
  <c r="E5" i="31"/>
  <c r="G4" i="31"/>
  <c r="F4" i="31"/>
  <c r="E4" i="31"/>
  <c r="O24" i="30"/>
  <c r="K24" i="30"/>
  <c r="E23" i="136" s="1"/>
  <c r="E24" i="30"/>
  <c r="F23" i="136" s="1"/>
  <c r="O23" i="30"/>
  <c r="E23" i="30"/>
  <c r="F22" i="136" s="1"/>
  <c r="O21" i="30"/>
  <c r="O20" i="30"/>
  <c r="K20" i="30"/>
  <c r="E19" i="136" s="1"/>
  <c r="E20" i="30"/>
  <c r="F19" i="136" s="1"/>
  <c r="O19" i="30"/>
  <c r="K19" i="30"/>
  <c r="E18" i="136" s="1"/>
  <c r="E19" i="30"/>
  <c r="F18" i="136" s="1"/>
  <c r="O18" i="30"/>
  <c r="K18" i="30"/>
  <c r="E18" i="30"/>
  <c r="F17" i="136" s="1"/>
  <c r="M17" i="30"/>
  <c r="J17" i="30"/>
  <c r="I17" i="30"/>
  <c r="G17" i="30"/>
  <c r="F17" i="30"/>
  <c r="D17" i="30"/>
  <c r="C17" i="30"/>
  <c r="O16" i="30"/>
  <c r="K16" i="30"/>
  <c r="E16" i="30"/>
  <c r="O15" i="30"/>
  <c r="K15" i="30"/>
  <c r="E15" i="30"/>
  <c r="O14" i="30"/>
  <c r="K14" i="30"/>
  <c r="E14" i="30"/>
  <c r="O13" i="30"/>
  <c r="K13" i="30"/>
  <c r="E13" i="30"/>
  <c r="M12" i="30"/>
  <c r="J12" i="30"/>
  <c r="J7" i="30" s="1"/>
  <c r="I12" i="30"/>
  <c r="G12" i="30"/>
  <c r="G7" i="30" s="1"/>
  <c r="F12" i="30"/>
  <c r="F7" i="30" s="1"/>
  <c r="D12" i="30"/>
  <c r="D7" i="30" s="1"/>
  <c r="C12" i="30"/>
  <c r="O10" i="30"/>
  <c r="K10" i="30"/>
  <c r="E27" i="136" s="1"/>
  <c r="E10" i="30"/>
  <c r="O9" i="30"/>
  <c r="K9" i="30"/>
  <c r="E26" i="136" s="1"/>
  <c r="E9" i="30"/>
  <c r="O8" i="30"/>
  <c r="K8" i="30"/>
  <c r="E25" i="136" s="1"/>
  <c r="E8" i="30"/>
  <c r="F25" i="136" s="1"/>
  <c r="O3" i="30"/>
  <c r="H3" i="30"/>
  <c r="K2" i="30"/>
  <c r="H2" i="30"/>
  <c r="J1004" i="29"/>
  <c r="I1004" i="29"/>
  <c r="F1004" i="29"/>
  <c r="J1003" i="29"/>
  <c r="I1003" i="29"/>
  <c r="F1003" i="29"/>
  <c r="J1002" i="29"/>
  <c r="I1002" i="29"/>
  <c r="F1002" i="29"/>
  <c r="J1001" i="29"/>
  <c r="I1001" i="29"/>
  <c r="F1001" i="29"/>
  <c r="J1000" i="29"/>
  <c r="I1000" i="29"/>
  <c r="F1000" i="29"/>
  <c r="J999" i="29"/>
  <c r="I999" i="29"/>
  <c r="F999" i="29"/>
  <c r="J998" i="29"/>
  <c r="I998" i="29"/>
  <c r="F998" i="29"/>
  <c r="J997" i="29"/>
  <c r="I997" i="29"/>
  <c r="F997" i="29"/>
  <c r="J996" i="29"/>
  <c r="I996" i="29"/>
  <c r="F996" i="29"/>
  <c r="J995" i="29"/>
  <c r="I995" i="29"/>
  <c r="F995" i="29"/>
  <c r="J994" i="29"/>
  <c r="I994" i="29"/>
  <c r="F994" i="29"/>
  <c r="J993" i="29"/>
  <c r="I993" i="29"/>
  <c r="F993" i="29"/>
  <c r="J992" i="29"/>
  <c r="I992" i="29"/>
  <c r="F992" i="29"/>
  <c r="J991" i="29"/>
  <c r="I991" i="29"/>
  <c r="F991" i="29"/>
  <c r="J990" i="29"/>
  <c r="I990" i="29"/>
  <c r="F990" i="29"/>
  <c r="J989" i="29"/>
  <c r="I989" i="29"/>
  <c r="F989" i="29"/>
  <c r="J988" i="29"/>
  <c r="I988" i="29"/>
  <c r="F988" i="29"/>
  <c r="J987" i="29"/>
  <c r="I987" i="29"/>
  <c r="F987" i="29"/>
  <c r="J986" i="29"/>
  <c r="I986" i="29"/>
  <c r="F986" i="29"/>
  <c r="J985" i="29"/>
  <c r="I985" i="29"/>
  <c r="F985" i="29"/>
  <c r="J984" i="29"/>
  <c r="I984" i="29"/>
  <c r="F984" i="29"/>
  <c r="J983" i="29"/>
  <c r="I983" i="29"/>
  <c r="F983" i="29"/>
  <c r="J982" i="29"/>
  <c r="I982" i="29"/>
  <c r="F982" i="29"/>
  <c r="J981" i="29"/>
  <c r="I981" i="29"/>
  <c r="F981" i="29"/>
  <c r="J980" i="29"/>
  <c r="I980" i="29"/>
  <c r="F980" i="29"/>
  <c r="J979" i="29"/>
  <c r="I979" i="29"/>
  <c r="F979" i="29"/>
  <c r="J978" i="29"/>
  <c r="I978" i="29"/>
  <c r="F978" i="29"/>
  <c r="J977" i="29"/>
  <c r="I977" i="29"/>
  <c r="F977" i="29"/>
  <c r="J976" i="29"/>
  <c r="I976" i="29"/>
  <c r="F976" i="29"/>
  <c r="J975" i="29"/>
  <c r="I975" i="29"/>
  <c r="F975" i="29"/>
  <c r="J974" i="29"/>
  <c r="I974" i="29"/>
  <c r="F974" i="29"/>
  <c r="J973" i="29"/>
  <c r="I973" i="29"/>
  <c r="F973" i="29"/>
  <c r="J972" i="29"/>
  <c r="I972" i="29"/>
  <c r="F972" i="29"/>
  <c r="J971" i="29"/>
  <c r="I971" i="29"/>
  <c r="F971" i="29"/>
  <c r="J970" i="29"/>
  <c r="I970" i="29"/>
  <c r="F970" i="29"/>
  <c r="J969" i="29"/>
  <c r="I969" i="29"/>
  <c r="F969" i="29"/>
  <c r="J968" i="29"/>
  <c r="I968" i="29"/>
  <c r="F968" i="29"/>
  <c r="J967" i="29"/>
  <c r="I967" i="29"/>
  <c r="F967" i="29"/>
  <c r="J966" i="29"/>
  <c r="I966" i="29"/>
  <c r="F966" i="29"/>
  <c r="J965" i="29"/>
  <c r="I965" i="29"/>
  <c r="F965" i="29"/>
  <c r="J964" i="29"/>
  <c r="I964" i="29"/>
  <c r="F964" i="29"/>
  <c r="J963" i="29"/>
  <c r="I963" i="29"/>
  <c r="F963" i="29"/>
  <c r="J962" i="29"/>
  <c r="I962" i="29"/>
  <c r="F962" i="29"/>
  <c r="J961" i="29"/>
  <c r="I961" i="29"/>
  <c r="F961" i="29"/>
  <c r="J960" i="29"/>
  <c r="I960" i="29"/>
  <c r="F960" i="29"/>
  <c r="J959" i="29"/>
  <c r="I959" i="29"/>
  <c r="F959" i="29"/>
  <c r="J958" i="29"/>
  <c r="I958" i="29"/>
  <c r="F958" i="29"/>
  <c r="J957" i="29"/>
  <c r="I957" i="29"/>
  <c r="F957" i="29"/>
  <c r="J956" i="29"/>
  <c r="I956" i="29"/>
  <c r="F956" i="29"/>
  <c r="J955" i="29"/>
  <c r="I955" i="29"/>
  <c r="F955" i="29"/>
  <c r="J954" i="29"/>
  <c r="I954" i="29"/>
  <c r="F954" i="29"/>
  <c r="J953" i="29"/>
  <c r="I953" i="29"/>
  <c r="F953" i="29"/>
  <c r="J952" i="29"/>
  <c r="I952" i="29"/>
  <c r="F952" i="29"/>
  <c r="J951" i="29"/>
  <c r="I951" i="29"/>
  <c r="F951" i="29"/>
  <c r="J950" i="29"/>
  <c r="I950" i="29"/>
  <c r="F950" i="29"/>
  <c r="J949" i="29"/>
  <c r="I949" i="29"/>
  <c r="F949" i="29"/>
  <c r="J948" i="29"/>
  <c r="I948" i="29"/>
  <c r="F948" i="29"/>
  <c r="J947" i="29"/>
  <c r="I947" i="29"/>
  <c r="F947" i="29"/>
  <c r="J946" i="29"/>
  <c r="I946" i="29"/>
  <c r="F946" i="29"/>
  <c r="J945" i="29"/>
  <c r="I945" i="29"/>
  <c r="F945" i="29"/>
  <c r="J944" i="29"/>
  <c r="I944" i="29"/>
  <c r="F944" i="29"/>
  <c r="J943" i="29"/>
  <c r="I943" i="29"/>
  <c r="F943" i="29"/>
  <c r="J942" i="29"/>
  <c r="I942" i="29"/>
  <c r="F942" i="29"/>
  <c r="J941" i="29"/>
  <c r="I941" i="29"/>
  <c r="F941" i="29"/>
  <c r="J940" i="29"/>
  <c r="I940" i="29"/>
  <c r="F940" i="29"/>
  <c r="J939" i="29"/>
  <c r="I939" i="29"/>
  <c r="F939" i="29"/>
  <c r="J938" i="29"/>
  <c r="I938" i="29"/>
  <c r="F938" i="29"/>
  <c r="J937" i="29"/>
  <c r="I937" i="29"/>
  <c r="F937" i="29"/>
  <c r="J936" i="29"/>
  <c r="I936" i="29"/>
  <c r="F936" i="29"/>
  <c r="J935" i="29"/>
  <c r="I935" i="29"/>
  <c r="F935" i="29"/>
  <c r="J934" i="29"/>
  <c r="I934" i="29"/>
  <c r="F934" i="29"/>
  <c r="J933" i="29"/>
  <c r="I933" i="29"/>
  <c r="F933" i="29"/>
  <c r="J932" i="29"/>
  <c r="I932" i="29"/>
  <c r="F932" i="29"/>
  <c r="J931" i="29"/>
  <c r="I931" i="29"/>
  <c r="F931" i="29"/>
  <c r="J930" i="29"/>
  <c r="I930" i="29"/>
  <c r="F930" i="29"/>
  <c r="J929" i="29"/>
  <c r="I929" i="29"/>
  <c r="F929" i="29"/>
  <c r="J928" i="29"/>
  <c r="I928" i="29"/>
  <c r="F928" i="29"/>
  <c r="J927" i="29"/>
  <c r="I927" i="29"/>
  <c r="F927" i="29"/>
  <c r="J926" i="29"/>
  <c r="I926" i="29"/>
  <c r="F926" i="29"/>
  <c r="J925" i="29"/>
  <c r="I925" i="29"/>
  <c r="F925" i="29"/>
  <c r="J924" i="29"/>
  <c r="I924" i="29"/>
  <c r="F924" i="29"/>
  <c r="J923" i="29"/>
  <c r="I923" i="29"/>
  <c r="F923" i="29"/>
  <c r="J922" i="29"/>
  <c r="I922" i="29"/>
  <c r="F922" i="29"/>
  <c r="J921" i="29"/>
  <c r="I921" i="29"/>
  <c r="F921" i="29"/>
  <c r="J920" i="29"/>
  <c r="I920" i="29"/>
  <c r="F920" i="29"/>
  <c r="J919" i="29"/>
  <c r="I919" i="29"/>
  <c r="F919" i="29"/>
  <c r="J918" i="29"/>
  <c r="I918" i="29"/>
  <c r="F918" i="29"/>
  <c r="J917" i="29"/>
  <c r="I917" i="29"/>
  <c r="F917" i="29"/>
  <c r="J916" i="29"/>
  <c r="I916" i="29"/>
  <c r="F916" i="29"/>
  <c r="J915" i="29"/>
  <c r="I915" i="29"/>
  <c r="F915" i="29"/>
  <c r="J914" i="29"/>
  <c r="I914" i="29"/>
  <c r="F914" i="29"/>
  <c r="J913" i="29"/>
  <c r="I913" i="29"/>
  <c r="F913" i="29"/>
  <c r="J912" i="29"/>
  <c r="I912" i="29"/>
  <c r="F912" i="29"/>
  <c r="J911" i="29"/>
  <c r="I911" i="29"/>
  <c r="F911" i="29"/>
  <c r="J910" i="29"/>
  <c r="I910" i="29"/>
  <c r="F910" i="29"/>
  <c r="J909" i="29"/>
  <c r="I909" i="29"/>
  <c r="F909" i="29"/>
  <c r="J908" i="29"/>
  <c r="I908" i="29"/>
  <c r="F908" i="29"/>
  <c r="J907" i="29"/>
  <c r="I907" i="29"/>
  <c r="F907" i="29"/>
  <c r="J906" i="29"/>
  <c r="I906" i="29"/>
  <c r="F906" i="29"/>
  <c r="J905" i="29"/>
  <c r="I905" i="29"/>
  <c r="F905" i="29"/>
  <c r="J904" i="29"/>
  <c r="I904" i="29"/>
  <c r="F904" i="29"/>
  <c r="J903" i="29"/>
  <c r="I903" i="29"/>
  <c r="F903" i="29"/>
  <c r="J902" i="29"/>
  <c r="I902" i="29"/>
  <c r="F902" i="29"/>
  <c r="J901" i="29"/>
  <c r="I901" i="29"/>
  <c r="F901" i="29"/>
  <c r="J900" i="29"/>
  <c r="I900" i="29"/>
  <c r="F900" i="29"/>
  <c r="J899" i="29"/>
  <c r="I899" i="29"/>
  <c r="F899" i="29"/>
  <c r="J898" i="29"/>
  <c r="I898" i="29"/>
  <c r="F898" i="29"/>
  <c r="J897" i="29"/>
  <c r="I897" i="29"/>
  <c r="F897" i="29"/>
  <c r="J896" i="29"/>
  <c r="I896" i="29"/>
  <c r="F896" i="29"/>
  <c r="J895" i="29"/>
  <c r="I895" i="29"/>
  <c r="F895" i="29"/>
  <c r="J894" i="29"/>
  <c r="I894" i="29"/>
  <c r="F894" i="29"/>
  <c r="J893" i="29"/>
  <c r="I893" i="29"/>
  <c r="F893" i="29"/>
  <c r="J892" i="29"/>
  <c r="I892" i="29"/>
  <c r="F892" i="29"/>
  <c r="J891" i="29"/>
  <c r="I891" i="29"/>
  <c r="F891" i="29"/>
  <c r="J890" i="29"/>
  <c r="I890" i="29"/>
  <c r="F890" i="29"/>
  <c r="J889" i="29"/>
  <c r="I889" i="29"/>
  <c r="F889" i="29"/>
  <c r="J888" i="29"/>
  <c r="I888" i="29"/>
  <c r="F888" i="29"/>
  <c r="J887" i="29"/>
  <c r="I887" i="29"/>
  <c r="F887" i="29"/>
  <c r="J886" i="29"/>
  <c r="I886" i="29"/>
  <c r="F886" i="29"/>
  <c r="J885" i="29"/>
  <c r="I885" i="29"/>
  <c r="F885" i="29"/>
  <c r="J884" i="29"/>
  <c r="I884" i="29"/>
  <c r="F884" i="29"/>
  <c r="J883" i="29"/>
  <c r="I883" i="29"/>
  <c r="F883" i="29"/>
  <c r="J882" i="29"/>
  <c r="I882" i="29"/>
  <c r="F882" i="29"/>
  <c r="J881" i="29"/>
  <c r="I881" i="29"/>
  <c r="F881" i="29"/>
  <c r="J880" i="29"/>
  <c r="I880" i="29"/>
  <c r="F880" i="29"/>
  <c r="J879" i="29"/>
  <c r="I879" i="29"/>
  <c r="F879" i="29"/>
  <c r="J878" i="29"/>
  <c r="I878" i="29"/>
  <c r="F878" i="29"/>
  <c r="J877" i="29"/>
  <c r="I877" i="29"/>
  <c r="F877" i="29"/>
  <c r="J876" i="29"/>
  <c r="I876" i="29"/>
  <c r="F876" i="29"/>
  <c r="J875" i="29"/>
  <c r="I875" i="29"/>
  <c r="F875" i="29"/>
  <c r="J874" i="29"/>
  <c r="I874" i="29"/>
  <c r="F874" i="29"/>
  <c r="J873" i="29"/>
  <c r="I873" i="29"/>
  <c r="F873" i="29"/>
  <c r="J872" i="29"/>
  <c r="I872" i="29"/>
  <c r="F872" i="29"/>
  <c r="J871" i="29"/>
  <c r="I871" i="29"/>
  <c r="F871" i="29"/>
  <c r="J870" i="29"/>
  <c r="I870" i="29"/>
  <c r="F870" i="29"/>
  <c r="J869" i="29"/>
  <c r="I869" i="29"/>
  <c r="F869" i="29"/>
  <c r="J868" i="29"/>
  <c r="I868" i="29"/>
  <c r="F868" i="29"/>
  <c r="J867" i="29"/>
  <c r="I867" i="29"/>
  <c r="F867" i="29"/>
  <c r="J866" i="29"/>
  <c r="I866" i="29"/>
  <c r="F866" i="29"/>
  <c r="J865" i="29"/>
  <c r="I865" i="29"/>
  <c r="F865" i="29"/>
  <c r="J864" i="29"/>
  <c r="I864" i="29"/>
  <c r="F864" i="29"/>
  <c r="J863" i="29"/>
  <c r="I863" i="29"/>
  <c r="F863" i="29"/>
  <c r="J862" i="29"/>
  <c r="I862" i="29"/>
  <c r="F862" i="29"/>
  <c r="J861" i="29"/>
  <c r="I861" i="29"/>
  <c r="F861" i="29"/>
  <c r="J860" i="29"/>
  <c r="I860" i="29"/>
  <c r="F860" i="29"/>
  <c r="J859" i="29"/>
  <c r="I859" i="29"/>
  <c r="F859" i="29"/>
  <c r="J858" i="29"/>
  <c r="I858" i="29"/>
  <c r="F858" i="29"/>
  <c r="J857" i="29"/>
  <c r="I857" i="29"/>
  <c r="F857" i="29"/>
  <c r="J856" i="29"/>
  <c r="I856" i="29"/>
  <c r="F856" i="29"/>
  <c r="J855" i="29"/>
  <c r="I855" i="29"/>
  <c r="F855" i="29"/>
  <c r="J854" i="29"/>
  <c r="I854" i="29"/>
  <c r="F854" i="29"/>
  <c r="J853" i="29"/>
  <c r="I853" i="29"/>
  <c r="F853" i="29"/>
  <c r="J852" i="29"/>
  <c r="I852" i="29"/>
  <c r="F852" i="29"/>
  <c r="J851" i="29"/>
  <c r="I851" i="29"/>
  <c r="F851" i="29"/>
  <c r="J850" i="29"/>
  <c r="I850" i="29"/>
  <c r="F850" i="29"/>
  <c r="J849" i="29"/>
  <c r="I849" i="29"/>
  <c r="F849" i="29"/>
  <c r="J848" i="29"/>
  <c r="I848" i="29"/>
  <c r="F848" i="29"/>
  <c r="J847" i="29"/>
  <c r="I847" i="29"/>
  <c r="F847" i="29"/>
  <c r="J846" i="29"/>
  <c r="I846" i="29"/>
  <c r="F846" i="29"/>
  <c r="J845" i="29"/>
  <c r="I845" i="29"/>
  <c r="F845" i="29"/>
  <c r="J844" i="29"/>
  <c r="I844" i="29"/>
  <c r="F844" i="29"/>
  <c r="J843" i="29"/>
  <c r="I843" i="29"/>
  <c r="F843" i="29"/>
  <c r="J842" i="29"/>
  <c r="I842" i="29"/>
  <c r="F842" i="29"/>
  <c r="J841" i="29"/>
  <c r="I841" i="29"/>
  <c r="F841" i="29"/>
  <c r="J840" i="29"/>
  <c r="I840" i="29"/>
  <c r="F840" i="29"/>
  <c r="J839" i="29"/>
  <c r="I839" i="29"/>
  <c r="F839" i="29"/>
  <c r="J838" i="29"/>
  <c r="I838" i="29"/>
  <c r="F838" i="29"/>
  <c r="J837" i="29"/>
  <c r="I837" i="29"/>
  <c r="F837" i="29"/>
  <c r="J836" i="29"/>
  <c r="I836" i="29"/>
  <c r="F836" i="29"/>
  <c r="J835" i="29"/>
  <c r="I835" i="29"/>
  <c r="F835" i="29"/>
  <c r="J834" i="29"/>
  <c r="I834" i="29"/>
  <c r="F834" i="29"/>
  <c r="J833" i="29"/>
  <c r="I833" i="29"/>
  <c r="F833" i="29"/>
  <c r="J832" i="29"/>
  <c r="I832" i="29"/>
  <c r="F832" i="29"/>
  <c r="J831" i="29"/>
  <c r="I831" i="29"/>
  <c r="F831" i="29"/>
  <c r="J830" i="29"/>
  <c r="I830" i="29"/>
  <c r="F830" i="29"/>
  <c r="J829" i="29"/>
  <c r="I829" i="29"/>
  <c r="F829" i="29"/>
  <c r="J828" i="29"/>
  <c r="I828" i="29"/>
  <c r="F828" i="29"/>
  <c r="J827" i="29"/>
  <c r="I827" i="29"/>
  <c r="F827" i="29"/>
  <c r="J826" i="29"/>
  <c r="I826" i="29"/>
  <c r="F826" i="29"/>
  <c r="J825" i="29"/>
  <c r="I825" i="29"/>
  <c r="F825" i="29"/>
  <c r="J824" i="29"/>
  <c r="I824" i="29"/>
  <c r="F824" i="29"/>
  <c r="J823" i="29"/>
  <c r="I823" i="29"/>
  <c r="F823" i="29"/>
  <c r="J822" i="29"/>
  <c r="I822" i="29"/>
  <c r="F822" i="29"/>
  <c r="J821" i="29"/>
  <c r="I821" i="29"/>
  <c r="F821" i="29"/>
  <c r="J820" i="29"/>
  <c r="I820" i="29"/>
  <c r="F820" i="29"/>
  <c r="J819" i="29"/>
  <c r="I819" i="29"/>
  <c r="F819" i="29"/>
  <c r="J818" i="29"/>
  <c r="I818" i="29"/>
  <c r="F818" i="29"/>
  <c r="J817" i="29"/>
  <c r="I817" i="29"/>
  <c r="F817" i="29"/>
  <c r="J816" i="29"/>
  <c r="I816" i="29"/>
  <c r="F816" i="29"/>
  <c r="J815" i="29"/>
  <c r="I815" i="29"/>
  <c r="F815" i="29"/>
  <c r="J814" i="29"/>
  <c r="I814" i="29"/>
  <c r="F814" i="29"/>
  <c r="J813" i="29"/>
  <c r="I813" i="29"/>
  <c r="F813" i="29"/>
  <c r="J812" i="29"/>
  <c r="I812" i="29"/>
  <c r="F812" i="29"/>
  <c r="J811" i="29"/>
  <c r="I811" i="29"/>
  <c r="F811" i="29"/>
  <c r="J810" i="29"/>
  <c r="I810" i="29"/>
  <c r="F810" i="29"/>
  <c r="J809" i="29"/>
  <c r="I809" i="29"/>
  <c r="F809" i="29"/>
  <c r="J808" i="29"/>
  <c r="I808" i="29"/>
  <c r="F808" i="29"/>
  <c r="J807" i="29"/>
  <c r="I807" i="29"/>
  <c r="F807" i="29"/>
  <c r="J806" i="29"/>
  <c r="I806" i="29"/>
  <c r="F806" i="29"/>
  <c r="J805" i="29"/>
  <c r="I805" i="29"/>
  <c r="F805" i="29"/>
  <c r="J804" i="29"/>
  <c r="I804" i="29"/>
  <c r="F804" i="29"/>
  <c r="J803" i="29"/>
  <c r="I803" i="29"/>
  <c r="F803" i="29"/>
  <c r="J802" i="29"/>
  <c r="I802" i="29"/>
  <c r="F802" i="29"/>
  <c r="J801" i="29"/>
  <c r="I801" i="29"/>
  <c r="F801" i="29"/>
  <c r="J800" i="29"/>
  <c r="I800" i="29"/>
  <c r="F800" i="29"/>
  <c r="J799" i="29"/>
  <c r="I799" i="29"/>
  <c r="F799" i="29"/>
  <c r="J798" i="29"/>
  <c r="I798" i="29"/>
  <c r="F798" i="29"/>
  <c r="J797" i="29"/>
  <c r="I797" i="29"/>
  <c r="F797" i="29"/>
  <c r="J796" i="29"/>
  <c r="I796" i="29"/>
  <c r="F796" i="29"/>
  <c r="J795" i="29"/>
  <c r="I795" i="29"/>
  <c r="F795" i="29"/>
  <c r="J794" i="29"/>
  <c r="I794" i="29"/>
  <c r="F794" i="29"/>
  <c r="J793" i="29"/>
  <c r="I793" i="29"/>
  <c r="F793" i="29"/>
  <c r="J792" i="29"/>
  <c r="I792" i="29"/>
  <c r="F792" i="29"/>
  <c r="J791" i="29"/>
  <c r="I791" i="29"/>
  <c r="F791" i="29"/>
  <c r="J790" i="29"/>
  <c r="I790" i="29"/>
  <c r="F790" i="29"/>
  <c r="J789" i="29"/>
  <c r="I789" i="29"/>
  <c r="F789" i="29"/>
  <c r="J788" i="29"/>
  <c r="I788" i="29"/>
  <c r="F788" i="29"/>
  <c r="J787" i="29"/>
  <c r="I787" i="29"/>
  <c r="F787" i="29"/>
  <c r="J786" i="29"/>
  <c r="I786" i="29"/>
  <c r="F786" i="29"/>
  <c r="J785" i="29"/>
  <c r="I785" i="29"/>
  <c r="F785" i="29"/>
  <c r="J784" i="29"/>
  <c r="I784" i="29"/>
  <c r="F784" i="29"/>
  <c r="J783" i="29"/>
  <c r="I783" i="29"/>
  <c r="F783" i="29"/>
  <c r="J782" i="29"/>
  <c r="I782" i="29"/>
  <c r="F782" i="29"/>
  <c r="J781" i="29"/>
  <c r="I781" i="29"/>
  <c r="F781" i="29"/>
  <c r="J780" i="29"/>
  <c r="I780" i="29"/>
  <c r="F780" i="29"/>
  <c r="J779" i="29"/>
  <c r="I779" i="29"/>
  <c r="F779" i="29"/>
  <c r="J778" i="29"/>
  <c r="I778" i="29"/>
  <c r="F778" i="29"/>
  <c r="J777" i="29"/>
  <c r="I777" i="29"/>
  <c r="F777" i="29"/>
  <c r="J776" i="29"/>
  <c r="I776" i="29"/>
  <c r="F776" i="29"/>
  <c r="J775" i="29"/>
  <c r="I775" i="29"/>
  <c r="F775" i="29"/>
  <c r="J774" i="29"/>
  <c r="I774" i="29"/>
  <c r="F774" i="29"/>
  <c r="J773" i="29"/>
  <c r="I773" i="29"/>
  <c r="F773" i="29"/>
  <c r="J772" i="29"/>
  <c r="I772" i="29"/>
  <c r="F772" i="29"/>
  <c r="J771" i="29"/>
  <c r="I771" i="29"/>
  <c r="F771" i="29"/>
  <c r="J770" i="29"/>
  <c r="I770" i="29"/>
  <c r="F770" i="29"/>
  <c r="J769" i="29"/>
  <c r="I769" i="29"/>
  <c r="F769" i="29"/>
  <c r="J768" i="29"/>
  <c r="I768" i="29"/>
  <c r="F768" i="29"/>
  <c r="J767" i="29"/>
  <c r="I767" i="29"/>
  <c r="F767" i="29"/>
  <c r="J766" i="29"/>
  <c r="I766" i="29"/>
  <c r="F766" i="29"/>
  <c r="J765" i="29"/>
  <c r="I765" i="29"/>
  <c r="F765" i="29"/>
  <c r="J764" i="29"/>
  <c r="I764" i="29"/>
  <c r="F764" i="29"/>
  <c r="J763" i="29"/>
  <c r="I763" i="29"/>
  <c r="F763" i="29"/>
  <c r="J762" i="29"/>
  <c r="I762" i="29"/>
  <c r="F762" i="29"/>
  <c r="J761" i="29"/>
  <c r="I761" i="29"/>
  <c r="F761" i="29"/>
  <c r="J760" i="29"/>
  <c r="I760" i="29"/>
  <c r="F760" i="29"/>
  <c r="J759" i="29"/>
  <c r="I759" i="29"/>
  <c r="F759" i="29"/>
  <c r="J758" i="29"/>
  <c r="I758" i="29"/>
  <c r="F758" i="29"/>
  <c r="J757" i="29"/>
  <c r="I757" i="29"/>
  <c r="F757" i="29"/>
  <c r="J756" i="29"/>
  <c r="I756" i="29"/>
  <c r="F756" i="29"/>
  <c r="J755" i="29"/>
  <c r="I755" i="29"/>
  <c r="F755" i="29"/>
  <c r="J754" i="29"/>
  <c r="I754" i="29"/>
  <c r="F754" i="29"/>
  <c r="J753" i="29"/>
  <c r="I753" i="29"/>
  <c r="F753" i="29"/>
  <c r="J752" i="29"/>
  <c r="I752" i="29"/>
  <c r="F752" i="29"/>
  <c r="J751" i="29"/>
  <c r="I751" i="29"/>
  <c r="F751" i="29"/>
  <c r="J750" i="29"/>
  <c r="I750" i="29"/>
  <c r="F750" i="29"/>
  <c r="J749" i="29"/>
  <c r="I749" i="29"/>
  <c r="F749" i="29"/>
  <c r="J748" i="29"/>
  <c r="I748" i="29"/>
  <c r="F748" i="29"/>
  <c r="J747" i="29"/>
  <c r="I747" i="29"/>
  <c r="F747" i="29"/>
  <c r="J746" i="29"/>
  <c r="I746" i="29"/>
  <c r="F746" i="29"/>
  <c r="J745" i="29"/>
  <c r="I745" i="29"/>
  <c r="F745" i="29"/>
  <c r="J744" i="29"/>
  <c r="I744" i="29"/>
  <c r="F744" i="29"/>
  <c r="J743" i="29"/>
  <c r="I743" i="29"/>
  <c r="F743" i="29"/>
  <c r="J742" i="29"/>
  <c r="I742" i="29"/>
  <c r="F742" i="29"/>
  <c r="J741" i="29"/>
  <c r="I741" i="29"/>
  <c r="F741" i="29"/>
  <c r="J740" i="29"/>
  <c r="I740" i="29"/>
  <c r="F740" i="29"/>
  <c r="J739" i="29"/>
  <c r="I739" i="29"/>
  <c r="F739" i="29"/>
  <c r="J738" i="29"/>
  <c r="I738" i="29"/>
  <c r="F738" i="29"/>
  <c r="J737" i="29"/>
  <c r="I737" i="29"/>
  <c r="F737" i="29"/>
  <c r="J736" i="29"/>
  <c r="I736" i="29"/>
  <c r="F736" i="29"/>
  <c r="J735" i="29"/>
  <c r="I735" i="29"/>
  <c r="F735" i="29"/>
  <c r="J734" i="29"/>
  <c r="I734" i="29"/>
  <c r="F734" i="29"/>
  <c r="J733" i="29"/>
  <c r="I733" i="29"/>
  <c r="F733" i="29"/>
  <c r="J732" i="29"/>
  <c r="I732" i="29"/>
  <c r="F732" i="29"/>
  <c r="J731" i="29"/>
  <c r="I731" i="29"/>
  <c r="F731" i="29"/>
  <c r="J730" i="29"/>
  <c r="I730" i="29"/>
  <c r="F730" i="29"/>
  <c r="J729" i="29"/>
  <c r="I729" i="29"/>
  <c r="F729" i="29"/>
  <c r="J728" i="29"/>
  <c r="I728" i="29"/>
  <c r="F728" i="29"/>
  <c r="J727" i="29"/>
  <c r="I727" i="29"/>
  <c r="F727" i="29"/>
  <c r="J726" i="29"/>
  <c r="I726" i="29"/>
  <c r="F726" i="29"/>
  <c r="J725" i="29"/>
  <c r="I725" i="29"/>
  <c r="F725" i="29"/>
  <c r="J724" i="29"/>
  <c r="I724" i="29"/>
  <c r="F724" i="29"/>
  <c r="J723" i="29"/>
  <c r="I723" i="29"/>
  <c r="F723" i="29"/>
  <c r="J722" i="29"/>
  <c r="I722" i="29"/>
  <c r="F722" i="29"/>
  <c r="J721" i="29"/>
  <c r="I721" i="29"/>
  <c r="F721" i="29"/>
  <c r="J720" i="29"/>
  <c r="I720" i="29"/>
  <c r="F720" i="29"/>
  <c r="J719" i="29"/>
  <c r="I719" i="29"/>
  <c r="F719" i="29"/>
  <c r="J718" i="29"/>
  <c r="I718" i="29"/>
  <c r="F718" i="29"/>
  <c r="J717" i="29"/>
  <c r="I717" i="29"/>
  <c r="F717" i="29"/>
  <c r="J716" i="29"/>
  <c r="I716" i="29"/>
  <c r="F716" i="29"/>
  <c r="J715" i="29"/>
  <c r="I715" i="29"/>
  <c r="F715" i="29"/>
  <c r="J714" i="29"/>
  <c r="I714" i="29"/>
  <c r="F714" i="29"/>
  <c r="J713" i="29"/>
  <c r="I713" i="29"/>
  <c r="F713" i="29"/>
  <c r="J712" i="29"/>
  <c r="I712" i="29"/>
  <c r="F712" i="29"/>
  <c r="J711" i="29"/>
  <c r="I711" i="29"/>
  <c r="F711" i="29"/>
  <c r="J710" i="29"/>
  <c r="I710" i="29"/>
  <c r="F710" i="29"/>
  <c r="J709" i="29"/>
  <c r="I709" i="29"/>
  <c r="F709" i="29"/>
  <c r="J708" i="29"/>
  <c r="I708" i="29"/>
  <c r="F708" i="29"/>
  <c r="J707" i="29"/>
  <c r="I707" i="29"/>
  <c r="F707" i="29"/>
  <c r="J706" i="29"/>
  <c r="I706" i="29"/>
  <c r="F706" i="29"/>
  <c r="J705" i="29"/>
  <c r="I705" i="29"/>
  <c r="F705" i="29"/>
  <c r="J704" i="29"/>
  <c r="I704" i="29"/>
  <c r="F704" i="29"/>
  <c r="J703" i="29"/>
  <c r="I703" i="29"/>
  <c r="F703" i="29"/>
  <c r="J702" i="29"/>
  <c r="I702" i="29"/>
  <c r="F702" i="29"/>
  <c r="J701" i="29"/>
  <c r="I701" i="29"/>
  <c r="F701" i="29"/>
  <c r="J700" i="29"/>
  <c r="I700" i="29"/>
  <c r="F700" i="29"/>
  <c r="J699" i="29"/>
  <c r="I699" i="29"/>
  <c r="F699" i="29"/>
  <c r="J698" i="29"/>
  <c r="I698" i="29"/>
  <c r="F698" i="29"/>
  <c r="J697" i="29"/>
  <c r="I697" i="29"/>
  <c r="F697" i="29"/>
  <c r="J696" i="29"/>
  <c r="I696" i="29"/>
  <c r="F696" i="29"/>
  <c r="J695" i="29"/>
  <c r="I695" i="29"/>
  <c r="F695" i="29"/>
  <c r="J694" i="29"/>
  <c r="I694" i="29"/>
  <c r="F694" i="29"/>
  <c r="J693" i="29"/>
  <c r="I693" i="29"/>
  <c r="F693" i="29"/>
  <c r="J692" i="29"/>
  <c r="I692" i="29"/>
  <c r="F692" i="29"/>
  <c r="J691" i="29"/>
  <c r="I691" i="29"/>
  <c r="F691" i="29"/>
  <c r="J690" i="29"/>
  <c r="I690" i="29"/>
  <c r="F690" i="29"/>
  <c r="J689" i="29"/>
  <c r="I689" i="29"/>
  <c r="F689" i="29"/>
  <c r="J688" i="29"/>
  <c r="I688" i="29"/>
  <c r="F688" i="29"/>
  <c r="J687" i="29"/>
  <c r="I687" i="29"/>
  <c r="F687" i="29"/>
  <c r="J686" i="29"/>
  <c r="I686" i="29"/>
  <c r="F686" i="29"/>
  <c r="J685" i="29"/>
  <c r="I685" i="29"/>
  <c r="F685" i="29"/>
  <c r="J684" i="29"/>
  <c r="I684" i="29"/>
  <c r="F684" i="29"/>
  <c r="J683" i="29"/>
  <c r="I683" i="29"/>
  <c r="F683" i="29"/>
  <c r="J682" i="29"/>
  <c r="I682" i="29"/>
  <c r="F682" i="29"/>
  <c r="J681" i="29"/>
  <c r="I681" i="29"/>
  <c r="F681" i="29"/>
  <c r="J680" i="29"/>
  <c r="I680" i="29"/>
  <c r="F680" i="29"/>
  <c r="J679" i="29"/>
  <c r="I679" i="29"/>
  <c r="F679" i="29"/>
  <c r="J678" i="29"/>
  <c r="I678" i="29"/>
  <c r="F678" i="29"/>
  <c r="J677" i="29"/>
  <c r="I677" i="29"/>
  <c r="F677" i="29"/>
  <c r="J676" i="29"/>
  <c r="I676" i="29"/>
  <c r="F676" i="29"/>
  <c r="J675" i="29"/>
  <c r="I675" i="29"/>
  <c r="F675" i="29"/>
  <c r="J674" i="29"/>
  <c r="I674" i="29"/>
  <c r="F674" i="29"/>
  <c r="J673" i="29"/>
  <c r="I673" i="29"/>
  <c r="F673" i="29"/>
  <c r="J672" i="29"/>
  <c r="I672" i="29"/>
  <c r="F672" i="29"/>
  <c r="J671" i="29"/>
  <c r="I671" i="29"/>
  <c r="F671" i="29"/>
  <c r="J670" i="29"/>
  <c r="I670" i="29"/>
  <c r="F670" i="29"/>
  <c r="J669" i="29"/>
  <c r="I669" i="29"/>
  <c r="F669" i="29"/>
  <c r="J668" i="29"/>
  <c r="I668" i="29"/>
  <c r="F668" i="29"/>
  <c r="J667" i="29"/>
  <c r="I667" i="29"/>
  <c r="F667" i="29"/>
  <c r="J666" i="29"/>
  <c r="I666" i="29"/>
  <c r="F666" i="29"/>
  <c r="J665" i="29"/>
  <c r="I665" i="29"/>
  <c r="F665" i="29"/>
  <c r="J664" i="29"/>
  <c r="I664" i="29"/>
  <c r="F664" i="29"/>
  <c r="J663" i="29"/>
  <c r="I663" i="29"/>
  <c r="F663" i="29"/>
  <c r="J662" i="29"/>
  <c r="I662" i="29"/>
  <c r="F662" i="29"/>
  <c r="J661" i="29"/>
  <c r="I661" i="29"/>
  <c r="F661" i="29"/>
  <c r="J660" i="29"/>
  <c r="I660" i="29"/>
  <c r="F660" i="29"/>
  <c r="J659" i="29"/>
  <c r="I659" i="29"/>
  <c r="F659" i="29"/>
  <c r="J658" i="29"/>
  <c r="I658" i="29"/>
  <c r="F658" i="29"/>
  <c r="J657" i="29"/>
  <c r="I657" i="29"/>
  <c r="F657" i="29"/>
  <c r="J656" i="29"/>
  <c r="I656" i="29"/>
  <c r="F656" i="29"/>
  <c r="J655" i="29"/>
  <c r="I655" i="29"/>
  <c r="F655" i="29"/>
  <c r="J654" i="29"/>
  <c r="I654" i="29"/>
  <c r="F654" i="29"/>
  <c r="J653" i="29"/>
  <c r="I653" i="29"/>
  <c r="F653" i="29"/>
  <c r="J652" i="29"/>
  <c r="I652" i="29"/>
  <c r="F652" i="29"/>
  <c r="J651" i="29"/>
  <c r="I651" i="29"/>
  <c r="F651" i="29"/>
  <c r="J650" i="29"/>
  <c r="I650" i="29"/>
  <c r="F650" i="29"/>
  <c r="J649" i="29"/>
  <c r="I649" i="29"/>
  <c r="F649" i="29"/>
  <c r="J648" i="29"/>
  <c r="I648" i="29"/>
  <c r="F648" i="29"/>
  <c r="J647" i="29"/>
  <c r="I647" i="29"/>
  <c r="F647" i="29"/>
  <c r="J646" i="29"/>
  <c r="I646" i="29"/>
  <c r="F646" i="29"/>
  <c r="J645" i="29"/>
  <c r="I645" i="29"/>
  <c r="F645" i="29"/>
  <c r="J644" i="29"/>
  <c r="I644" i="29"/>
  <c r="F644" i="29"/>
  <c r="J643" i="29"/>
  <c r="I643" i="29"/>
  <c r="F643" i="29"/>
  <c r="J642" i="29"/>
  <c r="I642" i="29"/>
  <c r="F642" i="29"/>
  <c r="J641" i="29"/>
  <c r="I641" i="29"/>
  <c r="F641" i="29"/>
  <c r="J640" i="29"/>
  <c r="I640" i="29"/>
  <c r="F640" i="29"/>
  <c r="J639" i="29"/>
  <c r="I639" i="29"/>
  <c r="F639" i="29"/>
  <c r="J638" i="29"/>
  <c r="I638" i="29"/>
  <c r="F638" i="29"/>
  <c r="J637" i="29"/>
  <c r="I637" i="29"/>
  <c r="F637" i="29"/>
  <c r="J636" i="29"/>
  <c r="I636" i="29"/>
  <c r="F636" i="29"/>
  <c r="J635" i="29"/>
  <c r="I635" i="29"/>
  <c r="F635" i="29"/>
  <c r="J634" i="29"/>
  <c r="I634" i="29"/>
  <c r="F634" i="29"/>
  <c r="J633" i="29"/>
  <c r="I633" i="29"/>
  <c r="F633" i="29"/>
  <c r="J632" i="29"/>
  <c r="I632" i="29"/>
  <c r="F632" i="29"/>
  <c r="J631" i="29"/>
  <c r="I631" i="29"/>
  <c r="F631" i="29"/>
  <c r="J630" i="29"/>
  <c r="I630" i="29"/>
  <c r="F630" i="29"/>
  <c r="J629" i="29"/>
  <c r="I629" i="29"/>
  <c r="F629" i="29"/>
  <c r="J628" i="29"/>
  <c r="I628" i="29"/>
  <c r="F628" i="29"/>
  <c r="J627" i="29"/>
  <c r="I627" i="29"/>
  <c r="F627" i="29"/>
  <c r="J626" i="29"/>
  <c r="I626" i="29"/>
  <c r="F626" i="29"/>
  <c r="J625" i="29"/>
  <c r="I625" i="29"/>
  <c r="F625" i="29"/>
  <c r="J624" i="29"/>
  <c r="I624" i="29"/>
  <c r="F624" i="29"/>
  <c r="J623" i="29"/>
  <c r="I623" i="29"/>
  <c r="F623" i="29"/>
  <c r="J622" i="29"/>
  <c r="I622" i="29"/>
  <c r="F622" i="29"/>
  <c r="J621" i="29"/>
  <c r="I621" i="29"/>
  <c r="F621" i="29"/>
  <c r="J620" i="29"/>
  <c r="I620" i="29"/>
  <c r="F620" i="29"/>
  <c r="J619" i="29"/>
  <c r="I619" i="29"/>
  <c r="F619" i="29"/>
  <c r="J618" i="29"/>
  <c r="I618" i="29"/>
  <c r="F618" i="29"/>
  <c r="J617" i="29"/>
  <c r="I617" i="29"/>
  <c r="F617" i="29"/>
  <c r="J616" i="29"/>
  <c r="I616" i="29"/>
  <c r="F616" i="29"/>
  <c r="J615" i="29"/>
  <c r="I615" i="29"/>
  <c r="F615" i="29"/>
  <c r="J614" i="29"/>
  <c r="I614" i="29"/>
  <c r="F614" i="29"/>
  <c r="J613" i="29"/>
  <c r="I613" i="29"/>
  <c r="F613" i="29"/>
  <c r="J612" i="29"/>
  <c r="I612" i="29"/>
  <c r="F612" i="29"/>
  <c r="J611" i="29"/>
  <c r="I611" i="29"/>
  <c r="F611" i="29"/>
  <c r="J610" i="29"/>
  <c r="I610" i="29"/>
  <c r="F610" i="29"/>
  <c r="J609" i="29"/>
  <c r="I609" i="29"/>
  <c r="F609" i="29"/>
  <c r="J608" i="29"/>
  <c r="I608" i="29"/>
  <c r="F608" i="29"/>
  <c r="J607" i="29"/>
  <c r="I607" i="29"/>
  <c r="F607" i="29"/>
  <c r="J606" i="29"/>
  <c r="I606" i="29"/>
  <c r="F606" i="29"/>
  <c r="J605" i="29"/>
  <c r="I605" i="29"/>
  <c r="F605" i="29"/>
  <c r="J604" i="29"/>
  <c r="I604" i="29"/>
  <c r="F604" i="29"/>
  <c r="J603" i="29"/>
  <c r="I603" i="29"/>
  <c r="F603" i="29"/>
  <c r="J602" i="29"/>
  <c r="I602" i="29"/>
  <c r="F602" i="29"/>
  <c r="J601" i="29"/>
  <c r="I601" i="29"/>
  <c r="F601" i="29"/>
  <c r="J600" i="29"/>
  <c r="I600" i="29"/>
  <c r="F600" i="29"/>
  <c r="J599" i="29"/>
  <c r="I599" i="29"/>
  <c r="F599" i="29"/>
  <c r="J598" i="29"/>
  <c r="I598" i="29"/>
  <c r="F598" i="29"/>
  <c r="J597" i="29"/>
  <c r="I597" i="29"/>
  <c r="F597" i="29"/>
  <c r="J596" i="29"/>
  <c r="I596" i="29"/>
  <c r="F596" i="29"/>
  <c r="J595" i="29"/>
  <c r="I595" i="29"/>
  <c r="F595" i="29"/>
  <c r="J594" i="29"/>
  <c r="I594" i="29"/>
  <c r="F594" i="29"/>
  <c r="J593" i="29"/>
  <c r="I593" i="29"/>
  <c r="F593" i="29"/>
  <c r="J592" i="29"/>
  <c r="I592" i="29"/>
  <c r="F592" i="29"/>
  <c r="J591" i="29"/>
  <c r="I591" i="29"/>
  <c r="F591" i="29"/>
  <c r="J590" i="29"/>
  <c r="I590" i="29"/>
  <c r="F590" i="29"/>
  <c r="J589" i="29"/>
  <c r="I589" i="29"/>
  <c r="F589" i="29"/>
  <c r="J588" i="29"/>
  <c r="I588" i="29"/>
  <c r="F588" i="29"/>
  <c r="J587" i="29"/>
  <c r="I587" i="29"/>
  <c r="F587" i="29"/>
  <c r="J586" i="29"/>
  <c r="I586" i="29"/>
  <c r="F586" i="29"/>
  <c r="J585" i="29"/>
  <c r="I585" i="29"/>
  <c r="F585" i="29"/>
  <c r="J584" i="29"/>
  <c r="I584" i="29"/>
  <c r="F584" i="29"/>
  <c r="J583" i="29"/>
  <c r="I583" i="29"/>
  <c r="F583" i="29"/>
  <c r="J582" i="29"/>
  <c r="I582" i="29"/>
  <c r="F582" i="29"/>
  <c r="J581" i="29"/>
  <c r="I581" i="29"/>
  <c r="F581" i="29"/>
  <c r="J580" i="29"/>
  <c r="I580" i="29"/>
  <c r="F580" i="29"/>
  <c r="J579" i="29"/>
  <c r="I579" i="29"/>
  <c r="F579" i="29"/>
  <c r="J578" i="29"/>
  <c r="I578" i="29"/>
  <c r="F578" i="29"/>
  <c r="J577" i="29"/>
  <c r="I577" i="29"/>
  <c r="F577" i="29"/>
  <c r="J576" i="29"/>
  <c r="I576" i="29"/>
  <c r="F576" i="29"/>
  <c r="J575" i="29"/>
  <c r="I575" i="29"/>
  <c r="F575" i="29"/>
  <c r="J574" i="29"/>
  <c r="I574" i="29"/>
  <c r="F574" i="29"/>
  <c r="J573" i="29"/>
  <c r="I573" i="29"/>
  <c r="F573" i="29"/>
  <c r="J572" i="29"/>
  <c r="I572" i="29"/>
  <c r="F572" i="29"/>
  <c r="J571" i="29"/>
  <c r="I571" i="29"/>
  <c r="F571" i="29"/>
  <c r="J570" i="29"/>
  <c r="I570" i="29"/>
  <c r="F570" i="29"/>
  <c r="J569" i="29"/>
  <c r="I569" i="29"/>
  <c r="F569" i="29"/>
  <c r="J568" i="29"/>
  <c r="I568" i="29"/>
  <c r="F568" i="29"/>
  <c r="J567" i="29"/>
  <c r="I567" i="29"/>
  <c r="F567" i="29"/>
  <c r="J566" i="29"/>
  <c r="I566" i="29"/>
  <c r="F566" i="29"/>
  <c r="J565" i="29"/>
  <c r="I565" i="29"/>
  <c r="F565" i="29"/>
  <c r="J564" i="29"/>
  <c r="I564" i="29"/>
  <c r="F564" i="29"/>
  <c r="J563" i="29"/>
  <c r="I563" i="29"/>
  <c r="F563" i="29"/>
  <c r="J562" i="29"/>
  <c r="I562" i="29"/>
  <c r="F562" i="29"/>
  <c r="J561" i="29"/>
  <c r="I561" i="29"/>
  <c r="F561" i="29"/>
  <c r="J560" i="29"/>
  <c r="I560" i="29"/>
  <c r="F560" i="29"/>
  <c r="J559" i="29"/>
  <c r="I559" i="29"/>
  <c r="F559" i="29"/>
  <c r="J558" i="29"/>
  <c r="I558" i="29"/>
  <c r="F558" i="29"/>
  <c r="J557" i="29"/>
  <c r="I557" i="29"/>
  <c r="F557" i="29"/>
  <c r="J556" i="29"/>
  <c r="I556" i="29"/>
  <c r="F556" i="29"/>
  <c r="J555" i="29"/>
  <c r="I555" i="29"/>
  <c r="F555" i="29"/>
  <c r="J554" i="29"/>
  <c r="I554" i="29"/>
  <c r="F554" i="29"/>
  <c r="J553" i="29"/>
  <c r="I553" i="29"/>
  <c r="F553" i="29"/>
  <c r="J552" i="29"/>
  <c r="I552" i="29"/>
  <c r="F552" i="29"/>
  <c r="J551" i="29"/>
  <c r="I551" i="29"/>
  <c r="F551" i="29"/>
  <c r="J550" i="29"/>
  <c r="I550" i="29"/>
  <c r="F550" i="29"/>
  <c r="J549" i="29"/>
  <c r="I549" i="29"/>
  <c r="F549" i="29"/>
  <c r="J548" i="29"/>
  <c r="I548" i="29"/>
  <c r="F548" i="29"/>
  <c r="J547" i="29"/>
  <c r="I547" i="29"/>
  <c r="F547" i="29"/>
  <c r="J546" i="29"/>
  <c r="I546" i="29"/>
  <c r="F546" i="29"/>
  <c r="J545" i="29"/>
  <c r="I545" i="29"/>
  <c r="F545" i="29"/>
  <c r="J544" i="29"/>
  <c r="I544" i="29"/>
  <c r="F544" i="29"/>
  <c r="J543" i="29"/>
  <c r="I543" i="29"/>
  <c r="F543" i="29"/>
  <c r="J542" i="29"/>
  <c r="I542" i="29"/>
  <c r="F542" i="29"/>
  <c r="J541" i="29"/>
  <c r="I541" i="29"/>
  <c r="F541" i="29"/>
  <c r="J540" i="29"/>
  <c r="I540" i="29"/>
  <c r="F540" i="29"/>
  <c r="J539" i="29"/>
  <c r="I539" i="29"/>
  <c r="F539" i="29"/>
  <c r="J538" i="29"/>
  <c r="I538" i="29"/>
  <c r="F538" i="29"/>
  <c r="J537" i="29"/>
  <c r="I537" i="29"/>
  <c r="F537" i="29"/>
  <c r="J536" i="29"/>
  <c r="I536" i="29"/>
  <c r="F536" i="29"/>
  <c r="J535" i="29"/>
  <c r="I535" i="29"/>
  <c r="F535" i="29"/>
  <c r="J534" i="29"/>
  <c r="I534" i="29"/>
  <c r="F534" i="29"/>
  <c r="J533" i="29"/>
  <c r="I533" i="29"/>
  <c r="F533" i="29"/>
  <c r="J532" i="29"/>
  <c r="I532" i="29"/>
  <c r="F532" i="29"/>
  <c r="J531" i="29"/>
  <c r="I531" i="29"/>
  <c r="F531" i="29"/>
  <c r="J530" i="29"/>
  <c r="I530" i="29"/>
  <c r="F530" i="29"/>
  <c r="J529" i="29"/>
  <c r="I529" i="29"/>
  <c r="F529" i="29"/>
  <c r="J528" i="29"/>
  <c r="I528" i="29"/>
  <c r="F528" i="29"/>
  <c r="J527" i="29"/>
  <c r="I527" i="29"/>
  <c r="F527" i="29"/>
  <c r="J526" i="29"/>
  <c r="I526" i="29"/>
  <c r="F526" i="29"/>
  <c r="J525" i="29"/>
  <c r="I525" i="29"/>
  <c r="F525" i="29"/>
  <c r="J524" i="29"/>
  <c r="I524" i="29"/>
  <c r="F524" i="29"/>
  <c r="J523" i="29"/>
  <c r="I523" i="29"/>
  <c r="F523" i="29"/>
  <c r="J522" i="29"/>
  <c r="I522" i="29"/>
  <c r="F522" i="29"/>
  <c r="J521" i="29"/>
  <c r="I521" i="29"/>
  <c r="F521" i="29"/>
  <c r="J520" i="29"/>
  <c r="I520" i="29"/>
  <c r="F520" i="29"/>
  <c r="J519" i="29"/>
  <c r="I519" i="29"/>
  <c r="F519" i="29"/>
  <c r="J518" i="29"/>
  <c r="I518" i="29"/>
  <c r="F518" i="29"/>
  <c r="J517" i="29"/>
  <c r="I517" i="29"/>
  <c r="F517" i="29"/>
  <c r="J516" i="29"/>
  <c r="I516" i="29"/>
  <c r="F516" i="29"/>
  <c r="J515" i="29"/>
  <c r="I515" i="29"/>
  <c r="F515" i="29"/>
  <c r="J514" i="29"/>
  <c r="I514" i="29"/>
  <c r="F514" i="29"/>
  <c r="J513" i="29"/>
  <c r="I513" i="29"/>
  <c r="F513" i="29"/>
  <c r="J512" i="29"/>
  <c r="I512" i="29"/>
  <c r="F512" i="29"/>
  <c r="J511" i="29"/>
  <c r="I511" i="29"/>
  <c r="F511" i="29"/>
  <c r="J510" i="29"/>
  <c r="I510" i="29"/>
  <c r="F510" i="29"/>
  <c r="J509" i="29"/>
  <c r="I509" i="29"/>
  <c r="F509" i="29"/>
  <c r="J508" i="29"/>
  <c r="I508" i="29"/>
  <c r="F508" i="29"/>
  <c r="J507" i="29"/>
  <c r="I507" i="29"/>
  <c r="F507" i="29"/>
  <c r="J506" i="29"/>
  <c r="I506" i="29"/>
  <c r="F506" i="29"/>
  <c r="J505" i="29"/>
  <c r="I505" i="29"/>
  <c r="F505" i="29"/>
  <c r="J504" i="29"/>
  <c r="I504" i="29"/>
  <c r="F504" i="29"/>
  <c r="J503" i="29"/>
  <c r="I503" i="29"/>
  <c r="F503" i="29"/>
  <c r="J502" i="29"/>
  <c r="I502" i="29"/>
  <c r="F502" i="29"/>
  <c r="J501" i="29"/>
  <c r="I501" i="29"/>
  <c r="F501" i="29"/>
  <c r="J500" i="29"/>
  <c r="I500" i="29"/>
  <c r="F500" i="29"/>
  <c r="J499" i="29"/>
  <c r="I499" i="29"/>
  <c r="F499" i="29"/>
  <c r="J498" i="29"/>
  <c r="I498" i="29"/>
  <c r="F498" i="29"/>
  <c r="J497" i="29"/>
  <c r="I497" i="29"/>
  <c r="F497" i="29"/>
  <c r="J496" i="29"/>
  <c r="I496" i="29"/>
  <c r="F496" i="29"/>
  <c r="J495" i="29"/>
  <c r="I495" i="29"/>
  <c r="F495" i="29"/>
  <c r="J494" i="29"/>
  <c r="I494" i="29"/>
  <c r="F494" i="29"/>
  <c r="J493" i="29"/>
  <c r="I493" i="29"/>
  <c r="F493" i="29"/>
  <c r="J492" i="29"/>
  <c r="I492" i="29"/>
  <c r="F492" i="29"/>
  <c r="J491" i="29"/>
  <c r="I491" i="29"/>
  <c r="F491" i="29"/>
  <c r="J490" i="29"/>
  <c r="I490" i="29"/>
  <c r="F490" i="29"/>
  <c r="J489" i="29"/>
  <c r="I489" i="29"/>
  <c r="F489" i="29"/>
  <c r="J488" i="29"/>
  <c r="I488" i="29"/>
  <c r="F488" i="29"/>
  <c r="J487" i="29"/>
  <c r="I487" i="29"/>
  <c r="F487" i="29"/>
  <c r="J486" i="29"/>
  <c r="I486" i="29"/>
  <c r="F486" i="29"/>
  <c r="J485" i="29"/>
  <c r="I485" i="29"/>
  <c r="F485" i="29"/>
  <c r="J484" i="29"/>
  <c r="I484" i="29"/>
  <c r="F484" i="29"/>
  <c r="J483" i="29"/>
  <c r="I483" i="29"/>
  <c r="F483" i="29"/>
  <c r="J482" i="29"/>
  <c r="I482" i="29"/>
  <c r="F482" i="29"/>
  <c r="J481" i="29"/>
  <c r="I481" i="29"/>
  <c r="F481" i="29"/>
  <c r="J480" i="29"/>
  <c r="I480" i="29"/>
  <c r="F480" i="29"/>
  <c r="J479" i="29"/>
  <c r="I479" i="29"/>
  <c r="F479" i="29"/>
  <c r="J478" i="29"/>
  <c r="I478" i="29"/>
  <c r="F478" i="29"/>
  <c r="J477" i="29"/>
  <c r="I477" i="29"/>
  <c r="F477" i="29"/>
  <c r="J476" i="29"/>
  <c r="I476" i="29"/>
  <c r="F476" i="29"/>
  <c r="J475" i="29"/>
  <c r="I475" i="29"/>
  <c r="F475" i="29"/>
  <c r="J474" i="29"/>
  <c r="I474" i="29"/>
  <c r="F474" i="29"/>
  <c r="J473" i="29"/>
  <c r="I473" i="29"/>
  <c r="F473" i="29"/>
  <c r="J472" i="29"/>
  <c r="I472" i="29"/>
  <c r="F472" i="29"/>
  <c r="J471" i="29"/>
  <c r="I471" i="29"/>
  <c r="F471" i="29"/>
  <c r="J470" i="29"/>
  <c r="I470" i="29"/>
  <c r="F470" i="29"/>
  <c r="J469" i="29"/>
  <c r="I469" i="29"/>
  <c r="F469" i="29"/>
  <c r="J468" i="29"/>
  <c r="I468" i="29"/>
  <c r="F468" i="29"/>
  <c r="J467" i="29"/>
  <c r="I467" i="29"/>
  <c r="F467" i="29"/>
  <c r="J466" i="29"/>
  <c r="I466" i="29"/>
  <c r="F466" i="29"/>
  <c r="J465" i="29"/>
  <c r="I465" i="29"/>
  <c r="F465" i="29"/>
  <c r="J464" i="29"/>
  <c r="I464" i="29"/>
  <c r="F464" i="29"/>
  <c r="J463" i="29"/>
  <c r="I463" i="29"/>
  <c r="F463" i="29"/>
  <c r="J462" i="29"/>
  <c r="I462" i="29"/>
  <c r="F462" i="29"/>
  <c r="J461" i="29"/>
  <c r="I461" i="29"/>
  <c r="F461" i="29"/>
  <c r="J460" i="29"/>
  <c r="I460" i="29"/>
  <c r="F460" i="29"/>
  <c r="J459" i="29"/>
  <c r="I459" i="29"/>
  <c r="F459" i="29"/>
  <c r="J458" i="29"/>
  <c r="I458" i="29"/>
  <c r="F458" i="29"/>
  <c r="J457" i="29"/>
  <c r="I457" i="29"/>
  <c r="F457" i="29"/>
  <c r="J456" i="29"/>
  <c r="I456" i="29"/>
  <c r="F456" i="29"/>
  <c r="J455" i="29"/>
  <c r="I455" i="29"/>
  <c r="F455" i="29"/>
  <c r="J454" i="29"/>
  <c r="I454" i="29"/>
  <c r="F454" i="29"/>
  <c r="J453" i="29"/>
  <c r="I453" i="29"/>
  <c r="F453" i="29"/>
  <c r="J452" i="29"/>
  <c r="I452" i="29"/>
  <c r="F452" i="29"/>
  <c r="J451" i="29"/>
  <c r="I451" i="29"/>
  <c r="F451" i="29"/>
  <c r="J450" i="29"/>
  <c r="I450" i="29"/>
  <c r="F450" i="29"/>
  <c r="J449" i="29"/>
  <c r="I449" i="29"/>
  <c r="F449" i="29"/>
  <c r="J448" i="29"/>
  <c r="I448" i="29"/>
  <c r="F448" i="29"/>
  <c r="J447" i="29"/>
  <c r="I447" i="29"/>
  <c r="F447" i="29"/>
  <c r="J446" i="29"/>
  <c r="I446" i="29"/>
  <c r="F446" i="29"/>
  <c r="J445" i="29"/>
  <c r="I445" i="29"/>
  <c r="F445" i="29"/>
  <c r="J444" i="29"/>
  <c r="I444" i="29"/>
  <c r="F444" i="29"/>
  <c r="J443" i="29"/>
  <c r="I443" i="29"/>
  <c r="F443" i="29"/>
  <c r="J442" i="29"/>
  <c r="I442" i="29"/>
  <c r="F442" i="29"/>
  <c r="J441" i="29"/>
  <c r="I441" i="29"/>
  <c r="F441" i="29"/>
  <c r="J440" i="29"/>
  <c r="I440" i="29"/>
  <c r="F440" i="29"/>
  <c r="J439" i="29"/>
  <c r="I439" i="29"/>
  <c r="F439" i="29"/>
  <c r="J438" i="29"/>
  <c r="I438" i="29"/>
  <c r="F438" i="29"/>
  <c r="J437" i="29"/>
  <c r="I437" i="29"/>
  <c r="F437" i="29"/>
  <c r="J436" i="29"/>
  <c r="I436" i="29"/>
  <c r="F436" i="29"/>
  <c r="J435" i="29"/>
  <c r="I435" i="29"/>
  <c r="F435" i="29"/>
  <c r="J434" i="29"/>
  <c r="I434" i="29"/>
  <c r="F434" i="29"/>
  <c r="J433" i="29"/>
  <c r="I433" i="29"/>
  <c r="F433" i="29"/>
  <c r="J432" i="29"/>
  <c r="I432" i="29"/>
  <c r="F432" i="29"/>
  <c r="J431" i="29"/>
  <c r="I431" i="29"/>
  <c r="F431" i="29"/>
  <c r="J430" i="29"/>
  <c r="I430" i="29"/>
  <c r="F430" i="29"/>
  <c r="J429" i="29"/>
  <c r="I429" i="29"/>
  <c r="F429" i="29"/>
  <c r="J428" i="29"/>
  <c r="I428" i="29"/>
  <c r="F428" i="29"/>
  <c r="J427" i="29"/>
  <c r="I427" i="29"/>
  <c r="F427" i="29"/>
  <c r="J426" i="29"/>
  <c r="I426" i="29"/>
  <c r="F426" i="29"/>
  <c r="J425" i="29"/>
  <c r="I425" i="29"/>
  <c r="F425" i="29"/>
  <c r="J424" i="29"/>
  <c r="I424" i="29"/>
  <c r="F424" i="29"/>
  <c r="J423" i="29"/>
  <c r="I423" i="29"/>
  <c r="F423" i="29"/>
  <c r="J422" i="29"/>
  <c r="I422" i="29"/>
  <c r="F422" i="29"/>
  <c r="J421" i="29"/>
  <c r="I421" i="29"/>
  <c r="F421" i="29"/>
  <c r="J420" i="29"/>
  <c r="I420" i="29"/>
  <c r="F420" i="29"/>
  <c r="J419" i="29"/>
  <c r="I419" i="29"/>
  <c r="F419" i="29"/>
  <c r="J418" i="29"/>
  <c r="I418" i="29"/>
  <c r="F418" i="29"/>
  <c r="J417" i="29"/>
  <c r="I417" i="29"/>
  <c r="F417" i="29"/>
  <c r="J416" i="29"/>
  <c r="I416" i="29"/>
  <c r="F416" i="29"/>
  <c r="J415" i="29"/>
  <c r="I415" i="29"/>
  <c r="F415" i="29"/>
  <c r="J414" i="29"/>
  <c r="I414" i="29"/>
  <c r="F414" i="29"/>
  <c r="J413" i="29"/>
  <c r="I413" i="29"/>
  <c r="F413" i="29"/>
  <c r="J412" i="29"/>
  <c r="I412" i="29"/>
  <c r="F412" i="29"/>
  <c r="J411" i="29"/>
  <c r="I411" i="29"/>
  <c r="F411" i="29"/>
  <c r="J410" i="29"/>
  <c r="I410" i="29"/>
  <c r="F410" i="29"/>
  <c r="J409" i="29"/>
  <c r="I409" i="29"/>
  <c r="F409" i="29"/>
  <c r="J408" i="29"/>
  <c r="I408" i="29"/>
  <c r="F408" i="29"/>
  <c r="J407" i="29"/>
  <c r="I407" i="29"/>
  <c r="F407" i="29"/>
  <c r="J406" i="29"/>
  <c r="I406" i="29"/>
  <c r="F406" i="29"/>
  <c r="J405" i="29"/>
  <c r="I405" i="29"/>
  <c r="F405" i="29"/>
  <c r="J404" i="29"/>
  <c r="I404" i="29"/>
  <c r="F404" i="29"/>
  <c r="J403" i="29"/>
  <c r="I403" i="29"/>
  <c r="F403" i="29"/>
  <c r="J402" i="29"/>
  <c r="I402" i="29"/>
  <c r="F402" i="29"/>
  <c r="J401" i="29"/>
  <c r="I401" i="29"/>
  <c r="F401" i="29"/>
  <c r="J400" i="29"/>
  <c r="I400" i="29"/>
  <c r="F400" i="29"/>
  <c r="J399" i="29"/>
  <c r="I399" i="29"/>
  <c r="F399" i="29"/>
  <c r="J398" i="29"/>
  <c r="I398" i="29"/>
  <c r="F398" i="29"/>
  <c r="J397" i="29"/>
  <c r="I397" i="29"/>
  <c r="F397" i="29"/>
  <c r="J396" i="29"/>
  <c r="I396" i="29"/>
  <c r="F396" i="29"/>
  <c r="J395" i="29"/>
  <c r="I395" i="29"/>
  <c r="F395" i="29"/>
  <c r="J394" i="29"/>
  <c r="I394" i="29"/>
  <c r="F394" i="29"/>
  <c r="J393" i="29"/>
  <c r="I393" i="29"/>
  <c r="F393" i="29"/>
  <c r="J392" i="29"/>
  <c r="I392" i="29"/>
  <c r="F392" i="29"/>
  <c r="J391" i="29"/>
  <c r="I391" i="29"/>
  <c r="F391" i="29"/>
  <c r="J390" i="29"/>
  <c r="I390" i="29"/>
  <c r="F390" i="29"/>
  <c r="J389" i="29"/>
  <c r="I389" i="29"/>
  <c r="F389" i="29"/>
  <c r="J388" i="29"/>
  <c r="I388" i="29"/>
  <c r="F388" i="29"/>
  <c r="J387" i="29"/>
  <c r="I387" i="29"/>
  <c r="F387" i="29"/>
  <c r="J386" i="29"/>
  <c r="I386" i="29"/>
  <c r="F386" i="29"/>
  <c r="J385" i="29"/>
  <c r="I385" i="29"/>
  <c r="F385" i="29"/>
  <c r="J384" i="29"/>
  <c r="I384" i="29"/>
  <c r="F384" i="29"/>
  <c r="J383" i="29"/>
  <c r="I383" i="29"/>
  <c r="F383" i="29"/>
  <c r="J382" i="29"/>
  <c r="I382" i="29"/>
  <c r="F382" i="29"/>
  <c r="J381" i="29"/>
  <c r="I381" i="29"/>
  <c r="F381" i="29"/>
  <c r="J380" i="29"/>
  <c r="I380" i="29"/>
  <c r="F380" i="29"/>
  <c r="J379" i="29"/>
  <c r="I379" i="29"/>
  <c r="F379" i="29"/>
  <c r="J378" i="29"/>
  <c r="I378" i="29"/>
  <c r="F378" i="29"/>
  <c r="J377" i="29"/>
  <c r="I377" i="29"/>
  <c r="F377" i="29"/>
  <c r="J376" i="29"/>
  <c r="I376" i="29"/>
  <c r="F376" i="29"/>
  <c r="J375" i="29"/>
  <c r="I375" i="29"/>
  <c r="F375" i="29"/>
  <c r="J374" i="29"/>
  <c r="I374" i="29"/>
  <c r="F374" i="29"/>
  <c r="J373" i="29"/>
  <c r="I373" i="29"/>
  <c r="F373" i="29"/>
  <c r="J372" i="29"/>
  <c r="I372" i="29"/>
  <c r="F372" i="29"/>
  <c r="J371" i="29"/>
  <c r="I371" i="29"/>
  <c r="F371" i="29"/>
  <c r="J370" i="29"/>
  <c r="I370" i="29"/>
  <c r="F370" i="29"/>
  <c r="J369" i="29"/>
  <c r="I369" i="29"/>
  <c r="F369" i="29"/>
  <c r="J368" i="29"/>
  <c r="I368" i="29"/>
  <c r="F368" i="29"/>
  <c r="J367" i="29"/>
  <c r="I367" i="29"/>
  <c r="F367" i="29"/>
  <c r="J366" i="29"/>
  <c r="I366" i="29"/>
  <c r="F366" i="29"/>
  <c r="J365" i="29"/>
  <c r="I365" i="29"/>
  <c r="F365" i="29"/>
  <c r="J364" i="29"/>
  <c r="I364" i="29"/>
  <c r="F364" i="29"/>
  <c r="J363" i="29"/>
  <c r="I363" i="29"/>
  <c r="F363" i="29"/>
  <c r="J362" i="29"/>
  <c r="I362" i="29"/>
  <c r="F362" i="29"/>
  <c r="J361" i="29"/>
  <c r="I361" i="29"/>
  <c r="F361" i="29"/>
  <c r="J360" i="29"/>
  <c r="I360" i="29"/>
  <c r="F360" i="29"/>
  <c r="J359" i="29"/>
  <c r="I359" i="29"/>
  <c r="F359" i="29"/>
  <c r="J358" i="29"/>
  <c r="I358" i="29"/>
  <c r="F358" i="29"/>
  <c r="J357" i="29"/>
  <c r="I357" i="29"/>
  <c r="F357" i="29"/>
  <c r="J356" i="29"/>
  <c r="I356" i="29"/>
  <c r="F356" i="29"/>
  <c r="J355" i="29"/>
  <c r="I355" i="29"/>
  <c r="F355" i="29"/>
  <c r="J354" i="29"/>
  <c r="I354" i="29"/>
  <c r="F354" i="29"/>
  <c r="J353" i="29"/>
  <c r="I353" i="29"/>
  <c r="F353" i="29"/>
  <c r="J352" i="29"/>
  <c r="I352" i="29"/>
  <c r="F352" i="29"/>
  <c r="J351" i="29"/>
  <c r="I351" i="29"/>
  <c r="F351" i="29"/>
  <c r="J350" i="29"/>
  <c r="I350" i="29"/>
  <c r="F350" i="29"/>
  <c r="J349" i="29"/>
  <c r="I349" i="29"/>
  <c r="F349" i="29"/>
  <c r="J348" i="29"/>
  <c r="I348" i="29"/>
  <c r="F348" i="29"/>
  <c r="J347" i="29"/>
  <c r="I347" i="29"/>
  <c r="F347" i="29"/>
  <c r="J346" i="29"/>
  <c r="I346" i="29"/>
  <c r="F346" i="29"/>
  <c r="J345" i="29"/>
  <c r="I345" i="29"/>
  <c r="F345" i="29"/>
  <c r="J344" i="29"/>
  <c r="I344" i="29"/>
  <c r="F344" i="29"/>
  <c r="J343" i="29"/>
  <c r="I343" i="29"/>
  <c r="F343" i="29"/>
  <c r="J342" i="29"/>
  <c r="I342" i="29"/>
  <c r="F342" i="29"/>
  <c r="J341" i="29"/>
  <c r="I341" i="29"/>
  <c r="F341" i="29"/>
  <c r="J340" i="29"/>
  <c r="I340" i="29"/>
  <c r="F340" i="29"/>
  <c r="J339" i="29"/>
  <c r="I339" i="29"/>
  <c r="F339" i="29"/>
  <c r="J338" i="29"/>
  <c r="I338" i="29"/>
  <c r="F338" i="29"/>
  <c r="J337" i="29"/>
  <c r="I337" i="29"/>
  <c r="F337" i="29"/>
  <c r="J336" i="29"/>
  <c r="I336" i="29"/>
  <c r="F336" i="29"/>
  <c r="J335" i="29"/>
  <c r="I335" i="29"/>
  <c r="F335" i="29"/>
  <c r="J334" i="29"/>
  <c r="I334" i="29"/>
  <c r="F334" i="29"/>
  <c r="J333" i="29"/>
  <c r="I333" i="29"/>
  <c r="F333" i="29"/>
  <c r="J332" i="29"/>
  <c r="I332" i="29"/>
  <c r="F332" i="29"/>
  <c r="J331" i="29"/>
  <c r="I331" i="29"/>
  <c r="F331" i="29"/>
  <c r="J330" i="29"/>
  <c r="I330" i="29"/>
  <c r="F330" i="29"/>
  <c r="J329" i="29"/>
  <c r="I329" i="29"/>
  <c r="F329" i="29"/>
  <c r="J328" i="29"/>
  <c r="I328" i="29"/>
  <c r="F328" i="29"/>
  <c r="J327" i="29"/>
  <c r="I327" i="29"/>
  <c r="F327" i="29"/>
  <c r="J326" i="29"/>
  <c r="I326" i="29"/>
  <c r="F326" i="29"/>
  <c r="J325" i="29"/>
  <c r="I325" i="29"/>
  <c r="F325" i="29"/>
  <c r="J324" i="29"/>
  <c r="I324" i="29"/>
  <c r="F324" i="29"/>
  <c r="J323" i="29"/>
  <c r="I323" i="29"/>
  <c r="F323" i="29"/>
  <c r="J322" i="29"/>
  <c r="I322" i="29"/>
  <c r="F322" i="29"/>
  <c r="J321" i="29"/>
  <c r="I321" i="29"/>
  <c r="F321" i="29"/>
  <c r="J320" i="29"/>
  <c r="I320" i="29"/>
  <c r="F320" i="29"/>
  <c r="J319" i="29"/>
  <c r="I319" i="29"/>
  <c r="F319" i="29"/>
  <c r="J318" i="29"/>
  <c r="I318" i="29"/>
  <c r="F318" i="29"/>
  <c r="J317" i="29"/>
  <c r="I317" i="29"/>
  <c r="F317" i="29"/>
  <c r="J316" i="29"/>
  <c r="I316" i="29"/>
  <c r="F316" i="29"/>
  <c r="J315" i="29"/>
  <c r="I315" i="29"/>
  <c r="F315" i="29"/>
  <c r="J314" i="29"/>
  <c r="I314" i="29"/>
  <c r="F314" i="29"/>
  <c r="J313" i="29"/>
  <c r="I313" i="29"/>
  <c r="F313" i="29"/>
  <c r="J312" i="29"/>
  <c r="I312" i="29"/>
  <c r="F312" i="29"/>
  <c r="J311" i="29"/>
  <c r="I311" i="29"/>
  <c r="F311" i="29"/>
  <c r="J310" i="29"/>
  <c r="I310" i="29"/>
  <c r="F310" i="29"/>
  <c r="J309" i="29"/>
  <c r="I309" i="29"/>
  <c r="F309" i="29"/>
  <c r="J308" i="29"/>
  <c r="I308" i="29"/>
  <c r="F308" i="29"/>
  <c r="J307" i="29"/>
  <c r="I307" i="29"/>
  <c r="F307" i="29"/>
  <c r="J306" i="29"/>
  <c r="I306" i="29"/>
  <c r="F306" i="29"/>
  <c r="J305" i="29"/>
  <c r="I305" i="29"/>
  <c r="F305" i="29"/>
  <c r="J304" i="29"/>
  <c r="I304" i="29"/>
  <c r="F304" i="29"/>
  <c r="J303" i="29"/>
  <c r="I303" i="29"/>
  <c r="F303" i="29"/>
  <c r="J302" i="29"/>
  <c r="I302" i="29"/>
  <c r="F302" i="29"/>
  <c r="J301" i="29"/>
  <c r="I301" i="29"/>
  <c r="F301" i="29"/>
  <c r="J300" i="29"/>
  <c r="I300" i="29"/>
  <c r="F300" i="29"/>
  <c r="J299" i="29"/>
  <c r="I299" i="29"/>
  <c r="F299" i="29"/>
  <c r="J298" i="29"/>
  <c r="I298" i="29"/>
  <c r="F298" i="29"/>
  <c r="J297" i="29"/>
  <c r="I297" i="29"/>
  <c r="F297" i="29"/>
  <c r="J296" i="29"/>
  <c r="I296" i="29"/>
  <c r="F296" i="29"/>
  <c r="J295" i="29"/>
  <c r="I295" i="29"/>
  <c r="F295" i="29"/>
  <c r="J294" i="29"/>
  <c r="I294" i="29"/>
  <c r="F294" i="29"/>
  <c r="J293" i="29"/>
  <c r="I293" i="29"/>
  <c r="F293" i="29"/>
  <c r="J292" i="29"/>
  <c r="I292" i="29"/>
  <c r="F292" i="29"/>
  <c r="J291" i="29"/>
  <c r="I291" i="29"/>
  <c r="F291" i="29"/>
  <c r="J290" i="29"/>
  <c r="I290" i="29"/>
  <c r="F290" i="29"/>
  <c r="J289" i="29"/>
  <c r="I289" i="29"/>
  <c r="F289" i="29"/>
  <c r="J288" i="29"/>
  <c r="I288" i="29"/>
  <c r="F288" i="29"/>
  <c r="J287" i="29"/>
  <c r="I287" i="29"/>
  <c r="F287" i="29"/>
  <c r="J286" i="29"/>
  <c r="I286" i="29"/>
  <c r="F286" i="29"/>
  <c r="J285" i="29"/>
  <c r="I285" i="29"/>
  <c r="F285" i="29"/>
  <c r="J284" i="29"/>
  <c r="I284" i="29"/>
  <c r="F284" i="29"/>
  <c r="J283" i="29"/>
  <c r="I283" i="29"/>
  <c r="F283" i="29"/>
  <c r="J282" i="29"/>
  <c r="I282" i="29"/>
  <c r="F282" i="29"/>
  <c r="J281" i="29"/>
  <c r="I281" i="29"/>
  <c r="F281" i="29"/>
  <c r="J280" i="29"/>
  <c r="I280" i="29"/>
  <c r="F280" i="29"/>
  <c r="J279" i="29"/>
  <c r="I279" i="29"/>
  <c r="F279" i="29"/>
  <c r="J278" i="29"/>
  <c r="I278" i="29"/>
  <c r="F278" i="29"/>
  <c r="J277" i="29"/>
  <c r="I277" i="29"/>
  <c r="F277" i="29"/>
  <c r="J276" i="29"/>
  <c r="I276" i="29"/>
  <c r="F276" i="29"/>
  <c r="J275" i="29"/>
  <c r="I275" i="29"/>
  <c r="F275" i="29"/>
  <c r="J274" i="29"/>
  <c r="I274" i="29"/>
  <c r="F274" i="29"/>
  <c r="J273" i="29"/>
  <c r="I273" i="29"/>
  <c r="F273" i="29"/>
  <c r="J272" i="29"/>
  <c r="I272" i="29"/>
  <c r="F272" i="29"/>
  <c r="J271" i="29"/>
  <c r="I271" i="29"/>
  <c r="F271" i="29"/>
  <c r="J270" i="29"/>
  <c r="I270" i="29"/>
  <c r="F270" i="29"/>
  <c r="J269" i="29"/>
  <c r="I269" i="29"/>
  <c r="F269" i="29"/>
  <c r="J268" i="29"/>
  <c r="I268" i="29"/>
  <c r="F268" i="29"/>
  <c r="J267" i="29"/>
  <c r="I267" i="29"/>
  <c r="F267" i="29"/>
  <c r="J266" i="29"/>
  <c r="I266" i="29"/>
  <c r="F266" i="29"/>
  <c r="J265" i="29"/>
  <c r="I265" i="29"/>
  <c r="F265" i="29"/>
  <c r="J264" i="29"/>
  <c r="I264" i="29"/>
  <c r="F264" i="29"/>
  <c r="J263" i="29"/>
  <c r="I263" i="29"/>
  <c r="F263" i="29"/>
  <c r="J262" i="29"/>
  <c r="I262" i="29"/>
  <c r="F262" i="29"/>
  <c r="J261" i="29"/>
  <c r="I261" i="29"/>
  <c r="F261" i="29"/>
  <c r="J260" i="29"/>
  <c r="I260" i="29"/>
  <c r="F260" i="29"/>
  <c r="J259" i="29"/>
  <c r="I259" i="29"/>
  <c r="F259" i="29"/>
  <c r="J258" i="29"/>
  <c r="I258" i="29"/>
  <c r="F258" i="29"/>
  <c r="J257" i="29"/>
  <c r="I257" i="29"/>
  <c r="F257" i="29"/>
  <c r="J256" i="29"/>
  <c r="I256" i="29"/>
  <c r="F256" i="29"/>
  <c r="J255" i="29"/>
  <c r="I255" i="29"/>
  <c r="F255" i="29"/>
  <c r="J254" i="29"/>
  <c r="I254" i="29"/>
  <c r="F254" i="29"/>
  <c r="J253" i="29"/>
  <c r="I253" i="29"/>
  <c r="F253" i="29"/>
  <c r="J252" i="29"/>
  <c r="I252" i="29"/>
  <c r="F252" i="29"/>
  <c r="J251" i="29"/>
  <c r="I251" i="29"/>
  <c r="F251" i="29"/>
  <c r="J250" i="29"/>
  <c r="I250" i="29"/>
  <c r="F250" i="29"/>
  <c r="J249" i="29"/>
  <c r="I249" i="29"/>
  <c r="F249" i="29"/>
  <c r="J248" i="29"/>
  <c r="I248" i="29"/>
  <c r="F248" i="29"/>
  <c r="J247" i="29"/>
  <c r="I247" i="29"/>
  <c r="F247" i="29"/>
  <c r="J246" i="29"/>
  <c r="I246" i="29"/>
  <c r="F246" i="29"/>
  <c r="J245" i="29"/>
  <c r="I245" i="29"/>
  <c r="F245" i="29"/>
  <c r="J244" i="29"/>
  <c r="I244" i="29"/>
  <c r="F244" i="29"/>
  <c r="J243" i="29"/>
  <c r="I243" i="29"/>
  <c r="F243" i="29"/>
  <c r="J242" i="29"/>
  <c r="I242" i="29"/>
  <c r="F242" i="29"/>
  <c r="J241" i="29"/>
  <c r="I241" i="29"/>
  <c r="F241" i="29"/>
  <c r="J240" i="29"/>
  <c r="I240" i="29"/>
  <c r="F240" i="29"/>
  <c r="J239" i="29"/>
  <c r="I239" i="29"/>
  <c r="F239" i="29"/>
  <c r="J238" i="29"/>
  <c r="I238" i="29"/>
  <c r="F238" i="29"/>
  <c r="J237" i="29"/>
  <c r="I237" i="29"/>
  <c r="F237" i="29"/>
  <c r="J236" i="29"/>
  <c r="I236" i="29"/>
  <c r="F236" i="29"/>
  <c r="J235" i="29"/>
  <c r="I235" i="29"/>
  <c r="F235" i="29"/>
  <c r="J234" i="29"/>
  <c r="I234" i="29"/>
  <c r="F234" i="29"/>
  <c r="J233" i="29"/>
  <c r="I233" i="29"/>
  <c r="F233" i="29"/>
  <c r="J232" i="29"/>
  <c r="I232" i="29"/>
  <c r="F232" i="29"/>
  <c r="J231" i="29"/>
  <c r="I231" i="29"/>
  <c r="F231" i="29"/>
  <c r="J230" i="29"/>
  <c r="I230" i="29"/>
  <c r="F230" i="29"/>
  <c r="J229" i="29"/>
  <c r="I229" i="29"/>
  <c r="F229" i="29"/>
  <c r="J228" i="29"/>
  <c r="I228" i="29"/>
  <c r="F228" i="29"/>
  <c r="J227" i="29"/>
  <c r="I227" i="29"/>
  <c r="F227" i="29"/>
  <c r="J226" i="29"/>
  <c r="I226" i="29"/>
  <c r="F226" i="29"/>
  <c r="J225" i="29"/>
  <c r="I225" i="29"/>
  <c r="F225" i="29"/>
  <c r="J224" i="29"/>
  <c r="I224" i="29"/>
  <c r="F224" i="29"/>
  <c r="J223" i="29"/>
  <c r="I223" i="29"/>
  <c r="F223" i="29"/>
  <c r="J222" i="29"/>
  <c r="I222" i="29"/>
  <c r="F222" i="29"/>
  <c r="J221" i="29"/>
  <c r="I221" i="29"/>
  <c r="F221" i="29"/>
  <c r="J220" i="29"/>
  <c r="I220" i="29"/>
  <c r="F220" i="29"/>
  <c r="J219" i="29"/>
  <c r="I219" i="29"/>
  <c r="F219" i="29"/>
  <c r="J218" i="29"/>
  <c r="I218" i="29"/>
  <c r="F218" i="29"/>
  <c r="J217" i="29"/>
  <c r="I217" i="29"/>
  <c r="F217" i="29"/>
  <c r="J216" i="29"/>
  <c r="I216" i="29"/>
  <c r="F216" i="29"/>
  <c r="J215" i="29"/>
  <c r="I215" i="29"/>
  <c r="F215" i="29"/>
  <c r="J214" i="29"/>
  <c r="I214" i="29"/>
  <c r="F214" i="29"/>
  <c r="J213" i="29"/>
  <c r="I213" i="29"/>
  <c r="F213" i="29"/>
  <c r="J212" i="29"/>
  <c r="I212" i="29"/>
  <c r="F212" i="29"/>
  <c r="J211" i="29"/>
  <c r="I211" i="29"/>
  <c r="F211" i="29"/>
  <c r="J210" i="29"/>
  <c r="I210" i="29"/>
  <c r="F210" i="29"/>
  <c r="J209" i="29"/>
  <c r="I209" i="29"/>
  <c r="F209" i="29"/>
  <c r="J208" i="29"/>
  <c r="I208" i="29"/>
  <c r="F208" i="29"/>
  <c r="J207" i="29"/>
  <c r="I207" i="29"/>
  <c r="F207" i="29"/>
  <c r="J206" i="29"/>
  <c r="I206" i="29"/>
  <c r="F206" i="29"/>
  <c r="J205" i="29"/>
  <c r="I205" i="29"/>
  <c r="F205" i="29"/>
  <c r="J204" i="29"/>
  <c r="I204" i="29"/>
  <c r="F204" i="29"/>
  <c r="J203" i="29"/>
  <c r="I203" i="29"/>
  <c r="F203" i="29"/>
  <c r="J202" i="29"/>
  <c r="I202" i="29"/>
  <c r="F202" i="29"/>
  <c r="J201" i="29"/>
  <c r="I201" i="29"/>
  <c r="F201" i="29"/>
  <c r="J200" i="29"/>
  <c r="I200" i="29"/>
  <c r="F200" i="29"/>
  <c r="J199" i="29"/>
  <c r="I199" i="29"/>
  <c r="F199" i="29"/>
  <c r="J198" i="29"/>
  <c r="I198" i="29"/>
  <c r="F198" i="29"/>
  <c r="J197" i="29"/>
  <c r="I197" i="29"/>
  <c r="F197" i="29"/>
  <c r="J196" i="29"/>
  <c r="I196" i="29"/>
  <c r="F196" i="29"/>
  <c r="J195" i="29"/>
  <c r="I195" i="29"/>
  <c r="F195" i="29"/>
  <c r="J194" i="29"/>
  <c r="I194" i="29"/>
  <c r="F194" i="29"/>
  <c r="J193" i="29"/>
  <c r="I193" i="29"/>
  <c r="F193" i="29"/>
  <c r="J192" i="29"/>
  <c r="I192" i="29"/>
  <c r="F192" i="29"/>
  <c r="J191" i="29"/>
  <c r="I191" i="29"/>
  <c r="F191" i="29"/>
  <c r="J190" i="29"/>
  <c r="I190" i="29"/>
  <c r="F190" i="29"/>
  <c r="J189" i="29"/>
  <c r="I189" i="29"/>
  <c r="F189" i="29"/>
  <c r="J188" i="29"/>
  <c r="I188" i="29"/>
  <c r="F188" i="29"/>
  <c r="J187" i="29"/>
  <c r="I187" i="29"/>
  <c r="F187" i="29"/>
  <c r="J186" i="29"/>
  <c r="I186" i="29"/>
  <c r="F186" i="29"/>
  <c r="J185" i="29"/>
  <c r="I185" i="29"/>
  <c r="F185" i="29"/>
  <c r="J184" i="29"/>
  <c r="I184" i="29"/>
  <c r="F184" i="29"/>
  <c r="J183" i="29"/>
  <c r="I183" i="29"/>
  <c r="F183" i="29"/>
  <c r="J182" i="29"/>
  <c r="I182" i="29"/>
  <c r="F182" i="29"/>
  <c r="J181" i="29"/>
  <c r="I181" i="29"/>
  <c r="F181" i="29"/>
  <c r="J180" i="29"/>
  <c r="I180" i="29"/>
  <c r="F180" i="29"/>
  <c r="J179" i="29"/>
  <c r="I179" i="29"/>
  <c r="F179" i="29"/>
  <c r="J178" i="29"/>
  <c r="I178" i="29"/>
  <c r="F178" i="29"/>
  <c r="J177" i="29"/>
  <c r="I177" i="29"/>
  <c r="F177" i="29"/>
  <c r="J176" i="29"/>
  <c r="I176" i="29"/>
  <c r="F176" i="29"/>
  <c r="J175" i="29"/>
  <c r="I175" i="29"/>
  <c r="F175" i="29"/>
  <c r="J174" i="29"/>
  <c r="I174" i="29"/>
  <c r="F174" i="29"/>
  <c r="J173" i="29"/>
  <c r="I173" i="29"/>
  <c r="F173" i="29"/>
  <c r="J172" i="29"/>
  <c r="I172" i="29"/>
  <c r="F172" i="29"/>
  <c r="J171" i="29"/>
  <c r="I171" i="29"/>
  <c r="F171" i="29"/>
  <c r="J170" i="29"/>
  <c r="I170" i="29"/>
  <c r="F170" i="29"/>
  <c r="J169" i="29"/>
  <c r="I169" i="29"/>
  <c r="F169" i="29"/>
  <c r="J168" i="29"/>
  <c r="I168" i="29"/>
  <c r="F168" i="29"/>
  <c r="J167" i="29"/>
  <c r="I167" i="29"/>
  <c r="F167" i="29"/>
  <c r="J166" i="29"/>
  <c r="I166" i="29"/>
  <c r="F166" i="29"/>
  <c r="J165" i="29"/>
  <c r="I165" i="29"/>
  <c r="F165" i="29"/>
  <c r="J164" i="29"/>
  <c r="I164" i="29"/>
  <c r="F164" i="29"/>
  <c r="J163" i="29"/>
  <c r="I163" i="29"/>
  <c r="F163" i="29"/>
  <c r="J162" i="29"/>
  <c r="I162" i="29"/>
  <c r="F162" i="29"/>
  <c r="J161" i="29"/>
  <c r="I161" i="29"/>
  <c r="F161" i="29"/>
  <c r="J160" i="29"/>
  <c r="I160" i="29"/>
  <c r="F160" i="29"/>
  <c r="J159" i="29"/>
  <c r="I159" i="29"/>
  <c r="F159" i="29"/>
  <c r="J158" i="29"/>
  <c r="I158" i="29"/>
  <c r="F158" i="29"/>
  <c r="J157" i="29"/>
  <c r="I157" i="29"/>
  <c r="F157" i="29"/>
  <c r="J156" i="29"/>
  <c r="I156" i="29"/>
  <c r="F156" i="29"/>
  <c r="J155" i="29"/>
  <c r="I155" i="29"/>
  <c r="F155" i="29"/>
  <c r="J154" i="29"/>
  <c r="I154" i="29"/>
  <c r="F154" i="29"/>
  <c r="J153" i="29"/>
  <c r="I153" i="29"/>
  <c r="F153" i="29"/>
  <c r="J152" i="29"/>
  <c r="I152" i="29"/>
  <c r="F152" i="29"/>
  <c r="J151" i="29"/>
  <c r="I151" i="29"/>
  <c r="F151" i="29"/>
  <c r="J150" i="29"/>
  <c r="I150" i="29"/>
  <c r="F150" i="29"/>
  <c r="J149" i="29"/>
  <c r="I149" i="29"/>
  <c r="F149" i="29"/>
  <c r="J148" i="29"/>
  <c r="I148" i="29"/>
  <c r="F148" i="29"/>
  <c r="J147" i="29"/>
  <c r="I147" i="29"/>
  <c r="F147" i="29"/>
  <c r="J146" i="29"/>
  <c r="I146" i="29"/>
  <c r="F146" i="29"/>
  <c r="J145" i="29"/>
  <c r="I145" i="29"/>
  <c r="F145" i="29"/>
  <c r="J144" i="29"/>
  <c r="I144" i="29"/>
  <c r="F144" i="29"/>
  <c r="J143" i="29"/>
  <c r="I143" i="29"/>
  <c r="F143" i="29"/>
  <c r="J142" i="29"/>
  <c r="I142" i="29"/>
  <c r="F142" i="29"/>
  <c r="J141" i="29"/>
  <c r="I141" i="29"/>
  <c r="F141" i="29"/>
  <c r="J140" i="29"/>
  <c r="I140" i="29"/>
  <c r="F140" i="29"/>
  <c r="J139" i="29"/>
  <c r="I139" i="29"/>
  <c r="F139" i="29"/>
  <c r="J138" i="29"/>
  <c r="I138" i="29"/>
  <c r="F138" i="29"/>
  <c r="J137" i="29"/>
  <c r="I137" i="29"/>
  <c r="F137" i="29"/>
  <c r="J136" i="29"/>
  <c r="I136" i="29"/>
  <c r="F136" i="29"/>
  <c r="J135" i="29"/>
  <c r="I135" i="29"/>
  <c r="F135" i="29"/>
  <c r="J134" i="29"/>
  <c r="I134" i="29"/>
  <c r="F134" i="29"/>
  <c r="J133" i="29"/>
  <c r="I133" i="29"/>
  <c r="F133" i="29"/>
  <c r="J132" i="29"/>
  <c r="I132" i="29"/>
  <c r="F132" i="29"/>
  <c r="J131" i="29"/>
  <c r="I131" i="29"/>
  <c r="F131" i="29"/>
  <c r="J130" i="29"/>
  <c r="I130" i="29"/>
  <c r="F130" i="29"/>
  <c r="J129" i="29"/>
  <c r="I129" i="29"/>
  <c r="F129" i="29"/>
  <c r="J128" i="29"/>
  <c r="I128" i="29"/>
  <c r="F128" i="29"/>
  <c r="J127" i="29"/>
  <c r="I127" i="29"/>
  <c r="F127" i="29"/>
  <c r="J126" i="29"/>
  <c r="I126" i="29"/>
  <c r="F126" i="29"/>
  <c r="J125" i="29"/>
  <c r="I125" i="29"/>
  <c r="F125" i="29"/>
  <c r="J124" i="29"/>
  <c r="I124" i="29"/>
  <c r="F124" i="29"/>
  <c r="J123" i="29"/>
  <c r="I123" i="29"/>
  <c r="F123" i="29"/>
  <c r="J122" i="29"/>
  <c r="I122" i="29"/>
  <c r="F122" i="29"/>
  <c r="J121" i="29"/>
  <c r="I121" i="29"/>
  <c r="F121" i="29"/>
  <c r="J120" i="29"/>
  <c r="I120" i="29"/>
  <c r="F120" i="29"/>
  <c r="J119" i="29"/>
  <c r="I119" i="29"/>
  <c r="F119" i="29"/>
  <c r="J118" i="29"/>
  <c r="I118" i="29"/>
  <c r="F118" i="29"/>
  <c r="J117" i="29"/>
  <c r="I117" i="29"/>
  <c r="F117" i="29"/>
  <c r="J116" i="29"/>
  <c r="I116" i="29"/>
  <c r="F116" i="29"/>
  <c r="J115" i="29"/>
  <c r="I115" i="29"/>
  <c r="F115" i="29"/>
  <c r="J114" i="29"/>
  <c r="I114" i="29"/>
  <c r="F114" i="29"/>
  <c r="J113" i="29"/>
  <c r="I113" i="29"/>
  <c r="F113" i="29"/>
  <c r="J112" i="29"/>
  <c r="I112" i="29"/>
  <c r="F112" i="29"/>
  <c r="J111" i="29"/>
  <c r="I111" i="29"/>
  <c r="F111" i="29"/>
  <c r="J110" i="29"/>
  <c r="I110" i="29"/>
  <c r="F110" i="29"/>
  <c r="J109" i="29"/>
  <c r="I109" i="29"/>
  <c r="F109" i="29"/>
  <c r="J108" i="29"/>
  <c r="I108" i="29"/>
  <c r="F108" i="29"/>
  <c r="J107" i="29"/>
  <c r="I107" i="29"/>
  <c r="F107" i="29"/>
  <c r="J106" i="29"/>
  <c r="I106" i="29"/>
  <c r="F106" i="29"/>
  <c r="J105" i="29"/>
  <c r="I105" i="29"/>
  <c r="F105" i="29"/>
  <c r="J104" i="29"/>
  <c r="I104" i="29"/>
  <c r="F104" i="29"/>
  <c r="J103" i="29"/>
  <c r="I103" i="29"/>
  <c r="F103" i="29"/>
  <c r="J102" i="29"/>
  <c r="I102" i="29"/>
  <c r="F102" i="29"/>
  <c r="J101" i="29"/>
  <c r="I101" i="29"/>
  <c r="F101" i="29"/>
  <c r="J100" i="29"/>
  <c r="I100" i="29"/>
  <c r="F100" i="29"/>
  <c r="J99" i="29"/>
  <c r="I99" i="29"/>
  <c r="F99" i="29"/>
  <c r="J98" i="29"/>
  <c r="I98" i="29"/>
  <c r="F98" i="29"/>
  <c r="J97" i="29"/>
  <c r="I97" i="29"/>
  <c r="F97" i="29"/>
  <c r="J96" i="29"/>
  <c r="I96" i="29"/>
  <c r="F96" i="29"/>
  <c r="J95" i="29"/>
  <c r="I95" i="29"/>
  <c r="F95" i="29"/>
  <c r="J94" i="29"/>
  <c r="I94" i="29"/>
  <c r="F94" i="29"/>
  <c r="J93" i="29"/>
  <c r="I93" i="29"/>
  <c r="F93" i="29"/>
  <c r="J92" i="29"/>
  <c r="I92" i="29"/>
  <c r="F92" i="29"/>
  <c r="J91" i="29"/>
  <c r="I91" i="29"/>
  <c r="F91" i="29"/>
  <c r="J90" i="29"/>
  <c r="I90" i="29"/>
  <c r="F90" i="29"/>
  <c r="J89" i="29"/>
  <c r="I89" i="29"/>
  <c r="F89" i="29"/>
  <c r="J88" i="29"/>
  <c r="I88" i="29"/>
  <c r="F88" i="29"/>
  <c r="J87" i="29"/>
  <c r="I87" i="29"/>
  <c r="F87" i="29"/>
  <c r="J86" i="29"/>
  <c r="I86" i="29"/>
  <c r="F86" i="29"/>
  <c r="J85" i="29"/>
  <c r="I85" i="29"/>
  <c r="F85" i="29"/>
  <c r="J84" i="29"/>
  <c r="I84" i="29"/>
  <c r="F84" i="29"/>
  <c r="J83" i="29"/>
  <c r="I83" i="29"/>
  <c r="F83" i="29"/>
  <c r="J82" i="29"/>
  <c r="I82" i="29"/>
  <c r="F82" i="29"/>
  <c r="J81" i="29"/>
  <c r="I81" i="29"/>
  <c r="F81" i="29"/>
  <c r="J80" i="29"/>
  <c r="I80" i="29"/>
  <c r="F80" i="29"/>
  <c r="J79" i="29"/>
  <c r="I79" i="29"/>
  <c r="F79" i="29"/>
  <c r="J78" i="29"/>
  <c r="I78" i="29"/>
  <c r="F78" i="29"/>
  <c r="J77" i="29"/>
  <c r="I77" i="29"/>
  <c r="F77" i="29"/>
  <c r="J76" i="29"/>
  <c r="I76" i="29"/>
  <c r="F76" i="29"/>
  <c r="J75" i="29"/>
  <c r="I75" i="29"/>
  <c r="F75" i="29"/>
  <c r="J74" i="29"/>
  <c r="I74" i="29"/>
  <c r="F74" i="29"/>
  <c r="J73" i="29"/>
  <c r="I73" i="29"/>
  <c r="F73" i="29"/>
  <c r="J72" i="29"/>
  <c r="I72" i="29"/>
  <c r="F72" i="29"/>
  <c r="J71" i="29"/>
  <c r="I71" i="29"/>
  <c r="F71" i="29"/>
  <c r="J70" i="29"/>
  <c r="I70" i="29"/>
  <c r="F70" i="29"/>
  <c r="J69" i="29"/>
  <c r="I69" i="29"/>
  <c r="F69" i="29"/>
  <c r="J68" i="29"/>
  <c r="I68" i="29"/>
  <c r="F68" i="29"/>
  <c r="J67" i="29"/>
  <c r="I67" i="29"/>
  <c r="F67" i="29"/>
  <c r="J66" i="29"/>
  <c r="I66" i="29"/>
  <c r="F66" i="29"/>
  <c r="J65" i="29"/>
  <c r="I65" i="29"/>
  <c r="F65" i="29"/>
  <c r="J64" i="29"/>
  <c r="I64" i="29"/>
  <c r="F64" i="29"/>
  <c r="J63" i="29"/>
  <c r="I63" i="29"/>
  <c r="F63" i="29"/>
  <c r="J62" i="29"/>
  <c r="I62" i="29"/>
  <c r="F62" i="29"/>
  <c r="J61" i="29"/>
  <c r="I61" i="29"/>
  <c r="F61" i="29"/>
  <c r="J60" i="29"/>
  <c r="I60" i="29"/>
  <c r="F60" i="29"/>
  <c r="J59" i="29"/>
  <c r="I59" i="29"/>
  <c r="F59" i="29"/>
  <c r="J58" i="29"/>
  <c r="I58" i="29"/>
  <c r="F58" i="29"/>
  <c r="J57" i="29"/>
  <c r="I57" i="29"/>
  <c r="F57" i="29"/>
  <c r="J56" i="29"/>
  <c r="I56" i="29"/>
  <c r="F56" i="29"/>
  <c r="J55" i="29"/>
  <c r="I55" i="29"/>
  <c r="F55" i="29"/>
  <c r="J54" i="29"/>
  <c r="I54" i="29"/>
  <c r="F54" i="29"/>
  <c r="J53" i="29"/>
  <c r="I53" i="29"/>
  <c r="F53" i="29"/>
  <c r="J52" i="29"/>
  <c r="I52" i="29"/>
  <c r="F52" i="29"/>
  <c r="J51" i="29"/>
  <c r="I51" i="29"/>
  <c r="F51" i="29"/>
  <c r="J50" i="29"/>
  <c r="I50" i="29"/>
  <c r="F50" i="29"/>
  <c r="J49" i="29"/>
  <c r="I49" i="29"/>
  <c r="F49" i="29"/>
  <c r="J48" i="29"/>
  <c r="I48" i="29"/>
  <c r="F48" i="29"/>
  <c r="J47" i="29"/>
  <c r="I47" i="29"/>
  <c r="F47" i="29"/>
  <c r="J46" i="29"/>
  <c r="I46" i="29"/>
  <c r="F46" i="29"/>
  <c r="J45" i="29"/>
  <c r="I45" i="29"/>
  <c r="F45" i="29"/>
  <c r="J44" i="29"/>
  <c r="I44" i="29"/>
  <c r="F44" i="29"/>
  <c r="J43" i="29"/>
  <c r="I43" i="29"/>
  <c r="F43" i="29"/>
  <c r="J42" i="29"/>
  <c r="I42" i="29"/>
  <c r="F42" i="29"/>
  <c r="J41" i="29"/>
  <c r="I41" i="29"/>
  <c r="F41" i="29"/>
  <c r="J40" i="29"/>
  <c r="I40" i="29"/>
  <c r="F40" i="29"/>
  <c r="J39" i="29"/>
  <c r="I39" i="29"/>
  <c r="F39" i="29"/>
  <c r="J38" i="29"/>
  <c r="I38" i="29"/>
  <c r="F38" i="29"/>
  <c r="J37" i="29"/>
  <c r="I37" i="29"/>
  <c r="F37" i="29"/>
  <c r="J36" i="29"/>
  <c r="I36" i="29"/>
  <c r="F36" i="29"/>
  <c r="J35" i="29"/>
  <c r="I35" i="29"/>
  <c r="F35" i="29"/>
  <c r="J34" i="29"/>
  <c r="I34" i="29"/>
  <c r="F34" i="29"/>
  <c r="J33" i="29"/>
  <c r="I33" i="29"/>
  <c r="F33" i="29"/>
  <c r="J32" i="29"/>
  <c r="I32" i="29"/>
  <c r="F32" i="29"/>
  <c r="J31" i="29"/>
  <c r="I31" i="29"/>
  <c r="F31" i="29"/>
  <c r="J30" i="29"/>
  <c r="I30" i="29"/>
  <c r="F30" i="29"/>
  <c r="J29" i="29"/>
  <c r="I29" i="29"/>
  <c r="F29" i="29"/>
  <c r="J28" i="29"/>
  <c r="I28" i="29"/>
  <c r="F28" i="29"/>
  <c r="J27" i="29"/>
  <c r="I27" i="29"/>
  <c r="F27" i="29"/>
  <c r="J26" i="29"/>
  <c r="I26" i="29"/>
  <c r="F26" i="29"/>
  <c r="J25" i="29"/>
  <c r="I25" i="29"/>
  <c r="F25" i="29"/>
  <c r="J24" i="29"/>
  <c r="I24" i="29"/>
  <c r="F24" i="29"/>
  <c r="J23" i="29"/>
  <c r="I23" i="29"/>
  <c r="F23" i="29"/>
  <c r="J22" i="29"/>
  <c r="I22" i="29"/>
  <c r="F22" i="29"/>
  <c r="J21" i="29"/>
  <c r="I21" i="29"/>
  <c r="F21" i="29"/>
  <c r="J20" i="29"/>
  <c r="I20" i="29"/>
  <c r="F20" i="29"/>
  <c r="J19" i="29"/>
  <c r="I19" i="29"/>
  <c r="F19" i="29"/>
  <c r="J18" i="29"/>
  <c r="I18" i="29"/>
  <c r="F18" i="29"/>
  <c r="J17" i="29"/>
  <c r="I17" i="29"/>
  <c r="F17" i="29"/>
  <c r="J16" i="29"/>
  <c r="I16" i="29"/>
  <c r="F16" i="29"/>
  <c r="J15" i="29"/>
  <c r="I15" i="29"/>
  <c r="F15" i="29"/>
  <c r="J14" i="29"/>
  <c r="I14" i="29"/>
  <c r="F14" i="29"/>
  <c r="J13" i="29"/>
  <c r="I13" i="29"/>
  <c r="F13" i="29"/>
  <c r="J12" i="29"/>
  <c r="I12" i="29"/>
  <c r="F12" i="29"/>
  <c r="J11" i="29"/>
  <c r="I11" i="29"/>
  <c r="F11" i="29"/>
  <c r="J10" i="29"/>
  <c r="I10" i="29"/>
  <c r="F10" i="29"/>
  <c r="J9" i="29"/>
  <c r="I9" i="29"/>
  <c r="F9" i="29"/>
  <c r="M8" i="29"/>
  <c r="L8" i="29"/>
  <c r="H8" i="29"/>
  <c r="E8" i="29"/>
  <c r="C8" i="29"/>
  <c r="H3" i="29"/>
  <c r="K2" i="29"/>
  <c r="H2" i="29"/>
  <c r="E23" i="28"/>
  <c r="C23" i="28"/>
  <c r="D22" i="28"/>
  <c r="D21" i="28"/>
  <c r="D20" i="28"/>
  <c r="F20" i="28" s="1"/>
  <c r="E9" i="136" s="1"/>
  <c r="D19" i="28"/>
  <c r="D18" i="28"/>
  <c r="D7" i="136" s="1"/>
  <c r="E12" i="28" a="1"/>
  <c r="E12" i="28" s="1"/>
  <c r="D12" i="28" a="1"/>
  <c r="D12" i="28" s="1"/>
  <c r="C12" i="28" a="1"/>
  <c r="C12" i="28" s="1"/>
  <c r="E11" i="28" a="1"/>
  <c r="E11" i="28" s="1"/>
  <c r="D11" i="28" a="1"/>
  <c r="D11" i="28" s="1"/>
  <c r="C11" i="28" a="1"/>
  <c r="C11" i="28" s="1"/>
  <c r="E10" i="28" a="1"/>
  <c r="E10" i="28" s="1"/>
  <c r="D10" i="28" a="1"/>
  <c r="D10" i="28" s="1"/>
  <c r="C10" i="28" a="1"/>
  <c r="C10" i="28" s="1"/>
  <c r="E9" i="28" a="1"/>
  <c r="E9" i="28" s="1"/>
  <c r="D9" i="28" a="1"/>
  <c r="D9" i="28" s="1"/>
  <c r="C9" i="28" a="1"/>
  <c r="C9" i="28" s="1"/>
  <c r="E8" i="28" a="1"/>
  <c r="E8" i="28" s="1"/>
  <c r="D8" i="28" a="1"/>
  <c r="D8" i="28" s="1"/>
  <c r="C8" i="28" a="1"/>
  <c r="C8" i="28" s="1"/>
  <c r="E4" i="28"/>
  <c r="G3" i="28"/>
  <c r="F3" i="28"/>
  <c r="E3" i="28"/>
  <c r="G15" i="27"/>
  <c r="J13" i="27"/>
  <c r="J12" i="27"/>
  <c r="J11" i="27"/>
  <c r="E10" i="27"/>
  <c r="J10" i="27" s="1"/>
  <c r="H5" i="27"/>
  <c r="L4" i="27"/>
  <c r="J4" i="27"/>
  <c r="H4" i="27"/>
  <c r="G32" i="26"/>
  <c r="F21" i="26"/>
  <c r="F6" i="84" s="1"/>
  <c r="C18" i="26"/>
  <c r="F8" i="26"/>
  <c r="E8" i="26"/>
  <c r="C8" i="26"/>
  <c r="C7" i="26"/>
  <c r="F4" i="26"/>
  <c r="H3" i="26"/>
  <c r="G3" i="26"/>
  <c r="F3" i="26"/>
  <c r="H23" i="24"/>
  <c r="G10" i="42" s="1"/>
  <c r="G9" i="42"/>
  <c r="H9" i="42" s="1"/>
  <c r="I18" i="24"/>
  <c r="G18" i="24"/>
  <c r="I17" i="24"/>
  <c r="G17" i="24"/>
  <c r="D17" i="24"/>
  <c r="I16" i="24"/>
  <c r="G16" i="24"/>
  <c r="I15" i="24"/>
  <c r="G15" i="24"/>
  <c r="D15" i="24"/>
  <c r="I14" i="24"/>
  <c r="G14" i="24"/>
  <c r="I13" i="24"/>
  <c r="G13" i="24"/>
  <c r="I12" i="24"/>
  <c r="G12" i="24"/>
  <c r="I11" i="24"/>
  <c r="G11" i="24"/>
  <c r="K10" i="24"/>
  <c r="D35" i="121" s="1"/>
  <c r="G54" i="195" s="1"/>
  <c r="I10" i="24"/>
  <c r="G10" i="24"/>
  <c r="D10" i="24"/>
  <c r="I9" i="24"/>
  <c r="G9" i="24"/>
  <c r="I8" i="24"/>
  <c r="G8" i="24"/>
  <c r="I7" i="24"/>
  <c r="G7" i="24"/>
  <c r="I6" i="24"/>
  <c r="G6" i="24"/>
  <c r="B17" i="38"/>
  <c r="C9" i="66"/>
  <c r="E9" i="66" s="1"/>
  <c r="K211" i="20"/>
  <c r="D211" i="20"/>
  <c r="K210" i="20"/>
  <c r="D210" i="20"/>
  <c r="K209" i="20"/>
  <c r="D209" i="20"/>
  <c r="K208" i="20"/>
  <c r="D208" i="20"/>
  <c r="K207" i="20"/>
  <c r="D207" i="20"/>
  <c r="K206" i="20"/>
  <c r="D206" i="20"/>
  <c r="N205" i="20"/>
  <c r="N204" i="20"/>
  <c r="N203" i="20"/>
  <c r="N202" i="20"/>
  <c r="N201" i="20"/>
  <c r="N200" i="20"/>
  <c r="N199" i="20"/>
  <c r="N198" i="20"/>
  <c r="N197" i="20"/>
  <c r="N196" i="20"/>
  <c r="N195" i="20"/>
  <c r="N194" i="20"/>
  <c r="N193" i="20"/>
  <c r="N192" i="20"/>
  <c r="N191" i="20"/>
  <c r="N190" i="20"/>
  <c r="N189" i="20"/>
  <c r="N188" i="20"/>
  <c r="N187" i="20"/>
  <c r="N186" i="20"/>
  <c r="N185" i="20"/>
  <c r="N184" i="20"/>
  <c r="N183" i="20"/>
  <c r="N182" i="20"/>
  <c r="N181" i="20"/>
  <c r="N180" i="20"/>
  <c r="N179" i="20"/>
  <c r="N178" i="20"/>
  <c r="N177" i="20"/>
  <c r="N176" i="20"/>
  <c r="N175" i="20"/>
  <c r="N174" i="20"/>
  <c r="N173" i="20"/>
  <c r="N172" i="20"/>
  <c r="N171" i="20"/>
  <c r="N170" i="20"/>
  <c r="N169" i="20"/>
  <c r="N168" i="20"/>
  <c r="N167" i="20"/>
  <c r="N166" i="20"/>
  <c r="N165" i="20"/>
  <c r="N164" i="20"/>
  <c r="N163" i="20"/>
  <c r="N162" i="20"/>
  <c r="N161" i="20"/>
  <c r="N160" i="20"/>
  <c r="N159" i="20"/>
  <c r="N158" i="20"/>
  <c r="N157" i="20"/>
  <c r="N156" i="20"/>
  <c r="N155" i="20"/>
  <c r="N154" i="20"/>
  <c r="N153" i="20"/>
  <c r="N152" i="20"/>
  <c r="N151" i="20"/>
  <c r="N150" i="20"/>
  <c r="N149" i="20"/>
  <c r="N148" i="20"/>
  <c r="N147" i="20"/>
  <c r="N146" i="20"/>
  <c r="N145" i="20"/>
  <c r="N144" i="20"/>
  <c r="N143" i="20"/>
  <c r="N142" i="20"/>
  <c r="N141" i="20"/>
  <c r="N140" i="20"/>
  <c r="N139" i="20"/>
  <c r="N138" i="20"/>
  <c r="N137" i="20"/>
  <c r="N136" i="20"/>
  <c r="N135" i="20"/>
  <c r="N134" i="20"/>
  <c r="N133" i="20"/>
  <c r="N132" i="20"/>
  <c r="N131" i="20"/>
  <c r="N130" i="20"/>
  <c r="N129" i="20"/>
  <c r="N128" i="20"/>
  <c r="N127" i="20"/>
  <c r="N126" i="20"/>
  <c r="N125" i="20"/>
  <c r="N124" i="20"/>
  <c r="N123" i="20"/>
  <c r="N122" i="20"/>
  <c r="N121" i="20"/>
  <c r="N120" i="20"/>
  <c r="N119" i="20"/>
  <c r="N118" i="20"/>
  <c r="N117" i="20"/>
  <c r="N116" i="20"/>
  <c r="N115" i="20"/>
  <c r="N114" i="20"/>
  <c r="N113" i="20"/>
  <c r="N112" i="20"/>
  <c r="N111" i="20"/>
  <c r="N110" i="20"/>
  <c r="N109" i="20"/>
  <c r="N108" i="20"/>
  <c r="N107" i="20"/>
  <c r="N106" i="20"/>
  <c r="N105" i="20"/>
  <c r="N104" i="20"/>
  <c r="N103" i="20"/>
  <c r="N102" i="20"/>
  <c r="N101" i="20"/>
  <c r="N100" i="20"/>
  <c r="N99" i="20"/>
  <c r="N98" i="20"/>
  <c r="N97" i="20"/>
  <c r="N96" i="20"/>
  <c r="N95" i="20"/>
  <c r="N94" i="20"/>
  <c r="N93" i="20"/>
  <c r="N92" i="20"/>
  <c r="N91" i="20"/>
  <c r="N90" i="20"/>
  <c r="N89" i="20"/>
  <c r="N88" i="20"/>
  <c r="N87" i="20"/>
  <c r="N86" i="20"/>
  <c r="N85" i="20"/>
  <c r="N84" i="20"/>
  <c r="N83" i="20"/>
  <c r="N82" i="20"/>
  <c r="N81" i="20"/>
  <c r="N80" i="20"/>
  <c r="N79" i="20"/>
  <c r="N78" i="20"/>
  <c r="N77" i="20"/>
  <c r="N76" i="20"/>
  <c r="N75" i="20"/>
  <c r="N74" i="20"/>
  <c r="N73" i="20"/>
  <c r="N72" i="20"/>
  <c r="N71" i="20"/>
  <c r="N70" i="20"/>
  <c r="N69" i="20"/>
  <c r="N68" i="20"/>
  <c r="N67" i="20"/>
  <c r="N66" i="20"/>
  <c r="N65" i="20"/>
  <c r="N64" i="20"/>
  <c r="N63" i="20"/>
  <c r="N62" i="20"/>
  <c r="N61" i="20"/>
  <c r="N60" i="20"/>
  <c r="N59" i="20"/>
  <c r="N58" i="20"/>
  <c r="N57" i="20"/>
  <c r="N56" i="20"/>
  <c r="N55" i="20"/>
  <c r="N54" i="20"/>
  <c r="N53" i="20"/>
  <c r="N52" i="20"/>
  <c r="N51" i="20"/>
  <c r="N50" i="20"/>
  <c r="N49" i="20"/>
  <c r="N48" i="20"/>
  <c r="N47" i="20"/>
  <c r="N46" i="20"/>
  <c r="N45" i="20"/>
  <c r="N44" i="20"/>
  <c r="N43" i="20"/>
  <c r="N42" i="20"/>
  <c r="N41" i="20"/>
  <c r="N40" i="20"/>
  <c r="N39" i="20"/>
  <c r="N38" i="20"/>
  <c r="N37" i="20"/>
  <c r="N36" i="20"/>
  <c r="N35" i="20"/>
  <c r="N34" i="20"/>
  <c r="N33" i="20"/>
  <c r="N32" i="20"/>
  <c r="N31" i="20"/>
  <c r="N30" i="20"/>
  <c r="N29" i="20"/>
  <c r="N28" i="20"/>
  <c r="N27" i="20"/>
  <c r="N26" i="20"/>
  <c r="N25" i="20"/>
  <c r="N24" i="20"/>
  <c r="N23" i="20"/>
  <c r="N22" i="20"/>
  <c r="N21" i="20"/>
  <c r="N20" i="20"/>
  <c r="N19" i="20"/>
  <c r="N18" i="20"/>
  <c r="N17" i="20"/>
  <c r="N16" i="20"/>
  <c r="N15" i="20"/>
  <c r="N14" i="20"/>
  <c r="N13" i="20"/>
  <c r="N12" i="20"/>
  <c r="N11" i="20"/>
  <c r="N10" i="20"/>
  <c r="N9" i="20"/>
  <c r="N8" i="20"/>
  <c r="N7" i="20"/>
  <c r="N6" i="20"/>
  <c r="J3" i="20"/>
  <c r="Q2" i="20"/>
  <c r="N2" i="20"/>
  <c r="J2" i="20"/>
  <c r="H52" i="19"/>
  <c r="H50" i="19"/>
  <c r="F33" i="18"/>
  <c r="D33" i="18"/>
  <c r="E3" i="16"/>
  <c r="E5" i="15"/>
  <c r="F5" i="14"/>
  <c r="B5" i="14"/>
  <c r="F4" i="14"/>
  <c r="B4" i="14"/>
  <c r="G2" i="14"/>
  <c r="G5" i="13"/>
  <c r="E5" i="13"/>
  <c r="B4" i="13"/>
  <c r="G3" i="13"/>
  <c r="M3" i="12"/>
  <c r="E5" i="11"/>
  <c r="K4" i="11"/>
  <c r="H4" i="11"/>
  <c r="E4" i="11"/>
  <c r="D15" i="10"/>
  <c r="F14" i="10"/>
  <c r="J13" i="10"/>
  <c r="K3" i="10"/>
  <c r="K2" i="10"/>
  <c r="G2" i="9"/>
  <c r="B56" i="4"/>
  <c r="F20" i="196" s="1"/>
  <c r="A56" i="4"/>
  <c r="A20" i="196" s="1"/>
  <c r="A55" i="4"/>
  <c r="A19" i="196" s="1"/>
  <c r="B54" i="4"/>
  <c r="F18" i="196" s="1"/>
  <c r="A54" i="4"/>
  <c r="A18" i="196" s="1"/>
  <c r="A53" i="4"/>
  <c r="A17" i="196" s="1"/>
  <c r="A52" i="4"/>
  <c r="A16" i="196" s="1"/>
  <c r="J8" i="196"/>
  <c r="C12" i="196"/>
  <c r="E10" i="196"/>
  <c r="E11" i="196"/>
  <c r="C9" i="196"/>
  <c r="C8" i="196"/>
  <c r="B37" i="4"/>
  <c r="C2" i="3" s="1"/>
  <c r="J7" i="196"/>
  <c r="C5" i="96"/>
  <c r="B22" i="4"/>
  <c r="F21" i="4"/>
  <c r="B6" i="91" s="1"/>
  <c r="F20" i="4"/>
  <c r="B7" i="91" s="1"/>
  <c r="B19" i="4"/>
  <c r="D13" i="10" s="1"/>
  <c r="F13" i="10" s="1"/>
  <c r="D14" i="10" s="1"/>
  <c r="G4" i="4"/>
  <c r="G6" i="4" s="1"/>
  <c r="F4" i="4"/>
  <c r="F32" i="7"/>
  <c r="F24" i="7"/>
  <c r="F14" i="7"/>
  <c r="I4" i="7"/>
  <c r="A4" i="7"/>
  <c r="K3" i="7"/>
  <c r="B17" i="6"/>
  <c r="B14" i="6"/>
  <c r="B11" i="6"/>
  <c r="B8" i="6"/>
  <c r="E5" i="6"/>
  <c r="B5" i="6"/>
  <c r="E2" i="6"/>
  <c r="E5" i="5"/>
  <c r="H4" i="5"/>
  <c r="E4" i="5"/>
  <c r="D15" i="2"/>
  <c r="D14" i="2"/>
  <c r="D11" i="2"/>
  <c r="F3" i="2"/>
  <c r="F1" i="2"/>
  <c r="H9" i="188"/>
  <c r="H6" i="188"/>
  <c r="H10" i="188"/>
  <c r="H26" i="188"/>
  <c r="H8" i="188"/>
  <c r="H12" i="188"/>
  <c r="H14" i="188"/>
  <c r="H11" i="188"/>
  <c r="H4" i="188"/>
  <c r="H17" i="188"/>
  <c r="H23" i="188"/>
  <c r="H25" i="188"/>
  <c r="H21" i="188"/>
  <c r="H24" i="188"/>
  <c r="H27" i="188"/>
  <c r="H2" i="188"/>
  <c r="H16" i="188"/>
  <c r="H22" i="188"/>
  <c r="H7" i="188"/>
  <c r="H5" i="188"/>
  <c r="H19" i="188"/>
  <c r="H13" i="188"/>
  <c r="H28" i="188"/>
  <c r="H15" i="188"/>
  <c r="H3" i="188"/>
  <c r="H18" i="188"/>
  <c r="H20" i="188"/>
  <c r="E6" i="127" l="1"/>
  <c r="G21" i="119"/>
  <c r="F17" i="34"/>
  <c r="C29" i="127"/>
  <c r="D29" i="28"/>
  <c r="C12" i="127"/>
  <c r="E9" i="27"/>
  <c r="E9" i="127"/>
  <c r="E12" i="128"/>
  <c r="B21" i="36"/>
  <c r="C16" i="127"/>
  <c r="E27" i="33"/>
  <c r="E10" i="127"/>
  <c r="C21" i="35"/>
  <c r="J21" i="35" s="1"/>
  <c r="G26" i="127"/>
  <c r="C6" i="127"/>
  <c r="E8" i="27"/>
  <c r="J8" i="27" s="1"/>
  <c r="C9" i="127"/>
  <c r="D17" i="34"/>
  <c r="E29" i="127"/>
  <c r="E29" i="28"/>
  <c r="E12" i="127"/>
  <c r="D27" i="33"/>
  <c r="C10" i="127"/>
  <c r="D21" i="36"/>
  <c r="E16" i="127"/>
  <c r="E25" i="127"/>
  <c r="E4" i="161"/>
  <c r="I3" i="211"/>
  <c r="H3" i="209"/>
  <c r="M9" i="90" a="1"/>
  <c r="M9" i="90" s="1"/>
  <c r="D19" i="45"/>
  <c r="D25" i="45" s="1"/>
  <c r="D40" i="45" s="1"/>
  <c r="C6" i="130"/>
  <c r="C20" i="122"/>
  <c r="T15" i="158"/>
  <c r="M42" i="90" a="1"/>
  <c r="M42" i="90" s="1"/>
  <c r="M12" i="90" a="1"/>
  <c r="M12" i="90" s="1"/>
  <c r="E6" i="131"/>
  <c r="N7" i="132"/>
  <c r="M21" i="90" a="1"/>
  <c r="M21" i="90" s="1"/>
  <c r="C9" i="26"/>
  <c r="C6" i="135"/>
  <c r="C25" i="135" s="1"/>
  <c r="C5" i="129"/>
  <c r="D6" i="128" s="1"/>
  <c r="E31" i="197" s="1"/>
  <c r="E13" i="56"/>
  <c r="E7" i="64"/>
  <c r="J6" i="196"/>
  <c r="E5" i="200"/>
  <c r="C6" i="196"/>
  <c r="B4" i="200"/>
  <c r="H13" i="196"/>
  <c r="E4" i="200"/>
  <c r="C16" i="61"/>
  <c r="C44" i="116"/>
  <c r="H15" i="42"/>
  <c r="C13" i="47"/>
  <c r="G13" i="47" s="1"/>
  <c r="C8" i="47"/>
  <c r="G8" i="47" s="1"/>
  <c r="C34" i="47"/>
  <c r="G34" i="47" s="1"/>
  <c r="F34" i="47" s="1"/>
  <c r="E66" i="197"/>
  <c r="F66" i="197"/>
  <c r="E96" i="197"/>
  <c r="E48" i="197"/>
  <c r="D4" i="14"/>
  <c r="C13" i="196"/>
  <c r="E100" i="197"/>
  <c r="E62" i="197"/>
  <c r="D97" i="197"/>
  <c r="D51" i="197"/>
  <c r="A1" i="197"/>
  <c r="A2" i="194"/>
  <c r="C4" i="196"/>
  <c r="A16" i="195"/>
  <c r="J11" i="196"/>
  <c r="J10" i="196"/>
  <c r="E95" i="197"/>
  <c r="E44" i="197"/>
  <c r="F100" i="197"/>
  <c r="F62" i="197"/>
  <c r="F13" i="65"/>
  <c r="E97" i="197"/>
  <c r="E51" i="197"/>
  <c r="C37" i="47"/>
  <c r="G37" i="47" s="1"/>
  <c r="C36" i="47"/>
  <c r="C35" i="47"/>
  <c r="F9" i="128"/>
  <c r="F87" i="197"/>
  <c r="D96" i="197"/>
  <c r="D48" i="197"/>
  <c r="K16" i="196"/>
  <c r="H16" i="196"/>
  <c r="K17" i="196"/>
  <c r="H17" i="196"/>
  <c r="K18" i="196"/>
  <c r="H18" i="196"/>
  <c r="K19" i="196"/>
  <c r="H19" i="196"/>
  <c r="K20" i="196"/>
  <c r="H20" i="196"/>
  <c r="E8" i="186"/>
  <c r="C39" i="116"/>
  <c r="B6" i="56"/>
  <c r="B6" i="58"/>
  <c r="H21" i="53"/>
  <c r="B37" i="53"/>
  <c r="C37" i="116"/>
  <c r="B6" i="57"/>
  <c r="C40" i="116"/>
  <c r="B6" i="64"/>
  <c r="C47" i="116"/>
  <c r="C3" i="96"/>
  <c r="G3" i="178"/>
  <c r="K867" i="29"/>
  <c r="N867" i="29" s="1"/>
  <c r="O867" i="29" s="1"/>
  <c r="K995" i="29"/>
  <c r="N995" i="29" s="1"/>
  <c r="O995" i="29" s="1"/>
  <c r="K15" i="29"/>
  <c r="N15" i="29" s="1"/>
  <c r="O15" i="29" s="1"/>
  <c r="K19" i="29"/>
  <c r="N19" i="29" s="1"/>
  <c r="O19" i="29" s="1"/>
  <c r="K23" i="29"/>
  <c r="N23" i="29" s="1"/>
  <c r="O23" i="29" s="1"/>
  <c r="K71" i="29"/>
  <c r="N71" i="29" s="1"/>
  <c r="O71" i="29" s="1"/>
  <c r="K87" i="29"/>
  <c r="N87" i="29" s="1"/>
  <c r="O87" i="29" s="1"/>
  <c r="K103" i="29"/>
  <c r="N103" i="29" s="1"/>
  <c r="O103" i="29" s="1"/>
  <c r="K119" i="29"/>
  <c r="N119" i="29" s="1"/>
  <c r="O119" i="29" s="1"/>
  <c r="C33" i="128"/>
  <c r="D6" i="121"/>
  <c r="E12" i="49"/>
  <c r="C16" i="122"/>
  <c r="J10" i="49"/>
  <c r="C15" i="124"/>
  <c r="J12" i="49"/>
  <c r="C16" i="124"/>
  <c r="A24" i="120"/>
  <c r="A2" i="28"/>
  <c r="B3" i="161"/>
  <c r="A25" i="120"/>
  <c r="I7" i="143"/>
  <c r="I8" i="143"/>
  <c r="I6" i="143"/>
  <c r="F9" i="143"/>
  <c r="F15" i="119"/>
  <c r="E28" i="128"/>
  <c r="E31" i="128"/>
  <c r="F52" i="197" s="1"/>
  <c r="E23" i="128"/>
  <c r="F45" i="197" s="1"/>
  <c r="E10" i="128"/>
  <c r="G6" i="143"/>
  <c r="F6" i="143"/>
  <c r="H6" i="143"/>
  <c r="H7" i="143"/>
  <c r="F8" i="143"/>
  <c r="F13" i="132"/>
  <c r="F12" i="128" s="1"/>
  <c r="A21" i="120"/>
  <c r="A23" i="120"/>
  <c r="A22" i="120"/>
  <c r="F23" i="39"/>
  <c r="F55" i="197" s="1"/>
  <c r="H44" i="51"/>
  <c r="M57" i="90" s="1" a="1"/>
  <c r="M57" i="90" s="1"/>
  <c r="H44" i="50"/>
  <c r="M56" i="90" s="1" a="1"/>
  <c r="M56" i="90" s="1"/>
  <c r="C43" i="47"/>
  <c r="H27" i="52"/>
  <c r="M58" i="90" s="1" a="1"/>
  <c r="M58" i="90" s="1"/>
  <c r="K153" i="29"/>
  <c r="N153" i="29" s="1"/>
  <c r="O153" i="29" s="1"/>
  <c r="K185" i="29"/>
  <c r="N185" i="29" s="1"/>
  <c r="O185" i="29" s="1"/>
  <c r="K217" i="29"/>
  <c r="N217" i="29" s="1"/>
  <c r="O217" i="29" s="1"/>
  <c r="H21" i="42"/>
  <c r="H10" i="42"/>
  <c r="H17" i="34"/>
  <c r="G3" i="50"/>
  <c r="G3" i="51"/>
  <c r="G3" i="52"/>
  <c r="L7" i="163"/>
  <c r="L7" i="131" s="1"/>
  <c r="K7" i="131"/>
  <c r="L11" i="163"/>
  <c r="L11" i="131" s="1"/>
  <c r="K11" i="131"/>
  <c r="J19" i="27"/>
  <c r="K38" i="29"/>
  <c r="N38" i="29" s="1"/>
  <c r="O38" i="29" s="1"/>
  <c r="K42" i="29"/>
  <c r="N42" i="29" s="1"/>
  <c r="O42" i="29" s="1"/>
  <c r="K46" i="29"/>
  <c r="N46" i="29" s="1"/>
  <c r="O46" i="29" s="1"/>
  <c r="K66" i="29"/>
  <c r="N66" i="29" s="1"/>
  <c r="O66" i="29" s="1"/>
  <c r="K142" i="29"/>
  <c r="N142" i="29" s="1"/>
  <c r="O142" i="29" s="1"/>
  <c r="K174" i="29"/>
  <c r="N174" i="29" s="1"/>
  <c r="O174" i="29" s="1"/>
  <c r="K206" i="29"/>
  <c r="N206" i="29" s="1"/>
  <c r="O206" i="29" s="1"/>
  <c r="K238" i="29"/>
  <c r="N238" i="29" s="1"/>
  <c r="O238" i="29" s="1"/>
  <c r="K270" i="29"/>
  <c r="N270" i="29" s="1"/>
  <c r="O270" i="29" s="1"/>
  <c r="K302" i="29"/>
  <c r="N302" i="29" s="1"/>
  <c r="O302" i="29" s="1"/>
  <c r="K334" i="29"/>
  <c r="N334" i="29" s="1"/>
  <c r="O334" i="29" s="1"/>
  <c r="K394" i="29"/>
  <c r="N394" i="29" s="1"/>
  <c r="O394" i="29" s="1"/>
  <c r="K398" i="29"/>
  <c r="N398" i="29" s="1"/>
  <c r="O398" i="29" s="1"/>
  <c r="K402" i="29"/>
  <c r="N402" i="29" s="1"/>
  <c r="O402" i="29" s="1"/>
  <c r="K630" i="29"/>
  <c r="N630" i="29" s="1"/>
  <c r="O630" i="29" s="1"/>
  <c r="K642" i="29"/>
  <c r="N642" i="29" s="1"/>
  <c r="O642" i="29" s="1"/>
  <c r="K646" i="29"/>
  <c r="N646" i="29" s="1"/>
  <c r="O646" i="29" s="1"/>
  <c r="K678" i="29"/>
  <c r="N678" i="29" s="1"/>
  <c r="O678" i="29" s="1"/>
  <c r="K738" i="29"/>
  <c r="N738" i="29" s="1"/>
  <c r="O738" i="29" s="1"/>
  <c r="K746" i="29"/>
  <c r="N746" i="29" s="1"/>
  <c r="O746" i="29" s="1"/>
  <c r="K750" i="29"/>
  <c r="N750" i="29" s="1"/>
  <c r="O750" i="29" s="1"/>
  <c r="K754" i="29"/>
  <c r="N754" i="29" s="1"/>
  <c r="O754" i="29" s="1"/>
  <c r="K770" i="29"/>
  <c r="N770" i="29" s="1"/>
  <c r="O770" i="29" s="1"/>
  <c r="K778" i="29"/>
  <c r="N778" i="29" s="1"/>
  <c r="O778" i="29" s="1"/>
  <c r="K782" i="29"/>
  <c r="N782" i="29" s="1"/>
  <c r="O782" i="29" s="1"/>
  <c r="K786" i="29"/>
  <c r="N786" i="29" s="1"/>
  <c r="O786" i="29" s="1"/>
  <c r="K894" i="29"/>
  <c r="N894" i="29" s="1"/>
  <c r="O894" i="29" s="1"/>
  <c r="K934" i="29"/>
  <c r="N934" i="29" s="1"/>
  <c r="O934" i="29" s="1"/>
  <c r="K958" i="29"/>
  <c r="N958" i="29" s="1"/>
  <c r="O958" i="29" s="1"/>
  <c r="K982" i="29"/>
  <c r="N982" i="29" s="1"/>
  <c r="O982" i="29" s="1"/>
  <c r="K998" i="29"/>
  <c r="N998" i="29" s="1"/>
  <c r="O998" i="29" s="1"/>
  <c r="C31" i="65"/>
  <c r="E26" i="128"/>
  <c r="F48" i="197" s="1"/>
  <c r="E29" i="128"/>
  <c r="C28" i="161"/>
  <c r="C25" i="129" s="1"/>
  <c r="D43" i="128" s="1"/>
  <c r="C26" i="129"/>
  <c r="E19" i="162"/>
  <c r="E19" i="130" s="1"/>
  <c r="E6" i="130"/>
  <c r="H8" i="155"/>
  <c r="J8" i="182"/>
  <c r="H15" i="182"/>
  <c r="H15" i="155" s="1"/>
  <c r="B3" i="5"/>
  <c r="B2" i="3"/>
  <c r="K40" i="29"/>
  <c r="N40" i="29" s="1"/>
  <c r="O40" i="29" s="1"/>
  <c r="K64" i="29"/>
  <c r="N64" i="29" s="1"/>
  <c r="O64" i="29" s="1"/>
  <c r="K616" i="29"/>
  <c r="N616" i="29" s="1"/>
  <c r="O616" i="29" s="1"/>
  <c r="K628" i="29"/>
  <c r="N628" i="29" s="1"/>
  <c r="O628" i="29" s="1"/>
  <c r="K692" i="29"/>
  <c r="N692" i="29" s="1"/>
  <c r="O692" i="29" s="1"/>
  <c r="K744" i="29"/>
  <c r="N744" i="29" s="1"/>
  <c r="O744" i="29" s="1"/>
  <c r="K776" i="29"/>
  <c r="N776" i="29" s="1"/>
  <c r="O776" i="29" s="1"/>
  <c r="K824" i="29"/>
  <c r="N824" i="29" s="1"/>
  <c r="O824" i="29" s="1"/>
  <c r="K836" i="29"/>
  <c r="N836" i="29" s="1"/>
  <c r="O836" i="29" s="1"/>
  <c r="K840" i="29"/>
  <c r="N840" i="29" s="1"/>
  <c r="O840" i="29" s="1"/>
  <c r="K864" i="29"/>
  <c r="N864" i="29" s="1"/>
  <c r="O864" i="29" s="1"/>
  <c r="K868" i="29"/>
  <c r="N868" i="29" s="1"/>
  <c r="O868" i="29" s="1"/>
  <c r="K876" i="29"/>
  <c r="N876" i="29" s="1"/>
  <c r="O876" i="29" s="1"/>
  <c r="K892" i="29"/>
  <c r="N892" i="29" s="1"/>
  <c r="O892" i="29" s="1"/>
  <c r="F19" i="162"/>
  <c r="F19" i="130" s="1"/>
  <c r="D7" i="128" s="1"/>
  <c r="F6" i="130"/>
  <c r="C15" i="131"/>
  <c r="K865" i="29"/>
  <c r="N865" i="29" s="1"/>
  <c r="O865" i="29" s="1"/>
  <c r="K985" i="29"/>
  <c r="N985" i="29" s="1"/>
  <c r="O985" i="29" s="1"/>
  <c r="K993" i="29"/>
  <c r="N993" i="29" s="1"/>
  <c r="O993" i="29" s="1"/>
  <c r="E8" i="49"/>
  <c r="C18" i="49"/>
  <c r="J27" i="33"/>
  <c r="C11" i="164"/>
  <c r="C12" i="132"/>
  <c r="C4" i="144"/>
  <c r="C30" i="171"/>
  <c r="C30" i="144" s="1"/>
  <c r="D12" i="2"/>
  <c r="E2" i="20"/>
  <c r="B4" i="6"/>
  <c r="A2" i="7"/>
  <c r="C3" i="27"/>
  <c r="K14" i="29"/>
  <c r="N14" i="29" s="1"/>
  <c r="O14" i="29" s="1"/>
  <c r="K34" i="29"/>
  <c r="N34" i="29" s="1"/>
  <c r="O34" i="29" s="1"/>
  <c r="K50" i="29"/>
  <c r="N50" i="29" s="1"/>
  <c r="O50" i="29" s="1"/>
  <c r="K54" i="29"/>
  <c r="N54" i="29" s="1"/>
  <c r="O54" i="29" s="1"/>
  <c r="K70" i="29"/>
  <c r="N70" i="29" s="1"/>
  <c r="O70" i="29" s="1"/>
  <c r="K86" i="29"/>
  <c r="N86" i="29" s="1"/>
  <c r="O86" i="29" s="1"/>
  <c r="K102" i="29"/>
  <c r="N102" i="29" s="1"/>
  <c r="O102" i="29" s="1"/>
  <c r="K118" i="29"/>
  <c r="N118" i="29" s="1"/>
  <c r="O118" i="29" s="1"/>
  <c r="K134" i="29"/>
  <c r="N134" i="29" s="1"/>
  <c r="O134" i="29" s="1"/>
  <c r="K166" i="29"/>
  <c r="N166" i="29" s="1"/>
  <c r="O166" i="29" s="1"/>
  <c r="K198" i="29"/>
  <c r="N198" i="29" s="1"/>
  <c r="O198" i="29" s="1"/>
  <c r="K230" i="29"/>
  <c r="N230" i="29" s="1"/>
  <c r="O230" i="29" s="1"/>
  <c r="K249" i="29"/>
  <c r="N249" i="29" s="1"/>
  <c r="O249" i="29" s="1"/>
  <c r="K262" i="29"/>
  <c r="N262" i="29" s="1"/>
  <c r="O262" i="29" s="1"/>
  <c r="K281" i="29"/>
  <c r="N281" i="29" s="1"/>
  <c r="O281" i="29" s="1"/>
  <c r="K294" i="29"/>
  <c r="N294" i="29" s="1"/>
  <c r="O294" i="29" s="1"/>
  <c r="K313" i="29"/>
  <c r="N313" i="29" s="1"/>
  <c r="O313" i="29" s="1"/>
  <c r="K326" i="29"/>
  <c r="N326" i="29" s="1"/>
  <c r="O326" i="29" s="1"/>
  <c r="K345" i="29"/>
  <c r="N345" i="29" s="1"/>
  <c r="O345" i="29" s="1"/>
  <c r="K370" i="29"/>
  <c r="N370" i="29" s="1"/>
  <c r="O370" i="29" s="1"/>
  <c r="K409" i="29"/>
  <c r="N409" i="29" s="1"/>
  <c r="O409" i="29" s="1"/>
  <c r="K417" i="29"/>
  <c r="N417" i="29" s="1"/>
  <c r="O417" i="29" s="1"/>
  <c r="K434" i="29"/>
  <c r="N434" i="29" s="1"/>
  <c r="O434" i="29" s="1"/>
  <c r="K554" i="29"/>
  <c r="N554" i="29" s="1"/>
  <c r="O554" i="29" s="1"/>
  <c r="K558" i="29"/>
  <c r="N558" i="29" s="1"/>
  <c r="O558" i="29" s="1"/>
  <c r="K605" i="29"/>
  <c r="N605" i="29" s="1"/>
  <c r="O605" i="29" s="1"/>
  <c r="K609" i="29"/>
  <c r="N609" i="29" s="1"/>
  <c r="O609" i="29" s="1"/>
  <c r="K617" i="29"/>
  <c r="N617" i="29" s="1"/>
  <c r="O617" i="29" s="1"/>
  <c r="K662" i="29"/>
  <c r="N662" i="29" s="1"/>
  <c r="O662" i="29" s="1"/>
  <c r="K694" i="29"/>
  <c r="N694" i="29" s="1"/>
  <c r="O694" i="29" s="1"/>
  <c r="K722" i="29"/>
  <c r="N722" i="29" s="1"/>
  <c r="O722" i="29" s="1"/>
  <c r="K774" i="29"/>
  <c r="N774" i="29" s="1"/>
  <c r="O774" i="29" s="1"/>
  <c r="K790" i="29"/>
  <c r="N790" i="29" s="1"/>
  <c r="O790" i="29" s="1"/>
  <c r="K821" i="29"/>
  <c r="N821" i="29" s="1"/>
  <c r="O821" i="29" s="1"/>
  <c r="K826" i="29"/>
  <c r="N826" i="29" s="1"/>
  <c r="O826" i="29" s="1"/>
  <c r="K834" i="29"/>
  <c r="N834" i="29" s="1"/>
  <c r="O834" i="29" s="1"/>
  <c r="K842" i="29"/>
  <c r="N842" i="29" s="1"/>
  <c r="O842" i="29" s="1"/>
  <c r="K846" i="29"/>
  <c r="N846" i="29" s="1"/>
  <c r="O846" i="29" s="1"/>
  <c r="K849" i="29"/>
  <c r="N849" i="29" s="1"/>
  <c r="O849" i="29" s="1"/>
  <c r="K857" i="29"/>
  <c r="N857" i="29" s="1"/>
  <c r="O857" i="29" s="1"/>
  <c r="K866" i="29"/>
  <c r="N866" i="29" s="1"/>
  <c r="O866" i="29" s="1"/>
  <c r="K869" i="29"/>
  <c r="N869" i="29" s="1"/>
  <c r="O869" i="29" s="1"/>
  <c r="K873" i="29"/>
  <c r="N873" i="29" s="1"/>
  <c r="O873" i="29" s="1"/>
  <c r="K881" i="29"/>
  <c r="N881" i="29" s="1"/>
  <c r="O881" i="29" s="1"/>
  <c r="K889" i="29"/>
  <c r="N889" i="29" s="1"/>
  <c r="O889" i="29" s="1"/>
  <c r="K893" i="29"/>
  <c r="N893" i="29" s="1"/>
  <c r="O893" i="29" s="1"/>
  <c r="K897" i="29"/>
  <c r="N897" i="29" s="1"/>
  <c r="O897" i="29" s="1"/>
  <c r="K938" i="29"/>
  <c r="N938" i="29" s="1"/>
  <c r="O938" i="29" s="1"/>
  <c r="K941" i="29"/>
  <c r="N941" i="29" s="1"/>
  <c r="O941" i="29" s="1"/>
  <c r="K945" i="29"/>
  <c r="N945" i="29" s="1"/>
  <c r="O945" i="29" s="1"/>
  <c r="K954" i="29"/>
  <c r="N954" i="29" s="1"/>
  <c r="O954" i="29" s="1"/>
  <c r="K957" i="29"/>
  <c r="N957" i="29" s="1"/>
  <c r="O957" i="29" s="1"/>
  <c r="K961" i="29"/>
  <c r="N961" i="29" s="1"/>
  <c r="O961" i="29" s="1"/>
  <c r="K16" i="29"/>
  <c r="N16" i="29" s="1"/>
  <c r="O16" i="29" s="1"/>
  <c r="K20" i="29"/>
  <c r="N20" i="29" s="1"/>
  <c r="O20" i="29" s="1"/>
  <c r="K24" i="29"/>
  <c r="N24" i="29" s="1"/>
  <c r="O24" i="29" s="1"/>
  <c r="K36" i="29"/>
  <c r="N36" i="29" s="1"/>
  <c r="O36" i="29" s="1"/>
  <c r="K72" i="29"/>
  <c r="N72" i="29" s="1"/>
  <c r="O72" i="29" s="1"/>
  <c r="K88" i="29"/>
  <c r="N88" i="29" s="1"/>
  <c r="O88" i="29" s="1"/>
  <c r="K104" i="29"/>
  <c r="N104" i="29" s="1"/>
  <c r="O104" i="29" s="1"/>
  <c r="K120" i="29"/>
  <c r="N120" i="29" s="1"/>
  <c r="O120" i="29" s="1"/>
  <c r="K136" i="29"/>
  <c r="N136" i="29" s="1"/>
  <c r="O136" i="29" s="1"/>
  <c r="K168" i="29"/>
  <c r="N168" i="29" s="1"/>
  <c r="O168" i="29" s="1"/>
  <c r="K200" i="29"/>
  <c r="N200" i="29" s="1"/>
  <c r="O200" i="29" s="1"/>
  <c r="K232" i="29"/>
  <c r="N232" i="29" s="1"/>
  <c r="O232" i="29" s="1"/>
  <c r="K264" i="29"/>
  <c r="N264" i="29" s="1"/>
  <c r="O264" i="29" s="1"/>
  <c r="K296" i="29"/>
  <c r="N296" i="29" s="1"/>
  <c r="O296" i="29" s="1"/>
  <c r="K328" i="29"/>
  <c r="N328" i="29" s="1"/>
  <c r="O328" i="29" s="1"/>
  <c r="K372" i="29"/>
  <c r="N372" i="29" s="1"/>
  <c r="O372" i="29" s="1"/>
  <c r="K436" i="29"/>
  <c r="N436" i="29" s="1"/>
  <c r="O436" i="29" s="1"/>
  <c r="K456" i="29"/>
  <c r="N456" i="29" s="1"/>
  <c r="O456" i="29" s="1"/>
  <c r="K460" i="29"/>
  <c r="N460" i="29" s="1"/>
  <c r="O460" i="29" s="1"/>
  <c r="K472" i="29"/>
  <c r="N472" i="29" s="1"/>
  <c r="O472" i="29" s="1"/>
  <c r="K476" i="29"/>
  <c r="N476" i="29" s="1"/>
  <c r="O476" i="29" s="1"/>
  <c r="K488" i="29"/>
  <c r="N488" i="29" s="1"/>
  <c r="O488" i="29" s="1"/>
  <c r="K492" i="29"/>
  <c r="N492" i="29" s="1"/>
  <c r="O492" i="29" s="1"/>
  <c r="K504" i="29"/>
  <c r="N504" i="29" s="1"/>
  <c r="O504" i="29" s="1"/>
  <c r="K508" i="29"/>
  <c r="N508" i="29" s="1"/>
  <c r="O508" i="29" s="1"/>
  <c r="K520" i="29"/>
  <c r="N520" i="29" s="1"/>
  <c r="O520" i="29" s="1"/>
  <c r="K524" i="29"/>
  <c r="N524" i="29" s="1"/>
  <c r="O524" i="29" s="1"/>
  <c r="K536" i="29"/>
  <c r="N536" i="29" s="1"/>
  <c r="O536" i="29" s="1"/>
  <c r="K556" i="29"/>
  <c r="N556" i="29" s="1"/>
  <c r="O556" i="29" s="1"/>
  <c r="K560" i="29"/>
  <c r="N560" i="29" s="1"/>
  <c r="O560" i="29" s="1"/>
  <c r="K564" i="29"/>
  <c r="N564" i="29" s="1"/>
  <c r="O564" i="29" s="1"/>
  <c r="K568" i="29"/>
  <c r="N568" i="29" s="1"/>
  <c r="O568" i="29" s="1"/>
  <c r="K584" i="29"/>
  <c r="N584" i="29" s="1"/>
  <c r="O584" i="29" s="1"/>
  <c r="K664" i="29"/>
  <c r="N664" i="29" s="1"/>
  <c r="O664" i="29" s="1"/>
  <c r="K668" i="29"/>
  <c r="N668" i="29" s="1"/>
  <c r="O668" i="29" s="1"/>
  <c r="K672" i="29"/>
  <c r="N672" i="29" s="1"/>
  <c r="O672" i="29" s="1"/>
  <c r="K680" i="29"/>
  <c r="N680" i="29" s="1"/>
  <c r="O680" i="29" s="1"/>
  <c r="K696" i="29"/>
  <c r="N696" i="29" s="1"/>
  <c r="O696" i="29" s="1"/>
  <c r="K700" i="29"/>
  <c r="N700" i="29" s="1"/>
  <c r="O700" i="29" s="1"/>
  <c r="K704" i="29"/>
  <c r="N704" i="29" s="1"/>
  <c r="O704" i="29" s="1"/>
  <c r="K708" i="29"/>
  <c r="N708" i="29" s="1"/>
  <c r="O708" i="29" s="1"/>
  <c r="K724" i="29"/>
  <c r="N724" i="29" s="1"/>
  <c r="O724" i="29" s="1"/>
  <c r="K792" i="29"/>
  <c r="N792" i="29" s="1"/>
  <c r="O792" i="29" s="1"/>
  <c r="K796" i="29"/>
  <c r="N796" i="29" s="1"/>
  <c r="O796" i="29" s="1"/>
  <c r="K800" i="29"/>
  <c r="N800" i="29" s="1"/>
  <c r="O800" i="29" s="1"/>
  <c r="K804" i="29"/>
  <c r="N804" i="29" s="1"/>
  <c r="O804" i="29" s="1"/>
  <c r="K896" i="29"/>
  <c r="N896" i="29" s="1"/>
  <c r="O896" i="29" s="1"/>
  <c r="K912" i="29"/>
  <c r="N912" i="29" s="1"/>
  <c r="O912" i="29" s="1"/>
  <c r="K960" i="29"/>
  <c r="N960" i="29" s="1"/>
  <c r="O960" i="29" s="1"/>
  <c r="K603" i="29"/>
  <c r="N603" i="29" s="1"/>
  <c r="O603" i="29" s="1"/>
  <c r="K715" i="29"/>
  <c r="N715" i="29" s="1"/>
  <c r="O715" i="29" s="1"/>
  <c r="K827" i="29"/>
  <c r="N827" i="29" s="1"/>
  <c r="O827" i="29" s="1"/>
  <c r="K831" i="29"/>
  <c r="N831" i="29" s="1"/>
  <c r="O831" i="29" s="1"/>
  <c r="K835" i="29"/>
  <c r="N835" i="29" s="1"/>
  <c r="O835" i="29" s="1"/>
  <c r="K843" i="29"/>
  <c r="N843" i="29" s="1"/>
  <c r="O843" i="29" s="1"/>
  <c r="K851" i="29"/>
  <c r="N851" i="29" s="1"/>
  <c r="O851" i="29" s="1"/>
  <c r="K895" i="29"/>
  <c r="N895" i="29" s="1"/>
  <c r="O895" i="29" s="1"/>
  <c r="K959" i="29"/>
  <c r="N959" i="29" s="1"/>
  <c r="O959" i="29" s="1"/>
  <c r="G27" i="31"/>
  <c r="D17" i="31" s="1"/>
  <c r="C13" i="133" s="1"/>
  <c r="K18" i="29"/>
  <c r="N18" i="29" s="1"/>
  <c r="O18" i="29" s="1"/>
  <c r="K22" i="29"/>
  <c r="N22" i="29" s="1"/>
  <c r="O22" i="29" s="1"/>
  <c r="K26" i="29"/>
  <c r="N26" i="29" s="1"/>
  <c r="O26" i="29" s="1"/>
  <c r="K32" i="29"/>
  <c r="N32" i="29" s="1"/>
  <c r="O32" i="29" s="1"/>
  <c r="B3" i="11"/>
  <c r="A4" i="12"/>
  <c r="A5" i="15"/>
  <c r="A3" i="23"/>
  <c r="G14" i="26"/>
  <c r="G16" i="26" s="1"/>
  <c r="K39" i="29"/>
  <c r="N39" i="29" s="1"/>
  <c r="O39" i="29" s="1"/>
  <c r="K48" i="29"/>
  <c r="N48" i="29" s="1"/>
  <c r="O48" i="29" s="1"/>
  <c r="K52" i="29"/>
  <c r="N52" i="29" s="1"/>
  <c r="O52" i="29" s="1"/>
  <c r="K56" i="29"/>
  <c r="N56" i="29" s="1"/>
  <c r="O56" i="29" s="1"/>
  <c r="K58" i="29"/>
  <c r="N58" i="29" s="1"/>
  <c r="O58" i="29" s="1"/>
  <c r="K63" i="29"/>
  <c r="N63" i="29" s="1"/>
  <c r="O63" i="29" s="1"/>
  <c r="K68" i="29"/>
  <c r="N68" i="29" s="1"/>
  <c r="O68" i="29" s="1"/>
  <c r="K69" i="29"/>
  <c r="N69" i="29" s="1"/>
  <c r="O69" i="29" s="1"/>
  <c r="K74" i="29"/>
  <c r="N74" i="29" s="1"/>
  <c r="O74" i="29" s="1"/>
  <c r="K75" i="29"/>
  <c r="N75" i="29" s="1"/>
  <c r="O75" i="29" s="1"/>
  <c r="K78" i="29"/>
  <c r="N78" i="29" s="1"/>
  <c r="O78" i="29" s="1"/>
  <c r="K80" i="29"/>
  <c r="N80" i="29" s="1"/>
  <c r="O80" i="29" s="1"/>
  <c r="K84" i="29"/>
  <c r="N84" i="29" s="1"/>
  <c r="O84" i="29" s="1"/>
  <c r="K85" i="29"/>
  <c r="N85" i="29" s="1"/>
  <c r="O85" i="29" s="1"/>
  <c r="K90" i="29"/>
  <c r="N90" i="29" s="1"/>
  <c r="O90" i="29" s="1"/>
  <c r="K91" i="29"/>
  <c r="N91" i="29" s="1"/>
  <c r="O91" i="29" s="1"/>
  <c r="K94" i="29"/>
  <c r="N94" i="29" s="1"/>
  <c r="O94" i="29" s="1"/>
  <c r="K96" i="29"/>
  <c r="N96" i="29" s="1"/>
  <c r="O96" i="29" s="1"/>
  <c r="K100" i="29"/>
  <c r="N100" i="29" s="1"/>
  <c r="O100" i="29" s="1"/>
  <c r="K101" i="29"/>
  <c r="N101" i="29" s="1"/>
  <c r="O101" i="29" s="1"/>
  <c r="K106" i="29"/>
  <c r="N106" i="29" s="1"/>
  <c r="O106" i="29" s="1"/>
  <c r="K107" i="29"/>
  <c r="N107" i="29" s="1"/>
  <c r="O107" i="29" s="1"/>
  <c r="K110" i="29"/>
  <c r="N110" i="29" s="1"/>
  <c r="O110" i="29" s="1"/>
  <c r="K112" i="29"/>
  <c r="N112" i="29" s="1"/>
  <c r="O112" i="29" s="1"/>
  <c r="K116" i="29"/>
  <c r="N116" i="29" s="1"/>
  <c r="O116" i="29" s="1"/>
  <c r="K117" i="29"/>
  <c r="N117" i="29" s="1"/>
  <c r="O117" i="29" s="1"/>
  <c r="K122" i="29"/>
  <c r="N122" i="29" s="1"/>
  <c r="O122" i="29" s="1"/>
  <c r="K126" i="29"/>
  <c r="N126" i="29" s="1"/>
  <c r="O126" i="29" s="1"/>
  <c r="K130" i="29"/>
  <c r="N130" i="29" s="1"/>
  <c r="O130" i="29" s="1"/>
  <c r="K144" i="29"/>
  <c r="N144" i="29" s="1"/>
  <c r="O144" i="29" s="1"/>
  <c r="K150" i="29"/>
  <c r="N150" i="29" s="1"/>
  <c r="O150" i="29" s="1"/>
  <c r="K154" i="29"/>
  <c r="N154" i="29" s="1"/>
  <c r="O154" i="29" s="1"/>
  <c r="K158" i="29"/>
  <c r="N158" i="29" s="1"/>
  <c r="O158" i="29" s="1"/>
  <c r="K162" i="29"/>
  <c r="N162" i="29" s="1"/>
  <c r="O162" i="29" s="1"/>
  <c r="K176" i="29"/>
  <c r="N176" i="29" s="1"/>
  <c r="O176" i="29" s="1"/>
  <c r="K182" i="29"/>
  <c r="N182" i="29" s="1"/>
  <c r="O182" i="29" s="1"/>
  <c r="K186" i="29"/>
  <c r="N186" i="29" s="1"/>
  <c r="O186" i="29" s="1"/>
  <c r="K190" i="29"/>
  <c r="N190" i="29" s="1"/>
  <c r="O190" i="29" s="1"/>
  <c r="K194" i="29"/>
  <c r="N194" i="29" s="1"/>
  <c r="O194" i="29" s="1"/>
  <c r="K208" i="29"/>
  <c r="N208" i="29" s="1"/>
  <c r="O208" i="29" s="1"/>
  <c r="K214" i="29"/>
  <c r="N214" i="29" s="1"/>
  <c r="O214" i="29" s="1"/>
  <c r="K218" i="29"/>
  <c r="N218" i="29" s="1"/>
  <c r="O218" i="29" s="1"/>
  <c r="K222" i="29"/>
  <c r="N222" i="29" s="1"/>
  <c r="O222" i="29" s="1"/>
  <c r="K226" i="29"/>
  <c r="N226" i="29" s="1"/>
  <c r="O226" i="29" s="1"/>
  <c r="K240" i="29"/>
  <c r="N240" i="29" s="1"/>
  <c r="O240" i="29" s="1"/>
  <c r="K246" i="29"/>
  <c r="N246" i="29" s="1"/>
  <c r="O246" i="29" s="1"/>
  <c r="K250" i="29"/>
  <c r="N250" i="29" s="1"/>
  <c r="O250" i="29" s="1"/>
  <c r="K254" i="29"/>
  <c r="N254" i="29" s="1"/>
  <c r="O254" i="29" s="1"/>
  <c r="K258" i="29"/>
  <c r="N258" i="29" s="1"/>
  <c r="O258" i="29" s="1"/>
  <c r="K272" i="29"/>
  <c r="N272" i="29" s="1"/>
  <c r="O272" i="29" s="1"/>
  <c r="K278" i="29"/>
  <c r="N278" i="29" s="1"/>
  <c r="O278" i="29" s="1"/>
  <c r="K282" i="29"/>
  <c r="N282" i="29" s="1"/>
  <c r="O282" i="29" s="1"/>
  <c r="K286" i="29"/>
  <c r="N286" i="29" s="1"/>
  <c r="O286" i="29" s="1"/>
  <c r="K290" i="29"/>
  <c r="N290" i="29" s="1"/>
  <c r="O290" i="29" s="1"/>
  <c r="K304" i="29"/>
  <c r="N304" i="29" s="1"/>
  <c r="O304" i="29" s="1"/>
  <c r="K310" i="29"/>
  <c r="N310" i="29" s="1"/>
  <c r="O310" i="29" s="1"/>
  <c r="K314" i="29"/>
  <c r="N314" i="29" s="1"/>
  <c r="O314" i="29" s="1"/>
  <c r="K318" i="29"/>
  <c r="N318" i="29" s="1"/>
  <c r="O318" i="29" s="1"/>
  <c r="K322" i="29"/>
  <c r="N322" i="29" s="1"/>
  <c r="O322" i="29" s="1"/>
  <c r="K336" i="29"/>
  <c r="N336" i="29" s="1"/>
  <c r="O336" i="29" s="1"/>
  <c r="K342" i="29"/>
  <c r="N342" i="29" s="1"/>
  <c r="O342" i="29" s="1"/>
  <c r="K344" i="29"/>
  <c r="N344" i="29" s="1"/>
  <c r="O344" i="29" s="1"/>
  <c r="K350" i="29"/>
  <c r="N350" i="29" s="1"/>
  <c r="O350" i="29" s="1"/>
  <c r="K354" i="29"/>
  <c r="N354" i="29" s="1"/>
  <c r="O354" i="29" s="1"/>
  <c r="K358" i="29"/>
  <c r="N358" i="29" s="1"/>
  <c r="O358" i="29" s="1"/>
  <c r="K362" i="29"/>
  <c r="N362" i="29" s="1"/>
  <c r="O362" i="29" s="1"/>
  <c r="K366" i="29"/>
  <c r="N366" i="29" s="1"/>
  <c r="O366" i="29" s="1"/>
  <c r="K404" i="29"/>
  <c r="N404" i="29" s="1"/>
  <c r="O404" i="29" s="1"/>
  <c r="K418" i="29"/>
  <c r="N418" i="29" s="1"/>
  <c r="O418" i="29" s="1"/>
  <c r="K426" i="29"/>
  <c r="N426" i="29" s="1"/>
  <c r="O426" i="29" s="1"/>
  <c r="K430" i="29"/>
  <c r="N430" i="29" s="1"/>
  <c r="O430" i="29" s="1"/>
  <c r="K459" i="29"/>
  <c r="N459" i="29" s="1"/>
  <c r="O459" i="29" s="1"/>
  <c r="K467" i="29"/>
  <c r="N467" i="29" s="1"/>
  <c r="O467" i="29" s="1"/>
  <c r="K493" i="29"/>
  <c r="N493" i="29" s="1"/>
  <c r="O493" i="29" s="1"/>
  <c r="K507" i="29"/>
  <c r="N507" i="29" s="1"/>
  <c r="O507" i="29" s="1"/>
  <c r="K538" i="29"/>
  <c r="N538" i="29" s="1"/>
  <c r="O538" i="29" s="1"/>
  <c r="K542" i="29"/>
  <c r="N542" i="29" s="1"/>
  <c r="O542" i="29" s="1"/>
  <c r="K546" i="29"/>
  <c r="N546" i="29" s="1"/>
  <c r="O546" i="29" s="1"/>
  <c r="K550" i="29"/>
  <c r="N550" i="29" s="1"/>
  <c r="O550" i="29" s="1"/>
  <c r="K573" i="29"/>
  <c r="N573" i="29" s="1"/>
  <c r="O573" i="29" s="1"/>
  <c r="K577" i="29"/>
  <c r="N577" i="29" s="1"/>
  <c r="O577" i="29" s="1"/>
  <c r="K586" i="29"/>
  <c r="N586" i="29" s="1"/>
  <c r="O586" i="29" s="1"/>
  <c r="K590" i="29"/>
  <c r="N590" i="29" s="1"/>
  <c r="O590" i="29" s="1"/>
  <c r="K600" i="29"/>
  <c r="N600" i="29" s="1"/>
  <c r="O600" i="29" s="1"/>
  <c r="K622" i="29"/>
  <c r="N622" i="29" s="1"/>
  <c r="O622" i="29" s="1"/>
  <c r="K626" i="29"/>
  <c r="N626" i="29" s="1"/>
  <c r="O626" i="29" s="1"/>
  <c r="K637" i="29"/>
  <c r="N637" i="29" s="1"/>
  <c r="O637" i="29" s="1"/>
  <c r="K648" i="29"/>
  <c r="N648" i="29" s="1"/>
  <c r="O648" i="29" s="1"/>
  <c r="K676" i="29"/>
  <c r="N676" i="29" s="1"/>
  <c r="O676" i="29" s="1"/>
  <c r="K682" i="29"/>
  <c r="N682" i="29" s="1"/>
  <c r="O682" i="29" s="1"/>
  <c r="K686" i="29"/>
  <c r="N686" i="29" s="1"/>
  <c r="O686" i="29" s="1"/>
  <c r="K690" i="29"/>
  <c r="N690" i="29" s="1"/>
  <c r="O690" i="29" s="1"/>
  <c r="K706" i="29"/>
  <c r="N706" i="29" s="1"/>
  <c r="O706" i="29" s="1"/>
  <c r="K710" i="29"/>
  <c r="N710" i="29" s="1"/>
  <c r="O710" i="29" s="1"/>
  <c r="K740" i="29"/>
  <c r="N740" i="29" s="1"/>
  <c r="O740" i="29" s="1"/>
  <c r="K765" i="29"/>
  <c r="N765" i="29" s="1"/>
  <c r="O765" i="29" s="1"/>
  <c r="K772" i="29"/>
  <c r="N772" i="29" s="1"/>
  <c r="O772" i="29" s="1"/>
  <c r="K788" i="29"/>
  <c r="N788" i="29" s="1"/>
  <c r="O788" i="29" s="1"/>
  <c r="K797" i="29"/>
  <c r="N797" i="29" s="1"/>
  <c r="O797" i="29" s="1"/>
  <c r="K806" i="29"/>
  <c r="N806" i="29" s="1"/>
  <c r="O806" i="29" s="1"/>
  <c r="K825" i="29"/>
  <c r="N825" i="29" s="1"/>
  <c r="O825" i="29" s="1"/>
  <c r="K848" i="29"/>
  <c r="N848" i="29" s="1"/>
  <c r="O848" i="29" s="1"/>
  <c r="K854" i="29"/>
  <c r="N854" i="29" s="1"/>
  <c r="O854" i="29" s="1"/>
  <c r="K856" i="29"/>
  <c r="N856" i="29" s="1"/>
  <c r="O856" i="29" s="1"/>
  <c r="K862" i="29"/>
  <c r="N862" i="29" s="1"/>
  <c r="O862" i="29" s="1"/>
  <c r="K870" i="29"/>
  <c r="N870" i="29" s="1"/>
  <c r="O870" i="29" s="1"/>
  <c r="K878" i="29"/>
  <c r="N878" i="29" s="1"/>
  <c r="O878" i="29" s="1"/>
  <c r="K899" i="29"/>
  <c r="N899" i="29" s="1"/>
  <c r="O899" i="29" s="1"/>
  <c r="K906" i="29"/>
  <c r="N906" i="29" s="1"/>
  <c r="O906" i="29" s="1"/>
  <c r="K911" i="29"/>
  <c r="N911" i="29" s="1"/>
  <c r="O911" i="29" s="1"/>
  <c r="K915" i="29"/>
  <c r="N915" i="29" s="1"/>
  <c r="O915" i="29" s="1"/>
  <c r="K936" i="29"/>
  <c r="N936" i="29" s="1"/>
  <c r="O936" i="29" s="1"/>
  <c r="K963" i="29"/>
  <c r="N963" i="29" s="1"/>
  <c r="O963" i="29" s="1"/>
  <c r="K984" i="29"/>
  <c r="N984" i="29" s="1"/>
  <c r="O984" i="29" s="1"/>
  <c r="K992" i="29"/>
  <c r="N992" i="29" s="1"/>
  <c r="O992" i="29" s="1"/>
  <c r="K996" i="29"/>
  <c r="N996" i="29" s="1"/>
  <c r="O996" i="29" s="1"/>
  <c r="K1000" i="29"/>
  <c r="N1000" i="29" s="1"/>
  <c r="O1000" i="29" s="1"/>
  <c r="D8" i="161"/>
  <c r="D5" i="129" s="1"/>
  <c r="D29" i="161"/>
  <c r="L10" i="163"/>
  <c r="L10" i="131" s="1"/>
  <c r="L14" i="163"/>
  <c r="L14" i="131" s="1"/>
  <c r="F22" i="39"/>
  <c r="F54" i="197" s="1"/>
  <c r="D25" i="42"/>
  <c r="F8" i="44"/>
  <c r="E43" i="44" s="1"/>
  <c r="H8" i="49"/>
  <c r="C13" i="124" s="1"/>
  <c r="E13" i="42"/>
  <c r="E25" i="42" s="1"/>
  <c r="F60" i="83"/>
  <c r="F60" i="114" s="1"/>
  <c r="C42" i="116"/>
  <c r="H16" i="133"/>
  <c r="E2" i="3"/>
  <c r="D52" i="4"/>
  <c r="I16" i="196" s="1"/>
  <c r="D56" i="4"/>
  <c r="I20" i="196" s="1"/>
  <c r="K31" i="29"/>
  <c r="N31" i="29" s="1"/>
  <c r="O31" i="29" s="1"/>
  <c r="K908" i="29"/>
  <c r="N908" i="29" s="1"/>
  <c r="O908" i="29" s="1"/>
  <c r="D12" i="10"/>
  <c r="B2" i="14"/>
  <c r="B4" i="19"/>
  <c r="A2" i="22"/>
  <c r="A2" i="24"/>
  <c r="F14" i="26"/>
  <c r="F16" i="26" s="1"/>
  <c r="C9" i="133" s="1"/>
  <c r="G22" i="28"/>
  <c r="A12" i="28" s="1"/>
  <c r="K30" i="29"/>
  <c r="N30" i="29" s="1"/>
  <c r="O30" i="29" s="1"/>
  <c r="K47" i="29"/>
  <c r="N47" i="29" s="1"/>
  <c r="O47" i="29" s="1"/>
  <c r="K51" i="29"/>
  <c r="N51" i="29" s="1"/>
  <c r="O51" i="29" s="1"/>
  <c r="K55" i="29"/>
  <c r="N55" i="29" s="1"/>
  <c r="O55" i="29" s="1"/>
  <c r="K60" i="29"/>
  <c r="N60" i="29" s="1"/>
  <c r="O60" i="29" s="1"/>
  <c r="K76" i="29"/>
  <c r="N76" i="29" s="1"/>
  <c r="O76" i="29" s="1"/>
  <c r="K77" i="29"/>
  <c r="N77" i="29" s="1"/>
  <c r="O77" i="29" s="1"/>
  <c r="K82" i="29"/>
  <c r="N82" i="29" s="1"/>
  <c r="O82" i="29" s="1"/>
  <c r="K92" i="29"/>
  <c r="N92" i="29" s="1"/>
  <c r="O92" i="29" s="1"/>
  <c r="K93" i="29"/>
  <c r="N93" i="29" s="1"/>
  <c r="O93" i="29" s="1"/>
  <c r="K98" i="29"/>
  <c r="N98" i="29" s="1"/>
  <c r="O98" i="29" s="1"/>
  <c r="K108" i="29"/>
  <c r="N108" i="29" s="1"/>
  <c r="O108" i="29" s="1"/>
  <c r="K109" i="29"/>
  <c r="N109" i="29" s="1"/>
  <c r="O109" i="29" s="1"/>
  <c r="K114" i="29"/>
  <c r="N114" i="29" s="1"/>
  <c r="O114" i="29" s="1"/>
  <c r="K138" i="29"/>
  <c r="N138" i="29" s="1"/>
  <c r="O138" i="29" s="1"/>
  <c r="K152" i="29"/>
  <c r="N152" i="29" s="1"/>
  <c r="O152" i="29" s="1"/>
  <c r="K170" i="29"/>
  <c r="N170" i="29" s="1"/>
  <c r="O170" i="29" s="1"/>
  <c r="K184" i="29"/>
  <c r="N184" i="29" s="1"/>
  <c r="O184" i="29" s="1"/>
  <c r="K202" i="29"/>
  <c r="N202" i="29" s="1"/>
  <c r="O202" i="29" s="1"/>
  <c r="K216" i="29"/>
  <c r="N216" i="29" s="1"/>
  <c r="O216" i="29" s="1"/>
  <c r="K234" i="29"/>
  <c r="N234" i="29" s="1"/>
  <c r="O234" i="29" s="1"/>
  <c r="K248" i="29"/>
  <c r="N248" i="29" s="1"/>
  <c r="O248" i="29" s="1"/>
  <c r="K266" i="29"/>
  <c r="N266" i="29" s="1"/>
  <c r="O266" i="29" s="1"/>
  <c r="K280" i="29"/>
  <c r="N280" i="29" s="1"/>
  <c r="O280" i="29" s="1"/>
  <c r="K298" i="29"/>
  <c r="N298" i="29" s="1"/>
  <c r="O298" i="29" s="1"/>
  <c r="K312" i="29"/>
  <c r="N312" i="29" s="1"/>
  <c r="O312" i="29" s="1"/>
  <c r="K330" i="29"/>
  <c r="N330" i="29" s="1"/>
  <c r="O330" i="29" s="1"/>
  <c r="K386" i="29"/>
  <c r="N386" i="29" s="1"/>
  <c r="O386" i="29" s="1"/>
  <c r="K450" i="29"/>
  <c r="N450" i="29" s="1"/>
  <c r="O450" i="29" s="1"/>
  <c r="K491" i="29"/>
  <c r="N491" i="29" s="1"/>
  <c r="O491" i="29" s="1"/>
  <c r="K552" i="29"/>
  <c r="N552" i="29" s="1"/>
  <c r="O552" i="29" s="1"/>
  <c r="K570" i="29"/>
  <c r="N570" i="29" s="1"/>
  <c r="O570" i="29" s="1"/>
  <c r="K574" i="29"/>
  <c r="N574" i="29" s="1"/>
  <c r="O574" i="29" s="1"/>
  <c r="K587" i="29"/>
  <c r="N587" i="29" s="1"/>
  <c r="O587" i="29" s="1"/>
  <c r="K712" i="29"/>
  <c r="N712" i="29" s="1"/>
  <c r="O712" i="29" s="1"/>
  <c r="K726" i="29"/>
  <c r="N726" i="29" s="1"/>
  <c r="O726" i="29" s="1"/>
  <c r="K756" i="29"/>
  <c r="N756" i="29" s="1"/>
  <c r="O756" i="29" s="1"/>
  <c r="K874" i="29"/>
  <c r="N874" i="29" s="1"/>
  <c r="O874" i="29" s="1"/>
  <c r="K890" i="29"/>
  <c r="N890" i="29" s="1"/>
  <c r="O890" i="29" s="1"/>
  <c r="K969" i="29"/>
  <c r="N969" i="29" s="1"/>
  <c r="O969" i="29" s="1"/>
  <c r="K970" i="29"/>
  <c r="N970" i="29" s="1"/>
  <c r="O970" i="29" s="1"/>
  <c r="B9" i="57"/>
  <c r="B9" i="63"/>
  <c r="E7" i="63"/>
  <c r="K4" i="10"/>
  <c r="K37" i="29"/>
  <c r="N37" i="29" s="1"/>
  <c r="O37" i="29" s="1"/>
  <c r="K62" i="29"/>
  <c r="N62" i="29" s="1"/>
  <c r="O62" i="29" s="1"/>
  <c r="K79" i="29"/>
  <c r="N79" i="29" s="1"/>
  <c r="O79" i="29" s="1"/>
  <c r="K95" i="29"/>
  <c r="N95" i="29" s="1"/>
  <c r="O95" i="29" s="1"/>
  <c r="K111" i="29"/>
  <c r="N111" i="29" s="1"/>
  <c r="O111" i="29" s="1"/>
  <c r="K953" i="29"/>
  <c r="N953" i="29" s="1"/>
  <c r="O953" i="29" s="1"/>
  <c r="B8" i="44"/>
  <c r="K28" i="29"/>
  <c r="N28" i="29" s="1"/>
  <c r="O28" i="29" s="1"/>
  <c r="K128" i="29"/>
  <c r="N128" i="29" s="1"/>
  <c r="O128" i="29" s="1"/>
  <c r="K137" i="29"/>
  <c r="N137" i="29" s="1"/>
  <c r="O137" i="29" s="1"/>
  <c r="K146" i="29"/>
  <c r="N146" i="29" s="1"/>
  <c r="O146" i="29" s="1"/>
  <c r="K160" i="29"/>
  <c r="N160" i="29" s="1"/>
  <c r="O160" i="29" s="1"/>
  <c r="K169" i="29"/>
  <c r="N169" i="29" s="1"/>
  <c r="O169" i="29" s="1"/>
  <c r="K178" i="29"/>
  <c r="N178" i="29" s="1"/>
  <c r="O178" i="29" s="1"/>
  <c r="K192" i="29"/>
  <c r="N192" i="29" s="1"/>
  <c r="O192" i="29" s="1"/>
  <c r="K201" i="29"/>
  <c r="N201" i="29" s="1"/>
  <c r="O201" i="29" s="1"/>
  <c r="K210" i="29"/>
  <c r="N210" i="29" s="1"/>
  <c r="O210" i="29" s="1"/>
  <c r="K224" i="29"/>
  <c r="N224" i="29" s="1"/>
  <c r="O224" i="29" s="1"/>
  <c r="K233" i="29"/>
  <c r="N233" i="29" s="1"/>
  <c r="O233" i="29" s="1"/>
  <c r="K242" i="29"/>
  <c r="N242" i="29" s="1"/>
  <c r="O242" i="29" s="1"/>
  <c r="K256" i="29"/>
  <c r="N256" i="29" s="1"/>
  <c r="O256" i="29" s="1"/>
  <c r="K265" i="29"/>
  <c r="N265" i="29" s="1"/>
  <c r="O265" i="29" s="1"/>
  <c r="K274" i="29"/>
  <c r="N274" i="29" s="1"/>
  <c r="O274" i="29" s="1"/>
  <c r="K288" i="29"/>
  <c r="N288" i="29" s="1"/>
  <c r="O288" i="29" s="1"/>
  <c r="K297" i="29"/>
  <c r="N297" i="29" s="1"/>
  <c r="O297" i="29" s="1"/>
  <c r="K306" i="29"/>
  <c r="N306" i="29" s="1"/>
  <c r="O306" i="29" s="1"/>
  <c r="K320" i="29"/>
  <c r="N320" i="29" s="1"/>
  <c r="O320" i="29" s="1"/>
  <c r="K329" i="29"/>
  <c r="N329" i="29" s="1"/>
  <c r="O329" i="29" s="1"/>
  <c r="K338" i="29"/>
  <c r="N338" i="29" s="1"/>
  <c r="O338" i="29" s="1"/>
  <c r="K377" i="29"/>
  <c r="N377" i="29" s="1"/>
  <c r="O377" i="29" s="1"/>
  <c r="K385" i="29"/>
  <c r="N385" i="29" s="1"/>
  <c r="O385" i="29" s="1"/>
  <c r="K441" i="29"/>
  <c r="N441" i="29" s="1"/>
  <c r="O441" i="29" s="1"/>
  <c r="K449" i="29"/>
  <c r="N449" i="29" s="1"/>
  <c r="O449" i="29" s="1"/>
  <c r="K477" i="29"/>
  <c r="N477" i="29" s="1"/>
  <c r="O477" i="29" s="1"/>
  <c r="K481" i="29"/>
  <c r="N481" i="29" s="1"/>
  <c r="O481" i="29" s="1"/>
  <c r="K490" i="29"/>
  <c r="N490" i="29" s="1"/>
  <c r="O490" i="29" s="1"/>
  <c r="K494" i="29"/>
  <c r="N494" i="29" s="1"/>
  <c r="O494" i="29" s="1"/>
  <c r="K522" i="29"/>
  <c r="N522" i="29" s="1"/>
  <c r="O522" i="29" s="1"/>
  <c r="K526" i="29"/>
  <c r="N526" i="29" s="1"/>
  <c r="O526" i="29" s="1"/>
  <c r="K539" i="29"/>
  <c r="N539" i="29" s="1"/>
  <c r="O539" i="29" s="1"/>
  <c r="K644" i="29"/>
  <c r="N644" i="29" s="1"/>
  <c r="O644" i="29" s="1"/>
  <c r="K650" i="29"/>
  <c r="N650" i="29" s="1"/>
  <c r="O650" i="29" s="1"/>
  <c r="K654" i="29"/>
  <c r="N654" i="29" s="1"/>
  <c r="O654" i="29" s="1"/>
  <c r="K658" i="29"/>
  <c r="N658" i="29" s="1"/>
  <c r="O658" i="29" s="1"/>
  <c r="K808" i="29"/>
  <c r="N808" i="29" s="1"/>
  <c r="O808" i="29" s="1"/>
  <c r="K968" i="29"/>
  <c r="N968" i="29" s="1"/>
  <c r="O968" i="29" s="1"/>
  <c r="D22" i="35"/>
  <c r="K352" i="29"/>
  <c r="N352" i="29" s="1"/>
  <c r="O352" i="29" s="1"/>
  <c r="K361" i="29"/>
  <c r="N361" i="29" s="1"/>
  <c r="O361" i="29" s="1"/>
  <c r="K369" i="29"/>
  <c r="N369" i="29" s="1"/>
  <c r="O369" i="29" s="1"/>
  <c r="K389" i="29"/>
  <c r="N389" i="29" s="1"/>
  <c r="O389" i="29" s="1"/>
  <c r="K393" i="29"/>
  <c r="N393" i="29" s="1"/>
  <c r="O393" i="29" s="1"/>
  <c r="K401" i="29"/>
  <c r="N401" i="29" s="1"/>
  <c r="O401" i="29" s="1"/>
  <c r="K421" i="29"/>
  <c r="N421" i="29" s="1"/>
  <c r="O421" i="29" s="1"/>
  <c r="K425" i="29"/>
  <c r="N425" i="29" s="1"/>
  <c r="O425" i="29" s="1"/>
  <c r="K433" i="29"/>
  <c r="N433" i="29" s="1"/>
  <c r="O433" i="29" s="1"/>
  <c r="K453" i="29"/>
  <c r="N453" i="29" s="1"/>
  <c r="O453" i="29" s="1"/>
  <c r="K458" i="29"/>
  <c r="N458" i="29" s="1"/>
  <c r="O458" i="29" s="1"/>
  <c r="K462" i="29"/>
  <c r="N462" i="29" s="1"/>
  <c r="O462" i="29" s="1"/>
  <c r="K475" i="29"/>
  <c r="N475" i="29" s="1"/>
  <c r="O475" i="29" s="1"/>
  <c r="K506" i="29"/>
  <c r="N506" i="29" s="1"/>
  <c r="O506" i="29" s="1"/>
  <c r="K510" i="29"/>
  <c r="N510" i="29" s="1"/>
  <c r="O510" i="29" s="1"/>
  <c r="K514" i="29"/>
  <c r="N514" i="29" s="1"/>
  <c r="O514" i="29" s="1"/>
  <c r="K518" i="29"/>
  <c r="N518" i="29" s="1"/>
  <c r="O518" i="29" s="1"/>
  <c r="K528" i="29"/>
  <c r="N528" i="29" s="1"/>
  <c r="O528" i="29" s="1"/>
  <c r="K532" i="29"/>
  <c r="N532" i="29" s="1"/>
  <c r="O532" i="29" s="1"/>
  <c r="K541" i="29"/>
  <c r="N541" i="29" s="1"/>
  <c r="O541" i="29" s="1"/>
  <c r="K545" i="29"/>
  <c r="N545" i="29" s="1"/>
  <c r="O545" i="29" s="1"/>
  <c r="K555" i="29"/>
  <c r="N555" i="29" s="1"/>
  <c r="O555" i="29" s="1"/>
  <c r="K557" i="29"/>
  <c r="N557" i="29" s="1"/>
  <c r="O557" i="29" s="1"/>
  <c r="K572" i="29"/>
  <c r="N572" i="29" s="1"/>
  <c r="O572" i="29" s="1"/>
  <c r="K589" i="29"/>
  <c r="N589" i="29" s="1"/>
  <c r="O589" i="29" s="1"/>
  <c r="K602" i="29"/>
  <c r="N602" i="29" s="1"/>
  <c r="O602" i="29" s="1"/>
  <c r="K606" i="29"/>
  <c r="N606" i="29" s="1"/>
  <c r="O606" i="29" s="1"/>
  <c r="K610" i="29"/>
  <c r="N610" i="29" s="1"/>
  <c r="O610" i="29" s="1"/>
  <c r="K614" i="29"/>
  <c r="N614" i="29" s="1"/>
  <c r="O614" i="29" s="1"/>
  <c r="K674" i="29"/>
  <c r="N674" i="29" s="1"/>
  <c r="O674" i="29" s="1"/>
  <c r="K758" i="29"/>
  <c r="N758" i="29" s="1"/>
  <c r="O758" i="29" s="1"/>
  <c r="K810" i="29"/>
  <c r="N810" i="29" s="1"/>
  <c r="O810" i="29" s="1"/>
  <c r="K814" i="29"/>
  <c r="N814" i="29" s="1"/>
  <c r="O814" i="29" s="1"/>
  <c r="K818" i="29"/>
  <c r="N818" i="29" s="1"/>
  <c r="O818" i="29" s="1"/>
  <c r="K841" i="29"/>
  <c r="N841" i="29" s="1"/>
  <c r="O841" i="29" s="1"/>
  <c r="K853" i="29"/>
  <c r="N853" i="29" s="1"/>
  <c r="O853" i="29" s="1"/>
  <c r="K859" i="29"/>
  <c r="N859" i="29" s="1"/>
  <c r="O859" i="29" s="1"/>
  <c r="K976" i="29"/>
  <c r="N976" i="29" s="1"/>
  <c r="O976" i="29" s="1"/>
  <c r="C48" i="51"/>
  <c r="D46" i="51"/>
  <c r="D36" i="114"/>
  <c r="F36" i="83"/>
  <c r="F36" i="114" s="1"/>
  <c r="K346" i="29"/>
  <c r="N346" i="29" s="1"/>
  <c r="O346" i="29" s="1"/>
  <c r="K378" i="29"/>
  <c r="N378" i="29" s="1"/>
  <c r="O378" i="29" s="1"/>
  <c r="K382" i="29"/>
  <c r="N382" i="29" s="1"/>
  <c r="O382" i="29" s="1"/>
  <c r="K388" i="29"/>
  <c r="N388" i="29" s="1"/>
  <c r="O388" i="29" s="1"/>
  <c r="K410" i="29"/>
  <c r="N410" i="29" s="1"/>
  <c r="O410" i="29" s="1"/>
  <c r="K414" i="29"/>
  <c r="N414" i="29" s="1"/>
  <c r="O414" i="29" s="1"/>
  <c r="K420" i="29"/>
  <c r="N420" i="29" s="1"/>
  <c r="O420" i="29" s="1"/>
  <c r="K442" i="29"/>
  <c r="N442" i="29" s="1"/>
  <c r="O442" i="29" s="1"/>
  <c r="K446" i="29"/>
  <c r="N446" i="29" s="1"/>
  <c r="O446" i="29" s="1"/>
  <c r="K452" i="29"/>
  <c r="N452" i="29" s="1"/>
  <c r="O452" i="29" s="1"/>
  <c r="K461" i="29"/>
  <c r="N461" i="29" s="1"/>
  <c r="O461" i="29" s="1"/>
  <c r="K474" i="29"/>
  <c r="N474" i="29" s="1"/>
  <c r="O474" i="29" s="1"/>
  <c r="K478" i="29"/>
  <c r="N478" i="29" s="1"/>
  <c r="O478" i="29" s="1"/>
  <c r="K482" i="29"/>
  <c r="N482" i="29" s="1"/>
  <c r="O482" i="29" s="1"/>
  <c r="K486" i="29"/>
  <c r="N486" i="29" s="1"/>
  <c r="O486" i="29" s="1"/>
  <c r="K496" i="29"/>
  <c r="N496" i="29" s="1"/>
  <c r="O496" i="29" s="1"/>
  <c r="K500" i="29"/>
  <c r="N500" i="29" s="1"/>
  <c r="O500" i="29" s="1"/>
  <c r="K509" i="29"/>
  <c r="N509" i="29" s="1"/>
  <c r="O509" i="29" s="1"/>
  <c r="K513" i="29"/>
  <c r="N513" i="29" s="1"/>
  <c r="O513" i="29" s="1"/>
  <c r="K523" i="29"/>
  <c r="N523" i="29" s="1"/>
  <c r="O523" i="29" s="1"/>
  <c r="K525" i="29"/>
  <c r="N525" i="29" s="1"/>
  <c r="O525" i="29" s="1"/>
  <c r="K540" i="29"/>
  <c r="N540" i="29" s="1"/>
  <c r="O540" i="29" s="1"/>
  <c r="K571" i="29"/>
  <c r="N571" i="29" s="1"/>
  <c r="O571" i="29" s="1"/>
  <c r="K588" i="29"/>
  <c r="N588" i="29" s="1"/>
  <c r="O588" i="29" s="1"/>
  <c r="K660" i="29"/>
  <c r="N660" i="29" s="1"/>
  <c r="O660" i="29" s="1"/>
  <c r="K669" i="29"/>
  <c r="N669" i="29" s="1"/>
  <c r="O669" i="29" s="1"/>
  <c r="K728" i="29"/>
  <c r="N728" i="29" s="1"/>
  <c r="O728" i="29" s="1"/>
  <c r="K732" i="29"/>
  <c r="N732" i="29" s="1"/>
  <c r="O732" i="29" s="1"/>
  <c r="K736" i="29"/>
  <c r="N736" i="29" s="1"/>
  <c r="O736" i="29" s="1"/>
  <c r="K742" i="29"/>
  <c r="N742" i="29" s="1"/>
  <c r="O742" i="29" s="1"/>
  <c r="K747" i="29"/>
  <c r="N747" i="29" s="1"/>
  <c r="O747" i="29" s="1"/>
  <c r="K802" i="29"/>
  <c r="N802" i="29" s="1"/>
  <c r="O802" i="29" s="1"/>
  <c r="K879" i="29"/>
  <c r="N879" i="29" s="1"/>
  <c r="O879" i="29" s="1"/>
  <c r="K883" i="29"/>
  <c r="N883" i="29" s="1"/>
  <c r="O883" i="29" s="1"/>
  <c r="K901" i="29"/>
  <c r="N901" i="29" s="1"/>
  <c r="O901" i="29" s="1"/>
  <c r="K909" i="29"/>
  <c r="N909" i="29" s="1"/>
  <c r="O909" i="29" s="1"/>
  <c r="K913" i="29"/>
  <c r="N913" i="29" s="1"/>
  <c r="O913" i="29" s="1"/>
  <c r="K921" i="29"/>
  <c r="N921" i="29" s="1"/>
  <c r="O921" i="29" s="1"/>
  <c r="K929" i="29"/>
  <c r="N929" i="29" s="1"/>
  <c r="O929" i="29" s="1"/>
  <c r="K942" i="29"/>
  <c r="N942" i="29" s="1"/>
  <c r="O942" i="29" s="1"/>
  <c r="K950" i="29"/>
  <c r="N950" i="29" s="1"/>
  <c r="O950" i="29" s="1"/>
  <c r="K965" i="29"/>
  <c r="N965" i="29" s="1"/>
  <c r="O965" i="29" s="1"/>
  <c r="K971" i="29"/>
  <c r="N971" i="29" s="1"/>
  <c r="O971" i="29" s="1"/>
  <c r="K987" i="29"/>
  <c r="N987" i="29" s="1"/>
  <c r="O987" i="29" s="1"/>
  <c r="K1001" i="29"/>
  <c r="N1001" i="29" s="1"/>
  <c r="O1001" i="29" s="1"/>
  <c r="D33" i="161"/>
  <c r="D30" i="129" s="1"/>
  <c r="F32" i="39"/>
  <c r="F60" i="197" s="1"/>
  <c r="H14" i="42"/>
  <c r="F53" i="48"/>
  <c r="E43" i="83" s="1"/>
  <c r="F43" i="83" s="1"/>
  <c r="F43" i="114" s="1"/>
  <c r="D19" i="48"/>
  <c r="F19" i="48" s="1"/>
  <c r="F36" i="48"/>
  <c r="E51" i="83" s="1"/>
  <c r="F51" i="83" s="1"/>
  <c r="F51" i="114" s="1"/>
  <c r="G50" i="48"/>
  <c r="D16" i="48" s="1"/>
  <c r="F16" i="48" s="1"/>
  <c r="E22" i="49"/>
  <c r="K604" i="29"/>
  <c r="N604" i="29" s="1"/>
  <c r="O604" i="29" s="1"/>
  <c r="K613" i="29"/>
  <c r="N613" i="29" s="1"/>
  <c r="O613" i="29" s="1"/>
  <c r="K618" i="29"/>
  <c r="N618" i="29" s="1"/>
  <c r="O618" i="29" s="1"/>
  <c r="K632" i="29"/>
  <c r="N632" i="29" s="1"/>
  <c r="O632" i="29" s="1"/>
  <c r="K636" i="29"/>
  <c r="N636" i="29" s="1"/>
  <c r="O636" i="29" s="1"/>
  <c r="K640" i="29"/>
  <c r="N640" i="29" s="1"/>
  <c r="O640" i="29" s="1"/>
  <c r="K683" i="29"/>
  <c r="N683" i="29" s="1"/>
  <c r="O683" i="29" s="1"/>
  <c r="K714" i="29"/>
  <c r="N714" i="29" s="1"/>
  <c r="O714" i="29" s="1"/>
  <c r="K718" i="29"/>
  <c r="N718" i="29" s="1"/>
  <c r="O718" i="29" s="1"/>
  <c r="K733" i="29"/>
  <c r="N733" i="29" s="1"/>
  <c r="O733" i="29" s="1"/>
  <c r="K760" i="29"/>
  <c r="N760" i="29" s="1"/>
  <c r="O760" i="29" s="1"/>
  <c r="K764" i="29"/>
  <c r="N764" i="29" s="1"/>
  <c r="O764" i="29" s="1"/>
  <c r="K768" i="29"/>
  <c r="N768" i="29" s="1"/>
  <c r="O768" i="29" s="1"/>
  <c r="K811" i="29"/>
  <c r="N811" i="29" s="1"/>
  <c r="O811" i="29" s="1"/>
  <c r="K850" i="29"/>
  <c r="N850" i="29" s="1"/>
  <c r="O850" i="29" s="1"/>
  <c r="K852" i="29"/>
  <c r="N852" i="29" s="1"/>
  <c r="O852" i="29" s="1"/>
  <c r="K858" i="29"/>
  <c r="N858" i="29" s="1"/>
  <c r="O858" i="29" s="1"/>
  <c r="K872" i="29"/>
  <c r="N872" i="29" s="1"/>
  <c r="O872" i="29" s="1"/>
  <c r="K880" i="29"/>
  <c r="N880" i="29" s="1"/>
  <c r="O880" i="29" s="1"/>
  <c r="K902" i="29"/>
  <c r="N902" i="29" s="1"/>
  <c r="O902" i="29" s="1"/>
  <c r="K910" i="29"/>
  <c r="N910" i="29" s="1"/>
  <c r="O910" i="29" s="1"/>
  <c r="K918" i="29"/>
  <c r="N918" i="29" s="1"/>
  <c r="O918" i="29" s="1"/>
  <c r="K926" i="29"/>
  <c r="N926" i="29" s="1"/>
  <c r="O926" i="29" s="1"/>
  <c r="K940" i="29"/>
  <c r="N940" i="29" s="1"/>
  <c r="O940" i="29" s="1"/>
  <c r="K948" i="29"/>
  <c r="N948" i="29" s="1"/>
  <c r="O948" i="29" s="1"/>
  <c r="K952" i="29"/>
  <c r="N952" i="29" s="1"/>
  <c r="O952" i="29" s="1"/>
  <c r="K955" i="29"/>
  <c r="N955" i="29" s="1"/>
  <c r="O955" i="29" s="1"/>
  <c r="K966" i="29"/>
  <c r="N966" i="29" s="1"/>
  <c r="O966" i="29" s="1"/>
  <c r="K973" i="29"/>
  <c r="N973" i="29" s="1"/>
  <c r="O973" i="29" s="1"/>
  <c r="K977" i="29"/>
  <c r="N977" i="29" s="1"/>
  <c r="O977" i="29" s="1"/>
  <c r="K978" i="29"/>
  <c r="N978" i="29" s="1"/>
  <c r="O978" i="29" s="1"/>
  <c r="K986" i="29"/>
  <c r="N986" i="29" s="1"/>
  <c r="O986" i="29" s="1"/>
  <c r="K990" i="29"/>
  <c r="N990" i="29" s="1"/>
  <c r="O990" i="29" s="1"/>
  <c r="K994" i="29"/>
  <c r="N994" i="29" s="1"/>
  <c r="O994" i="29" s="1"/>
  <c r="K997" i="29"/>
  <c r="N997" i="29" s="1"/>
  <c r="O997" i="29" s="1"/>
  <c r="H31" i="30"/>
  <c r="H6" i="162"/>
  <c r="H6" i="130" s="1"/>
  <c r="L12" i="163"/>
  <c r="C17" i="189"/>
  <c r="C48" i="41"/>
  <c r="J10" i="42"/>
  <c r="J13" i="42" s="1"/>
  <c r="I25" i="42"/>
  <c r="G36" i="48"/>
  <c r="D17" i="48" s="1"/>
  <c r="F17" i="48" s="1"/>
  <c r="F8" i="83"/>
  <c r="F8" i="114" s="1"/>
  <c r="F48" i="83"/>
  <c r="F48" i="114" s="1"/>
  <c r="E10" i="49"/>
  <c r="F6" i="4"/>
  <c r="E4" i="56"/>
  <c r="K3" i="30"/>
  <c r="F22" i="26"/>
  <c r="K11" i="29"/>
  <c r="N11" i="29" s="1"/>
  <c r="O11" i="29" s="1"/>
  <c r="K29" i="29"/>
  <c r="N29" i="29" s="1"/>
  <c r="O29" i="29" s="1"/>
  <c r="K61" i="29"/>
  <c r="N61" i="29" s="1"/>
  <c r="O61" i="29" s="1"/>
  <c r="H5" i="5"/>
  <c r="G4" i="26"/>
  <c r="K10" i="29"/>
  <c r="N10" i="29" s="1"/>
  <c r="O10" i="29" s="1"/>
  <c r="K12" i="29"/>
  <c r="N12" i="29" s="1"/>
  <c r="O12" i="29" s="1"/>
  <c r="K13" i="29"/>
  <c r="N13" i="29" s="1"/>
  <c r="O13" i="29" s="1"/>
  <c r="K27" i="29"/>
  <c r="N27" i="29" s="1"/>
  <c r="O27" i="29" s="1"/>
  <c r="K44" i="29"/>
  <c r="N44" i="29" s="1"/>
  <c r="O44" i="29" s="1"/>
  <c r="K45" i="29"/>
  <c r="N45" i="29" s="1"/>
  <c r="O45" i="29" s="1"/>
  <c r="K59" i="29"/>
  <c r="N59" i="29" s="1"/>
  <c r="O59" i="29" s="1"/>
  <c r="K129" i="29"/>
  <c r="N129" i="29" s="1"/>
  <c r="O129" i="29" s="1"/>
  <c r="K145" i="29"/>
  <c r="N145" i="29" s="1"/>
  <c r="O145" i="29" s="1"/>
  <c r="K161" i="29"/>
  <c r="N161" i="29" s="1"/>
  <c r="O161" i="29" s="1"/>
  <c r="K177" i="29"/>
  <c r="N177" i="29" s="1"/>
  <c r="O177" i="29" s="1"/>
  <c r="K193" i="29"/>
  <c r="N193" i="29" s="1"/>
  <c r="O193" i="29" s="1"/>
  <c r="K209" i="29"/>
  <c r="N209" i="29" s="1"/>
  <c r="O209" i="29" s="1"/>
  <c r="K225" i="29"/>
  <c r="N225" i="29" s="1"/>
  <c r="O225" i="29" s="1"/>
  <c r="K241" i="29"/>
  <c r="N241" i="29" s="1"/>
  <c r="O241" i="29" s="1"/>
  <c r="K257" i="29"/>
  <c r="N257" i="29" s="1"/>
  <c r="O257" i="29" s="1"/>
  <c r="K273" i="29"/>
  <c r="N273" i="29" s="1"/>
  <c r="O273" i="29" s="1"/>
  <c r="K289" i="29"/>
  <c r="N289" i="29" s="1"/>
  <c r="O289" i="29" s="1"/>
  <c r="K305" i="29"/>
  <c r="N305" i="29" s="1"/>
  <c r="O305" i="29" s="1"/>
  <c r="K321" i="29"/>
  <c r="N321" i="29" s="1"/>
  <c r="O321" i="29" s="1"/>
  <c r="K337" i="29"/>
  <c r="N337" i="29" s="1"/>
  <c r="O337" i="29" s="1"/>
  <c r="K353" i="29"/>
  <c r="N353" i="29" s="1"/>
  <c r="O353" i="29" s="1"/>
  <c r="K373" i="29"/>
  <c r="N373" i="29" s="1"/>
  <c r="O373" i="29" s="1"/>
  <c r="K405" i="29"/>
  <c r="N405" i="29" s="1"/>
  <c r="O405" i="29" s="1"/>
  <c r="K437" i="29"/>
  <c r="N437" i="29" s="1"/>
  <c r="O437" i="29" s="1"/>
  <c r="K464" i="29"/>
  <c r="N464" i="29" s="1"/>
  <c r="O464" i="29" s="1"/>
  <c r="K468" i="29"/>
  <c r="N468" i="29" s="1"/>
  <c r="O468" i="29" s="1"/>
  <c r="K578" i="29"/>
  <c r="N578" i="29" s="1"/>
  <c r="O578" i="29" s="1"/>
  <c r="K582" i="29"/>
  <c r="N582" i="29" s="1"/>
  <c r="O582" i="29" s="1"/>
  <c r="K592" i="29"/>
  <c r="N592" i="29" s="1"/>
  <c r="O592" i="29" s="1"/>
  <c r="K596" i="29"/>
  <c r="N596" i="29" s="1"/>
  <c r="O596" i="29" s="1"/>
  <c r="K651" i="29"/>
  <c r="N651" i="29" s="1"/>
  <c r="O651" i="29" s="1"/>
  <c r="K701" i="29"/>
  <c r="N701" i="29" s="1"/>
  <c r="O701" i="29" s="1"/>
  <c r="K779" i="29"/>
  <c r="N779" i="29" s="1"/>
  <c r="O779" i="29" s="1"/>
  <c r="K832" i="29"/>
  <c r="N832" i="29" s="1"/>
  <c r="O832" i="29" s="1"/>
  <c r="F23" i="36"/>
  <c r="D26" i="36"/>
  <c r="D56" i="114"/>
  <c r="F56" i="83"/>
  <c r="F56" i="114" s="1"/>
  <c r="I8" i="29"/>
  <c r="K43" i="29"/>
  <c r="N43" i="29" s="1"/>
  <c r="O43" i="29" s="1"/>
  <c r="K946" i="29"/>
  <c r="N946" i="29" s="1"/>
  <c r="O946" i="29" s="1"/>
  <c r="A3" i="31"/>
  <c r="A2" i="30"/>
  <c r="G23" i="24"/>
  <c r="E14" i="26"/>
  <c r="E16" i="26" s="1"/>
  <c r="E15" i="27"/>
  <c r="J15" i="27" s="1"/>
  <c r="K21" i="29"/>
  <c r="N21" i="29" s="1"/>
  <c r="O21" i="29" s="1"/>
  <c r="K35" i="29"/>
  <c r="N35" i="29" s="1"/>
  <c r="O35" i="29" s="1"/>
  <c r="K53" i="29"/>
  <c r="N53" i="29" s="1"/>
  <c r="O53" i="29" s="1"/>
  <c r="K67" i="29"/>
  <c r="N67" i="29" s="1"/>
  <c r="O67" i="29" s="1"/>
  <c r="K83" i="29"/>
  <c r="N83" i="29" s="1"/>
  <c r="O83" i="29" s="1"/>
  <c r="K99" i="29"/>
  <c r="N99" i="29" s="1"/>
  <c r="O99" i="29" s="1"/>
  <c r="K115" i="29"/>
  <c r="N115" i="29" s="1"/>
  <c r="O115" i="29" s="1"/>
  <c r="G29" i="28"/>
  <c r="K9" i="29"/>
  <c r="N9" i="29" s="1"/>
  <c r="G21" i="28" s="1"/>
  <c r="A11" i="28" s="1"/>
  <c r="K17" i="29"/>
  <c r="N17" i="29" s="1"/>
  <c r="O17" i="29" s="1"/>
  <c r="K25" i="29"/>
  <c r="N25" i="29" s="1"/>
  <c r="O25" i="29" s="1"/>
  <c r="K33" i="29"/>
  <c r="N33" i="29" s="1"/>
  <c r="O33" i="29" s="1"/>
  <c r="K41" i="29"/>
  <c r="N41" i="29" s="1"/>
  <c r="O41" i="29" s="1"/>
  <c r="K49" i="29"/>
  <c r="N49" i="29" s="1"/>
  <c r="O49" i="29" s="1"/>
  <c r="K57" i="29"/>
  <c r="N57" i="29" s="1"/>
  <c r="O57" i="29" s="1"/>
  <c r="K65" i="29"/>
  <c r="N65" i="29" s="1"/>
  <c r="O65" i="29" s="1"/>
  <c r="K73" i="29"/>
  <c r="N73" i="29" s="1"/>
  <c r="O73" i="29" s="1"/>
  <c r="K81" i="29"/>
  <c r="N81" i="29" s="1"/>
  <c r="O81" i="29" s="1"/>
  <c r="K89" i="29"/>
  <c r="N89" i="29" s="1"/>
  <c r="O89" i="29" s="1"/>
  <c r="K97" i="29"/>
  <c r="N97" i="29" s="1"/>
  <c r="O97" i="29" s="1"/>
  <c r="K105" i="29"/>
  <c r="N105" i="29" s="1"/>
  <c r="O105" i="29" s="1"/>
  <c r="K113" i="29"/>
  <c r="N113" i="29" s="1"/>
  <c r="O113" i="29" s="1"/>
  <c r="K121" i="29"/>
  <c r="N121" i="29" s="1"/>
  <c r="O121" i="29" s="1"/>
  <c r="K125" i="29"/>
  <c r="N125" i="29" s="1"/>
  <c r="O125" i="29" s="1"/>
  <c r="K133" i="29"/>
  <c r="N133" i="29" s="1"/>
  <c r="O133" i="29" s="1"/>
  <c r="K141" i="29"/>
  <c r="N141" i="29" s="1"/>
  <c r="O141" i="29" s="1"/>
  <c r="K149" i="29"/>
  <c r="N149" i="29" s="1"/>
  <c r="O149" i="29" s="1"/>
  <c r="K157" i="29"/>
  <c r="N157" i="29" s="1"/>
  <c r="O157" i="29" s="1"/>
  <c r="K165" i="29"/>
  <c r="N165" i="29" s="1"/>
  <c r="O165" i="29" s="1"/>
  <c r="K173" i="29"/>
  <c r="N173" i="29" s="1"/>
  <c r="O173" i="29" s="1"/>
  <c r="K181" i="29"/>
  <c r="N181" i="29" s="1"/>
  <c r="O181" i="29" s="1"/>
  <c r="K189" i="29"/>
  <c r="N189" i="29" s="1"/>
  <c r="O189" i="29" s="1"/>
  <c r="K197" i="29"/>
  <c r="N197" i="29" s="1"/>
  <c r="O197" i="29" s="1"/>
  <c r="K205" i="29"/>
  <c r="N205" i="29" s="1"/>
  <c r="O205" i="29" s="1"/>
  <c r="K213" i="29"/>
  <c r="N213" i="29" s="1"/>
  <c r="O213" i="29" s="1"/>
  <c r="K221" i="29"/>
  <c r="N221" i="29" s="1"/>
  <c r="O221" i="29" s="1"/>
  <c r="K229" i="29"/>
  <c r="N229" i="29" s="1"/>
  <c r="O229" i="29" s="1"/>
  <c r="K237" i="29"/>
  <c r="N237" i="29" s="1"/>
  <c r="O237" i="29" s="1"/>
  <c r="K245" i="29"/>
  <c r="N245" i="29" s="1"/>
  <c r="O245" i="29" s="1"/>
  <c r="K253" i="29"/>
  <c r="N253" i="29" s="1"/>
  <c r="O253" i="29" s="1"/>
  <c r="K261" i="29"/>
  <c r="N261" i="29" s="1"/>
  <c r="O261" i="29" s="1"/>
  <c r="K269" i="29"/>
  <c r="N269" i="29" s="1"/>
  <c r="O269" i="29" s="1"/>
  <c r="K277" i="29"/>
  <c r="N277" i="29" s="1"/>
  <c r="O277" i="29" s="1"/>
  <c r="K285" i="29"/>
  <c r="N285" i="29" s="1"/>
  <c r="O285" i="29" s="1"/>
  <c r="K293" i="29"/>
  <c r="N293" i="29" s="1"/>
  <c r="O293" i="29" s="1"/>
  <c r="K301" i="29"/>
  <c r="N301" i="29" s="1"/>
  <c r="O301" i="29" s="1"/>
  <c r="K309" i="29"/>
  <c r="N309" i="29" s="1"/>
  <c r="O309" i="29" s="1"/>
  <c r="K317" i="29"/>
  <c r="N317" i="29" s="1"/>
  <c r="O317" i="29" s="1"/>
  <c r="K325" i="29"/>
  <c r="N325" i="29" s="1"/>
  <c r="O325" i="29" s="1"/>
  <c r="K333" i="29"/>
  <c r="N333" i="29" s="1"/>
  <c r="O333" i="29" s="1"/>
  <c r="K341" i="29"/>
  <c r="N341" i="29" s="1"/>
  <c r="O341" i="29" s="1"/>
  <c r="K349" i="29"/>
  <c r="N349" i="29" s="1"/>
  <c r="O349" i="29" s="1"/>
  <c r="K357" i="29"/>
  <c r="N357" i="29" s="1"/>
  <c r="O357" i="29" s="1"/>
  <c r="K365" i="29"/>
  <c r="N365" i="29" s="1"/>
  <c r="O365" i="29" s="1"/>
  <c r="K381" i="29"/>
  <c r="N381" i="29" s="1"/>
  <c r="O381" i="29" s="1"/>
  <c r="K397" i="29"/>
  <c r="N397" i="29" s="1"/>
  <c r="O397" i="29" s="1"/>
  <c r="K413" i="29"/>
  <c r="N413" i="29" s="1"/>
  <c r="O413" i="29" s="1"/>
  <c r="K429" i="29"/>
  <c r="N429" i="29" s="1"/>
  <c r="O429" i="29" s="1"/>
  <c r="K445" i="29"/>
  <c r="N445" i="29" s="1"/>
  <c r="O445" i="29" s="1"/>
  <c r="K466" i="29"/>
  <c r="N466" i="29" s="1"/>
  <c r="O466" i="29" s="1"/>
  <c r="K470" i="29"/>
  <c r="N470" i="29" s="1"/>
  <c r="O470" i="29" s="1"/>
  <c r="K480" i="29"/>
  <c r="N480" i="29" s="1"/>
  <c r="O480" i="29" s="1"/>
  <c r="K484" i="29"/>
  <c r="N484" i="29" s="1"/>
  <c r="O484" i="29" s="1"/>
  <c r="K498" i="29"/>
  <c r="N498" i="29" s="1"/>
  <c r="O498" i="29" s="1"/>
  <c r="K502" i="29"/>
  <c r="N502" i="29" s="1"/>
  <c r="O502" i="29" s="1"/>
  <c r="K512" i="29"/>
  <c r="N512" i="29" s="1"/>
  <c r="O512" i="29" s="1"/>
  <c r="K516" i="29"/>
  <c r="N516" i="29" s="1"/>
  <c r="O516" i="29" s="1"/>
  <c r="K530" i="29"/>
  <c r="N530" i="29" s="1"/>
  <c r="O530" i="29" s="1"/>
  <c r="K534" i="29"/>
  <c r="N534" i="29" s="1"/>
  <c r="O534" i="29" s="1"/>
  <c r="K544" i="29"/>
  <c r="N544" i="29" s="1"/>
  <c r="O544" i="29" s="1"/>
  <c r="K548" i="29"/>
  <c r="N548" i="29" s="1"/>
  <c r="O548" i="29" s="1"/>
  <c r="K562" i="29"/>
  <c r="N562" i="29" s="1"/>
  <c r="O562" i="29" s="1"/>
  <c r="K566" i="29"/>
  <c r="N566" i="29" s="1"/>
  <c r="O566" i="29" s="1"/>
  <c r="K576" i="29"/>
  <c r="N576" i="29" s="1"/>
  <c r="O576" i="29" s="1"/>
  <c r="K580" i="29"/>
  <c r="N580" i="29" s="1"/>
  <c r="O580" i="29" s="1"/>
  <c r="K594" i="29"/>
  <c r="N594" i="29" s="1"/>
  <c r="O594" i="29" s="1"/>
  <c r="K598" i="29"/>
  <c r="N598" i="29" s="1"/>
  <c r="O598" i="29" s="1"/>
  <c r="K608" i="29"/>
  <c r="N608" i="29" s="1"/>
  <c r="O608" i="29" s="1"/>
  <c r="K612" i="29"/>
  <c r="N612" i="29" s="1"/>
  <c r="O612" i="29" s="1"/>
  <c r="K621" i="29"/>
  <c r="N621" i="29" s="1"/>
  <c r="O621" i="29" s="1"/>
  <c r="K635" i="29"/>
  <c r="N635" i="29" s="1"/>
  <c r="O635" i="29" s="1"/>
  <c r="K653" i="29"/>
  <c r="N653" i="29" s="1"/>
  <c r="O653" i="29" s="1"/>
  <c r="K667" i="29"/>
  <c r="N667" i="29" s="1"/>
  <c r="O667" i="29" s="1"/>
  <c r="K685" i="29"/>
  <c r="N685" i="29" s="1"/>
  <c r="O685" i="29" s="1"/>
  <c r="K699" i="29"/>
  <c r="N699" i="29" s="1"/>
  <c r="O699" i="29" s="1"/>
  <c r="K717" i="29"/>
  <c r="N717" i="29" s="1"/>
  <c r="O717" i="29" s="1"/>
  <c r="K731" i="29"/>
  <c r="N731" i="29" s="1"/>
  <c r="O731" i="29" s="1"/>
  <c r="K749" i="29"/>
  <c r="N749" i="29" s="1"/>
  <c r="O749" i="29" s="1"/>
  <c r="K763" i="29"/>
  <c r="N763" i="29" s="1"/>
  <c r="O763" i="29" s="1"/>
  <c r="K781" i="29"/>
  <c r="N781" i="29" s="1"/>
  <c r="O781" i="29" s="1"/>
  <c r="K795" i="29"/>
  <c r="N795" i="29" s="1"/>
  <c r="O795" i="29" s="1"/>
  <c r="K813" i="29"/>
  <c r="N813" i="29" s="1"/>
  <c r="O813" i="29" s="1"/>
  <c r="K830" i="29"/>
  <c r="N830" i="29" s="1"/>
  <c r="O830" i="29" s="1"/>
  <c r="K860" i="29"/>
  <c r="N860" i="29" s="1"/>
  <c r="O860" i="29" s="1"/>
  <c r="K904" i="29"/>
  <c r="N904" i="29" s="1"/>
  <c r="O904" i="29" s="1"/>
  <c r="K922" i="29"/>
  <c r="N922" i="29" s="1"/>
  <c r="O922" i="29" s="1"/>
  <c r="K930" i="29"/>
  <c r="N930" i="29" s="1"/>
  <c r="O930" i="29" s="1"/>
  <c r="L6" i="163"/>
  <c r="J15" i="163"/>
  <c r="J15" i="131" s="1"/>
  <c r="F38" i="39"/>
  <c r="F64" i="197" s="1"/>
  <c r="E7" i="58"/>
  <c r="B9" i="58"/>
  <c r="D32" i="114"/>
  <c r="F32" i="83"/>
  <c r="F32" i="114" s="1"/>
  <c r="K124" i="29"/>
  <c r="N124" i="29" s="1"/>
  <c r="O124" i="29" s="1"/>
  <c r="K132" i="29"/>
  <c r="N132" i="29" s="1"/>
  <c r="O132" i="29" s="1"/>
  <c r="K140" i="29"/>
  <c r="N140" i="29" s="1"/>
  <c r="O140" i="29" s="1"/>
  <c r="K148" i="29"/>
  <c r="N148" i="29" s="1"/>
  <c r="O148" i="29" s="1"/>
  <c r="K156" i="29"/>
  <c r="N156" i="29" s="1"/>
  <c r="O156" i="29" s="1"/>
  <c r="K164" i="29"/>
  <c r="N164" i="29" s="1"/>
  <c r="O164" i="29" s="1"/>
  <c r="K172" i="29"/>
  <c r="N172" i="29" s="1"/>
  <c r="O172" i="29" s="1"/>
  <c r="K180" i="29"/>
  <c r="N180" i="29" s="1"/>
  <c r="O180" i="29" s="1"/>
  <c r="K188" i="29"/>
  <c r="N188" i="29" s="1"/>
  <c r="O188" i="29" s="1"/>
  <c r="K196" i="29"/>
  <c r="N196" i="29" s="1"/>
  <c r="O196" i="29" s="1"/>
  <c r="K204" i="29"/>
  <c r="N204" i="29" s="1"/>
  <c r="O204" i="29" s="1"/>
  <c r="K212" i="29"/>
  <c r="N212" i="29" s="1"/>
  <c r="O212" i="29" s="1"/>
  <c r="K220" i="29"/>
  <c r="N220" i="29" s="1"/>
  <c r="O220" i="29" s="1"/>
  <c r="K228" i="29"/>
  <c r="N228" i="29" s="1"/>
  <c r="O228" i="29" s="1"/>
  <c r="K236" i="29"/>
  <c r="N236" i="29" s="1"/>
  <c r="O236" i="29" s="1"/>
  <c r="K244" i="29"/>
  <c r="N244" i="29" s="1"/>
  <c r="O244" i="29" s="1"/>
  <c r="K252" i="29"/>
  <c r="N252" i="29" s="1"/>
  <c r="O252" i="29" s="1"/>
  <c r="K260" i="29"/>
  <c r="N260" i="29" s="1"/>
  <c r="O260" i="29" s="1"/>
  <c r="K268" i="29"/>
  <c r="N268" i="29" s="1"/>
  <c r="O268" i="29" s="1"/>
  <c r="K276" i="29"/>
  <c r="N276" i="29" s="1"/>
  <c r="O276" i="29" s="1"/>
  <c r="K284" i="29"/>
  <c r="N284" i="29" s="1"/>
  <c r="O284" i="29" s="1"/>
  <c r="K292" i="29"/>
  <c r="N292" i="29" s="1"/>
  <c r="O292" i="29" s="1"/>
  <c r="K300" i="29"/>
  <c r="N300" i="29" s="1"/>
  <c r="O300" i="29" s="1"/>
  <c r="K308" i="29"/>
  <c r="N308" i="29" s="1"/>
  <c r="O308" i="29" s="1"/>
  <c r="K316" i="29"/>
  <c r="N316" i="29" s="1"/>
  <c r="O316" i="29" s="1"/>
  <c r="K324" i="29"/>
  <c r="N324" i="29" s="1"/>
  <c r="O324" i="29" s="1"/>
  <c r="K332" i="29"/>
  <c r="N332" i="29" s="1"/>
  <c r="O332" i="29" s="1"/>
  <c r="K340" i="29"/>
  <c r="N340" i="29" s="1"/>
  <c r="O340" i="29" s="1"/>
  <c r="K348" i="29"/>
  <c r="N348" i="29" s="1"/>
  <c r="O348" i="29" s="1"/>
  <c r="K356" i="29"/>
  <c r="N356" i="29" s="1"/>
  <c r="O356" i="29" s="1"/>
  <c r="K364" i="29"/>
  <c r="N364" i="29" s="1"/>
  <c r="O364" i="29" s="1"/>
  <c r="K374" i="29"/>
  <c r="N374" i="29" s="1"/>
  <c r="O374" i="29" s="1"/>
  <c r="K380" i="29"/>
  <c r="N380" i="29" s="1"/>
  <c r="O380" i="29" s="1"/>
  <c r="K390" i="29"/>
  <c r="N390" i="29" s="1"/>
  <c r="O390" i="29" s="1"/>
  <c r="K396" i="29"/>
  <c r="N396" i="29" s="1"/>
  <c r="O396" i="29" s="1"/>
  <c r="K406" i="29"/>
  <c r="N406" i="29" s="1"/>
  <c r="O406" i="29" s="1"/>
  <c r="K412" i="29"/>
  <c r="N412" i="29" s="1"/>
  <c r="O412" i="29" s="1"/>
  <c r="K422" i="29"/>
  <c r="N422" i="29" s="1"/>
  <c r="O422" i="29" s="1"/>
  <c r="K428" i="29"/>
  <c r="N428" i="29" s="1"/>
  <c r="O428" i="29" s="1"/>
  <c r="K438" i="29"/>
  <c r="N438" i="29" s="1"/>
  <c r="O438" i="29" s="1"/>
  <c r="K444" i="29"/>
  <c r="N444" i="29" s="1"/>
  <c r="O444" i="29" s="1"/>
  <c r="K454" i="29"/>
  <c r="N454" i="29" s="1"/>
  <c r="O454" i="29" s="1"/>
  <c r="K465" i="29"/>
  <c r="N465" i="29" s="1"/>
  <c r="O465" i="29" s="1"/>
  <c r="K469" i="29"/>
  <c r="N469" i="29" s="1"/>
  <c r="O469" i="29" s="1"/>
  <c r="K497" i="29"/>
  <c r="N497" i="29" s="1"/>
  <c r="O497" i="29" s="1"/>
  <c r="K529" i="29"/>
  <c r="N529" i="29" s="1"/>
  <c r="O529" i="29" s="1"/>
  <c r="K561" i="29"/>
  <c r="N561" i="29" s="1"/>
  <c r="O561" i="29" s="1"/>
  <c r="K593" i="29"/>
  <c r="N593" i="29" s="1"/>
  <c r="O593" i="29" s="1"/>
  <c r="K615" i="29"/>
  <c r="N615" i="29" s="1"/>
  <c r="O615" i="29" s="1"/>
  <c r="K620" i="29"/>
  <c r="N620" i="29" s="1"/>
  <c r="O620" i="29" s="1"/>
  <c r="K624" i="29"/>
  <c r="N624" i="29" s="1"/>
  <c r="O624" i="29" s="1"/>
  <c r="K634" i="29"/>
  <c r="N634" i="29" s="1"/>
  <c r="O634" i="29" s="1"/>
  <c r="K638" i="29"/>
  <c r="N638" i="29" s="1"/>
  <c r="O638" i="29" s="1"/>
  <c r="K652" i="29"/>
  <c r="N652" i="29" s="1"/>
  <c r="O652" i="29" s="1"/>
  <c r="K656" i="29"/>
  <c r="N656" i="29" s="1"/>
  <c r="O656" i="29" s="1"/>
  <c r="K666" i="29"/>
  <c r="N666" i="29" s="1"/>
  <c r="O666" i="29" s="1"/>
  <c r="K670" i="29"/>
  <c r="N670" i="29" s="1"/>
  <c r="O670" i="29" s="1"/>
  <c r="K684" i="29"/>
  <c r="N684" i="29" s="1"/>
  <c r="O684" i="29" s="1"/>
  <c r="K688" i="29"/>
  <c r="N688" i="29" s="1"/>
  <c r="O688" i="29" s="1"/>
  <c r="K698" i="29"/>
  <c r="N698" i="29" s="1"/>
  <c r="O698" i="29" s="1"/>
  <c r="K702" i="29"/>
  <c r="N702" i="29" s="1"/>
  <c r="O702" i="29" s="1"/>
  <c r="K716" i="29"/>
  <c r="N716" i="29" s="1"/>
  <c r="O716" i="29" s="1"/>
  <c r="K720" i="29"/>
  <c r="N720" i="29" s="1"/>
  <c r="O720" i="29" s="1"/>
  <c r="K730" i="29"/>
  <c r="N730" i="29" s="1"/>
  <c r="O730" i="29" s="1"/>
  <c r="K734" i="29"/>
  <c r="N734" i="29" s="1"/>
  <c r="O734" i="29" s="1"/>
  <c r="K748" i="29"/>
  <c r="N748" i="29" s="1"/>
  <c r="O748" i="29" s="1"/>
  <c r="K752" i="29"/>
  <c r="N752" i="29" s="1"/>
  <c r="O752" i="29" s="1"/>
  <c r="K762" i="29"/>
  <c r="N762" i="29" s="1"/>
  <c r="O762" i="29" s="1"/>
  <c r="K766" i="29"/>
  <c r="N766" i="29" s="1"/>
  <c r="O766" i="29" s="1"/>
  <c r="K780" i="29"/>
  <c r="N780" i="29" s="1"/>
  <c r="O780" i="29" s="1"/>
  <c r="K784" i="29"/>
  <c r="N784" i="29" s="1"/>
  <c r="O784" i="29" s="1"/>
  <c r="K794" i="29"/>
  <c r="N794" i="29" s="1"/>
  <c r="O794" i="29" s="1"/>
  <c r="K798" i="29"/>
  <c r="N798" i="29" s="1"/>
  <c r="O798" i="29" s="1"/>
  <c r="K812" i="29"/>
  <c r="N812" i="29" s="1"/>
  <c r="O812" i="29" s="1"/>
  <c r="K816" i="29"/>
  <c r="N816" i="29" s="1"/>
  <c r="O816" i="29" s="1"/>
  <c r="K822" i="29"/>
  <c r="N822" i="29" s="1"/>
  <c r="O822" i="29" s="1"/>
  <c r="K829" i="29"/>
  <c r="N829" i="29" s="1"/>
  <c r="O829" i="29" s="1"/>
  <c r="K833" i="29"/>
  <c r="N833" i="29" s="1"/>
  <c r="O833" i="29" s="1"/>
  <c r="K886" i="29"/>
  <c r="N886" i="29" s="1"/>
  <c r="O886" i="29" s="1"/>
  <c r="B9" i="56"/>
  <c r="E7" i="56"/>
  <c r="K360" i="29"/>
  <c r="N360" i="29" s="1"/>
  <c r="O360" i="29" s="1"/>
  <c r="K368" i="29"/>
  <c r="N368" i="29" s="1"/>
  <c r="O368" i="29" s="1"/>
  <c r="K376" i="29"/>
  <c r="N376" i="29" s="1"/>
  <c r="O376" i="29" s="1"/>
  <c r="K384" i="29"/>
  <c r="N384" i="29" s="1"/>
  <c r="O384" i="29" s="1"/>
  <c r="K392" i="29"/>
  <c r="N392" i="29" s="1"/>
  <c r="O392" i="29" s="1"/>
  <c r="K400" i="29"/>
  <c r="N400" i="29" s="1"/>
  <c r="O400" i="29" s="1"/>
  <c r="K408" i="29"/>
  <c r="N408" i="29" s="1"/>
  <c r="O408" i="29" s="1"/>
  <c r="K416" i="29"/>
  <c r="N416" i="29" s="1"/>
  <c r="O416" i="29" s="1"/>
  <c r="K424" i="29"/>
  <c r="N424" i="29" s="1"/>
  <c r="O424" i="29" s="1"/>
  <c r="K432" i="29"/>
  <c r="N432" i="29" s="1"/>
  <c r="O432" i="29" s="1"/>
  <c r="K440" i="29"/>
  <c r="N440" i="29" s="1"/>
  <c r="O440" i="29" s="1"/>
  <c r="K448" i="29"/>
  <c r="N448" i="29" s="1"/>
  <c r="O448" i="29" s="1"/>
  <c r="K457" i="29"/>
  <c r="N457" i="29" s="1"/>
  <c r="O457" i="29" s="1"/>
  <c r="K473" i="29"/>
  <c r="N473" i="29" s="1"/>
  <c r="O473" i="29" s="1"/>
  <c r="K489" i="29"/>
  <c r="N489" i="29" s="1"/>
  <c r="O489" i="29" s="1"/>
  <c r="K505" i="29"/>
  <c r="N505" i="29" s="1"/>
  <c r="O505" i="29" s="1"/>
  <c r="K521" i="29"/>
  <c r="N521" i="29" s="1"/>
  <c r="O521" i="29" s="1"/>
  <c r="K537" i="29"/>
  <c r="N537" i="29" s="1"/>
  <c r="O537" i="29" s="1"/>
  <c r="K553" i="29"/>
  <c r="N553" i="29" s="1"/>
  <c r="O553" i="29" s="1"/>
  <c r="K569" i="29"/>
  <c r="N569" i="29" s="1"/>
  <c r="O569" i="29" s="1"/>
  <c r="K585" i="29"/>
  <c r="N585" i="29" s="1"/>
  <c r="O585" i="29" s="1"/>
  <c r="K601" i="29"/>
  <c r="N601" i="29" s="1"/>
  <c r="O601" i="29" s="1"/>
  <c r="K627" i="29"/>
  <c r="N627" i="29" s="1"/>
  <c r="O627" i="29" s="1"/>
  <c r="K629" i="29"/>
  <c r="N629" i="29" s="1"/>
  <c r="O629" i="29" s="1"/>
  <c r="K643" i="29"/>
  <c r="N643" i="29" s="1"/>
  <c r="O643" i="29" s="1"/>
  <c r="K645" i="29"/>
  <c r="N645" i="29" s="1"/>
  <c r="O645" i="29" s="1"/>
  <c r="K659" i="29"/>
  <c r="N659" i="29" s="1"/>
  <c r="O659" i="29" s="1"/>
  <c r="K661" i="29"/>
  <c r="N661" i="29" s="1"/>
  <c r="O661" i="29" s="1"/>
  <c r="K675" i="29"/>
  <c r="N675" i="29" s="1"/>
  <c r="O675" i="29" s="1"/>
  <c r="K677" i="29"/>
  <c r="N677" i="29" s="1"/>
  <c r="O677" i="29" s="1"/>
  <c r="K691" i="29"/>
  <c r="N691" i="29" s="1"/>
  <c r="O691" i="29" s="1"/>
  <c r="K693" i="29"/>
  <c r="N693" i="29" s="1"/>
  <c r="O693" i="29" s="1"/>
  <c r="K707" i="29"/>
  <c r="N707" i="29" s="1"/>
  <c r="O707" i="29" s="1"/>
  <c r="K709" i="29"/>
  <c r="N709" i="29" s="1"/>
  <c r="O709" i="29" s="1"/>
  <c r="K723" i="29"/>
  <c r="N723" i="29" s="1"/>
  <c r="O723" i="29" s="1"/>
  <c r="K725" i="29"/>
  <c r="N725" i="29" s="1"/>
  <c r="O725" i="29" s="1"/>
  <c r="K739" i="29"/>
  <c r="N739" i="29" s="1"/>
  <c r="O739" i="29" s="1"/>
  <c r="K741" i="29"/>
  <c r="N741" i="29" s="1"/>
  <c r="O741" i="29" s="1"/>
  <c r="K755" i="29"/>
  <c r="N755" i="29" s="1"/>
  <c r="O755" i="29" s="1"/>
  <c r="K757" i="29"/>
  <c r="N757" i="29" s="1"/>
  <c r="O757" i="29" s="1"/>
  <c r="K771" i="29"/>
  <c r="N771" i="29" s="1"/>
  <c r="O771" i="29" s="1"/>
  <c r="K773" i="29"/>
  <c r="N773" i="29" s="1"/>
  <c r="O773" i="29" s="1"/>
  <c r="K787" i="29"/>
  <c r="N787" i="29" s="1"/>
  <c r="O787" i="29" s="1"/>
  <c r="K789" i="29"/>
  <c r="N789" i="29" s="1"/>
  <c r="O789" i="29" s="1"/>
  <c r="K803" i="29"/>
  <c r="N803" i="29" s="1"/>
  <c r="O803" i="29" s="1"/>
  <c r="K805" i="29"/>
  <c r="N805" i="29" s="1"/>
  <c r="O805" i="29" s="1"/>
  <c r="K819" i="29"/>
  <c r="N819" i="29" s="1"/>
  <c r="O819" i="29" s="1"/>
  <c r="K820" i="29"/>
  <c r="N820" i="29" s="1"/>
  <c r="O820" i="29" s="1"/>
  <c r="K838" i="29"/>
  <c r="N838" i="29" s="1"/>
  <c r="O838" i="29" s="1"/>
  <c r="K845" i="29"/>
  <c r="N845" i="29" s="1"/>
  <c r="O845" i="29" s="1"/>
  <c r="K847" i="29"/>
  <c r="N847" i="29" s="1"/>
  <c r="O847" i="29" s="1"/>
  <c r="K888" i="29"/>
  <c r="N888" i="29" s="1"/>
  <c r="O888" i="29" s="1"/>
  <c r="K920" i="29"/>
  <c r="N920" i="29" s="1"/>
  <c r="O920" i="29" s="1"/>
  <c r="K928" i="29"/>
  <c r="N928" i="29" s="1"/>
  <c r="O928" i="29" s="1"/>
  <c r="K944" i="29"/>
  <c r="N944" i="29" s="1"/>
  <c r="O944" i="29" s="1"/>
  <c r="K975" i="29"/>
  <c r="N975" i="29" s="1"/>
  <c r="O975" i="29" s="1"/>
  <c r="K979" i="29"/>
  <c r="N979" i="29" s="1"/>
  <c r="O979" i="29" s="1"/>
  <c r="K980" i="29"/>
  <c r="N980" i="29" s="1"/>
  <c r="O980" i="29" s="1"/>
  <c r="K1003" i="29"/>
  <c r="N1003" i="29" s="1"/>
  <c r="O1003" i="29" s="1"/>
  <c r="K1004" i="29"/>
  <c r="N1004" i="29" s="1"/>
  <c r="O1004" i="29" s="1"/>
  <c r="O12" i="30"/>
  <c r="J7" i="33"/>
  <c r="G7" i="33" s="1"/>
  <c r="E17" i="189"/>
  <c r="H16" i="42"/>
  <c r="C33" i="47"/>
  <c r="G33" i="47" s="1"/>
  <c r="F33" i="47" s="1"/>
  <c r="G10" i="47"/>
  <c r="C28" i="47" s="1"/>
  <c r="G28" i="47" s="1"/>
  <c r="F28" i="47" s="1"/>
  <c r="C24" i="122"/>
  <c r="D24" i="114"/>
  <c r="F24" i="83"/>
  <c r="F24" i="114" s="1"/>
  <c r="K483" i="29"/>
  <c r="N483" i="29" s="1"/>
  <c r="O483" i="29" s="1"/>
  <c r="K485" i="29"/>
  <c r="N485" i="29" s="1"/>
  <c r="O485" i="29" s="1"/>
  <c r="K499" i="29"/>
  <c r="N499" i="29" s="1"/>
  <c r="O499" i="29" s="1"/>
  <c r="K501" i="29"/>
  <c r="N501" i="29" s="1"/>
  <c r="O501" i="29" s="1"/>
  <c r="K515" i="29"/>
  <c r="N515" i="29" s="1"/>
  <c r="O515" i="29" s="1"/>
  <c r="K517" i="29"/>
  <c r="N517" i="29" s="1"/>
  <c r="O517" i="29" s="1"/>
  <c r="K531" i="29"/>
  <c r="N531" i="29" s="1"/>
  <c r="O531" i="29" s="1"/>
  <c r="K533" i="29"/>
  <c r="N533" i="29" s="1"/>
  <c r="O533" i="29" s="1"/>
  <c r="K547" i="29"/>
  <c r="N547" i="29" s="1"/>
  <c r="O547" i="29" s="1"/>
  <c r="K549" i="29"/>
  <c r="N549" i="29" s="1"/>
  <c r="O549" i="29" s="1"/>
  <c r="K563" i="29"/>
  <c r="N563" i="29" s="1"/>
  <c r="O563" i="29" s="1"/>
  <c r="K565" i="29"/>
  <c r="N565" i="29" s="1"/>
  <c r="O565" i="29" s="1"/>
  <c r="K579" i="29"/>
  <c r="N579" i="29" s="1"/>
  <c r="O579" i="29" s="1"/>
  <c r="K581" i="29"/>
  <c r="N581" i="29" s="1"/>
  <c r="O581" i="29" s="1"/>
  <c r="K595" i="29"/>
  <c r="N595" i="29" s="1"/>
  <c r="O595" i="29" s="1"/>
  <c r="K597" i="29"/>
  <c r="N597" i="29" s="1"/>
  <c r="O597" i="29" s="1"/>
  <c r="K611" i="29"/>
  <c r="N611" i="29" s="1"/>
  <c r="O611" i="29" s="1"/>
  <c r="K837" i="29"/>
  <c r="N837" i="29" s="1"/>
  <c r="O837" i="29" s="1"/>
  <c r="K875" i="29"/>
  <c r="N875" i="29" s="1"/>
  <c r="O875" i="29" s="1"/>
  <c r="K885" i="29"/>
  <c r="N885" i="29" s="1"/>
  <c r="O885" i="29" s="1"/>
  <c r="K905" i="29"/>
  <c r="N905" i="29" s="1"/>
  <c r="O905" i="29" s="1"/>
  <c r="K917" i="29"/>
  <c r="N917" i="29" s="1"/>
  <c r="O917" i="29" s="1"/>
  <c r="K927" i="29"/>
  <c r="N927" i="29" s="1"/>
  <c r="O927" i="29" s="1"/>
  <c r="K931" i="29"/>
  <c r="N931" i="29" s="1"/>
  <c r="O931" i="29" s="1"/>
  <c r="K937" i="29"/>
  <c r="N937" i="29" s="1"/>
  <c r="O937" i="29" s="1"/>
  <c r="K943" i="29"/>
  <c r="N943" i="29" s="1"/>
  <c r="O943" i="29" s="1"/>
  <c r="K947" i="29"/>
  <c r="N947" i="29" s="1"/>
  <c r="O947" i="29" s="1"/>
  <c r="K974" i="29"/>
  <c r="N974" i="29" s="1"/>
  <c r="O974" i="29" s="1"/>
  <c r="D19" i="162"/>
  <c r="D19" i="130" s="1"/>
  <c r="F37" i="39"/>
  <c r="F63" i="197" s="1"/>
  <c r="D20" i="43"/>
  <c r="D40" i="41"/>
  <c r="D6" i="17"/>
  <c r="G6" i="54"/>
  <c r="H6" i="54"/>
  <c r="E14" i="56"/>
  <c r="E12" i="63"/>
  <c r="M70" i="90" s="1" a="1"/>
  <c r="M70" i="90" s="1"/>
  <c r="K828" i="29"/>
  <c r="N828" i="29" s="1"/>
  <c r="O828" i="29" s="1"/>
  <c r="K844" i="29"/>
  <c r="N844" i="29" s="1"/>
  <c r="O844" i="29" s="1"/>
  <c r="K863" i="29"/>
  <c r="N863" i="29" s="1"/>
  <c r="O863" i="29" s="1"/>
  <c r="K877" i="29"/>
  <c r="N877" i="29" s="1"/>
  <c r="O877" i="29" s="1"/>
  <c r="K882" i="29"/>
  <c r="N882" i="29" s="1"/>
  <c r="O882" i="29" s="1"/>
  <c r="K884" i="29"/>
  <c r="N884" i="29" s="1"/>
  <c r="O884" i="29" s="1"/>
  <c r="K891" i="29"/>
  <c r="N891" i="29" s="1"/>
  <c r="O891" i="29" s="1"/>
  <c r="K898" i="29"/>
  <c r="N898" i="29" s="1"/>
  <c r="O898" i="29" s="1"/>
  <c r="K900" i="29"/>
  <c r="N900" i="29" s="1"/>
  <c r="O900" i="29" s="1"/>
  <c r="K907" i="29"/>
  <c r="N907" i="29" s="1"/>
  <c r="O907" i="29" s="1"/>
  <c r="K914" i="29"/>
  <c r="N914" i="29" s="1"/>
  <c r="O914" i="29" s="1"/>
  <c r="K916" i="29"/>
  <c r="N916" i="29" s="1"/>
  <c r="O916" i="29" s="1"/>
  <c r="K923" i="29"/>
  <c r="N923" i="29" s="1"/>
  <c r="O923" i="29" s="1"/>
  <c r="K924" i="29"/>
  <c r="N924" i="29" s="1"/>
  <c r="O924" i="29" s="1"/>
  <c r="K933" i="29"/>
  <c r="N933" i="29" s="1"/>
  <c r="O933" i="29" s="1"/>
  <c r="K949" i="29"/>
  <c r="N949" i="29" s="1"/>
  <c r="O949" i="29" s="1"/>
  <c r="K962" i="29"/>
  <c r="N962" i="29" s="1"/>
  <c r="O962" i="29" s="1"/>
  <c r="K964" i="29"/>
  <c r="N964" i="29" s="1"/>
  <c r="O964" i="29" s="1"/>
  <c r="K981" i="29"/>
  <c r="N981" i="29" s="1"/>
  <c r="O981" i="29" s="1"/>
  <c r="K988" i="29"/>
  <c r="N988" i="29" s="1"/>
  <c r="O988" i="29" s="1"/>
  <c r="K1002" i="29"/>
  <c r="N1002" i="29" s="1"/>
  <c r="O1002" i="29" s="1"/>
  <c r="M7" i="30"/>
  <c r="G29" i="136"/>
  <c r="G24" i="136" s="1"/>
  <c r="I21" i="36"/>
  <c r="D22" i="36" s="1"/>
  <c r="F29" i="39"/>
  <c r="C24" i="128"/>
  <c r="D46" i="197" s="1"/>
  <c r="E20" i="43"/>
  <c r="F25" i="42"/>
  <c r="C31" i="52"/>
  <c r="D29" i="52"/>
  <c r="H7" i="54"/>
  <c r="E14" i="58"/>
  <c r="M65" i="90" s="1" a="1"/>
  <c r="M65" i="90" s="1"/>
  <c r="F27" i="59"/>
  <c r="M66" i="90" s="1" a="1"/>
  <c r="M66" i="90" s="1"/>
  <c r="F16" i="83"/>
  <c r="F16" i="114" s="1"/>
  <c r="F44" i="83"/>
  <c r="F44" i="114" s="1"/>
  <c r="D52" i="114"/>
  <c r="F52" i="83"/>
  <c r="F52" i="114" s="1"/>
  <c r="K932" i="29"/>
  <c r="N932" i="29" s="1"/>
  <c r="O932" i="29" s="1"/>
  <c r="K939" i="29"/>
  <c r="N939" i="29" s="1"/>
  <c r="O939" i="29" s="1"/>
  <c r="K956" i="29"/>
  <c r="N956" i="29" s="1"/>
  <c r="O956" i="29" s="1"/>
  <c r="K972" i="29"/>
  <c r="N972" i="29" s="1"/>
  <c r="O972" i="29" s="1"/>
  <c r="K991" i="29"/>
  <c r="N991" i="29" s="1"/>
  <c r="O991" i="29" s="1"/>
  <c r="D29" i="136"/>
  <c r="I7" i="30"/>
  <c r="K17" i="30"/>
  <c r="H28" i="30" s="1"/>
  <c r="E17" i="136"/>
  <c r="E16" i="136" s="1"/>
  <c r="E22" i="33"/>
  <c r="E24" i="33" s="1"/>
  <c r="G20" i="33"/>
  <c r="J18" i="35"/>
  <c r="D18" i="161"/>
  <c r="D15" i="129" s="1"/>
  <c r="F17" i="128" s="1"/>
  <c r="F92" i="197" s="1"/>
  <c r="G12" i="189"/>
  <c r="F25" i="39"/>
  <c r="F56" i="197" s="1"/>
  <c r="E40" i="41"/>
  <c r="C9" i="124" s="1"/>
  <c r="F20" i="43"/>
  <c r="G9" i="47"/>
  <c r="C21" i="47" s="1"/>
  <c r="G21" i="47" s="1"/>
  <c r="F21" i="47" s="1"/>
  <c r="E56" i="48"/>
  <c r="E14" i="57"/>
  <c r="M64" i="90" s="1" a="1"/>
  <c r="M64" i="90" s="1"/>
  <c r="H15" i="61"/>
  <c r="M68" i="90" s="1" a="1"/>
  <c r="M68" i="90" s="1"/>
  <c r="E12" i="64"/>
  <c r="M71" i="90" s="1" a="1"/>
  <c r="M71" i="90" s="1"/>
  <c r="F12" i="83"/>
  <c r="F12" i="114" s="1"/>
  <c r="F20" i="83"/>
  <c r="F20" i="114" s="1"/>
  <c r="F28" i="83"/>
  <c r="F28" i="114" s="1"/>
  <c r="F40" i="83"/>
  <c r="F40" i="114" s="1"/>
  <c r="F26" i="128"/>
  <c r="F96" i="197" s="1"/>
  <c r="G16" i="133"/>
  <c r="E12" i="30"/>
  <c r="K12" i="30"/>
  <c r="E29" i="136" s="1"/>
  <c r="E24" i="136" s="1"/>
  <c r="F16" i="136"/>
  <c r="H14" i="162"/>
  <c r="H14" i="130" s="1"/>
  <c r="K15" i="163"/>
  <c r="K15" i="131" s="1"/>
  <c r="D8" i="128" s="1"/>
  <c r="L8" i="163"/>
  <c r="F17" i="189"/>
  <c r="E19" i="54"/>
  <c r="F18" i="65"/>
  <c r="C27" i="65" s="1"/>
  <c r="F30" i="128"/>
  <c r="F97" i="197" s="1"/>
  <c r="F27" i="136"/>
  <c r="F26" i="136"/>
  <c r="C7" i="30"/>
  <c r="C29" i="136"/>
  <c r="D10" i="136"/>
  <c r="D8" i="136"/>
  <c r="D9" i="136"/>
  <c r="D11" i="136"/>
  <c r="J8" i="29"/>
  <c r="F9" i="28"/>
  <c r="F12" i="28"/>
  <c r="G5" i="4"/>
  <c r="F5" i="4"/>
  <c r="D5" i="14"/>
  <c r="A47" i="12"/>
  <c r="C39" i="23"/>
  <c r="C13" i="28"/>
  <c r="F8" i="28"/>
  <c r="C7" i="136" s="1"/>
  <c r="D13" i="28"/>
  <c r="F11" i="28"/>
  <c r="C10" i="136" s="1"/>
  <c r="D53" i="4"/>
  <c r="I17" i="196" s="1"/>
  <c r="I23" i="24"/>
  <c r="E13" i="28"/>
  <c r="F10" i="28"/>
  <c r="C9" i="136" s="1"/>
  <c r="J14" i="27"/>
  <c r="D23" i="28"/>
  <c r="F17" i="49"/>
  <c r="H13" i="49"/>
  <c r="C17" i="124" s="1"/>
  <c r="J6" i="60"/>
  <c r="H12" i="60"/>
  <c r="E4" i="62"/>
  <c r="G4" i="61"/>
  <c r="G4" i="65"/>
  <c r="H3" i="60"/>
  <c r="E4" i="59"/>
  <c r="E4" i="57"/>
  <c r="F5" i="66"/>
  <c r="E4" i="58"/>
  <c r="M4" i="46"/>
  <c r="H5" i="41"/>
  <c r="E4" i="39"/>
  <c r="G3" i="84"/>
  <c r="F4" i="48"/>
  <c r="J4" i="35"/>
  <c r="I4" i="34"/>
  <c r="J4" i="33"/>
  <c r="F5" i="31"/>
  <c r="E4" i="63"/>
  <c r="I4" i="49"/>
  <c r="G5" i="43"/>
  <c r="J4" i="42"/>
  <c r="E4" i="64"/>
  <c r="G3" i="54"/>
  <c r="F3" i="53"/>
  <c r="F32" i="48"/>
  <c r="F4" i="47"/>
  <c r="G5" i="44"/>
  <c r="H4" i="36"/>
  <c r="I5" i="32"/>
  <c r="F18" i="28"/>
  <c r="G19" i="28"/>
  <c r="A9" i="28" s="1"/>
  <c r="F22" i="28"/>
  <c r="E11" i="136" s="1"/>
  <c r="A2" i="29"/>
  <c r="F8" i="29"/>
  <c r="F4" i="38"/>
  <c r="D17" i="189"/>
  <c r="F21" i="39"/>
  <c r="F50" i="197" s="1"/>
  <c r="G12" i="47"/>
  <c r="H20" i="42"/>
  <c r="C20" i="43"/>
  <c r="H37" i="41"/>
  <c r="C40" i="41"/>
  <c r="B4" i="85"/>
  <c r="F19" i="28"/>
  <c r="E8" i="136" s="1"/>
  <c r="I2" i="84"/>
  <c r="H5" i="11"/>
  <c r="G5" i="19"/>
  <c r="E15" i="48"/>
  <c r="E25" i="48" s="1"/>
  <c r="C10" i="26"/>
  <c r="J5" i="27"/>
  <c r="J9" i="27"/>
  <c r="A3" i="66"/>
  <c r="A2" i="64"/>
  <c r="B4" i="91"/>
  <c r="A2" i="63"/>
  <c r="A2" i="61"/>
  <c r="A2" i="58"/>
  <c r="A2" i="56"/>
  <c r="B3" i="17"/>
  <c r="A4" i="83"/>
  <c r="A2" i="62"/>
  <c r="C2" i="60"/>
  <c r="A5" i="55"/>
  <c r="M62" i="90" s="1" a="1"/>
  <c r="M62" i="90" s="1"/>
  <c r="C2" i="49"/>
  <c r="A2" i="47"/>
  <c r="B3" i="44"/>
  <c r="B3" i="85"/>
  <c r="B3" i="36"/>
  <c r="A2" i="34"/>
  <c r="A2" i="65"/>
  <c r="C2" i="52"/>
  <c r="A3" i="46"/>
  <c r="C3" i="45"/>
  <c r="C3" i="41"/>
  <c r="C2" i="42" s="1"/>
  <c r="A2" i="38"/>
  <c r="A2" i="59"/>
  <c r="A2" i="57"/>
  <c r="C2" i="51"/>
  <c r="A2" i="48"/>
  <c r="A2" i="39"/>
  <c r="C3" i="33"/>
  <c r="C3" i="43"/>
  <c r="C3" i="35"/>
  <c r="A2" i="54"/>
  <c r="A2" i="53"/>
  <c r="C2" i="50"/>
  <c r="A30" i="48"/>
  <c r="B2" i="84"/>
  <c r="A3" i="32"/>
  <c r="C4" i="96"/>
  <c r="C6" i="96"/>
  <c r="C12" i="54"/>
  <c r="C10" i="96"/>
  <c r="D54" i="4"/>
  <c r="I18" i="196" s="1"/>
  <c r="C3" i="10"/>
  <c r="B3" i="13"/>
  <c r="A35" i="18"/>
  <c r="N3" i="20"/>
  <c r="G35" i="47"/>
  <c r="G36" i="47"/>
  <c r="A2" i="26"/>
  <c r="F4" i="28"/>
  <c r="G18" i="28"/>
  <c r="F21" i="28"/>
  <c r="E10" i="136" s="1"/>
  <c r="K3" i="29"/>
  <c r="K123" i="29"/>
  <c r="N123" i="29" s="1"/>
  <c r="O123" i="29" s="1"/>
  <c r="K127" i="29"/>
  <c r="N127" i="29" s="1"/>
  <c r="O127" i="29" s="1"/>
  <c r="K131" i="29"/>
  <c r="N131" i="29" s="1"/>
  <c r="O131" i="29" s="1"/>
  <c r="K135" i="29"/>
  <c r="N135" i="29" s="1"/>
  <c r="O135" i="29" s="1"/>
  <c r="K139" i="29"/>
  <c r="N139" i="29" s="1"/>
  <c r="O139" i="29" s="1"/>
  <c r="K143" i="29"/>
  <c r="N143" i="29" s="1"/>
  <c r="O143" i="29" s="1"/>
  <c r="K147" i="29"/>
  <c r="N147" i="29" s="1"/>
  <c r="O147" i="29" s="1"/>
  <c r="K151" i="29"/>
  <c r="N151" i="29" s="1"/>
  <c r="O151" i="29" s="1"/>
  <c r="K155" i="29"/>
  <c r="N155" i="29" s="1"/>
  <c r="O155" i="29" s="1"/>
  <c r="K159" i="29"/>
  <c r="N159" i="29" s="1"/>
  <c r="O159" i="29" s="1"/>
  <c r="K163" i="29"/>
  <c r="N163" i="29" s="1"/>
  <c r="O163" i="29" s="1"/>
  <c r="K167" i="29"/>
  <c r="N167" i="29" s="1"/>
  <c r="O167" i="29" s="1"/>
  <c r="K171" i="29"/>
  <c r="N171" i="29" s="1"/>
  <c r="O171" i="29" s="1"/>
  <c r="K175" i="29"/>
  <c r="N175" i="29" s="1"/>
  <c r="O175" i="29" s="1"/>
  <c r="K179" i="29"/>
  <c r="N179" i="29" s="1"/>
  <c r="O179" i="29" s="1"/>
  <c r="K183" i="29"/>
  <c r="N183" i="29" s="1"/>
  <c r="O183" i="29" s="1"/>
  <c r="K187" i="29"/>
  <c r="N187" i="29" s="1"/>
  <c r="O187" i="29" s="1"/>
  <c r="K191" i="29"/>
  <c r="N191" i="29" s="1"/>
  <c r="O191" i="29" s="1"/>
  <c r="K195" i="29"/>
  <c r="N195" i="29" s="1"/>
  <c r="O195" i="29" s="1"/>
  <c r="K199" i="29"/>
  <c r="N199" i="29" s="1"/>
  <c r="O199" i="29" s="1"/>
  <c r="K203" i="29"/>
  <c r="N203" i="29" s="1"/>
  <c r="O203" i="29" s="1"/>
  <c r="K207" i="29"/>
  <c r="N207" i="29" s="1"/>
  <c r="O207" i="29" s="1"/>
  <c r="K211" i="29"/>
  <c r="N211" i="29" s="1"/>
  <c r="O211" i="29" s="1"/>
  <c r="K215" i="29"/>
  <c r="N215" i="29" s="1"/>
  <c r="O215" i="29" s="1"/>
  <c r="K219" i="29"/>
  <c r="N219" i="29" s="1"/>
  <c r="O219" i="29" s="1"/>
  <c r="K223" i="29"/>
  <c r="N223" i="29" s="1"/>
  <c r="O223" i="29" s="1"/>
  <c r="K227" i="29"/>
  <c r="N227" i="29" s="1"/>
  <c r="O227" i="29" s="1"/>
  <c r="K231" i="29"/>
  <c r="N231" i="29" s="1"/>
  <c r="O231" i="29" s="1"/>
  <c r="K235" i="29"/>
  <c r="N235" i="29" s="1"/>
  <c r="O235" i="29" s="1"/>
  <c r="K239" i="29"/>
  <c r="N239" i="29" s="1"/>
  <c r="O239" i="29" s="1"/>
  <c r="K243" i="29"/>
  <c r="N243" i="29" s="1"/>
  <c r="O243" i="29" s="1"/>
  <c r="K247" i="29"/>
  <c r="N247" i="29" s="1"/>
  <c r="O247" i="29" s="1"/>
  <c r="K251" i="29"/>
  <c r="N251" i="29" s="1"/>
  <c r="O251" i="29" s="1"/>
  <c r="K255" i="29"/>
  <c r="N255" i="29" s="1"/>
  <c r="O255" i="29" s="1"/>
  <c r="K259" i="29"/>
  <c r="N259" i="29" s="1"/>
  <c r="O259" i="29" s="1"/>
  <c r="K263" i="29"/>
  <c r="N263" i="29" s="1"/>
  <c r="O263" i="29" s="1"/>
  <c r="K267" i="29"/>
  <c r="N267" i="29" s="1"/>
  <c r="O267" i="29" s="1"/>
  <c r="K271" i="29"/>
  <c r="N271" i="29" s="1"/>
  <c r="O271" i="29" s="1"/>
  <c r="K275" i="29"/>
  <c r="N275" i="29" s="1"/>
  <c r="O275" i="29" s="1"/>
  <c r="K279" i="29"/>
  <c r="N279" i="29" s="1"/>
  <c r="O279" i="29" s="1"/>
  <c r="K283" i="29"/>
  <c r="N283" i="29" s="1"/>
  <c r="O283" i="29" s="1"/>
  <c r="K287" i="29"/>
  <c r="N287" i="29" s="1"/>
  <c r="O287" i="29" s="1"/>
  <c r="K291" i="29"/>
  <c r="N291" i="29" s="1"/>
  <c r="O291" i="29" s="1"/>
  <c r="K295" i="29"/>
  <c r="N295" i="29" s="1"/>
  <c r="O295" i="29" s="1"/>
  <c r="K299" i="29"/>
  <c r="N299" i="29" s="1"/>
  <c r="O299" i="29" s="1"/>
  <c r="K303" i="29"/>
  <c r="N303" i="29" s="1"/>
  <c r="O303" i="29" s="1"/>
  <c r="K307" i="29"/>
  <c r="N307" i="29" s="1"/>
  <c r="O307" i="29" s="1"/>
  <c r="K311" i="29"/>
  <c r="N311" i="29" s="1"/>
  <c r="O311" i="29" s="1"/>
  <c r="K315" i="29"/>
  <c r="N315" i="29" s="1"/>
  <c r="O315" i="29" s="1"/>
  <c r="K319" i="29"/>
  <c r="N319" i="29" s="1"/>
  <c r="O319" i="29" s="1"/>
  <c r="K323" i="29"/>
  <c r="N323" i="29" s="1"/>
  <c r="O323" i="29" s="1"/>
  <c r="K327" i="29"/>
  <c r="N327" i="29" s="1"/>
  <c r="O327" i="29" s="1"/>
  <c r="K331" i="29"/>
  <c r="N331" i="29" s="1"/>
  <c r="O331" i="29" s="1"/>
  <c r="K335" i="29"/>
  <c r="N335" i="29" s="1"/>
  <c r="O335" i="29" s="1"/>
  <c r="K339" i="29"/>
  <c r="N339" i="29" s="1"/>
  <c r="O339" i="29" s="1"/>
  <c r="K343" i="29"/>
  <c r="N343" i="29" s="1"/>
  <c r="O343" i="29" s="1"/>
  <c r="K347" i="29"/>
  <c r="N347" i="29" s="1"/>
  <c r="O347" i="29" s="1"/>
  <c r="K351" i="29"/>
  <c r="N351" i="29" s="1"/>
  <c r="O351" i="29" s="1"/>
  <c r="K355" i="29"/>
  <c r="N355" i="29" s="1"/>
  <c r="O355" i="29" s="1"/>
  <c r="K359" i="29"/>
  <c r="N359" i="29" s="1"/>
  <c r="O359" i="29" s="1"/>
  <c r="K363" i="29"/>
  <c r="N363" i="29" s="1"/>
  <c r="O363" i="29" s="1"/>
  <c r="K367" i="29"/>
  <c r="N367" i="29" s="1"/>
  <c r="O367" i="29" s="1"/>
  <c r="K371" i="29"/>
  <c r="N371" i="29" s="1"/>
  <c r="O371" i="29" s="1"/>
  <c r="K375" i="29"/>
  <c r="N375" i="29" s="1"/>
  <c r="O375" i="29" s="1"/>
  <c r="K379" i="29"/>
  <c r="N379" i="29" s="1"/>
  <c r="O379" i="29" s="1"/>
  <c r="K383" i="29"/>
  <c r="N383" i="29" s="1"/>
  <c r="O383" i="29" s="1"/>
  <c r="K387" i="29"/>
  <c r="N387" i="29" s="1"/>
  <c r="O387" i="29" s="1"/>
  <c r="K391" i="29"/>
  <c r="N391" i="29" s="1"/>
  <c r="O391" i="29" s="1"/>
  <c r="K395" i="29"/>
  <c r="N395" i="29" s="1"/>
  <c r="O395" i="29" s="1"/>
  <c r="K399" i="29"/>
  <c r="N399" i="29" s="1"/>
  <c r="O399" i="29" s="1"/>
  <c r="K403" i="29"/>
  <c r="N403" i="29" s="1"/>
  <c r="O403" i="29" s="1"/>
  <c r="K407" i="29"/>
  <c r="N407" i="29" s="1"/>
  <c r="O407" i="29" s="1"/>
  <c r="K411" i="29"/>
  <c r="N411" i="29" s="1"/>
  <c r="O411" i="29" s="1"/>
  <c r="K415" i="29"/>
  <c r="N415" i="29" s="1"/>
  <c r="O415" i="29" s="1"/>
  <c r="K419" i="29"/>
  <c r="N419" i="29" s="1"/>
  <c r="O419" i="29" s="1"/>
  <c r="K423" i="29"/>
  <c r="N423" i="29" s="1"/>
  <c r="O423" i="29" s="1"/>
  <c r="K427" i="29"/>
  <c r="N427" i="29" s="1"/>
  <c r="O427" i="29" s="1"/>
  <c r="K431" i="29"/>
  <c r="N431" i="29" s="1"/>
  <c r="O431" i="29" s="1"/>
  <c r="K435" i="29"/>
  <c r="N435" i="29" s="1"/>
  <c r="O435" i="29" s="1"/>
  <c r="K439" i="29"/>
  <c r="N439" i="29" s="1"/>
  <c r="O439" i="29" s="1"/>
  <c r="K443" i="29"/>
  <c r="N443" i="29" s="1"/>
  <c r="O443" i="29" s="1"/>
  <c r="K447" i="29"/>
  <c r="N447" i="29" s="1"/>
  <c r="O447" i="29" s="1"/>
  <c r="K451" i="29"/>
  <c r="N451" i="29" s="1"/>
  <c r="O451" i="29" s="1"/>
  <c r="K455" i="29"/>
  <c r="N455" i="29" s="1"/>
  <c r="O455" i="29" s="1"/>
  <c r="K463" i="29"/>
  <c r="N463" i="29" s="1"/>
  <c r="O463" i="29" s="1"/>
  <c r="K471" i="29"/>
  <c r="N471" i="29" s="1"/>
  <c r="O471" i="29" s="1"/>
  <c r="K479" i="29"/>
  <c r="N479" i="29" s="1"/>
  <c r="O479" i="29" s="1"/>
  <c r="K487" i="29"/>
  <c r="N487" i="29" s="1"/>
  <c r="O487" i="29" s="1"/>
  <c r="K495" i="29"/>
  <c r="N495" i="29" s="1"/>
  <c r="O495" i="29" s="1"/>
  <c r="K503" i="29"/>
  <c r="N503" i="29" s="1"/>
  <c r="O503" i="29" s="1"/>
  <c r="K511" i="29"/>
  <c r="N511" i="29" s="1"/>
  <c r="O511" i="29" s="1"/>
  <c r="K519" i="29"/>
  <c r="N519" i="29" s="1"/>
  <c r="O519" i="29" s="1"/>
  <c r="K527" i="29"/>
  <c r="N527" i="29" s="1"/>
  <c r="O527" i="29" s="1"/>
  <c r="K535" i="29"/>
  <c r="N535" i="29" s="1"/>
  <c r="O535" i="29" s="1"/>
  <c r="K543" i="29"/>
  <c r="N543" i="29" s="1"/>
  <c r="O543" i="29" s="1"/>
  <c r="K551" i="29"/>
  <c r="N551" i="29" s="1"/>
  <c r="O551" i="29" s="1"/>
  <c r="K559" i="29"/>
  <c r="N559" i="29" s="1"/>
  <c r="O559" i="29" s="1"/>
  <c r="K567" i="29"/>
  <c r="N567" i="29" s="1"/>
  <c r="O567" i="29" s="1"/>
  <c r="K575" i="29"/>
  <c r="N575" i="29" s="1"/>
  <c r="O575" i="29" s="1"/>
  <c r="K583" i="29"/>
  <c r="N583" i="29" s="1"/>
  <c r="O583" i="29" s="1"/>
  <c r="K591" i="29"/>
  <c r="N591" i="29" s="1"/>
  <c r="O591" i="29" s="1"/>
  <c r="K599" i="29"/>
  <c r="N599" i="29" s="1"/>
  <c r="O599" i="29" s="1"/>
  <c r="K607" i="29"/>
  <c r="N607" i="29" s="1"/>
  <c r="O607" i="29" s="1"/>
  <c r="K619" i="29"/>
  <c r="N619" i="29" s="1"/>
  <c r="O619" i="29" s="1"/>
  <c r="K625" i="29"/>
  <c r="N625" i="29" s="1"/>
  <c r="O625" i="29" s="1"/>
  <c r="K633" i="29"/>
  <c r="N633" i="29" s="1"/>
  <c r="O633" i="29" s="1"/>
  <c r="K641" i="29"/>
  <c r="N641" i="29" s="1"/>
  <c r="O641" i="29" s="1"/>
  <c r="K649" i="29"/>
  <c r="N649" i="29" s="1"/>
  <c r="O649" i="29" s="1"/>
  <c r="K657" i="29"/>
  <c r="N657" i="29" s="1"/>
  <c r="O657" i="29" s="1"/>
  <c r="K665" i="29"/>
  <c r="N665" i="29" s="1"/>
  <c r="O665" i="29" s="1"/>
  <c r="K673" i="29"/>
  <c r="N673" i="29" s="1"/>
  <c r="O673" i="29" s="1"/>
  <c r="K681" i="29"/>
  <c r="N681" i="29" s="1"/>
  <c r="O681" i="29" s="1"/>
  <c r="K689" i="29"/>
  <c r="N689" i="29" s="1"/>
  <c r="O689" i="29" s="1"/>
  <c r="K697" i="29"/>
  <c r="N697" i="29" s="1"/>
  <c r="O697" i="29" s="1"/>
  <c r="K705" i="29"/>
  <c r="N705" i="29" s="1"/>
  <c r="O705" i="29" s="1"/>
  <c r="K713" i="29"/>
  <c r="N713" i="29" s="1"/>
  <c r="O713" i="29" s="1"/>
  <c r="K721" i="29"/>
  <c r="N721" i="29" s="1"/>
  <c r="O721" i="29" s="1"/>
  <c r="K729" i="29"/>
  <c r="N729" i="29" s="1"/>
  <c r="O729" i="29" s="1"/>
  <c r="K737" i="29"/>
  <c r="N737" i="29" s="1"/>
  <c r="O737" i="29" s="1"/>
  <c r="K745" i="29"/>
  <c r="N745" i="29" s="1"/>
  <c r="O745" i="29" s="1"/>
  <c r="K753" i="29"/>
  <c r="N753" i="29" s="1"/>
  <c r="O753" i="29" s="1"/>
  <c r="K761" i="29"/>
  <c r="N761" i="29" s="1"/>
  <c r="O761" i="29" s="1"/>
  <c r="K769" i="29"/>
  <c r="N769" i="29" s="1"/>
  <c r="O769" i="29" s="1"/>
  <c r="K777" i="29"/>
  <c r="N777" i="29" s="1"/>
  <c r="O777" i="29" s="1"/>
  <c r="K785" i="29"/>
  <c r="N785" i="29" s="1"/>
  <c r="O785" i="29" s="1"/>
  <c r="K793" i="29"/>
  <c r="N793" i="29" s="1"/>
  <c r="O793" i="29" s="1"/>
  <c r="K801" i="29"/>
  <c r="N801" i="29" s="1"/>
  <c r="O801" i="29" s="1"/>
  <c r="K809" i="29"/>
  <c r="N809" i="29" s="1"/>
  <c r="O809" i="29" s="1"/>
  <c r="K817" i="29"/>
  <c r="N817" i="29" s="1"/>
  <c r="O817" i="29" s="1"/>
  <c r="K861" i="29"/>
  <c r="N861" i="29" s="1"/>
  <c r="O861" i="29" s="1"/>
  <c r="K925" i="29"/>
  <c r="N925" i="29" s="1"/>
  <c r="O925" i="29" s="1"/>
  <c r="K989" i="29"/>
  <c r="N989" i="29" s="1"/>
  <c r="O989" i="29" s="1"/>
  <c r="G24" i="31"/>
  <c r="C15" i="133"/>
  <c r="D14" i="31"/>
  <c r="F4" i="85"/>
  <c r="H10" i="162"/>
  <c r="H10" i="130" s="1"/>
  <c r="F15" i="39"/>
  <c r="C23" i="41"/>
  <c r="H20" i="41"/>
  <c r="G11" i="47"/>
  <c r="H17" i="42"/>
  <c r="H5" i="45"/>
  <c r="B9" i="46"/>
  <c r="K9" i="46" s="1"/>
  <c r="L8" i="46"/>
  <c r="C9" i="46" s="1"/>
  <c r="I9" i="46" s="1"/>
  <c r="J9" i="46" s="1"/>
  <c r="C25" i="49"/>
  <c r="H19" i="49"/>
  <c r="C46" i="116"/>
  <c r="B6" i="63"/>
  <c r="E65" i="114"/>
  <c r="F65" i="83"/>
  <c r="F65" i="114" s="1"/>
  <c r="C8" i="122"/>
  <c r="G24" i="42"/>
  <c r="C29" i="116"/>
  <c r="D44" i="45"/>
  <c r="E11" i="114"/>
  <c r="E13" i="83"/>
  <c r="E13" i="114" s="1"/>
  <c r="E17" i="49"/>
  <c r="C22" i="122"/>
  <c r="C26" i="122"/>
  <c r="E17" i="61"/>
  <c r="C19" i="61"/>
  <c r="K623" i="29"/>
  <c r="N623" i="29" s="1"/>
  <c r="O623" i="29" s="1"/>
  <c r="K631" i="29"/>
  <c r="N631" i="29" s="1"/>
  <c r="O631" i="29" s="1"/>
  <c r="K639" i="29"/>
  <c r="N639" i="29" s="1"/>
  <c r="O639" i="29" s="1"/>
  <c r="K647" i="29"/>
  <c r="N647" i="29" s="1"/>
  <c r="O647" i="29" s="1"/>
  <c r="K655" i="29"/>
  <c r="N655" i="29" s="1"/>
  <c r="O655" i="29" s="1"/>
  <c r="K663" i="29"/>
  <c r="N663" i="29" s="1"/>
  <c r="O663" i="29" s="1"/>
  <c r="K671" i="29"/>
  <c r="N671" i="29" s="1"/>
  <c r="O671" i="29" s="1"/>
  <c r="K679" i="29"/>
  <c r="N679" i="29" s="1"/>
  <c r="O679" i="29" s="1"/>
  <c r="K687" i="29"/>
  <c r="N687" i="29" s="1"/>
  <c r="O687" i="29" s="1"/>
  <c r="K695" i="29"/>
  <c r="N695" i="29" s="1"/>
  <c r="O695" i="29" s="1"/>
  <c r="K703" i="29"/>
  <c r="N703" i="29" s="1"/>
  <c r="O703" i="29" s="1"/>
  <c r="K711" i="29"/>
  <c r="N711" i="29" s="1"/>
  <c r="O711" i="29" s="1"/>
  <c r="K719" i="29"/>
  <c r="N719" i="29" s="1"/>
  <c r="O719" i="29" s="1"/>
  <c r="K727" i="29"/>
  <c r="N727" i="29" s="1"/>
  <c r="O727" i="29" s="1"/>
  <c r="K735" i="29"/>
  <c r="N735" i="29" s="1"/>
  <c r="O735" i="29" s="1"/>
  <c r="K743" i="29"/>
  <c r="N743" i="29" s="1"/>
  <c r="O743" i="29" s="1"/>
  <c r="K751" i="29"/>
  <c r="N751" i="29" s="1"/>
  <c r="O751" i="29" s="1"/>
  <c r="K759" i="29"/>
  <c r="N759" i="29" s="1"/>
  <c r="O759" i="29" s="1"/>
  <c r="K767" i="29"/>
  <c r="N767" i="29" s="1"/>
  <c r="O767" i="29" s="1"/>
  <c r="K775" i="29"/>
  <c r="N775" i="29" s="1"/>
  <c r="O775" i="29" s="1"/>
  <c r="K783" i="29"/>
  <c r="N783" i="29" s="1"/>
  <c r="O783" i="29" s="1"/>
  <c r="K791" i="29"/>
  <c r="N791" i="29" s="1"/>
  <c r="O791" i="29" s="1"/>
  <c r="K799" i="29"/>
  <c r="N799" i="29" s="1"/>
  <c r="O799" i="29" s="1"/>
  <c r="K807" i="29"/>
  <c r="N807" i="29" s="1"/>
  <c r="O807" i="29" s="1"/>
  <c r="K815" i="29"/>
  <c r="N815" i="29" s="1"/>
  <c r="O815" i="29" s="1"/>
  <c r="K823" i="29"/>
  <c r="N823" i="29" s="1"/>
  <c r="O823" i="29" s="1"/>
  <c r="K839" i="29"/>
  <c r="N839" i="29" s="1"/>
  <c r="O839" i="29" s="1"/>
  <c r="K855" i="29"/>
  <c r="N855" i="29" s="1"/>
  <c r="O855" i="29" s="1"/>
  <c r="K871" i="29"/>
  <c r="N871" i="29" s="1"/>
  <c r="O871" i="29" s="1"/>
  <c r="K887" i="29"/>
  <c r="N887" i="29" s="1"/>
  <c r="O887" i="29" s="1"/>
  <c r="K903" i="29"/>
  <c r="N903" i="29" s="1"/>
  <c r="O903" i="29" s="1"/>
  <c r="K919" i="29"/>
  <c r="N919" i="29" s="1"/>
  <c r="O919" i="29" s="1"/>
  <c r="K935" i="29"/>
  <c r="N935" i="29" s="1"/>
  <c r="O935" i="29" s="1"/>
  <c r="K951" i="29"/>
  <c r="N951" i="29" s="1"/>
  <c r="O951" i="29" s="1"/>
  <c r="K967" i="29"/>
  <c r="N967" i="29" s="1"/>
  <c r="O967" i="29" s="1"/>
  <c r="K983" i="29"/>
  <c r="N983" i="29" s="1"/>
  <c r="O983" i="29" s="1"/>
  <c r="K999" i="29"/>
  <c r="N999" i="29" s="1"/>
  <c r="O999" i="29" s="1"/>
  <c r="O17" i="30"/>
  <c r="G16" i="33"/>
  <c r="G15" i="33" s="1"/>
  <c r="J15" i="33"/>
  <c r="D41" i="33"/>
  <c r="E15" i="163"/>
  <c r="E15" i="131" s="1"/>
  <c r="F24" i="39"/>
  <c r="C16" i="48"/>
  <c r="D39" i="83" s="1"/>
  <c r="C45" i="116"/>
  <c r="B6" i="62"/>
  <c r="E17" i="30"/>
  <c r="C19" i="162"/>
  <c r="C19" i="130" s="1"/>
  <c r="G19" i="162"/>
  <c r="G19" i="130" s="1"/>
  <c r="L9" i="163"/>
  <c r="L13" i="163"/>
  <c r="G13" i="42"/>
  <c r="H8" i="42"/>
  <c r="E9" i="44"/>
  <c r="G9" i="44" s="1"/>
  <c r="C8" i="44"/>
  <c r="E21" i="44"/>
  <c r="G21" i="44" s="1"/>
  <c r="D15" i="114"/>
  <c r="D17" i="83"/>
  <c r="E31" i="114"/>
  <c r="E33" i="83"/>
  <c r="E33" i="114" s="1"/>
  <c r="F51" i="48"/>
  <c r="F50" i="48" s="1"/>
  <c r="E39" i="83" s="1"/>
  <c r="C48" i="50"/>
  <c r="D24" i="54"/>
  <c r="H19" i="54"/>
  <c r="G12" i="54"/>
  <c r="G19" i="54" s="1"/>
  <c r="C29" i="59"/>
  <c r="B31" i="59"/>
  <c r="B9" i="62"/>
  <c r="E7" i="62"/>
  <c r="H10" i="65"/>
  <c r="B55" i="4" s="1"/>
  <c r="F19" i="196" s="1"/>
  <c r="F21" i="196" s="1"/>
  <c r="C28" i="66"/>
  <c r="F13" i="133"/>
  <c r="J15" i="34"/>
  <c r="C10" i="124"/>
  <c r="J24" i="42"/>
  <c r="D8" i="44"/>
  <c r="E13" i="44"/>
  <c r="G13" i="44" s="1"/>
  <c r="C28" i="116"/>
  <c r="C41" i="44"/>
  <c r="I8" i="46"/>
  <c r="J8" i="46" s="1"/>
  <c r="D19" i="114"/>
  <c r="D21" i="83"/>
  <c r="C21" i="122"/>
  <c r="C25" i="122"/>
  <c r="E15" i="53"/>
  <c r="C29" i="122" s="1"/>
  <c r="H8" i="54"/>
  <c r="G8" i="54"/>
  <c r="H18" i="65"/>
  <c r="F24" i="65"/>
  <c r="C28" i="65" s="1"/>
  <c r="H19" i="65"/>
  <c r="H24" i="65" s="1"/>
  <c r="C32" i="47"/>
  <c r="G32" i="47" s="1"/>
  <c r="D27" i="114"/>
  <c r="D29" i="83"/>
  <c r="E35" i="114"/>
  <c r="E37" i="83"/>
  <c r="E37" i="114" s="1"/>
  <c r="E47" i="114"/>
  <c r="E49" i="83"/>
  <c r="E49" i="114" s="1"/>
  <c r="E55" i="114"/>
  <c r="E57" i="83"/>
  <c r="E57" i="114" s="1"/>
  <c r="C23" i="122"/>
  <c r="C27" i="122"/>
  <c r="C41" i="116"/>
  <c r="D22" i="34"/>
  <c r="C22" i="128"/>
  <c r="C20" i="116"/>
  <c r="G8" i="189"/>
  <c r="F26" i="39"/>
  <c r="F57" i="197" s="1"/>
  <c r="F28" i="39"/>
  <c r="F58" i="197" s="1"/>
  <c r="F34" i="39"/>
  <c r="F61" i="197" s="1"/>
  <c r="F41" i="39"/>
  <c r="F65" i="197" s="1"/>
  <c r="E7" i="114"/>
  <c r="E9" i="83"/>
  <c r="E9" i="114" s="1"/>
  <c r="D23" i="114"/>
  <c r="D25" i="83"/>
  <c r="D51" i="114"/>
  <c r="D53" i="83"/>
  <c r="D43" i="114"/>
  <c r="D45" i="83"/>
  <c r="E59" i="114"/>
  <c r="E61" i="83"/>
  <c r="E61" i="114" s="1"/>
  <c r="G7" i="54"/>
  <c r="E10" i="54"/>
  <c r="H23" i="54"/>
  <c r="H19" i="60"/>
  <c r="G20" i="60" s="1"/>
  <c r="E12" i="62"/>
  <c r="M69" i="90" s="1" a="1"/>
  <c r="M69" i="90" s="1"/>
  <c r="D7" i="114"/>
  <c r="F7" i="83"/>
  <c r="F7" i="114" s="1"/>
  <c r="D9" i="83"/>
  <c r="D11" i="114"/>
  <c r="F11" i="83"/>
  <c r="F11" i="114" s="1"/>
  <c r="D13" i="83"/>
  <c r="D31" i="114"/>
  <c r="F31" i="83"/>
  <c r="F31" i="114" s="1"/>
  <c r="D33" i="83"/>
  <c r="D35" i="114"/>
  <c r="F35" i="83"/>
  <c r="F35" i="114" s="1"/>
  <c r="D37" i="83"/>
  <c r="D47" i="114"/>
  <c r="F47" i="83"/>
  <c r="F47" i="114" s="1"/>
  <c r="D49" i="83"/>
  <c r="D55" i="114"/>
  <c r="F55" i="83"/>
  <c r="F55" i="114" s="1"/>
  <c r="D57" i="83"/>
  <c r="D59" i="114"/>
  <c r="F59" i="83"/>
  <c r="F59" i="114" s="1"/>
  <c r="D61" i="83"/>
  <c r="G6" i="133"/>
  <c r="G10" i="133"/>
  <c r="E30" i="128"/>
  <c r="F51" i="197" s="1"/>
  <c r="G25" i="135"/>
  <c r="E42" i="188"/>
  <c r="E38" i="188"/>
  <c r="E34" i="188"/>
  <c r="E30" i="188"/>
  <c r="E41" i="188"/>
  <c r="E37" i="188"/>
  <c r="E33" i="188"/>
  <c r="E29" i="188"/>
  <c r="E27" i="188"/>
  <c r="E25" i="188"/>
  <c r="E23" i="188"/>
  <c r="E21" i="188"/>
  <c r="E19" i="188"/>
  <c r="E17" i="188"/>
  <c r="E15" i="188"/>
  <c r="E13" i="188"/>
  <c r="E11" i="188"/>
  <c r="E9" i="188"/>
  <c r="E7" i="188"/>
  <c r="E5" i="188"/>
  <c r="E3" i="188"/>
  <c r="E40" i="188"/>
  <c r="E36" i="188"/>
  <c r="E32" i="188"/>
  <c r="E39" i="188"/>
  <c r="E35" i="188"/>
  <c r="E31" i="188"/>
  <c r="E28" i="188"/>
  <c r="E26" i="188"/>
  <c r="E24" i="188"/>
  <c r="E22" i="188"/>
  <c r="E20" i="188"/>
  <c r="E18" i="188"/>
  <c r="E16" i="188"/>
  <c r="E14" i="188"/>
  <c r="E12" i="188"/>
  <c r="E10" i="188"/>
  <c r="E8" i="188"/>
  <c r="E6" i="188"/>
  <c r="E4" i="188"/>
  <c r="E2" i="188"/>
  <c r="B8" i="120"/>
  <c r="F10" i="119" l="1"/>
  <c r="A8" i="28"/>
  <c r="J7" i="136" s="1"/>
  <c r="G10" i="136"/>
  <c r="J10" i="136"/>
  <c r="G11" i="136"/>
  <c r="J11" i="136"/>
  <c r="G8" i="136"/>
  <c r="J8" i="136"/>
  <c r="M28" i="90" a="1"/>
  <c r="M28" i="90" s="1"/>
  <c r="M11" i="163"/>
  <c r="M11" i="131" s="1"/>
  <c r="M49" i="90" a="1"/>
  <c r="M49" i="90" s="1"/>
  <c r="M2" i="90" a="1"/>
  <c r="M2" i="90" s="1"/>
  <c r="M63" i="90" a="1"/>
  <c r="M63" i="90" s="1"/>
  <c r="C14" i="26"/>
  <c r="C16" i="26" s="1"/>
  <c r="C5" i="133" s="1"/>
  <c r="B6" i="17"/>
  <c r="M61" i="90" a="1"/>
  <c r="M61" i="90" s="1"/>
  <c r="B9" i="10"/>
  <c r="B7" i="10"/>
  <c r="M7" i="163"/>
  <c r="M7" i="131" s="1"/>
  <c r="M13" i="90" a="1"/>
  <c r="M13" i="90" s="1"/>
  <c r="M51" i="90" a="1"/>
  <c r="M51" i="90" s="1"/>
  <c r="G7" i="136"/>
  <c r="F18" i="119"/>
  <c r="C41" i="41"/>
  <c r="C20" i="49"/>
  <c r="C48" i="116"/>
  <c r="C43" i="116"/>
  <c r="C20" i="60"/>
  <c r="C26" i="47"/>
  <c r="G26" i="47" s="1"/>
  <c r="F26" i="47" s="1"/>
  <c r="C14" i="47"/>
  <c r="G14" i="47" s="1"/>
  <c r="F14" i="47" s="1"/>
  <c r="F8" i="47"/>
  <c r="C20" i="47"/>
  <c r="G20" i="47" s="1"/>
  <c r="F20" i="47" s="1"/>
  <c r="C25" i="47"/>
  <c r="G25" i="47" s="1"/>
  <c r="F25" i="47" s="1"/>
  <c r="F13" i="47"/>
  <c r="C31" i="47"/>
  <c r="G31" i="47" s="1"/>
  <c r="F31" i="47" s="1"/>
  <c r="C19" i="47"/>
  <c r="G19" i="47" s="1"/>
  <c r="F19" i="47" s="1"/>
  <c r="E85" i="197"/>
  <c r="E32" i="197"/>
  <c r="D36" i="197"/>
  <c r="D89" i="197"/>
  <c r="J3" i="178"/>
  <c r="I3" i="178"/>
  <c r="D95" i="197"/>
  <c r="D44" i="197"/>
  <c r="F105" i="197"/>
  <c r="F72" i="197"/>
  <c r="E86" i="197"/>
  <c r="E33" i="197"/>
  <c r="A5" i="17"/>
  <c r="F2" i="178"/>
  <c r="H13" i="65"/>
  <c r="M72" i="90" s="1" a="1"/>
  <c r="M72" i="90" s="1"/>
  <c r="B122" i="197"/>
  <c r="A4" i="197"/>
  <c r="E109" i="197"/>
  <c r="E76" i="197"/>
  <c r="E29" i="65"/>
  <c r="C26" i="65"/>
  <c r="K21" i="196"/>
  <c r="H21" i="196"/>
  <c r="F13" i="128"/>
  <c r="M14" i="163"/>
  <c r="M14" i="131" s="1"/>
  <c r="F27" i="119"/>
  <c r="C27" i="119" s="1"/>
  <c r="D20" i="121"/>
  <c r="G39" i="195" s="1"/>
  <c r="B37" i="22"/>
  <c r="E24" i="128"/>
  <c r="F46" i="197" s="1"/>
  <c r="C7" i="128"/>
  <c r="F14" i="119"/>
  <c r="C14" i="119" s="1"/>
  <c r="E22" i="128"/>
  <c r="F44" i="197" s="1"/>
  <c r="G12" i="28"/>
  <c r="F11" i="136" s="1"/>
  <c r="C11" i="136"/>
  <c r="O7" i="30"/>
  <c r="G9" i="28"/>
  <c r="F8" i="136" s="1"/>
  <c r="C8" i="136"/>
  <c r="C15" i="119"/>
  <c r="G15" i="119"/>
  <c r="E6" i="128"/>
  <c r="F31" i="197" s="1"/>
  <c r="G56" i="48"/>
  <c r="G30" i="127"/>
  <c r="D9" i="121" s="1"/>
  <c r="E30" i="127"/>
  <c r="D8" i="121" s="1"/>
  <c r="C30" i="127"/>
  <c r="D7" i="121" s="1"/>
  <c r="C22" i="47"/>
  <c r="G22" i="47" s="1"/>
  <c r="F22" i="47" s="1"/>
  <c r="H13" i="42"/>
  <c r="C8" i="128"/>
  <c r="F10" i="47"/>
  <c r="M13" i="163"/>
  <c r="M13" i="131" s="1"/>
  <c r="L13" i="131"/>
  <c r="D28" i="161"/>
  <c r="D25" i="129" s="1"/>
  <c r="F12" i="119" s="1"/>
  <c r="D26" i="129"/>
  <c r="E7" i="30"/>
  <c r="M12" i="163"/>
  <c r="M12" i="131" s="1"/>
  <c r="L12" i="131"/>
  <c r="I32" i="136"/>
  <c r="M8" i="163"/>
  <c r="M8" i="131" s="1"/>
  <c r="L8" i="131"/>
  <c r="M6" i="163"/>
  <c r="L6" i="131"/>
  <c r="C48" i="44"/>
  <c r="C11" i="133"/>
  <c r="F29" i="136"/>
  <c r="F24" i="136" s="1"/>
  <c r="F18" i="49"/>
  <c r="C18" i="116"/>
  <c r="M9" i="163"/>
  <c r="M9" i="131" s="1"/>
  <c r="L9" i="131"/>
  <c r="J8" i="155"/>
  <c r="J15" i="182"/>
  <c r="M10" i="163"/>
  <c r="M10" i="131" s="1"/>
  <c r="E18" i="49"/>
  <c r="H26" i="42"/>
  <c r="C12" i="122"/>
  <c r="C10" i="164"/>
  <c r="C11" i="132"/>
  <c r="J22" i="33"/>
  <c r="C4" i="134" s="1"/>
  <c r="E45" i="83"/>
  <c r="E45" i="114" s="1"/>
  <c r="F9" i="47"/>
  <c r="G22" i="33"/>
  <c r="G24" i="33" s="1"/>
  <c r="E43" i="114"/>
  <c r="C15" i="47"/>
  <c r="G15" i="47" s="1"/>
  <c r="F15" i="47" s="1"/>
  <c r="A3" i="18"/>
  <c r="F56" i="48"/>
  <c r="F57" i="48" s="1"/>
  <c r="H10" i="54"/>
  <c r="H24" i="54" s="1"/>
  <c r="C28" i="54" s="1"/>
  <c r="G10" i="54"/>
  <c r="G24" i="54" s="1"/>
  <c r="D26" i="54" s="1"/>
  <c r="G25" i="42"/>
  <c r="E8" i="44"/>
  <c r="G8" i="44" s="1"/>
  <c r="D9" i="48"/>
  <c r="F9" i="48" s="1"/>
  <c r="C16" i="47"/>
  <c r="G16" i="47" s="1"/>
  <c r="F16" i="47" s="1"/>
  <c r="H19" i="162"/>
  <c r="H19" i="130" s="1"/>
  <c r="F13" i="119" s="1"/>
  <c r="F17" i="31"/>
  <c r="C33" i="31" s="1"/>
  <c r="C27" i="47"/>
  <c r="G27" i="47" s="1"/>
  <c r="F27" i="47" s="1"/>
  <c r="D15" i="96"/>
  <c r="C3" i="114" s="1"/>
  <c r="H27" i="42"/>
  <c r="G17" i="189"/>
  <c r="M46" i="90" s="1" a="1"/>
  <c r="M46" i="90" s="1"/>
  <c r="E21" i="53"/>
  <c r="K7" i="30"/>
  <c r="C8" i="124"/>
  <c r="L15" i="163"/>
  <c r="L15" i="131" s="1"/>
  <c r="J25" i="42"/>
  <c r="C21" i="116"/>
  <c r="H24" i="42"/>
  <c r="C7" i="133"/>
  <c r="B3" i="55"/>
  <c r="K29" i="136"/>
  <c r="K24" i="136" s="1"/>
  <c r="D24" i="136"/>
  <c r="E28" i="31"/>
  <c r="F36" i="128"/>
  <c r="F103" i="197" s="1"/>
  <c r="E36" i="128"/>
  <c r="F68" i="197" s="1"/>
  <c r="D2" i="22"/>
  <c r="D26" i="35"/>
  <c r="E23" i="35"/>
  <c r="D28" i="33"/>
  <c r="C19" i="122"/>
  <c r="D14" i="121" s="1"/>
  <c r="C24" i="136"/>
  <c r="D6" i="136"/>
  <c r="F23" i="28"/>
  <c r="C31" i="28" s="1"/>
  <c r="E7" i="136"/>
  <c r="E6" i="136" s="1"/>
  <c r="E32" i="136" s="1"/>
  <c r="C21" i="128"/>
  <c r="D43" i="197" s="1"/>
  <c r="D55" i="4"/>
  <c r="C38" i="116"/>
  <c r="C25" i="54"/>
  <c r="B57" i="4"/>
  <c r="F29" i="30"/>
  <c r="C31" i="30"/>
  <c r="J12" i="60"/>
  <c r="D21" i="60"/>
  <c r="D9" i="114"/>
  <c r="F9" i="83"/>
  <c r="F9" i="114" s="1"/>
  <c r="J19" i="60"/>
  <c r="F32" i="47"/>
  <c r="D22" i="48"/>
  <c r="F22" i="48" s="1"/>
  <c r="C23" i="47"/>
  <c r="G23" i="47" s="1"/>
  <c r="F23" i="47" s="1"/>
  <c r="F11" i="47"/>
  <c r="C29" i="47"/>
  <c r="G29" i="47" s="1"/>
  <c r="F29" i="47" s="1"/>
  <c r="C17" i="47"/>
  <c r="G17" i="47" s="1"/>
  <c r="E43" i="41"/>
  <c r="H23" i="41"/>
  <c r="J17" i="27" s="1"/>
  <c r="D8" i="31"/>
  <c r="G10" i="28"/>
  <c r="D57" i="114"/>
  <c r="F57" i="83"/>
  <c r="F57" i="114" s="1"/>
  <c r="D13" i="114"/>
  <c r="F13" i="83"/>
  <c r="F13" i="114" s="1"/>
  <c r="D45" i="114"/>
  <c r="D29" i="114"/>
  <c r="E39" i="114"/>
  <c r="E41" i="83"/>
  <c r="E41" i="114" s="1"/>
  <c r="D26" i="42"/>
  <c r="L9" i="46"/>
  <c r="C10" i="46" s="1"/>
  <c r="I10" i="46" s="1"/>
  <c r="J10" i="46" s="1"/>
  <c r="B10" i="46"/>
  <c r="K10" i="46" s="1"/>
  <c r="C6" i="122"/>
  <c r="C5" i="122" s="1"/>
  <c r="F36" i="47"/>
  <c r="H40" i="41"/>
  <c r="J8" i="49"/>
  <c r="J13" i="49"/>
  <c r="H17" i="49"/>
  <c r="E51" i="114"/>
  <c r="E53" i="83"/>
  <c r="E53" i="114" s="1"/>
  <c r="C39" i="47"/>
  <c r="G39" i="47" s="1"/>
  <c r="F39" i="47" s="1"/>
  <c r="C40" i="47"/>
  <c r="G40" i="47" s="1"/>
  <c r="F40" i="47" s="1"/>
  <c r="C38" i="47"/>
  <c r="G38" i="47" s="1"/>
  <c r="F38" i="47" s="1"/>
  <c r="G11" i="28"/>
  <c r="C32" i="28"/>
  <c r="D37" i="114"/>
  <c r="F37" i="83"/>
  <c r="F37" i="114" s="1"/>
  <c r="D25" i="114"/>
  <c r="D21" i="114"/>
  <c r="G13" i="133"/>
  <c r="F22" i="128"/>
  <c r="F95" i="197" s="1"/>
  <c r="K8" i="29"/>
  <c r="D49" i="114"/>
  <c r="F49" i="83"/>
  <c r="F49" i="114" s="1"/>
  <c r="D53" i="114"/>
  <c r="D17" i="114"/>
  <c r="D39" i="114"/>
  <c r="F39" i="83"/>
  <c r="F39" i="114" s="1"/>
  <c r="D41" i="83"/>
  <c r="F37" i="47"/>
  <c r="C6" i="124"/>
  <c r="N8" i="29"/>
  <c r="G20" i="28"/>
  <c r="A10" i="28" s="1"/>
  <c r="O9" i="29"/>
  <c r="O8" i="29" s="1"/>
  <c r="F13" i="28"/>
  <c r="G8" i="28"/>
  <c r="F7" i="136" s="1"/>
  <c r="D61" i="114"/>
  <c r="F61" i="83"/>
  <c r="F61" i="114" s="1"/>
  <c r="D33" i="114"/>
  <c r="F33" i="83"/>
  <c r="F33" i="114" s="1"/>
  <c r="C25" i="48"/>
  <c r="M8" i="46"/>
  <c r="D27" i="42"/>
  <c r="C26" i="116"/>
  <c r="F35" i="47"/>
  <c r="F12" i="47"/>
  <c r="C24" i="47"/>
  <c r="G24" i="47" s="1"/>
  <c r="F24" i="47" s="1"/>
  <c r="C30" i="47"/>
  <c r="G30" i="47" s="1"/>
  <c r="F30" i="47" s="1"/>
  <c r="C18" i="47"/>
  <c r="G18" i="47" s="1"/>
  <c r="F18" i="47" s="1"/>
  <c r="C19" i="128"/>
  <c r="D41" i="197" s="1"/>
  <c r="J16" i="27"/>
  <c r="C8" i="66"/>
  <c r="G5" i="23"/>
  <c r="G11" i="23" s="1"/>
  <c r="G19" i="23" s="1"/>
  <c r="G22" i="23" s="1"/>
  <c r="B15" i="96"/>
  <c r="C2" i="114" s="1"/>
  <c r="B3" i="84"/>
  <c r="I3" i="7"/>
  <c r="G4" i="13"/>
  <c r="B7" i="4"/>
  <c r="A15" i="197" s="1"/>
  <c r="G4" i="19"/>
  <c r="F4" i="12"/>
  <c r="D4" i="9"/>
  <c r="D13" i="2"/>
  <c r="C8" i="133"/>
  <c r="C8" i="208" l="1"/>
  <c r="G10" i="119"/>
  <c r="C10" i="119"/>
  <c r="G9" i="136"/>
  <c r="J9" i="136"/>
  <c r="J6" i="136" s="1"/>
  <c r="J32" i="136" s="1"/>
  <c r="M67" i="90" a="1"/>
  <c r="M67" i="90" s="1"/>
  <c r="M19" i="90" a="1"/>
  <c r="M19" i="90" s="1"/>
  <c r="M7" i="90" a="1"/>
  <c r="M7" i="90" s="1"/>
  <c r="M50" i="90" a="1"/>
  <c r="M50" i="90" s="1"/>
  <c r="M6" i="90" a="1"/>
  <c r="M6" i="90" s="1"/>
  <c r="C3" i="209"/>
  <c r="C3" i="211"/>
  <c r="C17" i="26"/>
  <c r="G35" i="26" s="1"/>
  <c r="G18" i="26" s="1"/>
  <c r="G17" i="26" s="1"/>
  <c r="M6" i="131"/>
  <c r="J15" i="155"/>
  <c r="D32" i="121" s="1"/>
  <c r="G51" i="195" s="1"/>
  <c r="M39" i="90" a="1"/>
  <c r="M39" i="90" s="1"/>
  <c r="M60" i="90" a="1"/>
  <c r="M60" i="90" s="1"/>
  <c r="M18" i="90" a="1"/>
  <c r="M18" i="90" s="1"/>
  <c r="M47" i="90" a="1"/>
  <c r="M47" i="90" s="1"/>
  <c r="C6" i="136"/>
  <c r="C32" i="136" s="1"/>
  <c r="J18" i="27"/>
  <c r="J20" i="27" s="1"/>
  <c r="J21" i="27" s="1"/>
  <c r="H2" i="178"/>
  <c r="G2" i="178"/>
  <c r="F89" i="197"/>
  <c r="F36" i="197"/>
  <c r="B4" i="161"/>
  <c r="A7" i="197"/>
  <c r="D33" i="197"/>
  <c r="D86" i="197"/>
  <c r="E7" i="128"/>
  <c r="F32" i="197" s="1"/>
  <c r="D32" i="197"/>
  <c r="D85" i="197"/>
  <c r="D57" i="4"/>
  <c r="I19" i="196"/>
  <c r="I21" i="196" s="1"/>
  <c r="C15" i="116"/>
  <c r="C28" i="30"/>
  <c r="B38" i="22"/>
  <c r="H38" i="22"/>
  <c r="I22" i="23"/>
  <c r="C13" i="116"/>
  <c r="C14" i="116" s="1"/>
  <c r="C30" i="28"/>
  <c r="G20" i="119"/>
  <c r="G27" i="119"/>
  <c r="G14" i="119"/>
  <c r="J17" i="49"/>
  <c r="J18" i="49" s="1"/>
  <c r="C33" i="116" s="1"/>
  <c r="C18" i="124"/>
  <c r="C13" i="119"/>
  <c r="G13" i="119"/>
  <c r="F7" i="128"/>
  <c r="F85" i="197" s="1"/>
  <c r="C7" i="96"/>
  <c r="G12" i="119"/>
  <c r="C12" i="119"/>
  <c r="E8" i="128"/>
  <c r="F33" i="197" s="1"/>
  <c r="C28" i="31"/>
  <c r="E8" i="31"/>
  <c r="F8" i="31" s="1"/>
  <c r="C5" i="124"/>
  <c r="F8" i="128"/>
  <c r="F86" i="197" s="1"/>
  <c r="H25" i="42"/>
  <c r="M48" i="90" s="1" a="1"/>
  <c r="M48" i="90" s="1"/>
  <c r="F45" i="83"/>
  <c r="F45" i="114" s="1"/>
  <c r="C11" i="128"/>
  <c r="J24" i="33"/>
  <c r="C6" i="134" s="1"/>
  <c r="E43" i="128"/>
  <c r="F76" i="197" s="1"/>
  <c r="F43" i="128"/>
  <c r="F109" i="197" s="1"/>
  <c r="M15" i="163"/>
  <c r="M15" i="131" s="1"/>
  <c r="C58" i="48"/>
  <c r="K6" i="143"/>
  <c r="H18" i="49"/>
  <c r="K8" i="143"/>
  <c r="K7" i="143"/>
  <c r="C27" i="128"/>
  <c r="D49" i="197" s="1"/>
  <c r="F20" i="39"/>
  <c r="D42" i="39"/>
  <c r="E15" i="83"/>
  <c r="E17" i="83" s="1"/>
  <c r="B3" i="190"/>
  <c r="A3" i="187"/>
  <c r="C10" i="132"/>
  <c r="C9" i="164"/>
  <c r="D32" i="136"/>
  <c r="C35" i="128" s="1"/>
  <c r="C16" i="116"/>
  <c r="C17" i="116" s="1"/>
  <c r="F53" i="83"/>
  <c r="F53" i="114" s="1"/>
  <c r="E27" i="83"/>
  <c r="F27" i="83" s="1"/>
  <c r="F27" i="114" s="1"/>
  <c r="F9" i="136"/>
  <c r="F10" i="136"/>
  <c r="D12" i="48"/>
  <c r="F12" i="48" s="1"/>
  <c r="B58" i="4"/>
  <c r="C8" i="96" s="1"/>
  <c r="C56" i="4"/>
  <c r="E25" i="120" s="1"/>
  <c r="C52" i="4"/>
  <c r="E21" i="120" s="1"/>
  <c r="C53" i="4"/>
  <c r="E22" i="120" s="1"/>
  <c r="E52" i="4"/>
  <c r="E56" i="4"/>
  <c r="C54" i="4"/>
  <c r="E23" i="120" s="1"/>
  <c r="E54" i="4"/>
  <c r="D11" i="48"/>
  <c r="F11" i="48" s="1"/>
  <c r="C4" i="122"/>
  <c r="F17" i="47"/>
  <c r="F42" i="47" s="1"/>
  <c r="G42" i="47"/>
  <c r="E53" i="4"/>
  <c r="E55" i="4"/>
  <c r="G23" i="28"/>
  <c r="D10" i="48"/>
  <c r="F10" i="48" s="1"/>
  <c r="G13" i="28"/>
  <c r="F11" i="133"/>
  <c r="G11" i="133" s="1"/>
  <c r="E8" i="66"/>
  <c r="C13" i="66"/>
  <c r="A3" i="83"/>
  <c r="A5" i="66"/>
  <c r="A4" i="64"/>
  <c r="A4" i="63"/>
  <c r="A4" i="58"/>
  <c r="A4" i="56"/>
  <c r="A4" i="62"/>
  <c r="A3" i="54"/>
  <c r="A3" i="53"/>
  <c r="C3" i="50"/>
  <c r="C4" i="49"/>
  <c r="A32" i="48"/>
  <c r="A4" i="47"/>
  <c r="C5" i="43"/>
  <c r="B4" i="36"/>
  <c r="A4" i="34"/>
  <c r="C4" i="33"/>
  <c r="A5" i="32"/>
  <c r="A4" i="65"/>
  <c r="A4" i="61"/>
  <c r="C3" i="60"/>
  <c r="C5" i="45"/>
  <c r="B5" i="44"/>
  <c r="B4" i="189"/>
  <c r="A4" i="38"/>
  <c r="A4" i="59"/>
  <c r="A4" i="57"/>
  <c r="C3" i="52"/>
  <c r="C5" i="41"/>
  <c r="C4" i="42" s="1"/>
  <c r="A4" i="39"/>
  <c r="A3" i="30"/>
  <c r="C3" i="51"/>
  <c r="A4" i="48"/>
  <c r="C4" i="35"/>
  <c r="A4" i="46"/>
  <c r="A4" i="26"/>
  <c r="B5" i="5"/>
  <c r="C5" i="27"/>
  <c r="A5" i="31"/>
  <c r="A3" i="29"/>
  <c r="A4" i="28"/>
  <c r="E3" i="20"/>
  <c r="C4" i="10"/>
  <c r="B5" i="11"/>
  <c r="C3" i="23"/>
  <c r="O8" i="46"/>
  <c r="D9" i="46"/>
  <c r="M9" i="46" s="1"/>
  <c r="D41" i="114"/>
  <c r="F41" i="83"/>
  <c r="F41" i="114" s="1"/>
  <c r="E23" i="83"/>
  <c r="B11" i="46"/>
  <c r="K11" i="46" s="1"/>
  <c r="L10" i="46"/>
  <c r="C11" i="46" s="1"/>
  <c r="I11" i="46" s="1"/>
  <c r="J11" i="46" s="1"/>
  <c r="C12" i="133"/>
  <c r="D20" i="31"/>
  <c r="C55" i="4"/>
  <c r="E24" i="120" s="1"/>
  <c r="E16" i="31"/>
  <c r="E15" i="31"/>
  <c r="F17" i="26"/>
  <c r="M5" i="90" l="1" a="1"/>
  <c r="M5" i="90" s="1"/>
  <c r="M20" i="90" a="1"/>
  <c r="M20" i="90" s="1"/>
  <c r="G31" i="26"/>
  <c r="G38" i="26" s="1"/>
  <c r="F5" i="133"/>
  <c r="G5" i="133" s="1"/>
  <c r="D33" i="121"/>
  <c r="G52" i="195" s="1"/>
  <c r="M53" i="90" a="1"/>
  <c r="M53" i="90" s="1"/>
  <c r="F19" i="49"/>
  <c r="C42" i="41"/>
  <c r="C21" i="49"/>
  <c r="C25" i="116"/>
  <c r="C27" i="116" s="1"/>
  <c r="H3" i="178"/>
  <c r="D88" i="197"/>
  <c r="D35" i="197"/>
  <c r="D102" i="197"/>
  <c r="D67" i="197"/>
  <c r="C20" i="119"/>
  <c r="E31" i="39"/>
  <c r="E59" i="197" s="1"/>
  <c r="E15" i="114"/>
  <c r="E27" i="128"/>
  <c r="F49" i="197" s="1"/>
  <c r="F39" i="128"/>
  <c r="E39" i="128"/>
  <c r="K9" i="143"/>
  <c r="J22" i="27"/>
  <c r="J23" i="27" s="1"/>
  <c r="M4" i="90" s="1" a="1"/>
  <c r="M4" i="90" s="1"/>
  <c r="F12" i="133"/>
  <c r="G12" i="133" s="1"/>
  <c r="D4" i="121"/>
  <c r="D3" i="191" s="1"/>
  <c r="E3" i="191" s="1"/>
  <c r="F5" i="119"/>
  <c r="C5" i="119" s="1"/>
  <c r="J19" i="49"/>
  <c r="J29" i="33"/>
  <c r="C7" i="134" s="1"/>
  <c r="F15" i="83"/>
  <c r="F15" i="114" s="1"/>
  <c r="F11" i="128"/>
  <c r="F88" i="197" s="1"/>
  <c r="E11" i="128"/>
  <c r="F35" i="197" s="1"/>
  <c r="E27" i="114"/>
  <c r="E29" i="83"/>
  <c r="F29" i="83" s="1"/>
  <c r="F29" i="114" s="1"/>
  <c r="C19" i="186"/>
  <c r="C19" i="159" s="1"/>
  <c r="C8" i="164"/>
  <c r="C9" i="132"/>
  <c r="F6" i="136"/>
  <c r="F32" i="136" s="1"/>
  <c r="C17" i="133"/>
  <c r="C31" i="116"/>
  <c r="E44" i="47"/>
  <c r="C51" i="47"/>
  <c r="F14" i="133"/>
  <c r="G14" i="133" s="1"/>
  <c r="F15" i="31"/>
  <c r="E14" i="31"/>
  <c r="L11" i="46"/>
  <c r="C12" i="46" s="1"/>
  <c r="I12" i="46" s="1"/>
  <c r="J12" i="46" s="1"/>
  <c r="B12" i="46"/>
  <c r="K12" i="46" s="1"/>
  <c r="C57" i="4"/>
  <c r="E19" i="83"/>
  <c r="F16" i="31"/>
  <c r="F15" i="133"/>
  <c r="G15" i="133" s="1"/>
  <c r="E23" i="114"/>
  <c r="E25" i="83"/>
  <c r="F23" i="83"/>
  <c r="F23" i="114" s="1"/>
  <c r="F9" i="133"/>
  <c r="F23" i="26"/>
  <c r="I6" i="84" s="1"/>
  <c r="F18" i="26"/>
  <c r="F19" i="26" s="1"/>
  <c r="C6" i="84" s="1"/>
  <c r="D10" i="46"/>
  <c r="M10" i="46" s="1"/>
  <c r="O9" i="46"/>
  <c r="C12" i="124"/>
  <c r="C4" i="124" s="1"/>
  <c r="C31" i="31"/>
  <c r="D29" i="31"/>
  <c r="C35" i="28"/>
  <c r="E33" i="28"/>
  <c r="E13" i="66"/>
  <c r="C19" i="66"/>
  <c r="E57" i="4"/>
  <c r="E17" i="114"/>
  <c r="F17" i="83"/>
  <c r="F17" i="114" s="1"/>
  <c r="E18" i="26" l="1"/>
  <c r="E17" i="26" s="1"/>
  <c r="F7" i="133" s="1"/>
  <c r="M55" i="90" a="1"/>
  <c r="M55" i="90" s="1"/>
  <c r="G3" i="191"/>
  <c r="B17" i="4" s="1"/>
  <c r="A15" i="208" s="1"/>
  <c r="F3" i="191"/>
  <c r="H3" i="191"/>
  <c r="D19" i="128"/>
  <c r="D5" i="121"/>
  <c r="D13" i="121" s="1"/>
  <c r="F7" i="119"/>
  <c r="E5" i="128"/>
  <c r="C18" i="128"/>
  <c r="F16" i="119"/>
  <c r="F5" i="128"/>
  <c r="J30" i="33"/>
  <c r="C9" i="134" s="1"/>
  <c r="F31" i="39"/>
  <c r="F59" i="197" s="1"/>
  <c r="G5" i="119"/>
  <c r="E29" i="114"/>
  <c r="C7" i="164"/>
  <c r="C7" i="132" s="1"/>
  <c r="C8" i="132"/>
  <c r="K10" i="136"/>
  <c r="K9" i="136"/>
  <c r="K8" i="136"/>
  <c r="H6" i="136"/>
  <c r="H32" i="136" s="1"/>
  <c r="K11" i="136"/>
  <c r="G6" i="136"/>
  <c r="G32" i="136" s="1"/>
  <c r="K7" i="136"/>
  <c r="E19" i="66"/>
  <c r="C24" i="66"/>
  <c r="O10" i="46"/>
  <c r="D11" i="46"/>
  <c r="M11" i="46" s="1"/>
  <c r="F8" i="133"/>
  <c r="H9" i="133"/>
  <c r="H8" i="133" s="1"/>
  <c r="H17" i="133" s="1"/>
  <c r="G9" i="133"/>
  <c r="G8" i="133" s="1"/>
  <c r="C41" i="26"/>
  <c r="G39" i="26"/>
  <c r="E19" i="114"/>
  <c r="E21" i="83"/>
  <c r="F19" i="83"/>
  <c r="F19" i="114" s="1"/>
  <c r="E20" i="31"/>
  <c r="F14" i="31"/>
  <c r="F20" i="31" s="1"/>
  <c r="M8" i="90" s="1" a="1"/>
  <c r="M8" i="90" s="1"/>
  <c r="E26" i="27"/>
  <c r="C29" i="27"/>
  <c r="E25" i="114"/>
  <c r="F25" i="83"/>
  <c r="F25" i="114" s="1"/>
  <c r="B13" i="46"/>
  <c r="K13" i="46" s="1"/>
  <c r="L12" i="46"/>
  <c r="C13" i="46" s="1"/>
  <c r="I13" i="46" s="1"/>
  <c r="J13" i="46" s="1"/>
  <c r="E7" i="112"/>
  <c r="A7" i="112"/>
  <c r="C7" i="112"/>
  <c r="D7" i="112"/>
  <c r="B7" i="112"/>
  <c r="M3" i="90" l="1" a="1"/>
  <c r="M3" i="90" s="1"/>
  <c r="D93" i="197"/>
  <c r="D40" i="197"/>
  <c r="E19" i="128"/>
  <c r="F41" i="197" s="1"/>
  <c r="E41" i="197"/>
  <c r="C49" i="116"/>
  <c r="C25" i="66"/>
  <c r="B26" i="91"/>
  <c r="E4" i="6"/>
  <c r="C7" i="119"/>
  <c r="G7" i="119"/>
  <c r="J31" i="33"/>
  <c r="D16" i="121"/>
  <c r="G35" i="195" s="1"/>
  <c r="D35" i="128"/>
  <c r="K6" i="136"/>
  <c r="K32" i="136" s="1"/>
  <c r="F19" i="119" s="1"/>
  <c r="L13" i="46"/>
  <c r="C14" i="46" s="1"/>
  <c r="I14" i="46" s="1"/>
  <c r="J14" i="46" s="1"/>
  <c r="B14" i="46"/>
  <c r="K14" i="46" s="1"/>
  <c r="G7" i="133"/>
  <c r="G17" i="133" s="1"/>
  <c r="F17" i="133"/>
  <c r="D18" i="128" s="1"/>
  <c r="C12" i="134"/>
  <c r="C10" i="134"/>
  <c r="C8" i="84" s="1"/>
  <c r="E24" i="66"/>
  <c r="M73" i="90" s="1" a="1"/>
  <c r="M73" i="90" s="1"/>
  <c r="E21" i="114"/>
  <c r="F21" i="83"/>
  <c r="F21" i="114" s="1"/>
  <c r="O11" i="46"/>
  <c r="D12" i="46"/>
  <c r="M12" i="46" s="1"/>
  <c r="C10" i="84" l="1"/>
  <c r="D40" i="33"/>
  <c r="E93" i="197"/>
  <c r="E40" i="197"/>
  <c r="I27" i="197"/>
  <c r="E67" i="197"/>
  <c r="E102" i="197"/>
  <c r="D25" i="135"/>
  <c r="E25" i="135" s="1"/>
  <c r="F25" i="135" s="1"/>
  <c r="H25" i="135" s="1"/>
  <c r="E21" i="128" s="1"/>
  <c r="F43" i="197" s="1"/>
  <c r="D19" i="34"/>
  <c r="C15" i="134"/>
  <c r="F8" i="84"/>
  <c r="F10" i="84" s="1"/>
  <c r="G19" i="119"/>
  <c r="C19" i="119"/>
  <c r="J32" i="33"/>
  <c r="E33" i="39" s="1"/>
  <c r="C16" i="119"/>
  <c r="G16" i="119"/>
  <c r="C16" i="134"/>
  <c r="F35" i="128"/>
  <c r="F102" i="197" s="1"/>
  <c r="E35" i="128"/>
  <c r="F18" i="128"/>
  <c r="F93" i="197" s="1"/>
  <c r="E18" i="128"/>
  <c r="F40" i="197" s="1"/>
  <c r="L14" i="46"/>
  <c r="C15" i="46" s="1"/>
  <c r="I15" i="46" s="1"/>
  <c r="J15" i="46" s="1"/>
  <c r="B15" i="46"/>
  <c r="K15" i="46" s="1"/>
  <c r="O12" i="46"/>
  <c r="D13" i="46"/>
  <c r="M13" i="46" s="1"/>
  <c r="F20" i="128" l="1"/>
  <c r="F94" i="197" s="1"/>
  <c r="F17" i="119"/>
  <c r="G17" i="119" s="1"/>
  <c r="E20" i="128"/>
  <c r="F42" i="197" s="1"/>
  <c r="D33" i="128"/>
  <c r="E33" i="128" s="1"/>
  <c r="E99" i="197"/>
  <c r="F67" i="197"/>
  <c r="D21" i="128"/>
  <c r="E43" i="197" s="1"/>
  <c r="I8" i="84"/>
  <c r="E42" i="39"/>
  <c r="F38" i="33"/>
  <c r="F33" i="39"/>
  <c r="F99" i="197" s="1"/>
  <c r="J35" i="33"/>
  <c r="O13" i="46"/>
  <c r="D14" i="46"/>
  <c r="M14" i="46" s="1"/>
  <c r="L15" i="46"/>
  <c r="C16" i="46" s="1"/>
  <c r="I16" i="46" s="1"/>
  <c r="J16" i="46" s="1"/>
  <c r="B16" i="46"/>
  <c r="K16" i="46" s="1"/>
  <c r="D42" i="33" l="1"/>
  <c r="M10" i="90" a="1"/>
  <c r="M10" i="90" s="1"/>
  <c r="I10" i="84"/>
  <c r="M16" i="90" s="1" a="1"/>
  <c r="M16" i="90" s="1"/>
  <c r="F33" i="128"/>
  <c r="F16" i="128" s="1"/>
  <c r="C17" i="119"/>
  <c r="G37" i="39"/>
  <c r="B45" i="39"/>
  <c r="D43" i="39"/>
  <c r="F42" i="39"/>
  <c r="M15" i="90" s="1" a="1"/>
  <c r="M15" i="90" s="1"/>
  <c r="G18" i="119"/>
  <c r="C18" i="119"/>
  <c r="O14" i="46"/>
  <c r="D15" i="46"/>
  <c r="M15" i="46" s="1"/>
  <c r="B17" i="46"/>
  <c r="K17" i="46" s="1"/>
  <c r="L16" i="46"/>
  <c r="C17" i="46" s="1"/>
  <c r="I17" i="46" s="1"/>
  <c r="J17" i="46" s="1"/>
  <c r="D16" i="46" l="1"/>
  <c r="M16" i="46" s="1"/>
  <c r="O15" i="46"/>
  <c r="L17" i="46"/>
  <c r="C18" i="46" s="1"/>
  <c r="I18" i="46" s="1"/>
  <c r="J18" i="46" s="1"/>
  <c r="B18" i="46"/>
  <c r="K18" i="46" s="1"/>
  <c r="B9" i="112"/>
  <c r="C9" i="112"/>
  <c r="E9" i="112"/>
  <c r="D9" i="112"/>
  <c r="A9" i="112"/>
  <c r="B19" i="46" l="1"/>
  <c r="K19" i="46" s="1"/>
  <c r="L19" i="46" s="1"/>
  <c r="L18" i="46"/>
  <c r="C19" i="46" s="1"/>
  <c r="I19" i="46" s="1"/>
  <c r="J19" i="46" s="1"/>
  <c r="J20" i="46" s="1"/>
  <c r="O16" i="46"/>
  <c r="D17" i="46"/>
  <c r="M17" i="46" s="1"/>
  <c r="D18" i="46" l="1"/>
  <c r="M18" i="46" s="1"/>
  <c r="O17" i="46"/>
  <c r="O18" i="46" l="1"/>
  <c r="D19" i="46"/>
  <c r="M19" i="46" s="1"/>
  <c r="O19" i="46" s="1"/>
  <c r="O20" i="46" s="1"/>
  <c r="M52" i="90" s="1" a="1"/>
  <c r="M52" i="90" s="1"/>
  <c r="C37" i="128" l="1"/>
  <c r="E36" i="53"/>
  <c r="D104" i="197" l="1"/>
  <c r="D69" i="197"/>
  <c r="F37" i="128"/>
  <c r="F104" i="197" s="1"/>
  <c r="F118" i="197" s="1"/>
  <c r="C83" i="197" s="1"/>
  <c r="E37" i="128"/>
  <c r="F69" i="197" s="1"/>
  <c r="E34" i="128" l="1"/>
  <c r="F34" i="128"/>
  <c r="F47" i="128" s="1"/>
  <c r="D19" i="121" s="1"/>
  <c r="G38" i="195" s="1"/>
  <c r="H19" i="34" l="1"/>
  <c r="C38" i="53"/>
  <c r="B44" i="53"/>
  <c r="E31" i="53"/>
  <c r="J17" i="34" l="1"/>
  <c r="M11" i="90" s="1" a="1"/>
  <c r="M11" i="90" s="1"/>
  <c r="M59" i="90" a="1"/>
  <c r="M59" i="90" s="1"/>
  <c r="J19" i="34"/>
  <c r="E25" i="128"/>
  <c r="F47" i="197" s="1"/>
  <c r="F82" i="197" s="1"/>
  <c r="C29" i="197" s="1"/>
  <c r="D119" i="197" s="1"/>
  <c r="D18" i="34" l="1"/>
  <c r="C19" i="116"/>
  <c r="E16" i="128"/>
  <c r="E47" i="128" s="1"/>
  <c r="H82" i="197" s="1"/>
  <c r="G20" i="34"/>
  <c r="D23" i="34"/>
  <c r="D18" i="121" l="1"/>
  <c r="G37" i="195" s="1"/>
  <c r="F11" i="119"/>
  <c r="G11" i="119" s="1"/>
  <c r="D21" i="121" l="1"/>
  <c r="C11" i="119"/>
  <c r="D22" i="121" l="1"/>
  <c r="G41" i="195" s="1"/>
  <c r="G40" i="195"/>
  <c r="D23" i="121" l="1"/>
  <c r="G42" i="195" s="1"/>
  <c r="C17" i="38"/>
  <c r="D11" i="143"/>
  <c r="F11" i="143" s="1"/>
  <c r="D22" i="6"/>
  <c r="F17" i="38" l="1"/>
  <c r="L6" i="143" s="1"/>
  <c r="L7" i="143" s="1"/>
  <c r="L8" i="143" s="1"/>
  <c r="M8" i="143" s="1"/>
  <c r="C18" i="177"/>
  <c r="C18" i="150" s="1"/>
  <c r="M14" i="90" l="1" a="1"/>
  <c r="M14" i="90" s="1"/>
  <c r="C10" i="177"/>
  <c r="L9" i="143"/>
  <c r="L10" i="143" s="1"/>
  <c r="M10" i="143" s="1"/>
  <c r="M7" i="143"/>
  <c r="M9" i="143" l="1"/>
  <c r="L11" i="143"/>
  <c r="F26" i="119" s="1"/>
  <c r="M11" i="143" l="1"/>
  <c r="M12" i="143" s="1"/>
  <c r="G26" i="119" l="1"/>
  <c r="C15" i="156" l="1"/>
  <c r="C7" i="186" l="1"/>
  <c r="C7" i="159" l="1"/>
  <c r="F42" i="119" s="1"/>
  <c r="C14" i="186"/>
  <c r="G42" i="119" l="1"/>
  <c r="C42" i="119"/>
  <c r="C14" i="159"/>
  <c r="C6" i="187"/>
  <c r="C17" i="186"/>
  <c r="C15" i="186"/>
  <c r="C16" i="186"/>
  <c r="C6" i="160" l="1"/>
  <c r="C15" i="159"/>
  <c r="D37" i="121" s="1"/>
  <c r="D6" i="187"/>
  <c r="C20" i="186"/>
  <c r="C20" i="159" s="1"/>
  <c r="E15" i="186"/>
  <c r="F6" i="187"/>
  <c r="C16" i="159"/>
  <c r="D38" i="121" s="1"/>
  <c r="C17" i="159"/>
  <c r="H6" i="187"/>
  <c r="E16" i="186" l="1"/>
  <c r="G57" i="195"/>
  <c r="F15" i="186"/>
  <c r="G56" i="195"/>
  <c r="H10" i="187"/>
  <c r="H10" i="160" s="1"/>
  <c r="H14" i="187"/>
  <c r="H14" i="160" s="1"/>
  <c r="H18" i="187"/>
  <c r="H18" i="160" s="1"/>
  <c r="H22" i="187"/>
  <c r="H22" i="160" s="1"/>
  <c r="H11" i="187"/>
  <c r="H11" i="160" s="1"/>
  <c r="H15" i="187"/>
  <c r="H15" i="160" s="1"/>
  <c r="H19" i="187"/>
  <c r="H19" i="160" s="1"/>
  <c r="H9" i="187"/>
  <c r="H12" i="187"/>
  <c r="H12" i="160" s="1"/>
  <c r="H16" i="187"/>
  <c r="H16" i="160" s="1"/>
  <c r="H20" i="187"/>
  <c r="H20" i="160" s="1"/>
  <c r="H13" i="187"/>
  <c r="H13" i="160" s="1"/>
  <c r="H17" i="187"/>
  <c r="H17" i="160" s="1"/>
  <c r="H21" i="187"/>
  <c r="H21" i="160" s="1"/>
  <c r="D6" i="160"/>
  <c r="F6" i="160"/>
  <c r="H6" i="160"/>
  <c r="F43" i="119" s="1"/>
  <c r="H9" i="160" l="1"/>
  <c r="G43" i="119"/>
  <c r="C43" i="119"/>
  <c r="H23" i="187"/>
  <c r="M44" i="90" s="1" a="1"/>
  <c r="M44" i="90" s="1"/>
  <c r="H23" i="160" l="1"/>
  <c r="D4" i="151"/>
  <c r="D5" i="151"/>
  <c r="C53" i="178"/>
  <c r="D53" i="151" l="1"/>
  <c r="F34" i="119" s="1"/>
  <c r="G34" i="119" s="1"/>
  <c r="M35" i="90" a="1"/>
  <c r="M35" i="90" s="1"/>
  <c r="C10" i="150"/>
  <c r="C11" i="177"/>
  <c r="C12" i="177" s="1"/>
  <c r="C12" i="150" s="1"/>
  <c r="C34" i="119" l="1"/>
  <c r="C21" i="177"/>
  <c r="C21" i="150" s="1"/>
  <c r="D24" i="121" s="1"/>
  <c r="G43" i="195" s="1"/>
  <c r="C11" i="150"/>
  <c r="D25" i="121" l="1"/>
  <c r="G44" i="195" s="1"/>
  <c r="D26" i="121" l="1"/>
  <c r="H5" i="178" s="1"/>
  <c r="G45" i="195" l="1"/>
  <c r="H4" i="178"/>
  <c r="D23" i="6"/>
  <c r="D28" i="121"/>
  <c r="G47" i="195" s="1"/>
  <c r="D29" i="121" l="1"/>
  <c r="G48" i="195" s="1"/>
  <c r="D11" i="181" l="1"/>
  <c r="D11" i="154" s="1"/>
  <c r="M11" i="181" l="1"/>
  <c r="M11" i="154" s="1"/>
  <c r="N11" i="181" l="1"/>
  <c r="N13" i="181" s="1"/>
  <c r="N13" i="154" s="1"/>
  <c r="M12" i="181"/>
  <c r="M12" i="154" l="1"/>
  <c r="D30" i="121" s="1"/>
  <c r="G49" i="195" s="1"/>
  <c r="M38" i="90" a="1"/>
  <c r="M38" i="90" s="1"/>
  <c r="N11" i="154"/>
  <c r="D31" i="121" l="1"/>
  <c r="G50" i="195" s="1"/>
  <c r="D34" i="121" l="1"/>
  <c r="D36" i="121" s="1"/>
  <c r="G55" i="195" s="1"/>
  <c r="D15" i="48" l="1"/>
  <c r="F15" i="48" s="1"/>
  <c r="F25" i="48" s="1"/>
  <c r="G26" i="48" s="1"/>
  <c r="G53" i="195"/>
  <c r="D24" i="6"/>
  <c r="D25" i="48" l="1"/>
  <c r="M54" i="90" s="1" a="1"/>
  <c r="M54" i="90" s="1"/>
  <c r="C32" i="116"/>
  <c r="C27" i="48"/>
</calcChain>
</file>

<file path=xl/comments1.xml><?xml version="1.0" encoding="utf-8"?>
<comments xmlns="http://schemas.openxmlformats.org/spreadsheetml/2006/main">
  <authors>
    <author>白晨</author>
  </authors>
  <commentList>
    <comment ref="B49" authorId="0" shapeId="0">
      <text>
        <r>
          <rPr>
            <b/>
            <sz val="9"/>
            <color indexed="81"/>
            <rFont val="宋体"/>
            <family val="3"/>
            <charset val="134"/>
          </rPr>
          <t>Tips:</t>
        </r>
        <r>
          <rPr>
            <sz val="9"/>
            <color indexed="81"/>
            <rFont val="宋体"/>
            <family val="3"/>
            <charset val="134"/>
          </rPr>
          <t xml:space="preserve">
国税登录用户名</t>
        </r>
      </text>
    </comment>
    <comment ref="D49" authorId="0" shapeId="0">
      <text>
        <r>
          <rPr>
            <b/>
            <sz val="9"/>
            <color indexed="81"/>
            <rFont val="宋体"/>
            <family val="3"/>
            <charset val="134"/>
          </rPr>
          <t>Tips:</t>
        </r>
        <r>
          <rPr>
            <sz val="9"/>
            <color indexed="81"/>
            <rFont val="宋体"/>
            <family val="3"/>
            <charset val="134"/>
          </rPr>
          <t xml:space="preserve">
国税登录密码</t>
        </r>
      </text>
    </comment>
    <comment ref="B50" authorId="0" shapeId="0">
      <text>
        <r>
          <rPr>
            <b/>
            <sz val="9"/>
            <color indexed="81"/>
            <rFont val="宋体"/>
            <family val="3"/>
            <charset val="134"/>
          </rPr>
          <t>Tips:</t>
        </r>
        <r>
          <rPr>
            <sz val="9"/>
            <color indexed="81"/>
            <rFont val="宋体"/>
            <family val="3"/>
            <charset val="134"/>
          </rPr>
          <t xml:space="preserve">
地税登录用户名</t>
        </r>
      </text>
    </comment>
    <comment ref="D50" authorId="0" shapeId="0">
      <text>
        <r>
          <rPr>
            <b/>
            <sz val="9"/>
            <color indexed="81"/>
            <rFont val="宋体"/>
            <family val="3"/>
            <charset val="134"/>
          </rPr>
          <t>Tips:</t>
        </r>
        <r>
          <rPr>
            <sz val="9"/>
            <color indexed="81"/>
            <rFont val="宋体"/>
            <family val="3"/>
            <charset val="134"/>
          </rPr>
          <t xml:space="preserve">
地税登录密码</t>
        </r>
      </text>
    </comment>
  </commentList>
</comments>
</file>

<file path=xl/comments2.xml><?xml version="1.0" encoding="utf-8"?>
<comments xmlns="http://schemas.openxmlformats.org/spreadsheetml/2006/main">
  <authors>
    <author>zeyi chang</author>
  </authors>
  <commentList>
    <comment ref="C26" authorId="0" shapeId="0">
      <text>
        <r>
          <rPr>
            <b/>
            <sz val="9"/>
            <color indexed="81"/>
            <rFont val="宋体"/>
            <family val="3"/>
            <charset val="134"/>
          </rPr>
          <t>zeyi chang:</t>
        </r>
        <r>
          <rPr>
            <sz val="9"/>
            <color indexed="81"/>
            <rFont val="宋体"/>
            <family val="3"/>
            <charset val="134"/>
          </rPr>
          <t xml:space="preserve">
</t>
        </r>
      </text>
    </comment>
  </commentList>
</comments>
</file>

<file path=xl/sharedStrings.xml><?xml version="1.0" encoding="utf-8"?>
<sst xmlns="http://schemas.openxmlformats.org/spreadsheetml/2006/main" count="15096" uniqueCount="10296">
  <si>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</si>
  <si>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</si>
  <si>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</si>
  <si>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</si>
  <si>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</si>
  <si>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</si>
  <si>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</si>
  <si>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</si>
  <si>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</si>
  <si>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签　名</t>
  </si>
  <si>
    <t>借方发生额</t>
  </si>
  <si>
    <t>贷方发生额</t>
  </si>
  <si>
    <t>增值税</t>
  </si>
  <si>
    <t>审核报告事项说明</t>
  </si>
  <si>
    <t>收入与申报核对表!A1</t>
  </si>
  <si>
    <t>审核
结论</t>
  </si>
  <si>
    <t>年度</t>
  </si>
  <si>
    <t>账面利润总额</t>
  </si>
  <si>
    <t>纳税调整后所得额</t>
  </si>
  <si>
    <t>当年可弥补的所得额</t>
  </si>
  <si>
    <t>弥补亏损是否备案</t>
  </si>
  <si>
    <t>利润表</t>
  </si>
  <si>
    <t>弥补亏损明细表</t>
  </si>
  <si>
    <t>B、G、S、C、D4</t>
  </si>
  <si>
    <t>可确认</t>
  </si>
  <si>
    <t>类别</t>
  </si>
  <si>
    <t>账载扣除金额</t>
  </si>
  <si>
    <t>调整金额</t>
  </si>
  <si>
    <t>收入类</t>
  </si>
  <si>
    <t>营外收支!A1</t>
  </si>
  <si>
    <t>账面计入非损益类科目的政府补贴收入</t>
  </si>
  <si>
    <t>招待!D27</t>
  </si>
  <si>
    <t>事项说明!A52</t>
  </si>
  <si>
    <t>资产类</t>
  </si>
  <si>
    <t>应予资本化的固定资产支出</t>
  </si>
  <si>
    <t>应予资本化的无形资产支出</t>
  </si>
  <si>
    <t>财产损失</t>
  </si>
  <si>
    <t>国税函[2009]772号规定：企业以前年度（包括2008年以前）发生，按当时企业所得税有关规定符合资产损失确认条件的损失，在当年因为各种原因未能扣除的，不能结转在以后年度扣除；可以按照所得税法及征管法的有关规定，追补确认在该项资产损失发生的年度扣除，而不能改变该项资产损失发生的所属年度。经税务局批准后通过附表四调整。</t>
  </si>
  <si>
    <t>扣除类</t>
  </si>
  <si>
    <t>减值准备纳税调整表!A1</t>
  </si>
  <si>
    <t>凭证检查!J7</t>
  </si>
  <si>
    <t>在纳税调整明细表中单独列示</t>
  </si>
  <si>
    <t>以前年度应计未计费用</t>
  </si>
  <si>
    <t>房地产企业因预收款产生的招待费、广宣费调整差异</t>
  </si>
  <si>
    <t>国税函[2003]804号规定，大修理预提费用不能扣除。</t>
  </si>
  <si>
    <t>互相担保额度内的可以扣除。国税发[2009]31号、国税发[2009]88号、国税函[2007]1272号</t>
  </si>
  <si>
    <t>在福利费中列支的社会保障性缴款单位负担部分</t>
  </si>
  <si>
    <t>以前年度调增长期待摊费用本年可摊销部分</t>
  </si>
  <si>
    <t>增加或调整其他事项时请相应调整“纳税调整明细表”中E45、F45单元格公式</t>
  </si>
  <si>
    <t>∧、＜、B、T、G、S、D1、D2、D3、D10</t>
  </si>
  <si>
    <t>目录</t>
  </si>
  <si>
    <t xml:space="preserve">                       (适用查账征收非金融企业企业所得税汇算)</t>
  </si>
  <si>
    <t>基础资料
(综合类底稿）</t>
  </si>
  <si>
    <t>业务类工作底稿</t>
  </si>
  <si>
    <t>调整类</t>
  </si>
  <si>
    <t>损益类</t>
  </si>
  <si>
    <t>负债及权益类</t>
  </si>
  <si>
    <t>档案封面</t>
  </si>
  <si>
    <t>工资三项经费审核表</t>
  </si>
  <si>
    <t>报告封面</t>
  </si>
  <si>
    <t>档案索引</t>
  </si>
  <si>
    <t>银行存款余额调节表</t>
  </si>
  <si>
    <t>基本情况表</t>
  </si>
  <si>
    <t>固定资产累计折旧审核表</t>
  </si>
  <si>
    <t>主营业务毛利分析表</t>
  </si>
  <si>
    <t>折旧测算表</t>
  </si>
  <si>
    <t>实收资本资本公积盈余公积审核表</t>
  </si>
  <si>
    <t>签发单</t>
  </si>
  <si>
    <t>成本倒轧表</t>
  </si>
  <si>
    <t>三级复核</t>
  </si>
  <si>
    <t>社保住房公积金审核表</t>
  </si>
  <si>
    <t>存货计价测试表</t>
  </si>
  <si>
    <t>收入明细表</t>
  </si>
  <si>
    <t>社保明细工资人数审核表</t>
  </si>
  <si>
    <t>待摊费用预提费用审核表</t>
  </si>
  <si>
    <t>成本费用明细表</t>
  </si>
  <si>
    <t>管理当局声明</t>
  </si>
  <si>
    <t>广告费业务宣传费审核表</t>
  </si>
  <si>
    <t>税费缴纳测算审核表</t>
  </si>
  <si>
    <t>整体工作计划</t>
  </si>
  <si>
    <t>捐赠赞助支出审核表</t>
  </si>
  <si>
    <t>内控调查问卷</t>
  </si>
  <si>
    <t>境外所得税抵免明细表</t>
  </si>
  <si>
    <t>其他事项</t>
  </si>
  <si>
    <t>以公允价值计量调整表</t>
  </si>
  <si>
    <t>广告费纳税调整表</t>
  </si>
  <si>
    <t>通用工作记录</t>
  </si>
  <si>
    <t>审核标识说明书</t>
  </si>
  <si>
    <t>凭证检查底稿</t>
  </si>
  <si>
    <t>减值准备纳税调整表</t>
  </si>
  <si>
    <t>现金证明书</t>
  </si>
  <si>
    <t>股权投资所得明细表</t>
  </si>
  <si>
    <t>资产盘点表</t>
  </si>
  <si>
    <t>使用说明</t>
  </si>
  <si>
    <t>销售货物</t>
  </si>
  <si>
    <t>提供劳务</t>
  </si>
  <si>
    <t>让渡资产使用权</t>
  </si>
  <si>
    <t>建造合同</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</si>
  <si>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</si>
  <si>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</si>
  <si>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</si>
  <si>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</si>
  <si>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</si>
  <si>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</si>
  <si>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</si>
  <si>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</si>
  <si>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</si>
  <si>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</si>
  <si>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</si>
  <si>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</si>
  <si>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</si>
  <si>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</si>
  <si>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</si>
  <si>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</si>
  <si>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</si>
  <si>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</si>
  <si>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</si>
  <si>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</si>
  <si>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</si>
  <si>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</si>
  <si>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</si>
  <si>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</si>
  <si>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</si>
  <si>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</si>
  <si>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</si>
  <si>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8、企业是否存在货物已发出，收款记人预收账款而未转作收入现象?</t>
  </si>
  <si>
    <t xml:space="preserve">1、是（ </t>
  </si>
  <si>
    <t>二、成本方面</t>
  </si>
  <si>
    <t>1、成本计算方法是否与上年度一致？</t>
  </si>
  <si>
    <t>2、企业成本结转方法是否正确？</t>
  </si>
  <si>
    <t>3、待摊是否按税法规定摊销？</t>
  </si>
  <si>
    <t>三、采购与存货方面</t>
  </si>
  <si>
    <t>1、采购的货物或生产的产品入库是否均有验收入库单？</t>
  </si>
  <si>
    <t xml:space="preserve">1、均有（     </t>
  </si>
  <si>
    <t>2、有的没有（</t>
  </si>
  <si>
    <t>2、货物出库是否均有领料单或提货单？</t>
  </si>
  <si>
    <t>3、存货发出的计价方法是否与上年一致？</t>
  </si>
  <si>
    <t>4、存货总账与实物库存明细账是否有不同的人管理和记录？</t>
  </si>
  <si>
    <t>1、是同一人管理（</t>
  </si>
  <si>
    <t xml:space="preserve">2、不是同一人管理（ </t>
  </si>
  <si>
    <t>5、期末是否对存货进行了实地盘点，并与存货明细账相核对？有无差错？</t>
  </si>
  <si>
    <t xml:space="preserve">1、进行了实地盘点( </t>
  </si>
  <si>
    <t>有差错（</t>
  </si>
  <si>
    <t>）无差错（</t>
  </si>
  <si>
    <t>2、未盘点（</t>
  </si>
  <si>
    <t>四、其他方面</t>
  </si>
  <si>
    <t>1、企业期初是否存在以前年度累计计提但尚未实际使用的福利费余额？</t>
  </si>
  <si>
    <t>1、有（</t>
  </si>
  <si>
    <t>）2、没有（</t>
  </si>
  <si>
    <t>2、本期期末，是否进行了财产清查？有无资产损失？如有，是否已办理资产损失税前扣除审批手续？</t>
  </si>
  <si>
    <t>1、进行了清查（</t>
  </si>
  <si>
    <t>(1)有财产损失（</t>
  </si>
  <si>
    <t>已审批（</t>
  </si>
  <si>
    <t>）未审批(</t>
  </si>
  <si>
    <t>(2)无财产损失（</t>
  </si>
  <si>
    <t>2、未进行清查（</t>
  </si>
  <si>
    <t>适用税种及附加</t>
  </si>
  <si>
    <t>计税依据</t>
  </si>
  <si>
    <t>适用税率或征收率</t>
  </si>
  <si>
    <t>应计提税金或附加</t>
  </si>
  <si>
    <t>账面数</t>
  </si>
  <si>
    <t>一、主营税金及附加</t>
  </si>
  <si>
    <t>20%税率收入</t>
  </si>
  <si>
    <t>20%税率应交文化事业附加收入</t>
  </si>
  <si>
    <t>10%税率应交文化事业附加收入</t>
  </si>
  <si>
    <t>5%税率收入</t>
  </si>
  <si>
    <t>5%税率应交文化事业附加收入</t>
  </si>
  <si>
    <t>3%税率收入</t>
  </si>
  <si>
    <t>教育附加</t>
  </si>
  <si>
    <t>本表的计税依据源自“收入与申报核对表”，如有差异请调整。</t>
  </si>
  <si>
    <t>审核提示：                                                                                                                                                     1、取得或编制主营业务税金及附加明细表，复核加计正确，并与报表数、总账数和明细账合计数核对相符。
2、根据审定的当期应纳营业税的主营业务收入，按规定的税率，分项计算复核本期应纳营业税税额。
3、根据审定的应税消费品销售额（或数量），按规定适用的税率，分项计算复核本期应纳消费税税额。
4、根据审定的应税资源税产品的课税数量，按规定适用的单位税额，计算复核本期应纳资源税税额。
5、检查城市维护建设税、教育费附加等项目的计算依据是否和本期应纳增值税、营业税、消费税合计数一致，并按规定适用的税率或费率计算复核本期应纳城建税、教育费附加税费额。
6、复核各项税费与应交税金、其他应交款等项目的勾稽关系，作交叉索引。</t>
  </si>
  <si>
    <t>文化事业附加</t>
  </si>
  <si>
    <t>一般纳税人</t>
  </si>
  <si>
    <t>小规模纳税人</t>
  </si>
  <si>
    <t>主营税金合计</t>
  </si>
  <si>
    <t>∧、＜、T、G、S、C、D2</t>
  </si>
  <si>
    <t xml:space="preserve">序号 </t>
  </si>
  <si>
    <t>税种</t>
  </si>
  <si>
    <t>账载本年应交</t>
  </si>
  <si>
    <t>审定本年应交</t>
  </si>
  <si>
    <t>本年已交</t>
  </si>
  <si>
    <t>期末应补</t>
  </si>
  <si>
    <t>差额调整</t>
  </si>
  <si>
    <t>教育附加费</t>
  </si>
  <si>
    <t>车船税</t>
  </si>
  <si>
    <t>残疾人保障金</t>
  </si>
  <si>
    <t>本  期  合  计</t>
  </si>
  <si>
    <t>税率</t>
  </si>
  <si>
    <t>应计缴税金</t>
  </si>
  <si>
    <t>印花税合计</t>
  </si>
  <si>
    <t>印花税-购销合同</t>
  </si>
  <si>
    <t>0.3‰</t>
  </si>
  <si>
    <t>印花税-建筑安装工程承包合同</t>
  </si>
  <si>
    <t>印花税-技术合同</t>
  </si>
  <si>
    <t>印花税-租赁合同</t>
  </si>
  <si>
    <t>1‰</t>
  </si>
  <si>
    <t>印花税-仓储合同</t>
  </si>
  <si>
    <t>印花税-保险合同</t>
  </si>
  <si>
    <t>印花税-运输合同</t>
  </si>
  <si>
    <t>0.5‰</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</si>
  <si>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</si>
  <si>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</si>
  <si>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</si>
  <si>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</si>
  <si>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</si>
  <si>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</si>
  <si>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</si>
  <si>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</si>
  <si>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</si>
  <si>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</si>
  <si>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</si>
  <si>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</si>
  <si>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各税缴纳情况审核表</t>
  </si>
  <si>
    <t>3-5-1</t>
  </si>
  <si>
    <t xml:space="preserve">   其他税费测算表</t>
  </si>
  <si>
    <t>3-5-2</t>
  </si>
  <si>
    <t>项  目</t>
  </si>
  <si>
    <t>其他业务支出</t>
  </si>
  <si>
    <t>未  审  数</t>
  </si>
  <si>
    <t>调  整  数</t>
  </si>
  <si>
    <t>审  定  数</t>
  </si>
  <si>
    <t>其他小计</t>
  </si>
  <si>
    <t>已用于弥补以前年度亏损(早于前5年）</t>
    <phoneticPr fontId="78" type="noConversion"/>
  </si>
  <si>
    <t>增值税</t>
    <phoneticPr fontId="51" type="noConversion"/>
  </si>
  <si>
    <t>消费税</t>
  </si>
  <si>
    <t>消费税</t>
    <phoneticPr fontId="51" type="noConversion"/>
  </si>
  <si>
    <t>资源税</t>
  </si>
  <si>
    <t>资源税</t>
    <phoneticPr fontId="51" type="noConversion"/>
  </si>
  <si>
    <t>契税</t>
  </si>
  <si>
    <t>契税</t>
    <phoneticPr fontId="51" type="noConversion"/>
  </si>
  <si>
    <t>土地增值税</t>
  </si>
  <si>
    <t>土地增值税</t>
    <phoneticPr fontId="51" type="noConversion"/>
  </si>
  <si>
    <t>城镇土地使用税</t>
    <phoneticPr fontId="51" type="noConversion"/>
  </si>
  <si>
    <t>其他税种</t>
  </si>
  <si>
    <t xml:space="preserve">        营业税金及附加</t>
  </si>
  <si>
    <t xml:space="preserve">        投资收益</t>
  </si>
  <si>
    <t>应纳税额计算</t>
  </si>
  <si>
    <t>委托
单位</t>
  </si>
  <si>
    <t>期间</t>
  </si>
  <si>
    <t>收入按应税税种、税率分类</t>
  </si>
  <si>
    <t>账载收入</t>
  </si>
  <si>
    <t>申报收入</t>
  </si>
  <si>
    <t>账载与申报收入差异</t>
  </si>
  <si>
    <t>审定数</t>
  </si>
  <si>
    <t>可扣除项目</t>
  </si>
  <si>
    <t>主营业务收入</t>
  </si>
  <si>
    <t>其他业务收入</t>
  </si>
  <si>
    <t>其他收入</t>
  </si>
  <si>
    <t>一般纳税人应税增值税收入</t>
  </si>
  <si>
    <t>地税申报数据</t>
  </si>
  <si>
    <t>小规模应税增值税(3%)收入</t>
  </si>
  <si>
    <t>免税收入</t>
  </si>
  <si>
    <t>税费缴纳测算</t>
  </si>
  <si>
    <t>应缴20%营业税收入</t>
  </si>
  <si>
    <t>应缴20%营业税且缴文化事业费收入</t>
  </si>
  <si>
    <t>应缴10%营业税且缴文化事业费收入</t>
  </si>
  <si>
    <t>应缴5%营业税收入</t>
  </si>
  <si>
    <t xml:space="preserve">  其中：房屋建筑物租金收入</t>
  </si>
  <si>
    <t>应缴5%营业税且缴文化事业费收入</t>
  </si>
  <si>
    <t>应缴3%营业税收入</t>
  </si>
  <si>
    <t>增值税勾稽关系检查</t>
  </si>
  <si>
    <t>营业税勾稽关系检查</t>
  </si>
  <si>
    <t>社保明细工资人数</t>
  </si>
  <si>
    <t>本年应补（退）的所得税额：</t>
    <phoneticPr fontId="51" type="noConversion"/>
  </si>
  <si>
    <t>同意纳税调整。</t>
    <phoneticPr fontId="51" type="noConversion"/>
  </si>
  <si>
    <t>应纳税所得额：</t>
    <phoneticPr fontId="51" type="noConversion"/>
  </si>
  <si>
    <t>纳税调整后所得：</t>
    <phoneticPr fontId="51" type="noConversion"/>
  </si>
  <si>
    <t xml:space="preserve">   （六）其他</t>
  </si>
  <si>
    <t xml:space="preserve">   （五）其他</t>
  </si>
  <si>
    <t xml:space="preserve">   （四）其他</t>
  </si>
  <si>
    <t>财务费用!A1</t>
  </si>
  <si>
    <t>报告书编号：</t>
  </si>
  <si>
    <t>业务类别：</t>
  </si>
  <si>
    <t>工 作 底 稿 档 案</t>
  </si>
  <si>
    <r>
      <t xml:space="preserve">             档案编号:   </t>
    </r>
    <r>
      <rPr>
        <u/>
        <sz val="12"/>
        <rFont val="宋体"/>
        <family val="3"/>
        <charset val="134"/>
      </rPr>
      <t xml:space="preserve">                                        </t>
    </r>
  </si>
  <si>
    <t xml:space="preserve">             客户名称:</t>
  </si>
  <si>
    <t xml:space="preserve">             所属年度:</t>
  </si>
  <si>
    <t xml:space="preserve">             负 责 人:</t>
  </si>
  <si>
    <r>
      <t xml:space="preserve">             报告日期:</t>
    </r>
    <r>
      <rPr>
        <u/>
        <sz val="12"/>
        <rFont val="宋体"/>
        <family val="3"/>
        <charset val="134"/>
      </rPr>
      <t xml:space="preserve">                                   </t>
    </r>
  </si>
  <si>
    <r>
      <t xml:space="preserve">                             (共</t>
    </r>
    <r>
      <rPr>
        <u/>
        <sz val="12"/>
        <rFont val="宋体"/>
        <family val="3"/>
        <charset val="134"/>
      </rPr>
      <t xml:space="preserve">     </t>
    </r>
    <r>
      <rPr>
        <sz val="12"/>
        <rFont val="宋体"/>
        <family val="3"/>
        <charset val="134"/>
      </rPr>
      <t>卷,第</t>
    </r>
    <r>
      <rPr>
        <u/>
        <sz val="12"/>
        <rFont val="宋体"/>
        <family val="3"/>
        <charset val="134"/>
      </rPr>
      <t xml:space="preserve">      卷</t>
    </r>
    <r>
      <rPr>
        <sz val="12"/>
        <rFont val="宋体"/>
        <family val="3"/>
        <charset val="134"/>
      </rPr>
      <t xml:space="preserve">) </t>
    </r>
  </si>
  <si>
    <r>
      <t>归档日期:</t>
    </r>
    <r>
      <rPr>
        <u/>
        <sz val="12"/>
        <rFont val="宋体"/>
        <family val="3"/>
        <charset val="134"/>
      </rPr>
      <t xml:space="preserve">             </t>
    </r>
  </si>
  <si>
    <t>业务档案目录（索引）</t>
  </si>
  <si>
    <t>委托单位名称：</t>
  </si>
  <si>
    <t>索引号</t>
  </si>
  <si>
    <t>项目名称</t>
  </si>
  <si>
    <t>页码</t>
  </si>
  <si>
    <t>一、综合类</t>
  </si>
  <si>
    <t>B、调减项目类</t>
  </si>
  <si>
    <t>1-1</t>
  </si>
  <si>
    <t>报告审核签发单</t>
  </si>
  <si>
    <t>1-2</t>
  </si>
  <si>
    <t>正式报告书及送审稿</t>
  </si>
  <si>
    <t>三、收入、成本、费用表</t>
  </si>
  <si>
    <t>1-3</t>
  </si>
  <si>
    <t>三级复核表</t>
  </si>
  <si>
    <t>3-1</t>
  </si>
  <si>
    <t>主营业务收支审核表</t>
  </si>
  <si>
    <t>1-4</t>
  </si>
  <si>
    <t>业务约定书</t>
  </si>
  <si>
    <t>3-2</t>
  </si>
  <si>
    <t>收入与纳税申报核对审核表</t>
  </si>
  <si>
    <t>1-5</t>
  </si>
  <si>
    <t>企业基本情况表</t>
  </si>
  <si>
    <t>3-3</t>
  </si>
  <si>
    <t xml:space="preserve">制造费用、生产成本审核表 </t>
  </si>
  <si>
    <t>1-6</t>
  </si>
  <si>
    <t>客户管理当局声明书</t>
  </si>
  <si>
    <t>3-4</t>
  </si>
  <si>
    <t>主营业务成本倒轧审核表</t>
  </si>
  <si>
    <t>1-7</t>
  </si>
  <si>
    <t>审核整体工作计划</t>
  </si>
  <si>
    <t>3-5</t>
  </si>
  <si>
    <t>主营业务税金附加审核表</t>
  </si>
  <si>
    <t>1-8</t>
  </si>
  <si>
    <t>企业内部控制制度调查问卷</t>
  </si>
  <si>
    <t>3-6</t>
  </si>
  <si>
    <t>其他业务收支审核表</t>
  </si>
  <si>
    <t>1-9</t>
  </si>
  <si>
    <t>审核调查问卷</t>
  </si>
  <si>
    <t>3-7</t>
  </si>
  <si>
    <t>营业费用审核表</t>
  </si>
  <si>
    <t>1-10</t>
  </si>
  <si>
    <t>重大问题请示报告</t>
  </si>
  <si>
    <t>3-8</t>
  </si>
  <si>
    <t>管理费用审核表</t>
  </si>
  <si>
    <t>1-11</t>
  </si>
  <si>
    <t>与客户交换意见记录</t>
  </si>
  <si>
    <t>3-9</t>
  </si>
  <si>
    <t>财务费用审核表</t>
  </si>
  <si>
    <t>1-12</t>
  </si>
  <si>
    <t>客户提供资料一览表</t>
  </si>
  <si>
    <t>3-10</t>
  </si>
  <si>
    <t>营业外收支审核表</t>
  </si>
  <si>
    <t>1-13</t>
  </si>
  <si>
    <t>审核标识说明表</t>
  </si>
  <si>
    <t>二、税前调整项目类</t>
  </si>
  <si>
    <t>四、资产、负债、所有者权益类</t>
  </si>
  <si>
    <t>A、调增项目类</t>
  </si>
  <si>
    <t>4-1</t>
  </si>
  <si>
    <t>货币资金审核表</t>
  </si>
  <si>
    <t>2A-1</t>
  </si>
  <si>
    <t>工资薪金、三项经费审核表</t>
  </si>
  <si>
    <t>4-2</t>
  </si>
  <si>
    <t>应收账款审核表</t>
  </si>
  <si>
    <t>2A-2</t>
  </si>
  <si>
    <t>业务招待费用审核表</t>
  </si>
  <si>
    <t>4-3</t>
  </si>
  <si>
    <t>预付账款审核表</t>
  </si>
  <si>
    <t>2A-3</t>
  </si>
  <si>
    <t>固定资产及累计折旧审核表</t>
  </si>
  <si>
    <t>4-4</t>
  </si>
  <si>
    <t>其他应收款审核表</t>
  </si>
  <si>
    <t>2A-4</t>
  </si>
  <si>
    <t>无形资产、长期待摊费用审核表</t>
  </si>
  <si>
    <t>4-5</t>
  </si>
  <si>
    <t>存货审核表</t>
  </si>
  <si>
    <t>2A-5</t>
  </si>
  <si>
    <t>4-6</t>
  </si>
  <si>
    <t>待摊费用、预提费用审核表</t>
  </si>
  <si>
    <t>2A-6</t>
  </si>
  <si>
    <t>广告费、业务宣传费支出审核表</t>
  </si>
  <si>
    <t>4-7</t>
  </si>
  <si>
    <t>应付账款审核表</t>
  </si>
  <si>
    <t>2A-7</t>
  </si>
  <si>
    <t>捐赠、赞助支出审核表</t>
  </si>
  <si>
    <t>4-8</t>
  </si>
  <si>
    <t>预收账款审核表</t>
  </si>
  <si>
    <t>2A-8</t>
  </si>
  <si>
    <t>利息支出审核表</t>
  </si>
  <si>
    <t>4-9</t>
  </si>
  <si>
    <t>其他应付款审核表</t>
  </si>
  <si>
    <t>2A-9</t>
  </si>
  <si>
    <t>租金支出审核表</t>
  </si>
  <si>
    <t>4-10</t>
  </si>
  <si>
    <t>实收资本、资本公积、盈余公积审核表</t>
  </si>
  <si>
    <t>2A-10</t>
  </si>
  <si>
    <t>弥补亏损审核表</t>
  </si>
  <si>
    <t>4-11</t>
  </si>
  <si>
    <t>未分配利润审核表</t>
  </si>
  <si>
    <t>2A-11</t>
  </si>
  <si>
    <t>其他事项审核表</t>
  </si>
  <si>
    <t>2A-12</t>
  </si>
  <si>
    <t>原始凭证检查底稿</t>
  </si>
  <si>
    <t>五、备查类</t>
  </si>
  <si>
    <t>基 本 情 况 表</t>
  </si>
  <si>
    <t>纳税人名称</t>
  </si>
  <si>
    <t>可来源于营业执照或地税纳税人基本信息核对表</t>
  </si>
  <si>
    <t>委托项目</t>
  </si>
  <si>
    <t>审核年度</t>
  </si>
  <si>
    <t>审核起始日</t>
  </si>
  <si>
    <t>审核年度止</t>
  </si>
  <si>
    <t>12月31日</t>
  </si>
  <si>
    <t>税款所属期间</t>
  </si>
  <si>
    <t>中介机构名称</t>
  </si>
  <si>
    <t>主任税务师</t>
  </si>
  <si>
    <t>相关链接：</t>
  </si>
  <si>
    <t>总审师</t>
  </si>
  <si>
    <t>资产负债!A1</t>
  </si>
  <si>
    <t>项目负责人</t>
  </si>
  <si>
    <t>企业情况表</t>
  </si>
  <si>
    <t>底稿编制人</t>
  </si>
  <si>
    <t>B29“会计制度”单元格 必填</t>
  </si>
  <si>
    <t>报告文号</t>
  </si>
  <si>
    <t>签约日期</t>
  </si>
  <si>
    <t>报告日期</t>
  </si>
  <si>
    <t>编制日期</t>
  </si>
  <si>
    <t>复核日期</t>
  </si>
  <si>
    <t>邮政编码</t>
  </si>
  <si>
    <t>联系电话</t>
  </si>
  <si>
    <t>传真</t>
  </si>
  <si>
    <t>0592-5881033</t>
  </si>
  <si>
    <t>Email</t>
  </si>
  <si>
    <t>是否需要各税审核表</t>
  </si>
  <si>
    <t>否</t>
  </si>
  <si>
    <t>根据B22单元格更改报告封面及报告正文。</t>
  </si>
  <si>
    <t>是否重分类往来款</t>
  </si>
  <si>
    <t>地税纳税人基本信息核对表，如未获取该表可按此规律：思明361004，湖里361009，不知道的填361000</t>
  </si>
  <si>
    <t>地税纳税人基本信息核对表或向被审核人索取</t>
  </si>
  <si>
    <t>企业负责人</t>
  </si>
  <si>
    <t>财务负责人</t>
  </si>
  <si>
    <t>联系人</t>
  </si>
  <si>
    <t>可等于财务负责人</t>
  </si>
  <si>
    <t>会计制度</t>
  </si>
  <si>
    <t>必填</t>
  </si>
  <si>
    <t>开户银行</t>
  </si>
  <si>
    <t>从原始凭证获取</t>
  </si>
  <si>
    <t>银行账号</t>
  </si>
  <si>
    <t>经济类型</t>
  </si>
  <si>
    <t>所属行业</t>
  </si>
  <si>
    <t>组织机构代码证</t>
  </si>
  <si>
    <t>企业登记日期</t>
  </si>
  <si>
    <t>经营范围</t>
  </si>
  <si>
    <t>经营期限</t>
  </si>
  <si>
    <t>税务登记证号</t>
  </si>
  <si>
    <t>可来源于税务登记证或地税纳税人基本信息核对表</t>
  </si>
  <si>
    <t>向纳税人索取</t>
  </si>
  <si>
    <t>投资者姓名</t>
  </si>
  <si>
    <t>注册资本</t>
  </si>
  <si>
    <t>所占比例</t>
  </si>
  <si>
    <t>实收资本</t>
  </si>
  <si>
    <t>占注册资本比例</t>
  </si>
  <si>
    <t>根据验资报告以及实收资本明细账填列，如股东有变更的以变更后的为准</t>
  </si>
  <si>
    <t>合   计</t>
  </si>
  <si>
    <t>前事务所名称</t>
  </si>
  <si>
    <t>根据上一年度的审核报告填列</t>
  </si>
  <si>
    <t>前事务所审核报告编号</t>
  </si>
  <si>
    <t>待办事项</t>
  </si>
  <si>
    <t>委托单位</t>
  </si>
  <si>
    <t>签名</t>
  </si>
  <si>
    <t>日期</t>
  </si>
  <si>
    <t>编制人</t>
  </si>
  <si>
    <t>会计期间</t>
  </si>
  <si>
    <t>复核人</t>
  </si>
  <si>
    <t>序号</t>
  </si>
  <si>
    <t>事项</t>
  </si>
  <si>
    <t>备注</t>
  </si>
  <si>
    <t>备注：</t>
  </si>
  <si>
    <t>审核时的待沟通事项、政策疑点、待补充提供资料等均可填列本表，以作备忘之用。</t>
  </si>
  <si>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</si>
  <si>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</si>
  <si>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</si>
  <si>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</si>
  <si>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</si>
  <si>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</si>
  <si>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</si>
  <si>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</si>
  <si>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</si>
  <si>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</si>
  <si>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</si>
  <si>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无限期结转扣除项目审核表</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</si>
  <si>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</si>
  <si>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折旧</t>
  </si>
  <si>
    <t>租金</t>
  </si>
  <si>
    <t>9、如佣金服务全部或主要在国外提供，不扣缴所得税，但自2009年开始要扣缴5%的营业税。</t>
  </si>
  <si>
    <t>一、数据来源：会计科目“营业费用”相关明细账的本年借方累计发生额，也可根据科目余额表直接填列</t>
  </si>
  <si>
    <t>二、编表说明：1-16行为固定项目，不得更改位置或顺序，否则系统会出错！！！；17行为可选项，18-32行可填列除1-17行以外的其他项目的金额。</t>
  </si>
  <si>
    <t>三、如企业账务核算中存在“串户”现象的，其“串户”金额填列在“调整或重新分类数”栏目里，正数表示调增，负数表示调减。</t>
  </si>
  <si>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</si>
  <si>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</si>
  <si>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</si>
  <si>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</si>
  <si>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</si>
  <si>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</si>
  <si>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</si>
  <si>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</si>
  <si>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</si>
  <si>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减:利息收入</t>
  </si>
  <si>
    <t>其他事项!A1</t>
  </si>
  <si>
    <t xml:space="preserve">      其中:国债利息收入</t>
  </si>
  <si>
    <t xml:space="preserve">   汇兑收益</t>
  </si>
  <si>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</si>
  <si>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</si>
  <si>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</si>
  <si>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</si>
  <si>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营业外支出</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</si>
  <si>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</si>
  <si>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</si>
  <si>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</si>
  <si>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</si>
  <si>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</si>
  <si>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五、油气勘探投资</t>
  </si>
  <si>
    <t>六、油气开发投资</t>
  </si>
  <si>
    <t>审核数</t>
  </si>
  <si>
    <t>D8</t>
  </si>
  <si>
    <t>与企业所得税纳税申报表附表八核对一致</t>
  </si>
  <si>
    <t>E</t>
  </si>
  <si>
    <t>已进行纳税调整</t>
  </si>
  <si>
    <t>D9</t>
  </si>
  <si>
    <t>与企业所得税纳税申报表附表九核对一致</t>
  </si>
  <si>
    <t>*</t>
  </si>
  <si>
    <t>D10</t>
  </si>
  <si>
    <t>与企业所得税纳税申报表附表十核对一致</t>
  </si>
  <si>
    <t>D11</t>
  </si>
  <si>
    <t>与企业所得税纳税申报表附表十一核对一致</t>
  </si>
  <si>
    <t>说明：本表附于每份工作底稿中，便于查看。</t>
  </si>
  <si>
    <t>现  金  证  明  书</t>
  </si>
  <si>
    <r>
      <t>单位名称：</t>
    </r>
    <r>
      <rPr>
        <u/>
        <sz val="16"/>
        <rFont val="宋体"/>
        <family val="3"/>
        <charset val="134"/>
      </rPr>
      <t xml:space="preserve">                      </t>
    </r>
  </si>
  <si>
    <t>人民币（大写）</t>
  </si>
  <si>
    <t>（RMB</t>
  </si>
  <si>
    <r>
      <t xml:space="preserve">             </t>
    </r>
    <r>
      <rPr>
        <sz val="14"/>
        <rFont val="宋体"/>
        <family val="3"/>
        <charset val="134"/>
      </rPr>
      <t>）</t>
    </r>
  </si>
  <si>
    <t>港  币（大写）</t>
  </si>
  <si>
    <t xml:space="preserve">（HKD </t>
  </si>
  <si>
    <t>美  元（大写）</t>
  </si>
  <si>
    <t>（USD</t>
  </si>
  <si>
    <r>
      <t xml:space="preserve">              </t>
    </r>
    <r>
      <rPr>
        <sz val="14"/>
        <rFont val="宋体"/>
        <family val="3"/>
        <charset val="134"/>
      </rPr>
      <t>）</t>
    </r>
  </si>
  <si>
    <t>监管现金人员为：</t>
  </si>
  <si>
    <r>
      <t xml:space="preserve"> </t>
    </r>
    <r>
      <rPr>
        <u/>
        <sz val="14"/>
        <rFont val="宋体"/>
        <family val="3"/>
        <charset val="134"/>
      </rPr>
      <t xml:space="preserve">                            </t>
    </r>
  </si>
  <si>
    <r>
      <t>证明者：</t>
    </r>
    <r>
      <rPr>
        <u/>
        <sz val="14"/>
        <rFont val="宋体"/>
        <family val="3"/>
        <charset val="134"/>
      </rPr>
      <t xml:space="preserve">             </t>
    </r>
  </si>
  <si>
    <r>
      <t>总经理：</t>
    </r>
    <r>
      <rPr>
        <u/>
        <sz val="14"/>
        <rFont val="宋体"/>
        <family val="3"/>
        <charset val="134"/>
      </rPr>
      <t xml:space="preserve">             </t>
    </r>
  </si>
  <si>
    <r>
      <t>监管人：</t>
    </r>
    <r>
      <rPr>
        <u/>
        <sz val="14"/>
        <rFont val="宋体"/>
        <family val="3"/>
        <charset val="134"/>
      </rPr>
      <t xml:space="preserve">             </t>
    </r>
  </si>
  <si>
    <t>资产盘点明细表</t>
  </si>
  <si>
    <t>资 产 名 称</t>
  </si>
  <si>
    <t>型号规格</t>
  </si>
  <si>
    <t>计量单位</t>
  </si>
  <si>
    <t>数 量</t>
  </si>
  <si>
    <t>单 价</t>
  </si>
  <si>
    <t>金 额</t>
  </si>
  <si>
    <t>备 注</t>
  </si>
  <si>
    <t>通用工作记录表</t>
  </si>
  <si>
    <t xml:space="preserve">                                                                    </t>
  </si>
  <si>
    <t>单位名称：</t>
  </si>
  <si>
    <t>会计期间：</t>
  </si>
  <si>
    <t>审核项目：</t>
  </si>
  <si>
    <t>审核日期：</t>
  </si>
  <si>
    <t xml:space="preserve">审核意见：                                                        </t>
  </si>
  <si>
    <t>审核人员：</t>
  </si>
  <si>
    <t>可以确认</t>
  </si>
  <si>
    <t>复核人员:</t>
  </si>
  <si>
    <r>
      <t>原始凭证检查底稿（</t>
    </r>
    <r>
      <rPr>
        <b/>
        <u/>
        <sz val="18"/>
        <rFont val="楷体_GB2312"/>
        <family val="3"/>
        <charset val="134"/>
      </rPr>
      <t xml:space="preserve">       </t>
    </r>
    <r>
      <rPr>
        <b/>
        <sz val="18"/>
        <rFont val="楷体_GB2312"/>
        <family val="3"/>
        <charset val="134"/>
      </rPr>
      <t>）</t>
    </r>
  </si>
  <si>
    <t>月</t>
  </si>
  <si>
    <t>记账凭证编号</t>
  </si>
  <si>
    <t>会计分录</t>
  </si>
  <si>
    <t>调整事项</t>
  </si>
  <si>
    <t>调整类别编码</t>
  </si>
  <si>
    <t>调整类别</t>
  </si>
  <si>
    <t>会计科目</t>
  </si>
  <si>
    <t>明细科目</t>
  </si>
  <si>
    <t>金额</t>
  </si>
  <si>
    <t>其他事项!B18</t>
  </si>
  <si>
    <t>工资福利!A1</t>
  </si>
  <si>
    <t>招待!A1</t>
  </si>
  <si>
    <t>固资折旧!A1</t>
  </si>
  <si>
    <t>纳税调整明细表!E45</t>
  </si>
  <si>
    <t>事项说明!B55</t>
  </si>
  <si>
    <t>注意：如有原会计核算的福利费、招待费、广告费等费用审核调整为其他费用列支或者直接不予列支的，应相应调整相关费用的实际列支金额，以免重复调增。</t>
  </si>
  <si>
    <t>未取得合法有效票据的支出</t>
  </si>
  <si>
    <t>与取得收入无关的支出</t>
  </si>
  <si>
    <t>非本公司费用</t>
  </si>
  <si>
    <t>应并入业务招待费的费用</t>
  </si>
  <si>
    <t>产权不属于公司的汽车费用</t>
  </si>
  <si>
    <t>不属于应付福利费开支范围的支出</t>
  </si>
  <si>
    <t>税收滞纳金</t>
  </si>
  <si>
    <t>大额购物未附清单</t>
  </si>
  <si>
    <t>不允许直接在损益中列支的当年福利费</t>
  </si>
  <si>
    <t>审核结论</t>
  </si>
  <si>
    <t xml:space="preserve">     1、国税发[2008]80号规定企业取得的发票没有开具支付人全称的，</t>
  </si>
  <si>
    <t xml:space="preserve">        不得税前扣除、抵扣进项税额、申请退税。</t>
  </si>
  <si>
    <t xml:space="preserve">     2、财政部门监制的行政事业性收费收据只能开具行政事业性收费项目</t>
  </si>
  <si>
    <t xml:space="preserve">        不得开具经营性货物或劳务。</t>
  </si>
  <si>
    <t xml:space="preserve">     3、《中国人民解放军通用收费票据》只能作为解放军内部结算使用，</t>
  </si>
  <si>
    <t xml:space="preserve">        不得作为服务业发票使用。如解放军对外从事餐饮、住宿、租赁等业务，</t>
  </si>
  <si>
    <t>本工作表不够填列时，请取消24-206行之间的隐藏。</t>
  </si>
  <si>
    <t xml:space="preserve">        必须开具地税局监制的服务业发票。国税发[2000]61号、</t>
  </si>
  <si>
    <t xml:space="preserve">        国税函[2000]466号、后财字[1999]81号。</t>
  </si>
  <si>
    <t xml:space="preserve">        自2005年起。企业承租解放军的房屋从事生产经营的，租赁费的扣除凭</t>
  </si>
  <si>
    <t xml:space="preserve">        《中国人民解放军通用收费收据》和《军队房地产租赁许可证》</t>
  </si>
  <si>
    <t xml:space="preserve">        税前扣除。后营字[2005]1285号（总局参与发文）</t>
  </si>
  <si>
    <t xml:space="preserve">     4、自2008年1月1日起，企业通过银行支付的各项费用，应当取得</t>
  </si>
  <si>
    <t xml:space="preserve">        《银行代收费业务专用发票》。国税发[2007]108号、</t>
  </si>
  <si>
    <t xml:space="preserve">        国税发[2008]54号、国税函[2008]634号。</t>
  </si>
  <si>
    <t xml:space="preserve">     5、自2008年8月1日起，报关代理业务必须开具地税局监制的</t>
  </si>
  <si>
    <t xml:space="preserve">        《报关代理业专用发票》。国税函[2008]417号。</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</si>
  <si>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</si>
  <si>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一、适用范围</t>
  </si>
  <si>
    <t xml:space="preserve">    本电子工作底仅适用于查账征收非金融企业的有限公司企业所得税汇算，不适用金融企业、核定征收企业、清算期间的企业所得税汇算以及个人独资企业、合伙企业的个人所得税汇算审核。</t>
  </si>
  <si>
    <t xml:space="preserve">    若企业所得税申报表或相关政策变化，则本工作底稿应作相关调整方可使用。</t>
  </si>
  <si>
    <t>二、底色说明</t>
  </si>
  <si>
    <t xml:space="preserve">    白底区域的单元格需根据企业资料分析填列</t>
  </si>
  <si>
    <t xml:space="preserve">    茶色区域的单元格为可选项，点击单元格后会出现下拉列表，可在列表上选择已定义好的数据项</t>
  </si>
  <si>
    <t xml:space="preserve">    灰色区域的单元格为已定义好公式，一般情况下不允许修改数据，否则会造成系统数据错乱！</t>
  </si>
  <si>
    <t xml:space="preserve">    深黄区域的单元格为预先定义好数据或公式，一般不需修改，但也可能变化</t>
  </si>
  <si>
    <t xml:space="preserve">    浅蓝区域的单元格为来源于工作底稿的数据</t>
  </si>
  <si>
    <t xml:space="preserve">    玫瑰红区域的单元格为可通过外部文件粘贴得到数据</t>
  </si>
  <si>
    <t xml:space="preserve">    浅绿区域的单元格为表格固定格式，如表头，表体栏目名称等</t>
  </si>
  <si>
    <t>三、其他说明</t>
  </si>
  <si>
    <t xml:space="preserve">    1、填表顺序最好先从“基本情况”工作表填起，而后利润表、损益类底稿、凭证抽查、调整类底稿，各相关底稿填列后审核报告基本自动生成。</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</si>
  <si>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</si>
  <si>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3、本表的工作表名称一般情况下不可改动，否则会造成链接失效。</t>
  </si>
  <si>
    <t xml:space="preserve">               资  产  负  债  表</t>
  </si>
  <si>
    <t>单位：元</t>
  </si>
  <si>
    <t>资      产</t>
  </si>
  <si>
    <t xml:space="preserve"> 行次</t>
  </si>
  <si>
    <t>期初数</t>
  </si>
  <si>
    <t>期末数</t>
  </si>
  <si>
    <t>流动资产：</t>
  </si>
  <si>
    <t>流动负债：</t>
  </si>
  <si>
    <t xml:space="preserve">  货币资金</t>
  </si>
  <si>
    <t xml:space="preserve">   短期借款</t>
  </si>
  <si>
    <t xml:space="preserve">  短期投资</t>
  </si>
  <si>
    <t>资产折旧纳税调整表</t>
  </si>
  <si>
    <t xml:space="preserve">  应收票据</t>
  </si>
  <si>
    <t xml:space="preserve">   应付帐款</t>
  </si>
  <si>
    <t xml:space="preserve">   预收帐款</t>
  </si>
  <si>
    <t xml:space="preserve">  应收帐款</t>
  </si>
  <si>
    <t xml:space="preserve">  预付账款</t>
  </si>
  <si>
    <t xml:space="preserve">  其他应收款</t>
  </si>
  <si>
    <t xml:space="preserve">   应付利润</t>
  </si>
  <si>
    <t xml:space="preserve">  存货</t>
  </si>
  <si>
    <t xml:space="preserve">  其他流动资产</t>
  </si>
  <si>
    <t xml:space="preserve"> 流动资产合计</t>
  </si>
  <si>
    <t xml:space="preserve">   其他流动负债</t>
  </si>
  <si>
    <t xml:space="preserve">  长期股权投资</t>
  </si>
  <si>
    <t>流动负债合计</t>
  </si>
  <si>
    <t xml:space="preserve">   长期借款</t>
  </si>
  <si>
    <t xml:space="preserve">  固定资产原价</t>
  </si>
  <si>
    <t xml:space="preserve">  减：累计折旧</t>
  </si>
  <si>
    <t xml:space="preserve">   资本公积</t>
  </si>
  <si>
    <t xml:space="preserve">   盈余公积</t>
  </si>
  <si>
    <t xml:space="preserve">  无形资产</t>
  </si>
  <si>
    <t xml:space="preserve">  长期待摊费用</t>
  </si>
  <si>
    <t>未分利润!C8</t>
  </si>
  <si>
    <t>勾稽关系检查</t>
  </si>
  <si>
    <t>利润及利润分配表</t>
  </si>
  <si>
    <t>单位：人民币元</t>
  </si>
  <si>
    <t xml:space="preserve">                 项             目</t>
  </si>
  <si>
    <t>行次</t>
  </si>
  <si>
    <t>项               目</t>
  </si>
  <si>
    <t>六、净利润</t>
  </si>
  <si>
    <t>申报主表</t>
  </si>
  <si>
    <t>加：年初未分配利润</t>
  </si>
  <si>
    <t>报告正文</t>
  </si>
  <si>
    <t>未分利润!C13</t>
  </si>
  <si>
    <t xml:space="preserve">        资产减值损失</t>
  </si>
  <si>
    <t>纳税申报数据</t>
  </si>
  <si>
    <t>一般纳税人增值税申报表信息</t>
  </si>
  <si>
    <t>小规模申报表信息</t>
  </si>
  <si>
    <t>企业所得税申报信息</t>
  </si>
  <si>
    <t>项     目</t>
  </si>
  <si>
    <t>增值税申报表栏次</t>
  </si>
  <si>
    <t>本期累计</t>
  </si>
  <si>
    <t>月份</t>
  </si>
  <si>
    <t>4%/2税率</t>
  </si>
  <si>
    <t>3%税率</t>
  </si>
  <si>
    <t>销售额</t>
  </si>
  <si>
    <t>应纳税额</t>
  </si>
  <si>
    <t>项目</t>
  </si>
  <si>
    <t>（一）按适用税率征税货物及劳务销售额</t>
  </si>
  <si>
    <t>1月</t>
  </si>
  <si>
    <t>8、实际已缴所得税额</t>
  </si>
  <si>
    <t>收入与申报核对表</t>
  </si>
  <si>
    <t>（二）按简易征收办法征税货物销售额</t>
  </si>
  <si>
    <t>2月</t>
  </si>
  <si>
    <t>9、应补（退）的所得税额</t>
  </si>
  <si>
    <t>主营税金审核表</t>
  </si>
  <si>
    <t>（三）免、抵、退办法出口货物销售额</t>
  </si>
  <si>
    <t>3月</t>
  </si>
  <si>
    <t>企业各税审核汇总表</t>
  </si>
  <si>
    <t>（四）免税货物及劳务销售额</t>
  </si>
  <si>
    <t>4月</t>
  </si>
  <si>
    <t>其他业务利润审核表</t>
  </si>
  <si>
    <t>收入合计</t>
  </si>
  <si>
    <t>5月</t>
  </si>
  <si>
    <t>本年合计</t>
  </si>
  <si>
    <t>税费</t>
  </si>
  <si>
    <t>税款计算</t>
  </si>
  <si>
    <t>6月</t>
  </si>
  <si>
    <t>简易征收办法计算的应纳税额</t>
  </si>
  <si>
    <t>7月</t>
  </si>
  <si>
    <t>本表为税费审核表中已交税费的数据来源，并最终生成各税审核汇总表。</t>
  </si>
  <si>
    <t>按简易征收办法计算的纳税检查应补缴税额</t>
  </si>
  <si>
    <t>8月</t>
  </si>
  <si>
    <t>如存在本年补缴以前年度税款，则应将各税费审核表中的应纳税额与已纳税额做相应的扣减。</t>
  </si>
  <si>
    <t>应纳税额减征额</t>
  </si>
  <si>
    <t>9月</t>
  </si>
  <si>
    <t>应纳税额合计</t>
  </si>
  <si>
    <t>10月</t>
  </si>
  <si>
    <t xml:space="preserve">   其中：销售材料应纳税额</t>
  </si>
  <si>
    <t>11月</t>
  </si>
  <si>
    <t>分
析</t>
  </si>
  <si>
    <t>增值税税负</t>
  </si>
  <si>
    <t>12月</t>
  </si>
  <si>
    <t>其中：各月材料销售</t>
  </si>
  <si>
    <t>合计</t>
  </si>
  <si>
    <r>
      <t>附件</t>
    </r>
    <r>
      <rPr>
        <b/>
        <sz val="10"/>
        <rFont val="Arial Narrow"/>
        <family val="2"/>
      </rPr>
      <t>4:</t>
    </r>
  </si>
  <si>
    <t>金额单位：元</t>
  </si>
  <si>
    <t>项      目</t>
  </si>
  <si>
    <t>行 次</t>
  </si>
  <si>
    <t>期初未交额</t>
  </si>
  <si>
    <t>已纳税额</t>
  </si>
  <si>
    <t>期末应补（退）税额</t>
  </si>
  <si>
    <t>城市维护建设税</t>
  </si>
  <si>
    <t>应补（退）税额</t>
  </si>
  <si>
    <t>税费缴纳测试审核表</t>
  </si>
  <si>
    <t>主营税金及附加审核表</t>
  </si>
  <si>
    <t>收费金额</t>
    <phoneticPr fontId="51" type="noConversion"/>
  </si>
  <si>
    <t>注册地址</t>
    <phoneticPr fontId="51" type="noConversion"/>
  </si>
  <si>
    <t>经营地址</t>
    <phoneticPr fontId="51" type="noConversion"/>
  </si>
  <si>
    <t>投资总额</t>
    <phoneticPr fontId="51" type="noConversion"/>
  </si>
  <si>
    <t>企业类型代码对照表</t>
  </si>
  <si>
    <t>行业类型代码表</t>
  </si>
  <si>
    <t>A</t>
  </si>
  <si>
    <t>D</t>
  </si>
  <si>
    <t>F</t>
  </si>
  <si>
    <t>H</t>
  </si>
  <si>
    <t>I</t>
  </si>
  <si>
    <t>J</t>
  </si>
  <si>
    <t>K</t>
  </si>
  <si>
    <t>L</t>
  </si>
  <si>
    <t>M</t>
  </si>
  <si>
    <t>N</t>
  </si>
  <si>
    <t>O</t>
  </si>
  <si>
    <t>P</t>
  </si>
  <si>
    <t>Q</t>
  </si>
  <si>
    <t>R</t>
  </si>
  <si>
    <t>100-内资企业</t>
  </si>
  <si>
    <t>110-国有企业</t>
  </si>
  <si>
    <t>120-集体企业</t>
  </si>
  <si>
    <t>130-股份合作企业</t>
  </si>
  <si>
    <t>140-联营企业</t>
  </si>
  <si>
    <t>141-国有联营企业</t>
  </si>
  <si>
    <t>142-集体联营企业</t>
  </si>
  <si>
    <t>143-国有与集体联营企业</t>
  </si>
  <si>
    <t>149-其他联营企业</t>
  </si>
  <si>
    <t>150-有限责任公司</t>
  </si>
  <si>
    <t>151-国有独资公司</t>
  </si>
  <si>
    <t>159-其他有限责任公司</t>
  </si>
  <si>
    <t>160-股份有限公司</t>
  </si>
  <si>
    <t>170-私营企业</t>
  </si>
  <si>
    <t>171-私营独资企业</t>
  </si>
  <si>
    <t>172-私营合伙企业</t>
  </si>
  <si>
    <t>173-私营有限责任公司</t>
  </si>
  <si>
    <t>174-私营股份有限公司</t>
  </si>
  <si>
    <t>175-个人独资及合伙企业</t>
  </si>
  <si>
    <t>190-其他内资企业</t>
  </si>
  <si>
    <t>200-港、澳、台商投资企业</t>
  </si>
  <si>
    <t>210-（港澳台商）合资经营企业</t>
  </si>
  <si>
    <t>220-（港澳台商）合作经营企业</t>
  </si>
  <si>
    <t>230-（港澳台商）独资经营公司</t>
  </si>
  <si>
    <t>240-（港澳台商）投资股份有限公司</t>
  </si>
  <si>
    <t>250-（港澳台商）企业</t>
  </si>
  <si>
    <t>251-（港澳台商）外企常驻代表机构</t>
  </si>
  <si>
    <t>252-（港澳台商）提供劳务承包工程作业企业</t>
  </si>
  <si>
    <t>253-（港澳台商）缴纳预提所得税的企业</t>
  </si>
  <si>
    <t>254-（港澳台商）国际运输企业</t>
  </si>
  <si>
    <t>259-其他港澳台商企业</t>
  </si>
  <si>
    <t>300-外商投资企业</t>
  </si>
  <si>
    <t>310-中外合资经营企业</t>
  </si>
  <si>
    <t>320-中外合作经营企业</t>
  </si>
  <si>
    <t>330-外商投资企业和外国企业</t>
  </si>
  <si>
    <t>340-外商投资股份有限公司</t>
  </si>
  <si>
    <t>350-外国企业</t>
  </si>
  <si>
    <t>351-外国企业常驻代表机构</t>
  </si>
  <si>
    <t>352-提供劳务、承包工程作业企业</t>
  </si>
  <si>
    <t>353-缴纳预提所得税的企业</t>
  </si>
  <si>
    <t>354-国际运输企业</t>
  </si>
  <si>
    <t>359-其他外国企业</t>
  </si>
  <si>
    <t>400-个体经营</t>
  </si>
  <si>
    <t>410-个体工商户</t>
  </si>
  <si>
    <t>411-内资个体</t>
  </si>
  <si>
    <t>412-港澳台个体</t>
  </si>
  <si>
    <t>413-外资个体</t>
  </si>
  <si>
    <t>420-个人合伙</t>
  </si>
  <si>
    <t>421-内资合伙</t>
  </si>
  <si>
    <t>422-港澳台合伙</t>
  </si>
  <si>
    <t>423-外资合伙</t>
  </si>
  <si>
    <t>430-个人</t>
  </si>
  <si>
    <t>431-内资个人</t>
  </si>
  <si>
    <t>432-港澳台个人</t>
  </si>
  <si>
    <t>433-外资个人</t>
  </si>
  <si>
    <t>500-非企业单位</t>
  </si>
  <si>
    <t>510-事业单位</t>
  </si>
  <si>
    <t>520-民办非企业单位</t>
  </si>
  <si>
    <t>521-民办非企业单位（法人）</t>
  </si>
  <si>
    <t>522-民办非企业单位（合伙）</t>
  </si>
  <si>
    <t>523-民办非企业单位（个人）</t>
  </si>
  <si>
    <t>530-国家机关</t>
  </si>
  <si>
    <t>540-政党机关</t>
  </si>
  <si>
    <t>550-社会团体</t>
  </si>
  <si>
    <t>560-基层群众自治组织</t>
  </si>
  <si>
    <t>A-农、林、牧、渔业</t>
  </si>
  <si>
    <t>B-采矿业</t>
  </si>
  <si>
    <t>C-制造业</t>
  </si>
  <si>
    <t>D-电力、热力、燃气及水生产和供应业</t>
  </si>
  <si>
    <t>E-建筑业</t>
  </si>
  <si>
    <t>F-批发和零售业</t>
  </si>
  <si>
    <t>G-交通运输、仓储和邮政业</t>
  </si>
  <si>
    <t>H-住宿和餐饮业</t>
  </si>
  <si>
    <t>I-信息传输、软件和信息技术服务业</t>
  </si>
  <si>
    <t>J-金融业</t>
  </si>
  <si>
    <t>K-房地产业</t>
  </si>
  <si>
    <t>L-租赁和商务服务业</t>
  </si>
  <si>
    <t>M-科学研究和技术服务业</t>
  </si>
  <si>
    <t>N-水利、环境和公共设施管理业</t>
  </si>
  <si>
    <t>O-居民服务、修理和其他服务业</t>
  </si>
  <si>
    <t>P-教育</t>
  </si>
  <si>
    <t>Q-卫生和社会工作</t>
  </si>
  <si>
    <t>R-文化、体育和娱乐业</t>
  </si>
  <si>
    <t>S-公共管理、社会保障和社会组织</t>
  </si>
  <si>
    <t>T-国际组织</t>
  </si>
  <si>
    <t>是否享受及享受税收优惠类型</t>
  </si>
  <si>
    <t>对享受税收优惠情况进行简要描述并填报减免企业应纳税所得额。</t>
  </si>
  <si>
    <t>是否发生日常经营业务以外的法律结构或经济结构重大改变的交易，如债务重组、股权收购等</t>
  </si>
  <si>
    <t>对债务重组、股权收购等事项进行简要描述并填报相应事项的损益金额。</t>
  </si>
  <si>
    <t>是否发生资产损失</t>
  </si>
  <si>
    <t>对资产损失情况进行简要描述并填报资产损失金额。</t>
  </si>
  <si>
    <t>是否取得不征税收入</t>
  </si>
  <si>
    <t>对取得不征税收入情况进行简要描述并填报不征税收入金额。</t>
  </si>
  <si>
    <t>对需要披露的其他事项进行简要描述并填报相应金额。</t>
  </si>
  <si>
    <t xml:space="preserve">项目   </t>
  </si>
  <si>
    <t>是/否</t>
  </si>
  <si>
    <t>简要描述</t>
  </si>
  <si>
    <t>金额（单位：元）</t>
  </si>
  <si>
    <t xml:space="preserve">备注     </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</si>
  <si>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</si>
  <si>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</si>
  <si>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本期发生数</t>
  </si>
  <si>
    <t>本期转出数</t>
  </si>
  <si>
    <t>期末未审数</t>
  </si>
  <si>
    <t>固定资产与折旧</t>
  </si>
  <si>
    <t>重分类金额</t>
  </si>
  <si>
    <t xml:space="preserve">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
</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</si>
  <si>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</si>
  <si>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 xml:space="preserve">调整数 </t>
  </si>
  <si>
    <t>资本公积</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</si>
  <si>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</si>
  <si>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</si>
  <si>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</si>
  <si>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境外应纳税所得额</t>
  </si>
  <si>
    <t>境外所得应纳税额</t>
  </si>
  <si>
    <t>境外所得可抵免税额</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</si>
  <si>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</si>
  <si>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</si>
  <si>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</si>
  <si>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</si>
  <si>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</si>
  <si>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</si>
  <si>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</si>
  <si>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</si>
  <si>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</si>
  <si>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</si>
  <si>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</si>
  <si>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</si>
  <si>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</si>
  <si>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</si>
  <si>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</si>
  <si>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</si>
  <si>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</si>
  <si>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</si>
  <si>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</si>
  <si>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</si>
  <si>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</si>
  <si>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</si>
  <si>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</si>
  <si>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</si>
  <si>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</si>
  <si>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</si>
  <si>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</si>
  <si>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</si>
  <si>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10=8-9</t>
  </si>
  <si>
    <t>固定资产及折旧审核表</t>
  </si>
  <si>
    <t>提示：本表用于验算采用直线法计提折旧的客户。采用其他折旧方法的应另附验算记录。</t>
  </si>
  <si>
    <t>审核时应关注企业折旧率是否结算准确。</t>
  </si>
  <si>
    <t>日　期</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</si>
  <si>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</si>
  <si>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</si>
  <si>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</si>
  <si>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</si>
  <si>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</si>
  <si>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</si>
  <si>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</si>
  <si>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</si>
  <si>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</si>
  <si>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</si>
  <si>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</si>
  <si>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</si>
  <si>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</si>
  <si>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</si>
  <si>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</si>
  <si>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一、长期待摊费用</t>
  </si>
  <si>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</si>
  <si>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</si>
  <si>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</si>
  <si>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</si>
  <si>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</si>
  <si>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</si>
  <si>
    <t>其他业务利润</t>
  </si>
  <si>
    <t>调整或重新分类数</t>
  </si>
  <si>
    <t>工资薪金支出</t>
  </si>
  <si>
    <t>职工福利费支出</t>
  </si>
  <si>
    <t>职工教育经费支出</t>
  </si>
  <si>
    <t>工会经费支出</t>
  </si>
  <si>
    <t>业务招待费支出</t>
  </si>
  <si>
    <t>广告费和业务宣传费支出</t>
  </si>
  <si>
    <t>捐赠支出</t>
  </si>
  <si>
    <t>罚金、罚款和被没收财物的损失</t>
  </si>
  <si>
    <t>社保公积审核表</t>
  </si>
  <si>
    <t>招待费审核表</t>
  </si>
  <si>
    <t>赞助支出</t>
  </si>
  <si>
    <t>捐赠支出审核表</t>
  </si>
  <si>
    <t>各类基本社会保障性缴款</t>
  </si>
  <si>
    <t>补充养老险、补充医疗保险</t>
  </si>
  <si>
    <t>纳税调整项目明细表</t>
  </si>
  <si>
    <t>借款单位</t>
  </si>
  <si>
    <t>借款金额</t>
  </si>
  <si>
    <t>借款                       期限</t>
  </si>
  <si>
    <t>利率</t>
  </si>
  <si>
    <t>银行同期利率</t>
  </si>
  <si>
    <t>实际列支                        利息金额</t>
  </si>
  <si>
    <t>允许扣                           除金额</t>
  </si>
  <si>
    <t>超标准列                 支金额</t>
  </si>
  <si>
    <t>纳税调整明细表!C34</t>
  </si>
  <si>
    <t>实收公积审核表</t>
  </si>
  <si>
    <t>金额单位:元(列至角分)</t>
  </si>
  <si>
    <t>准备金类别</t>
  </si>
  <si>
    <t>本期转回额</t>
  </si>
  <si>
    <t>本期计提额</t>
  </si>
  <si>
    <t>坏（呆）账准备</t>
  </si>
  <si>
    <t>*其中：消耗性生物资产减值准备</t>
  </si>
  <si>
    <t>*持有至到期投资减值准备</t>
  </si>
  <si>
    <t>*可供出售金融资产减值</t>
  </si>
  <si>
    <t>其他事项!B17</t>
  </si>
  <si>
    <t>#短期投资跌价准备</t>
  </si>
  <si>
    <t>长期股权投资减值准备</t>
  </si>
  <si>
    <t>纳税调整明细表!G56</t>
  </si>
  <si>
    <t>*投资性房地产减值准备</t>
  </si>
  <si>
    <t>固定资产减值准备</t>
  </si>
  <si>
    <t>1、已确认并转销的应收款项以后又收回的，相关金额以负数表示，填入第2列（本期转回额）</t>
  </si>
  <si>
    <t>在建工程（工程物资）减值准备</t>
  </si>
  <si>
    <t>*生产性生物资产减值准备</t>
  </si>
  <si>
    <t>无形资产减值准备</t>
  </si>
  <si>
    <t>商誉减值准备</t>
  </si>
  <si>
    <t>贷款损失准备</t>
  </si>
  <si>
    <t>矿区权益减值</t>
  </si>
  <si>
    <t>被投资企业</t>
  </si>
  <si>
    <t>投资成本</t>
  </si>
  <si>
    <t>主
营
业
务
收
入</t>
  </si>
  <si>
    <t>成本费用明细表!A1</t>
  </si>
  <si>
    <t xml:space="preserve">    自填，必录。</t>
  </si>
  <si>
    <t xml:space="preserve">    填写对应代码：</t>
  </si>
  <si>
    <t xml:space="preserve">    1-保留意见</t>
  </si>
  <si>
    <t xml:space="preserve">    2-否定意见</t>
  </si>
  <si>
    <t xml:space="preserve">    3-无保留意见</t>
  </si>
  <si>
    <t xml:space="preserve">    4-无法表明意见</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</si>
  <si>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</si>
  <si>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</si>
  <si>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</si>
  <si>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财务费用</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</si>
  <si>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</si>
  <si>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</si>
  <si>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</si>
  <si>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</si>
  <si>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</si>
  <si>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</si>
  <si>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受益期限</t>
  </si>
  <si>
    <t>本期账面已列支金额</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</si>
  <si>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 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</si>
  <si>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</si>
  <si>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</si>
  <si>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</si>
  <si>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</si>
  <si>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调整数</t>
  </si>
  <si>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</si>
  <si>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</si>
  <si>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</si>
  <si>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</si>
  <si>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</si>
  <si>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</si>
  <si>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</si>
  <si>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</si>
  <si>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</si>
  <si>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</si>
  <si>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</si>
  <si>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</si>
  <si>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</si>
  <si>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</si>
  <si>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</si>
  <si>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库存商品</t>
  </si>
  <si>
    <t>低值易耗品</t>
  </si>
  <si>
    <t>数据来源：存货类别科目的明细账或科目余额表</t>
  </si>
  <si>
    <t>商品进销差价</t>
  </si>
  <si>
    <t>存货跌价准备</t>
  </si>
  <si>
    <t>项目内容</t>
  </si>
  <si>
    <t>原始金额</t>
  </si>
  <si>
    <t>年初余额</t>
  </si>
  <si>
    <t>本年借方</t>
  </si>
  <si>
    <t>本年贷方</t>
  </si>
  <si>
    <t>年末余额</t>
  </si>
  <si>
    <t>待摊费用</t>
  </si>
  <si>
    <t>(7)=(1)+(2)-(3)-(4)</t>
    <phoneticPr fontId="51" type="noConversion"/>
  </si>
  <si>
    <t>(12)=(7)+(8)+(9)</t>
    <phoneticPr fontId="51" type="noConversion"/>
  </si>
  <si>
    <t>(18)=(12)+(13)-(14)-(15)</t>
    <phoneticPr fontId="51" type="noConversion"/>
  </si>
  <si>
    <t>(33)=(18)+(19)+(20)-(21)-(22)+(25)+(29)</t>
    <phoneticPr fontId="51" type="noConversion"/>
  </si>
  <si>
    <t>合并分立企业转入可弥补亏损额</t>
    <phoneticPr fontId="51"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</si>
  <si>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</si>
  <si>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</si>
  <si>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</si>
  <si>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</si>
  <si>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</si>
  <si>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</si>
  <si>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</si>
  <si>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</si>
  <si>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</si>
  <si>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</si>
  <si>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</si>
  <si>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</si>
  <si>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</si>
  <si>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</si>
  <si>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</si>
  <si>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t xml:space="preserve"> 索引号:</t>
  </si>
  <si>
    <t xml:space="preserve">    本公</t>
  </si>
  <si>
    <t>司委托贵所对</t>
  </si>
  <si>
    <t>为了明确责任和对贵所工作的支持和充分合作,我们特此声明如下：</t>
  </si>
  <si>
    <t xml:space="preserve">    1、本公司依照《企业会计准则》和有关财务会计制度的规定进行会计核算和编制会</t>
  </si>
  <si>
    <t>计报表，公允地反映本公司的财务状况和经营成果。本公司对会计报表、会计记录和所</t>
  </si>
  <si>
    <t>提供的有关资料的真实性、合法性和完整性承担责任。</t>
  </si>
  <si>
    <t xml:space="preserve">    2、本公司已向贵所提供所有的财务及会计记录、股东会及董事会会议记录、重大交</t>
  </si>
  <si>
    <t>易合同、关联交易清单以及其他有关的资料。本公司所有交易事项皆已入账，所有交易</t>
  </si>
  <si>
    <t>事项的相关资料均已在账簿中充分反映，不存在会计报表与账簿及有关凭证间的差错。</t>
  </si>
  <si>
    <t xml:space="preserve">    3、本公司确信：（1）没有任何未在账上体现的资产和收益及未披露的或有收益；</t>
  </si>
  <si>
    <t>（2）报表和账簿中反映的所有负债完全属实，没有无需支付的债务；（3）没有任何重大</t>
  </si>
  <si>
    <t>未预计或未披露的可能诉讼、背书、承兑、保证等或有损失；（4）没有任何违反国家法律、</t>
  </si>
  <si>
    <t>法规或合同的规定而需要调整或披露的事项；（5）没有发现管理人员或其他员工舞弊的</t>
  </si>
  <si>
    <t>事情；</t>
  </si>
  <si>
    <t>（6）没有接到主管机关、税务部门等要求调整或改进会计报表的通知。</t>
  </si>
  <si>
    <t xml:space="preserve">    4、贵所仅受托对本公司已提供给贵所注册税务师审核的会计资料的应税事项进行审</t>
  </si>
  <si>
    <r>
      <t>核，但不包含个人所得税、</t>
    </r>
    <r>
      <rPr>
        <u/>
        <sz val="12"/>
        <rFont val="宋体"/>
        <family val="3"/>
        <charset val="134"/>
      </rPr>
      <t xml:space="preserve">                                          </t>
    </r>
    <r>
      <rPr>
        <sz val="12"/>
        <rFont val="宋体"/>
        <family val="3"/>
        <charset val="134"/>
      </rPr>
      <t>等。本公司</t>
    </r>
  </si>
  <si>
    <t>本次所提供会计资料以外的所有应税事项由本公司负责。本公司对注册税务师在审核过</t>
  </si>
  <si>
    <t>程中提出的所有调整事项均予确认。</t>
  </si>
  <si>
    <t xml:space="preserve">    5、本公司同意将本声明书作为本公司与贵所签定的《业务约定书》的组成部分。</t>
  </si>
  <si>
    <t xml:space="preserve">委托单位负责人(签章)：  </t>
  </si>
  <si>
    <t xml:space="preserve">声明单位(公章)：   </t>
  </si>
  <si>
    <t>财务部门负责人(签章)：</t>
  </si>
  <si>
    <t>索引号:</t>
  </si>
  <si>
    <t>日  期</t>
  </si>
  <si>
    <t>一、审核项目</t>
  </si>
  <si>
    <t>二、审核目标</t>
  </si>
  <si>
    <t>三、计划审核日期</t>
  </si>
  <si>
    <t>约定工作日开始日</t>
  </si>
  <si>
    <t>外勤工作日自</t>
  </si>
  <si>
    <t>至</t>
  </si>
  <si>
    <t>共计</t>
  </si>
  <si>
    <t>日</t>
  </si>
  <si>
    <t>人次</t>
  </si>
  <si>
    <t>编写报告自</t>
  </si>
  <si>
    <t>审核截止日期</t>
  </si>
  <si>
    <t>四、审核小组组成及人员分工：</t>
  </si>
  <si>
    <t>姓名</t>
  </si>
  <si>
    <t>职务或资格</t>
  </si>
  <si>
    <t>分工</t>
  </si>
  <si>
    <t xml:space="preserve">备注 </t>
  </si>
  <si>
    <t>项目经理</t>
  </si>
  <si>
    <t>底稿审核人</t>
  </si>
  <si>
    <t>审核助理</t>
  </si>
  <si>
    <t>主任税务师意见：</t>
  </si>
  <si>
    <t>项        目</t>
  </si>
  <si>
    <t>是否建立</t>
  </si>
  <si>
    <t>执行情况</t>
  </si>
  <si>
    <t>是</t>
  </si>
  <si>
    <t>不适用</t>
  </si>
  <si>
    <t>很好</t>
  </si>
  <si>
    <t>一般</t>
  </si>
  <si>
    <t>不好</t>
  </si>
  <si>
    <t>1、会计核算制度</t>
  </si>
  <si>
    <t>2、成本核算制度</t>
  </si>
  <si>
    <t>3、财务管理制度</t>
  </si>
  <si>
    <t>4、现金管理制度</t>
  </si>
  <si>
    <t>5、支票管理制度</t>
  </si>
  <si>
    <t>6、费用开支标准及审批制度</t>
  </si>
  <si>
    <t>7、发票管理制度</t>
  </si>
  <si>
    <t>8、产品销售及劳务提供制度</t>
  </si>
  <si>
    <t>9、存货采购、收发、保管制度</t>
  </si>
  <si>
    <t>10、固定资产管理制度</t>
  </si>
  <si>
    <t>11、内部审计制度</t>
  </si>
  <si>
    <t>12、</t>
  </si>
  <si>
    <t>13、</t>
  </si>
  <si>
    <t>14、</t>
  </si>
  <si>
    <t>15、其他事项调查</t>
  </si>
  <si>
    <t>调查结果</t>
  </si>
  <si>
    <t xml:space="preserve">   （1）本期是否经批准实行工效挂钩</t>
  </si>
  <si>
    <t xml:space="preserve">   （2）本期是否存在以利补亏</t>
  </si>
  <si>
    <t xml:space="preserve">   （3）本期是否接受税务机关的税收检查</t>
  </si>
  <si>
    <t xml:space="preserve">   （4）本期是否受到税务等部门行政处罚</t>
  </si>
  <si>
    <t xml:space="preserve">   （5）本期是否存在重大税收政策调整</t>
  </si>
  <si>
    <t xml:space="preserve">   （6）本期是否提取各项减值准备</t>
  </si>
  <si>
    <t>编制说明：企业除上述列举项目外，还有未包括进去的制度，应在空白行列示。</t>
  </si>
  <si>
    <t>企业所得税汇算清缴审核调查问卷</t>
  </si>
  <si>
    <t>调查内容</t>
  </si>
  <si>
    <t>委托单位回答</t>
  </si>
  <si>
    <t>一、有关产品、商品、劳务销售方面</t>
  </si>
  <si>
    <t>1、产品（商品）销售和提供应税劳务是否按税法规定全部记入收入账户？</t>
  </si>
  <si>
    <t>1、全部是（</t>
  </si>
  <si>
    <t>）</t>
  </si>
  <si>
    <t>2、有的不是（</t>
  </si>
  <si>
    <t>2、企业是否存在分期收款发出商品的销售方式？</t>
  </si>
  <si>
    <t xml:space="preserve">1、是   （ </t>
  </si>
  <si>
    <t xml:space="preserve">2、否（ </t>
  </si>
  <si>
    <t>3、企业是否存在提供劳务收入？</t>
  </si>
  <si>
    <t>1、是（</t>
  </si>
  <si>
    <t>2、否（</t>
  </si>
  <si>
    <t>4、企业是否存在非货币性资产交换，以及将产品、商品或劳务用于捐赠、赞助、集资、广告、样品、职工福利（所有权转移）和利润分配等方面，而未做销售处理的？</t>
  </si>
  <si>
    <t xml:space="preserve">1、有（ </t>
  </si>
  <si>
    <t>2、无（</t>
  </si>
  <si>
    <t xml:space="preserve">已按规定进行会计处理（ </t>
  </si>
  <si>
    <t>未按规定进行会计处理（</t>
  </si>
  <si>
    <t>5、企业是否存在向购货方收取的价外费用未记入收入账户？</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</si>
  <si>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</si>
  <si>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7、年终库存商品收发明细账，是否与销售明细帐，存货总账相核对，有无差错？</t>
  </si>
  <si>
    <t xml:space="preserve">1、进行了核对（  </t>
  </si>
  <si>
    <t>）有差错（</t>
  </si>
  <si>
    <t xml:space="preserve">  无差错（</t>
  </si>
  <si>
    <t xml:space="preserve">2、未核对（ </t>
  </si>
  <si>
    <t xml:space="preserve">  其中：接受捐赠收入</t>
  </si>
  <si>
    <t>盈余公积</t>
  </si>
  <si>
    <t>本期新增资本及资本公积是否缴纳印花税</t>
  </si>
  <si>
    <t>如未申报缴纳印花税应补缴：</t>
  </si>
  <si>
    <t>项 目</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</si>
  <si>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</si>
  <si>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</si>
  <si>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</si>
  <si>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</si>
  <si>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</si>
  <si>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</si>
  <si>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</si>
  <si>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</si>
  <si>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</si>
  <si>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</si>
  <si>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</si>
  <si>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按
月
份
分
析</t>
  </si>
  <si>
    <t>全年</t>
  </si>
  <si>
    <t>大类</t>
  </si>
  <si>
    <t>按
类
别
分
析</t>
  </si>
  <si>
    <t>小类</t>
  </si>
  <si>
    <t>审核说明</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</si>
  <si>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</si>
  <si>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</si>
  <si>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</si>
  <si>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</si>
  <si>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</si>
  <si>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</si>
  <si>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</si>
  <si>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</si>
  <si>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</si>
  <si>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</si>
  <si>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</si>
  <si>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</si>
  <si>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</si>
  <si>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</si>
  <si>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</si>
  <si>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</si>
  <si>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</si>
  <si>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</si>
  <si>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</si>
  <si>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</si>
  <si>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</si>
  <si>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</si>
  <si>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</si>
  <si>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</si>
  <si>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</si>
  <si>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</si>
  <si>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</si>
  <si>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</si>
  <si>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未审数</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</si>
  <si>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</si>
  <si>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</si>
  <si>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</si>
  <si>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</si>
  <si>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</si>
  <si>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</si>
  <si>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</si>
  <si>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</si>
  <si>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</si>
  <si>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</si>
  <si>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</si>
  <si>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</si>
  <si>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 xml:space="preserve">  加：直接人工成本</t>
  </si>
  <si>
    <t>(8)</t>
  </si>
  <si>
    <t xml:space="preserve">  加：制造费用</t>
  </si>
  <si>
    <t>(9)</t>
  </si>
  <si>
    <t>(10)</t>
  </si>
  <si>
    <t>(11)</t>
  </si>
  <si>
    <t>产品生产成本</t>
  </si>
  <si>
    <t xml:space="preserve">  加：在产品期初余额</t>
  </si>
  <si>
    <t>(13)</t>
  </si>
  <si>
    <t xml:space="preserve">  减：在产品期末余额</t>
  </si>
  <si>
    <t>(14)</t>
  </si>
  <si>
    <t xml:space="preserve">  减：其他在产品发出额</t>
  </si>
  <si>
    <t>(15)</t>
  </si>
  <si>
    <t>(16)</t>
  </si>
  <si>
    <t>(17)</t>
  </si>
  <si>
    <t>存货商品成本</t>
  </si>
  <si>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</si>
  <si>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</si>
  <si>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</si>
  <si>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</si>
  <si>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</si>
  <si>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</si>
  <si>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</si>
  <si>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</si>
  <si>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</si>
  <si>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</si>
  <si>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</si>
  <si>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</si>
  <si>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</si>
  <si>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</si>
  <si>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</si>
  <si>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加：领用包装物直接进入产成
    品成本</t>
  </si>
  <si>
    <t>(29)</t>
  </si>
  <si>
    <t>(30)</t>
  </si>
  <si>
    <t>(31)</t>
  </si>
  <si>
    <t>(32)</t>
  </si>
  <si>
    <t>主营业务成本</t>
  </si>
  <si>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</si>
  <si>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</si>
  <si>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</si>
  <si>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</si>
  <si>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</si>
  <si>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</si>
  <si>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</si>
  <si>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</si>
  <si>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</si>
  <si>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</si>
  <si>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</si>
  <si>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t>
  </si>
  <si>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</si>
  <si>
    <t>允许扣除金额</t>
  </si>
  <si>
    <t>纳税调增金额</t>
  </si>
  <si>
    <t>房地产企业已缴纳税款的预收款净额</t>
  </si>
  <si>
    <t>房地产企业因预收款产生的调整差异</t>
  </si>
  <si>
    <t>∧、＜、T、S、D3</t>
  </si>
  <si>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</si>
  <si>
    <t>资产类别</t>
  </si>
  <si>
    <t>期初余额</t>
  </si>
  <si>
    <t>本期增加</t>
  </si>
  <si>
    <t>本期减少</t>
  </si>
  <si>
    <t>期末余额</t>
  </si>
  <si>
    <t>计税基础</t>
  </si>
  <si>
    <t>一、固定资产原值</t>
  </si>
  <si>
    <t>房屋建筑</t>
  </si>
  <si>
    <t>机械设备</t>
  </si>
  <si>
    <t>折旧验算表</t>
  </si>
  <si>
    <t>工器家具</t>
  </si>
  <si>
    <t>运输工具</t>
  </si>
  <si>
    <t>电子设备</t>
  </si>
  <si>
    <t>在建工程审核表</t>
  </si>
  <si>
    <t>二、累计折旧合计</t>
  </si>
  <si>
    <t>本期税收允许计提的折旧</t>
  </si>
  <si>
    <t>起</t>
    <phoneticPr fontId="51" type="noConversion"/>
  </si>
  <si>
    <t>止</t>
    <phoneticPr fontId="51" type="noConversion"/>
  </si>
  <si>
    <t>附列资料</t>
  </si>
  <si>
    <t>以前年度多缴的所得税额在本年抵减额</t>
  </si>
  <si>
    <t>营业税</t>
  </si>
  <si>
    <t>城建税</t>
  </si>
  <si>
    <t>教育费附加</t>
  </si>
  <si>
    <t>地方教育附加</t>
  </si>
  <si>
    <t>文化事业建设费</t>
  </si>
  <si>
    <t>企业所得税</t>
  </si>
  <si>
    <t>个人所得税</t>
  </si>
  <si>
    <t>房产税</t>
  </si>
  <si>
    <t>土地使用税</t>
  </si>
  <si>
    <t>印花税</t>
  </si>
  <si>
    <t>小计</t>
  </si>
  <si>
    <t>备
注</t>
  </si>
  <si>
    <t>签  名</t>
  </si>
  <si>
    <t>工资薪金总额</t>
  </si>
  <si>
    <t>职工福利费</t>
  </si>
  <si>
    <t>职工教育经费</t>
  </si>
  <si>
    <t>职工工会经费</t>
  </si>
  <si>
    <t>生产成本</t>
  </si>
  <si>
    <t>资产负债表</t>
  </si>
  <si>
    <t>制造费用</t>
  </si>
  <si>
    <t>销售（营业）费用</t>
  </si>
  <si>
    <t>纳税调整明细表</t>
  </si>
  <si>
    <t>管理费用</t>
  </si>
  <si>
    <t>在建工程</t>
  </si>
  <si>
    <t>其他事项!D32</t>
  </si>
  <si>
    <t>其他</t>
  </si>
  <si>
    <t>制造费用、生产成本审核表</t>
  </si>
  <si>
    <t>未审金额小计</t>
  </si>
  <si>
    <t>凭证检查!A1</t>
  </si>
  <si>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</si>
  <si>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税收金额</t>
  </si>
  <si>
    <t>本期纳税调增额</t>
  </si>
  <si>
    <t>本期结转至以后年度扣除额</t>
  </si>
  <si>
    <t>以前年度累计结转额</t>
  </si>
  <si>
    <t>本期实际扣除以前年度结转额</t>
  </si>
  <si>
    <t>本期纳税调减额</t>
  </si>
  <si>
    <t>累计结转以后年度扣除额</t>
  </si>
  <si>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</si>
  <si>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</si>
  <si>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</si>
  <si>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</si>
  <si>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</si>
  <si>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</si>
  <si>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</si>
  <si>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</si>
  <si>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</si>
  <si>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</si>
  <si>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</si>
  <si>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</si>
  <si>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</si>
  <si>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</si>
  <si>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</si>
  <si>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</si>
  <si>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审核标识及说明</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</si>
  <si>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</si>
  <si>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</si>
  <si>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</si>
  <si>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</si>
  <si>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</si>
  <si>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</si>
  <si>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</si>
  <si>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</si>
  <si>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营业费用实际列支额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</si>
  <si>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</si>
  <si>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</si>
  <si>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</si>
  <si>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</si>
  <si>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</si>
  <si>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</si>
  <si>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</si>
  <si>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</si>
  <si>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</si>
  <si>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</si>
  <si>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</si>
  <si>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</si>
  <si>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广宣!J32</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</si>
  <si>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</si>
  <si>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企业所得税弥补亏损明细表</t>
  </si>
  <si>
    <t>前四年度</t>
  </si>
  <si>
    <t>前三年度</t>
  </si>
  <si>
    <t>前二年度</t>
  </si>
  <si>
    <t>前一年度</t>
  </si>
  <si>
    <t>本年</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</si>
  <si>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</si>
  <si>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</si>
  <si>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</si>
  <si>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</si>
  <si>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</si>
  <si>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其他中含（1）不需支付的应付款</t>
  </si>
  <si>
    <t xml:space="preserve">    （2）保险赔款</t>
  </si>
  <si>
    <t>捐赠</t>
  </si>
  <si>
    <t xml:space="preserve">     (3)其他</t>
  </si>
  <si>
    <t>营业外收入合计</t>
  </si>
  <si>
    <t>否</t>
    <phoneticPr fontId="51" type="noConversion"/>
  </si>
  <si>
    <t>0</t>
    <phoneticPr fontId="51"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</si>
  <si>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</si>
  <si>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</si>
  <si>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</si>
  <si>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</si>
  <si>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</si>
  <si>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项         目</t>
  </si>
  <si>
    <t>现金证明书金额</t>
  </si>
  <si>
    <t>现金</t>
  </si>
  <si>
    <t>人民币现金</t>
  </si>
  <si>
    <t>港币现金</t>
  </si>
  <si>
    <t>美元现金</t>
  </si>
  <si>
    <t>现金小计</t>
  </si>
  <si>
    <t>银行存款</t>
  </si>
  <si>
    <t>对账单余额</t>
  </si>
  <si>
    <t>是否附调节表,且调整正确</t>
  </si>
  <si>
    <t>现金证明</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</si>
  <si>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</si>
  <si>
    <t>银行存款小计</t>
  </si>
  <si>
    <t>其他资金</t>
  </si>
  <si>
    <t>其他货币资金小计</t>
  </si>
  <si>
    <t>空白处数据来源：                                                                                                                                            1、现金总账、银行存款总账或科目余额表                                                                                                                                   2、现金证明书                                                                                                     3、12月份银行对账单</t>
  </si>
  <si>
    <t>货币资金合计</t>
  </si>
  <si>
    <t>∧、＜、T、G、S</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</si>
  <si>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</si>
  <si>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</si>
  <si>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</si>
  <si>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</si>
  <si>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</si>
  <si>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</si>
  <si>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</si>
  <si>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</si>
  <si>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</si>
  <si>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</si>
  <si>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</si>
  <si>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</si>
  <si>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</si>
  <si>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</si>
  <si>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</si>
  <si>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</si>
  <si>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</si>
  <si>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会计主管：               出纳：</t>
  </si>
  <si>
    <t xml:space="preserve">                           </t>
  </si>
  <si>
    <t>∧、＜、B、T、G、S</t>
  </si>
  <si>
    <t>坏账准备</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</si>
  <si>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</si>
  <si>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</si>
  <si>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</si>
  <si>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</si>
  <si>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</si>
  <si>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</si>
  <si>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</si>
  <si>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</si>
  <si>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</si>
  <si>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1-12月份个人所得税申报明细表</t>
    <phoneticPr fontId="51" type="noConversion"/>
  </si>
  <si>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</si>
  <si>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</si>
  <si>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</si>
  <si>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</si>
  <si>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</si>
  <si>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</si>
  <si>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无限期结转扣除项目情况表</t>
  </si>
  <si>
    <t>项目  情况</t>
  </si>
  <si>
    <t>本年结转以后年度扣除额</t>
  </si>
  <si>
    <t>本年抵扣以前年度结转额</t>
  </si>
  <si>
    <t>创业投资额抵扣应纳税所得额</t>
  </si>
  <si>
    <t>跨年度确认所得情况表</t>
  </si>
  <si>
    <t>发生年度</t>
  </si>
  <si>
    <t>发生金额</t>
  </si>
  <si>
    <t>确认所得</t>
  </si>
  <si>
    <t>纳税人名称：</t>
    <phoneticPr fontId="51" type="noConversion"/>
  </si>
  <si>
    <t>纳税人代码：</t>
    <phoneticPr fontId="51" type="noConversion"/>
  </si>
  <si>
    <t>年度：</t>
    <phoneticPr fontId="51" type="noConversion"/>
  </si>
  <si>
    <t>广告费和业务宣传费</t>
    <phoneticPr fontId="51" type="noConversion"/>
  </si>
  <si>
    <t>合计</t>
    <phoneticPr fontId="51" type="noConversion"/>
  </si>
  <si>
    <t>债务重组所得</t>
    <phoneticPr fontId="51" type="noConversion"/>
  </si>
  <si>
    <t>向非居民企业投资转让所得</t>
    <phoneticPr fontId="51" type="noConversion"/>
  </si>
  <si>
    <t>搬迁收入</t>
    <phoneticPr fontId="51" type="noConversion"/>
  </si>
  <si>
    <t>租金收入</t>
    <phoneticPr fontId="51" type="noConversion"/>
  </si>
  <si>
    <t>2A-13</t>
  </si>
  <si>
    <t>2A-14</t>
  </si>
  <si>
    <t>无限期结转审核表</t>
    <phoneticPr fontId="51" type="noConversion"/>
  </si>
  <si>
    <t>跨年度确认所得审核表</t>
    <phoneticPr fontId="51" type="noConversion"/>
  </si>
  <si>
    <t>索引号</t>
    <phoneticPr fontId="51" type="noConversion"/>
  </si>
  <si>
    <t>编制人</t>
    <phoneticPr fontId="51" type="noConversion"/>
  </si>
  <si>
    <t>复核人</t>
    <phoneticPr fontId="51" type="noConversion"/>
  </si>
  <si>
    <t>日期</t>
    <phoneticPr fontId="51" type="noConversion"/>
  </si>
  <si>
    <t>合计</t>
    <phoneticPr fontId="51" type="noConversion"/>
  </si>
  <si>
    <t>备注</t>
    <phoneticPr fontId="51" type="noConversion"/>
  </si>
  <si>
    <t xml:space="preserve">  3、报告签收人声明： 本人负责该项业务收费的收取。若三个月后未能全额收费，则本人同意从本人奖金及工资中扣除。</t>
  </si>
  <si>
    <t xml:space="preserve">  4、报告签收人：</t>
  </si>
  <si>
    <t>日期：</t>
  </si>
  <si>
    <t>执业人员：</t>
  </si>
  <si>
    <t>复核人员</t>
  </si>
  <si>
    <t>复核要点</t>
  </si>
  <si>
    <t>复核与否</t>
  </si>
  <si>
    <t>于3年）规定处理，但一经选定，不得改变。企业在新企业所得税法实施以前年度的未摊销完的开办费，也可按照上述规定处理。</t>
  </si>
  <si>
    <t>各类社会保障性缴款和住房公积金审核表</t>
  </si>
  <si>
    <t>调增金额</t>
  </si>
  <si>
    <t>调减金额</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</si>
  <si>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</si>
  <si>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</si>
  <si>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</si>
  <si>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</si>
  <si>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</si>
  <si>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</si>
  <si>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</si>
  <si>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（二）补充养老保险、补充医疗保险</t>
  </si>
  <si>
    <t xml:space="preserve">      补充养老保险</t>
  </si>
  <si>
    <t xml:space="preserve">      补充医疗保险</t>
  </si>
  <si>
    <t>（三）住房公积金</t>
  </si>
  <si>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</si>
  <si>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</si>
  <si>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</si>
  <si>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</si>
  <si>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</si>
  <si>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</si>
  <si>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</si>
  <si>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</si>
  <si>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个人</t>
  </si>
  <si>
    <t>工资福利</t>
  </si>
  <si>
    <t>税收优惠明细表</t>
  </si>
  <si>
    <t>纳税调整明细表!A1</t>
  </si>
  <si>
    <t>补充养老</t>
  </si>
  <si>
    <t>补充医疗</t>
  </si>
  <si>
    <t>广告发布者名称</t>
  </si>
  <si>
    <t>支出额</t>
  </si>
  <si>
    <t>审核调整额</t>
  </si>
  <si>
    <t>审核确认额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</si>
  <si>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</si>
  <si>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</si>
  <si>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</si>
  <si>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</si>
  <si>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</si>
  <si>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</si>
  <si>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</si>
  <si>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</si>
  <si>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</si>
  <si>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</si>
  <si>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</si>
  <si>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</si>
  <si>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</si>
  <si>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</si>
  <si>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</si>
  <si>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</si>
  <si>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</si>
  <si>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</si>
  <si>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</si>
  <si>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</si>
  <si>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</si>
  <si>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</si>
  <si>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</si>
  <si>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</si>
  <si>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</si>
  <si>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</si>
  <si>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</si>
  <si>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</si>
  <si>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</si>
  <si>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t>纳税调整额</t>
  </si>
  <si>
    <t>3、往来账户</t>
  </si>
  <si>
    <t>（1）是否真实记载债权债务事项？</t>
  </si>
  <si>
    <t>1、无隐瞒（</t>
  </si>
  <si>
    <t>）2、有不实在（</t>
  </si>
  <si>
    <t>（2）是否隐瞒亏损或盈利？</t>
  </si>
  <si>
    <t>（3）有无隐瞒成本和收入（包括返利收入）情况？</t>
  </si>
  <si>
    <t>4、营业外支出中，在计算应纳税所得额时有无税法不允许扣除的项目?</t>
  </si>
  <si>
    <t>5、有无税收优惠事项？是否办理了审批手续？</t>
  </si>
  <si>
    <t xml:space="preserve">2、无（ </t>
  </si>
  <si>
    <t>审核过程中重大问题请示报告</t>
  </si>
  <si>
    <t>委托单位名称</t>
  </si>
  <si>
    <t>执行的会计制度</t>
  </si>
  <si>
    <t>承办部门</t>
  </si>
  <si>
    <t>提请决定的主要问题及初步处理意见：</t>
  </si>
  <si>
    <t>部门经理意见：</t>
  </si>
  <si>
    <t>事项说明</t>
  </si>
  <si>
    <t xml:space="preserve">请填列保留意见等。 </t>
  </si>
  <si>
    <t>公司（所）领导意见：</t>
  </si>
  <si>
    <t>审 核 组 参 加 人 员</t>
  </si>
  <si>
    <t>委 托 方 参 加 人 员</t>
  </si>
  <si>
    <t>项目经理：</t>
  </si>
  <si>
    <t>其他人员：</t>
  </si>
  <si>
    <t>姓名：</t>
  </si>
  <si>
    <t>职务：</t>
  </si>
  <si>
    <t>审核中发现的问题及处理意见：</t>
  </si>
  <si>
    <t>与委托单位交换后的处理结果:</t>
  </si>
  <si>
    <t>事项说明!A28</t>
  </si>
  <si>
    <t>签名：</t>
  </si>
  <si>
    <t>索引号：</t>
  </si>
  <si>
    <t>资料类别</t>
  </si>
  <si>
    <t>资料名称</t>
  </si>
  <si>
    <t>准备情况</t>
  </si>
  <si>
    <t>（√）</t>
  </si>
  <si>
    <t>（×）</t>
  </si>
  <si>
    <t>企业情况</t>
  </si>
  <si>
    <t>营业执照</t>
  </si>
  <si>
    <t>税务登记证</t>
  </si>
  <si>
    <t>章程</t>
  </si>
  <si>
    <t>最近的验资报告、审计报告、税审报告</t>
  </si>
  <si>
    <t>关联企业名单</t>
  </si>
  <si>
    <t>税收申报（或提供国地报税密码）</t>
  </si>
  <si>
    <t>地税电子申报明细情况表（当年度、次年1月份）</t>
  </si>
  <si>
    <t>分税种入库情况统计表(当年1月－次年1月）</t>
  </si>
  <si>
    <t>1-12月份社保实缴明细表</t>
  </si>
  <si>
    <t>12月份增值税申报表主表（增值税一般纳税人）</t>
  </si>
  <si>
    <t>12月份生产企业免抵退税总申报表</t>
  </si>
  <si>
    <t>企业所得税申报表、电子缴税税单（含次年申报缴纳）</t>
  </si>
  <si>
    <t>购销合同印花税定率征收核定表</t>
  </si>
  <si>
    <t>产权证明</t>
  </si>
  <si>
    <t>年末固定资产盘点表（提供购置日期、折旧年限）</t>
  </si>
  <si>
    <t>年末存货盘点表</t>
  </si>
  <si>
    <t>年末银行对账单</t>
  </si>
  <si>
    <t>房屋、土地等产权证件</t>
  </si>
  <si>
    <t>汽车行驶证</t>
  </si>
  <si>
    <t>开办费原始入账资料</t>
  </si>
  <si>
    <t>银行借款合同</t>
  </si>
  <si>
    <t>房租合同</t>
  </si>
  <si>
    <t>承包经营合同</t>
  </si>
  <si>
    <t>其他重要经济合同</t>
  </si>
  <si>
    <t>长期股权投资：被投资方营业执照、章程、验资报告、当年度会计报表（或审计报告）</t>
  </si>
  <si>
    <t>财务软件</t>
  </si>
  <si>
    <t>年度会计报表</t>
  </si>
  <si>
    <t>全年累计科目发生额及余额表（1级至末级）</t>
  </si>
  <si>
    <t>辅助核算科目发生额及余额表</t>
  </si>
  <si>
    <t>应付及预收账款账龄分析（含预付及应收贷方余额明细）</t>
  </si>
  <si>
    <t>预提费用、应付工资次年冲销情况证明</t>
  </si>
  <si>
    <t>其他补充</t>
  </si>
  <si>
    <t>标识</t>
  </si>
  <si>
    <t>含义</t>
  </si>
  <si>
    <t>∧</t>
  </si>
  <si>
    <t>纵加核对相符</t>
  </si>
  <si>
    <t>D1</t>
  </si>
  <si>
    <t>与企业所得税纳税申报表附表一核对一致</t>
  </si>
  <si>
    <t>＜</t>
  </si>
  <si>
    <t>横加核对相符</t>
  </si>
  <si>
    <t>D2</t>
  </si>
  <si>
    <t>与企业所得税纳税申报表附表二核对一致</t>
  </si>
  <si>
    <t>B</t>
  </si>
  <si>
    <t>与上年结转数一致</t>
  </si>
  <si>
    <t>D3</t>
  </si>
  <si>
    <t>与企业所得税纳税申报表附表三核对一致</t>
  </si>
  <si>
    <t>T</t>
  </si>
  <si>
    <t>与原始凭证核对一致</t>
  </si>
  <si>
    <t>D4</t>
  </si>
  <si>
    <t>与企业所得税纳税申报表附表四核对一致</t>
  </si>
  <si>
    <t>G</t>
  </si>
  <si>
    <t>与总分类账核对一致</t>
  </si>
  <si>
    <t>D5</t>
  </si>
  <si>
    <t>与企业所得税纳税申报表附表五核对一致</t>
  </si>
  <si>
    <t>S</t>
  </si>
  <si>
    <t>与明细分类账核对一致</t>
  </si>
  <si>
    <t>D6</t>
  </si>
  <si>
    <t>与企业所得税纳税申报表附表六核对一致</t>
  </si>
  <si>
    <t>C</t>
  </si>
  <si>
    <t>与企业所得税纳税申报表核对一致</t>
  </si>
  <si>
    <t>D7</t>
  </si>
  <si>
    <t>与企业所得税纳税申报表附表七核对一致</t>
  </si>
  <si>
    <t>AP</t>
  </si>
  <si>
    <t>纳税调整后所得</t>
  </si>
  <si>
    <t>应纳所得税额</t>
  </si>
  <si>
    <t>减：减免所得税额</t>
  </si>
  <si>
    <t>纳税人识别号</t>
  </si>
  <si>
    <t>投资总额</t>
  </si>
  <si>
    <t>投资比例</t>
  </si>
  <si>
    <t>项          目</t>
  </si>
  <si>
    <t>账载金额</t>
  </si>
  <si>
    <t>固资折旧</t>
  </si>
  <si>
    <t>无形资产摊销</t>
  </si>
  <si>
    <t>中华人民共和国企业所得税年度纳税申报表（A类）</t>
  </si>
  <si>
    <t>金额单位：元（列至角分）</t>
  </si>
  <si>
    <t>利润总额计算</t>
  </si>
  <si>
    <t>差额调整</t>
    <phoneticPr fontId="51" type="noConversion"/>
  </si>
  <si>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</si>
  <si>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</si>
  <si>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转换器取数 </t>
    <phoneticPr fontId="51" type="noConversion"/>
  </si>
  <si>
    <t>个税申报工资额</t>
    <phoneticPr fontId="51"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</si>
  <si>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</si>
  <si>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</si>
  <si>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</si>
  <si>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</si>
  <si>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</si>
  <si>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</si>
  <si>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</si>
  <si>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</si>
  <si>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</si>
  <si>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</si>
  <si>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</si>
  <si>
    <t>预提费用</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</si>
  <si>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51" type="noConversion"/>
  </si>
  <si>
    <t>注册地址</t>
  </si>
  <si>
    <t>主管税务机关</t>
  </si>
  <si>
    <t>租赁和商务服务业</t>
  </si>
  <si>
    <t>其他有限责任公司</t>
  </si>
  <si>
    <t>证件号码</t>
  </si>
  <si>
    <t>招待</t>
  </si>
  <si>
    <t>折旧测算</t>
  </si>
  <si>
    <t>无形长摊</t>
  </si>
  <si>
    <t>广宣</t>
  </si>
  <si>
    <t>利息</t>
  </si>
  <si>
    <t>主营收支</t>
  </si>
  <si>
    <t>毛利分析</t>
  </si>
  <si>
    <t>制造费用、生产成本</t>
  </si>
  <si>
    <t>成本倒轧</t>
  </si>
  <si>
    <t>存货计价测试</t>
  </si>
  <si>
    <t>其他业务</t>
  </si>
  <si>
    <t>营外收支</t>
  </si>
  <si>
    <t>货币资金</t>
  </si>
  <si>
    <t>应收</t>
  </si>
  <si>
    <t>预付</t>
  </si>
  <si>
    <t>其他应收</t>
  </si>
  <si>
    <t>存货</t>
  </si>
  <si>
    <t>待摊预提</t>
  </si>
  <si>
    <t>应付</t>
  </si>
  <si>
    <t>预收</t>
  </si>
  <si>
    <t>其他应付</t>
  </si>
  <si>
    <t>实收公积</t>
  </si>
  <si>
    <t>未分利润</t>
  </si>
  <si>
    <t>科目名称</t>
  </si>
  <si>
    <t>175</t>
  </si>
  <si>
    <t>204</t>
  </si>
  <si>
    <t>231</t>
  </si>
  <si>
    <t>科目编码</t>
  </si>
  <si>
    <t>期初借方</t>
  </si>
  <si>
    <t>期初贷方</t>
  </si>
  <si>
    <t>本期发生借方</t>
  </si>
  <si>
    <t>本期发生贷方</t>
  </si>
  <si>
    <t>期末借方</t>
  </si>
  <si>
    <t>期末贷方</t>
  </si>
  <si>
    <t>一级科目所在行</t>
    <phoneticPr fontId="51" type="noConversion"/>
  </si>
  <si>
    <t/>
  </si>
  <si>
    <t>纳税人(委托人)税务登记号</t>
  </si>
  <si>
    <t xml:space="preserve">自填，必录 </t>
  </si>
  <si>
    <t>纳税人(委托人)名称</t>
  </si>
  <si>
    <t>系统生成，必录</t>
  </si>
  <si>
    <t>自填，必录，例如2011</t>
  </si>
  <si>
    <t xml:space="preserve">    自填，必录。
    填写对应代码：
    1-保留意见
    2-否定意见
    3-无保留意见
    4-无法表明意见</t>
  </si>
  <si>
    <t>签名注册税务师1身份证号</t>
  </si>
  <si>
    <t>签名注册税务师1姓名</t>
  </si>
  <si>
    <t>签名注册税务师2身份证号</t>
  </si>
  <si>
    <t xml:space="preserve">自填      </t>
  </si>
  <si>
    <t>签名注册税务师2姓名</t>
  </si>
  <si>
    <t>系统生成</t>
  </si>
  <si>
    <t>事务所基本信息</t>
  </si>
  <si>
    <t>事务所税务登记号</t>
  </si>
  <si>
    <t>事务所名称</t>
  </si>
  <si>
    <t>事务所所长姓名</t>
  </si>
  <si>
    <t>陈元庆</t>
  </si>
  <si>
    <t>事务所执业证书号</t>
  </si>
  <si>
    <t>16023</t>
  </si>
  <si>
    <t>事务所电话号码</t>
  </si>
  <si>
    <t>事务所传真号码</t>
  </si>
  <si>
    <t>事务所通信地址</t>
  </si>
  <si>
    <t>事务所电子邮件地址</t>
  </si>
  <si>
    <t>事务所网站地址</t>
  </si>
  <si>
    <t>一、企业所得税汇算清缴纳税申报的审核过程及主要实施情况</t>
  </si>
  <si>
    <t xml:space="preserve">备注      </t>
  </si>
  <si>
    <t xml:space="preserve">  （一）贵单位与企业所得税有关的内部控制及其有效性。 </t>
  </si>
  <si>
    <t>自填，必录</t>
  </si>
  <si>
    <t xml:space="preserve">  （二）贵单位与企业所得税有关的各项内部证据和外部证据的相关性和可靠性。 </t>
  </si>
  <si>
    <t xml:space="preserve">   （三）对贵单位提供的会计资料及纳税资料等进行审核、验证、计算和进行职业推断的情况。 </t>
  </si>
  <si>
    <t>（一）经审核可以确认的应纳所得税额</t>
  </si>
  <si>
    <t>本项由系统自动取数，不需填</t>
  </si>
  <si>
    <t>（二）对保留意见审核事项的说明</t>
  </si>
  <si>
    <t xml:space="preserve">   1.不能确认该审核事项应纳所得税额的理据和原因。 </t>
  </si>
  <si>
    <t xml:space="preserve">   2.纳税调整的初步意见或解决方案。 </t>
  </si>
  <si>
    <t xml:space="preserve">  
对事项的审核情况</t>
  </si>
  <si>
    <t>自填，必录。
描述存在违反税收法律法规或有关规定的情形，并阐述经与委托人就该事项磋商不能达成一致、出具否定意见的理据。</t>
  </si>
  <si>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t>
    <phoneticPr fontId="51" type="noConversion"/>
  </si>
  <si>
    <t xml:space="preserve">  
  对事项的审核情况</t>
  </si>
  <si>
    <t>自填，必录。
详细说明该审核事项对确认应纳所得税额可能产生的重大影响，并阐述对该事项无法表明意见的理据。</t>
  </si>
  <si>
    <t>企业基本情况和企业所得税汇算清缴纳税申报审核事项说明</t>
  </si>
  <si>
    <t>一、企业基本情况</t>
  </si>
  <si>
    <t xml:space="preserve">   1．成立日期</t>
  </si>
  <si>
    <t>自填，必录，例“2011-01-01”</t>
  </si>
  <si>
    <t xml:space="preserve">   2．注册地址</t>
  </si>
  <si>
    <t xml:space="preserve">      经营地址</t>
  </si>
  <si>
    <t xml:space="preserve">   3．法人代表</t>
  </si>
  <si>
    <t xml:space="preserve">   6．企业类型</t>
  </si>
  <si>
    <t>自填，必录。填写代码。
代码对照表附于本表下方。</t>
  </si>
  <si>
    <t xml:space="preserve">   7．经营范围</t>
  </si>
  <si>
    <t xml:space="preserve">   8. 行业门类</t>
  </si>
  <si>
    <t xml:space="preserve">   9．其他</t>
  </si>
  <si>
    <t>二、主要会计政策</t>
  </si>
  <si>
    <t xml:space="preserve">   1.执行的会计准则（制度）及有关规定</t>
  </si>
  <si>
    <t>自填，必录。
填写企业适用的《企业会计准则》（或《小企业会计准则》或《××会计制度》）</t>
  </si>
  <si>
    <t xml:space="preserve">   2.会计年度起始时间</t>
  </si>
  <si>
    <t xml:space="preserve">   会计年度截止时间</t>
  </si>
  <si>
    <t>自填，必录。
例如“2011-01-01”；
“2011-12-31”</t>
  </si>
  <si>
    <t xml:space="preserve">   3.会计核算方法</t>
  </si>
  <si>
    <t>自填，必录。
填写企业在会计核算中按照法律、行政法规或者国家统一的会计制度等规定采用或者选择的、适合于本企业的具体会计处理或会计估计方法（如发出存货成本的计量、长期股权投资的后续计量、固定资产及其折旧、无形资产及其摊销、收入的确认等）。</t>
  </si>
  <si>
    <t xml:space="preserve">   4、账龄三年以上的应收账款、应付账款、其他应收款、其他应付款、预收账款、预付账款等科目说明：</t>
  </si>
  <si>
    <t>该项内容在“(二)附表-科目说明”填写。</t>
  </si>
  <si>
    <t xml:space="preserve">   5、其他</t>
  </si>
  <si>
    <t>三、审核事项说明</t>
  </si>
  <si>
    <t>该项内容在“(二)附表-纳税调整额的审核”填写</t>
  </si>
  <si>
    <t>四、其他事项说明</t>
  </si>
  <si>
    <t xml:space="preserve">   以下内容不是填表区域，仅供对照。</t>
  </si>
  <si>
    <t>内资企业</t>
  </si>
  <si>
    <t>农、林、牧、渔业</t>
  </si>
  <si>
    <t>国有企业</t>
  </si>
  <si>
    <t>采矿业</t>
  </si>
  <si>
    <t>集体企业</t>
  </si>
  <si>
    <t>制造业</t>
  </si>
  <si>
    <t>股份合作企业</t>
  </si>
  <si>
    <t>电力、热力、燃气及水生产和供应业</t>
  </si>
  <si>
    <t>联营企业</t>
  </si>
  <si>
    <t>建筑业</t>
  </si>
  <si>
    <t>国有联营企业</t>
  </si>
  <si>
    <t>批发和零售业</t>
  </si>
  <si>
    <t>集体联营企业</t>
  </si>
  <si>
    <t>交通运输、仓储和邮政业</t>
  </si>
  <si>
    <t>国有与集体联营企业</t>
  </si>
  <si>
    <t>住宿和餐饮业</t>
  </si>
  <si>
    <t>其他联营企业</t>
  </si>
  <si>
    <t>信息传输、软件和信息技术服务业</t>
  </si>
  <si>
    <t>有限责任公司</t>
  </si>
  <si>
    <t>金融业</t>
  </si>
  <si>
    <t>国有独资公司</t>
  </si>
  <si>
    <t>房地产业</t>
  </si>
  <si>
    <t>股份有限公司</t>
  </si>
  <si>
    <t>科学研究和技术服务业</t>
  </si>
  <si>
    <t>私营企业</t>
  </si>
  <si>
    <t>水利、环境和公共设施管理业</t>
  </si>
  <si>
    <t>私营独资企业</t>
  </si>
  <si>
    <t>居民服务、修理和其他服务业</t>
  </si>
  <si>
    <t>私营合伙企业</t>
  </si>
  <si>
    <t>教育</t>
  </si>
  <si>
    <t>私营有限责任公司</t>
  </si>
  <si>
    <t>卫生和社会工作</t>
  </si>
  <si>
    <t>私营股份有限公司</t>
  </si>
  <si>
    <t>文化、体育和娱乐业</t>
  </si>
  <si>
    <t>个人独资及合伙企业</t>
  </si>
  <si>
    <t>公共管理、社会保障和社会组织</t>
  </si>
  <si>
    <t>其他内资企业</t>
  </si>
  <si>
    <t>国际组织</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</si>
  <si>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</si>
  <si>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</si>
  <si>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</si>
  <si>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</si>
  <si>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</si>
  <si>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</si>
  <si>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</si>
  <si>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</si>
  <si>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</si>
  <si>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</si>
  <si>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</si>
  <si>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</si>
  <si>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</si>
  <si>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</si>
  <si>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</si>
  <si>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</si>
  <si>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</si>
  <si>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</si>
  <si>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</si>
  <si>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</si>
  <si>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</si>
  <si>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</si>
  <si>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</si>
  <si>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</si>
  <si>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</si>
  <si>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</si>
  <si>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</si>
  <si>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</si>
  <si>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</si>
  <si>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</si>
  <si>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</si>
  <si>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</si>
  <si>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</si>
  <si>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</si>
  <si>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</si>
  <si>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</si>
  <si>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</si>
  <si>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</si>
  <si>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</si>
  <si>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</si>
  <si>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</si>
  <si>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</si>
  <si>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</si>
  <si>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</si>
  <si>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企业基本情况和企业所得税汇算清缴纳税申报审核事项说明（科目说明）</t>
  </si>
  <si>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</si>
  <si>
    <t xml:space="preserve">   4、账龄三年以上的应收账款、应付账款、其他应收款、其他应付款、预收账款、预付账款等科目说明： </t>
  </si>
  <si>
    <t xml:space="preserve">一级科目 </t>
  </si>
  <si>
    <t xml:space="preserve">期末余额 </t>
  </si>
  <si>
    <t>企业基本情况和企业所得税汇算清缴纳税申报审核事项说明（纳税调整额的审核）</t>
  </si>
  <si>
    <t xml:space="preserve">   审核事项说明：纳税调整增加、减少额的审核（单位：元）</t>
  </si>
  <si>
    <t xml:space="preserve">项目  </t>
  </si>
  <si>
    <t xml:space="preserve">账载金额 </t>
  </si>
  <si>
    <t xml:space="preserve">税收金额 </t>
  </si>
  <si>
    <t>调整原因说明</t>
  </si>
  <si>
    <t xml:space="preserve">行次 </t>
  </si>
  <si>
    <t xml:space="preserve">项目 </t>
  </si>
  <si>
    <t xml:space="preserve">表间关系  </t>
  </si>
  <si>
    <t>一般企业收入明细表</t>
  </si>
  <si>
    <t>表间关系</t>
  </si>
  <si>
    <t xml:space="preserve">表间关系 </t>
  </si>
  <si>
    <t xml:space="preserve">*  </t>
  </si>
  <si>
    <t xml:space="preserve">*   </t>
  </si>
  <si>
    <t>本年度实际弥补的以前年度亏损额</t>
  </si>
  <si>
    <t>可结转以后年度弥补的亏损额</t>
  </si>
  <si>
    <t xml:space="preserve">表间关系   </t>
  </si>
  <si>
    <t>金    额</t>
  </si>
  <si>
    <t>弥补境外以前年度亏损</t>
  </si>
  <si>
    <t xml:space="preserve">*    </t>
  </si>
  <si>
    <t>01</t>
  </si>
  <si>
    <t>02</t>
  </si>
  <si>
    <t>004</t>
  </si>
  <si>
    <t>阿富汗伊斯兰国</t>
  </si>
  <si>
    <t>008</t>
  </si>
  <si>
    <t>阿尔巴尼亚共和国</t>
  </si>
  <si>
    <t>010</t>
  </si>
  <si>
    <t>南极洲</t>
  </si>
  <si>
    <t>012</t>
  </si>
  <si>
    <t>阿尔及利亚民主人民共和国</t>
  </si>
  <si>
    <t>016</t>
  </si>
  <si>
    <t>美属萨摩亚</t>
  </si>
  <si>
    <t>020</t>
  </si>
  <si>
    <t>安道尔公国</t>
  </si>
  <si>
    <t>024</t>
  </si>
  <si>
    <t>安哥拉共和国</t>
  </si>
  <si>
    <t>028</t>
  </si>
  <si>
    <t>安提瓜和巴布达</t>
  </si>
  <si>
    <t>031</t>
  </si>
  <si>
    <t>阿塞拜疆共和国</t>
  </si>
  <si>
    <t>032</t>
  </si>
  <si>
    <t>阿根廷共和国</t>
  </si>
  <si>
    <t>036</t>
  </si>
  <si>
    <t>澳大利亚联邦</t>
  </si>
  <si>
    <t>040</t>
  </si>
  <si>
    <t>奥地利共和国</t>
  </si>
  <si>
    <t>044</t>
  </si>
  <si>
    <t>巴哈马联邦</t>
  </si>
  <si>
    <t>048</t>
  </si>
  <si>
    <t>巴林国</t>
  </si>
  <si>
    <t>050</t>
  </si>
  <si>
    <t>孟加拉人民共和国</t>
  </si>
  <si>
    <t>051</t>
  </si>
  <si>
    <t>亚美尼亚共和国</t>
  </si>
  <si>
    <t>052</t>
  </si>
  <si>
    <t>巴巴多斯</t>
  </si>
  <si>
    <t>056</t>
  </si>
  <si>
    <t>比利时王国</t>
  </si>
  <si>
    <t>060</t>
  </si>
  <si>
    <t>百慕大群岛</t>
  </si>
  <si>
    <t>064</t>
  </si>
  <si>
    <t>不丹王国</t>
  </si>
  <si>
    <t>068</t>
  </si>
  <si>
    <t>玻利维亚共和国</t>
  </si>
  <si>
    <t>070</t>
  </si>
  <si>
    <t>波斯尼亚和黑塞哥维那共和国</t>
  </si>
  <si>
    <t>072</t>
  </si>
  <si>
    <t>博茨瓦纳共和国</t>
  </si>
  <si>
    <t>074</t>
  </si>
  <si>
    <t>布维岛</t>
  </si>
  <si>
    <t>076</t>
  </si>
  <si>
    <t>巴西联邦共和国</t>
  </si>
  <si>
    <t>084</t>
  </si>
  <si>
    <t>伯利兹</t>
  </si>
  <si>
    <t>086</t>
  </si>
  <si>
    <t>英属印度洋领土</t>
  </si>
  <si>
    <t>090</t>
  </si>
  <si>
    <t>所罗门群岛</t>
  </si>
  <si>
    <t>092</t>
  </si>
  <si>
    <t>英属维尔京群岛</t>
  </si>
  <si>
    <t>096</t>
  </si>
  <si>
    <t>文莱达鲁萨兰国</t>
  </si>
  <si>
    <t>100</t>
  </si>
  <si>
    <t>保加利亚共和国</t>
  </si>
  <si>
    <t>104</t>
  </si>
  <si>
    <t>缅甸联邦</t>
  </si>
  <si>
    <t>108</t>
  </si>
  <si>
    <t>布隆迪共和国</t>
  </si>
  <si>
    <t>112</t>
  </si>
  <si>
    <t>白俄罗斯共和国</t>
  </si>
  <si>
    <t>116</t>
  </si>
  <si>
    <t>柬埔寨王国</t>
  </si>
  <si>
    <t>120</t>
  </si>
  <si>
    <t>喀麦隆共和国</t>
  </si>
  <si>
    <t>124</t>
  </si>
  <si>
    <t>加拿大</t>
  </si>
  <si>
    <t>132</t>
  </si>
  <si>
    <t>佛得角共和国</t>
  </si>
  <si>
    <t>136</t>
  </si>
  <si>
    <t>开曼群岛</t>
  </si>
  <si>
    <t>140</t>
  </si>
  <si>
    <t>中非共和国</t>
  </si>
  <si>
    <t>144</t>
  </si>
  <si>
    <t>斯里兰卡民主社会主义共和国</t>
  </si>
  <si>
    <t>148</t>
  </si>
  <si>
    <t>乍得共和国</t>
  </si>
  <si>
    <t>152</t>
  </si>
  <si>
    <t>智利共和国</t>
  </si>
  <si>
    <t>156</t>
  </si>
  <si>
    <t>中华人民共和国</t>
  </si>
  <si>
    <t>158</t>
  </si>
  <si>
    <t>中国台湾</t>
  </si>
  <si>
    <t>162</t>
  </si>
  <si>
    <t>圣诞岛</t>
  </si>
  <si>
    <t>166</t>
  </si>
  <si>
    <t>科科斯(基林群岛</t>
  </si>
  <si>
    <t>170</t>
  </si>
  <si>
    <t>哥伦比亚共和国</t>
  </si>
  <si>
    <t>174</t>
  </si>
  <si>
    <t>科摩罗伊斯兰联邦共和国</t>
  </si>
  <si>
    <t>马约特</t>
  </si>
  <si>
    <t>180</t>
  </si>
  <si>
    <t>184</t>
  </si>
  <si>
    <t>库克群岛</t>
  </si>
  <si>
    <t>188</t>
  </si>
  <si>
    <t>哥斯达黎加共和国</t>
  </si>
  <si>
    <t>191</t>
  </si>
  <si>
    <t>克罗地亚共和国</t>
  </si>
  <si>
    <t>192</t>
  </si>
  <si>
    <t>古巴共和国</t>
  </si>
  <si>
    <t>196</t>
  </si>
  <si>
    <t>塞浦路斯共和国</t>
  </si>
  <si>
    <t>203</t>
  </si>
  <si>
    <t>捷克共和国</t>
  </si>
  <si>
    <t>贝宁共和国</t>
  </si>
  <si>
    <t>208</t>
  </si>
  <si>
    <t>丹麦王国</t>
  </si>
  <si>
    <t>212</t>
  </si>
  <si>
    <t>多米尼克联邦</t>
  </si>
  <si>
    <t>214</t>
  </si>
  <si>
    <t>多米尼加共和国</t>
  </si>
  <si>
    <t>218</t>
  </si>
  <si>
    <t>厄瓜多尔共和国</t>
  </si>
  <si>
    <t>222</t>
  </si>
  <si>
    <t>萨尔瓦多共和国</t>
  </si>
  <si>
    <t>226</t>
  </si>
  <si>
    <t>赤道几内亚共和国</t>
  </si>
  <si>
    <t>埃塞俄比亚</t>
  </si>
  <si>
    <t>232</t>
  </si>
  <si>
    <t>厄立特里亚国</t>
  </si>
  <si>
    <t>233</t>
  </si>
  <si>
    <t>爱沙尼亚共和国</t>
  </si>
  <si>
    <t>234</t>
  </si>
  <si>
    <t>法罗群岛</t>
  </si>
  <si>
    <t>238</t>
  </si>
  <si>
    <t>马尔维纳斯群岛(福克兰群岛)</t>
  </si>
  <si>
    <t>239</t>
  </si>
  <si>
    <t>南乔治亚岛和南桑德韦奇岛</t>
  </si>
  <si>
    <t>242</t>
  </si>
  <si>
    <t>斐济共和国</t>
  </si>
  <si>
    <t>246</t>
  </si>
  <si>
    <t>芬兰共和国</t>
  </si>
  <si>
    <t>250</t>
  </si>
  <si>
    <t>法兰西共和国</t>
  </si>
  <si>
    <t>254</t>
  </si>
  <si>
    <t>法属圭亚那</t>
  </si>
  <si>
    <t>258</t>
  </si>
  <si>
    <t>法属波利尼西亚</t>
  </si>
  <si>
    <t>260</t>
  </si>
  <si>
    <t>法属南部领土</t>
  </si>
  <si>
    <t>262</t>
  </si>
  <si>
    <t>吉布提共和国</t>
  </si>
  <si>
    <t>266</t>
  </si>
  <si>
    <t>加蓬共和国</t>
  </si>
  <si>
    <t>268</t>
  </si>
  <si>
    <t>格鲁吉亚共和国</t>
  </si>
  <si>
    <t>270</t>
  </si>
  <si>
    <t>冈比亚共和国</t>
  </si>
  <si>
    <t>276</t>
  </si>
  <si>
    <t>德意志联邦共和国</t>
  </si>
  <si>
    <t>288</t>
  </si>
  <si>
    <t>加纳共和国</t>
  </si>
  <si>
    <t>292</t>
  </si>
  <si>
    <t>直布罗陀</t>
  </si>
  <si>
    <t>296</t>
  </si>
  <si>
    <t>基里巴斯共和国</t>
  </si>
  <si>
    <t>300</t>
  </si>
  <si>
    <t>希腊共和国</t>
  </si>
  <si>
    <t>304</t>
  </si>
  <si>
    <t>格陵兰</t>
  </si>
  <si>
    <t>308</t>
  </si>
  <si>
    <t>格林纳达</t>
  </si>
  <si>
    <t>312</t>
  </si>
  <si>
    <t>瓜德罗普</t>
  </si>
  <si>
    <t>316</t>
  </si>
  <si>
    <t>关岛</t>
  </si>
  <si>
    <t>320</t>
  </si>
  <si>
    <t>危地马拉共和国</t>
  </si>
  <si>
    <t>324</t>
  </si>
  <si>
    <t>几内亚共和国</t>
  </si>
  <si>
    <t>328</t>
  </si>
  <si>
    <t>圭亚那合作共和国</t>
  </si>
  <si>
    <t>332</t>
  </si>
  <si>
    <t>海地共和国</t>
  </si>
  <si>
    <t>334</t>
  </si>
  <si>
    <t>赫德岛和麦克唐纳岛</t>
  </si>
  <si>
    <t>336</t>
  </si>
  <si>
    <t>梵蒂冈城国</t>
  </si>
  <si>
    <t>340</t>
  </si>
  <si>
    <t>洪都拉斯共和国</t>
  </si>
  <si>
    <t>344</t>
  </si>
  <si>
    <t>香港</t>
  </si>
  <si>
    <t>348</t>
  </si>
  <si>
    <t>匈牙利共和国</t>
  </si>
  <si>
    <t>352</t>
  </si>
  <si>
    <t>冰岛共和国</t>
  </si>
  <si>
    <t>356</t>
  </si>
  <si>
    <t>印度共和国</t>
  </si>
  <si>
    <t>360</t>
  </si>
  <si>
    <t>印度尼西亚共和国</t>
  </si>
  <si>
    <t>364</t>
  </si>
  <si>
    <t>伊朗伊斯兰共和国</t>
  </si>
  <si>
    <t>368</t>
  </si>
  <si>
    <t>伊拉克共和国</t>
  </si>
  <si>
    <t>372</t>
  </si>
  <si>
    <t>爱尔兰</t>
  </si>
  <si>
    <t>374</t>
  </si>
  <si>
    <t>巴勒斯坦国</t>
  </si>
  <si>
    <t>376</t>
  </si>
  <si>
    <t>以色列国</t>
  </si>
  <si>
    <t>380</t>
  </si>
  <si>
    <t>意大利共和国</t>
  </si>
  <si>
    <t>384</t>
  </si>
  <si>
    <t>科特迪瓦共和国</t>
  </si>
  <si>
    <t>388</t>
  </si>
  <si>
    <t>牙买加</t>
  </si>
  <si>
    <t>392</t>
  </si>
  <si>
    <t>日本国</t>
  </si>
  <si>
    <t>398</t>
  </si>
  <si>
    <t>哈萨克斯坦共和国</t>
  </si>
  <si>
    <t>400</t>
  </si>
  <si>
    <t>约旦哈希姆王国</t>
  </si>
  <si>
    <t>404</t>
  </si>
  <si>
    <t>肯尼亚共和国</t>
  </si>
  <si>
    <t>408</t>
  </si>
  <si>
    <t>朝鲜民主主义人民共和国</t>
  </si>
  <si>
    <t>410</t>
  </si>
  <si>
    <t>大韩民国</t>
  </si>
  <si>
    <t>414</t>
  </si>
  <si>
    <t>科威特国</t>
  </si>
  <si>
    <t>417</t>
  </si>
  <si>
    <t>吉尔吉斯共和国</t>
  </si>
  <si>
    <t>418</t>
  </si>
  <si>
    <t>老挝人民民主共和国</t>
  </si>
  <si>
    <t>422</t>
  </si>
  <si>
    <t>黎巴嫩共和国</t>
  </si>
  <si>
    <t>426</t>
  </si>
  <si>
    <t>莱索托王国</t>
  </si>
  <si>
    <t>428</t>
  </si>
  <si>
    <t>拉脱维亚共和国</t>
  </si>
  <si>
    <t>430</t>
  </si>
  <si>
    <t>利比里亚共和国</t>
  </si>
  <si>
    <t>434</t>
  </si>
  <si>
    <t>阿拉伯利比亚人民社会主义民众国</t>
  </si>
  <si>
    <t>438</t>
  </si>
  <si>
    <t>列支敦士登公国</t>
  </si>
  <si>
    <t>440</t>
  </si>
  <si>
    <t>立陶宛共和国</t>
  </si>
  <si>
    <t>442</t>
  </si>
  <si>
    <t>卢森堡大公国</t>
  </si>
  <si>
    <t>446</t>
  </si>
  <si>
    <t>澳门</t>
  </si>
  <si>
    <t>450</t>
  </si>
  <si>
    <t>马达加斯加共和国</t>
  </si>
  <si>
    <t>454</t>
  </si>
  <si>
    <t>马拉维共和国</t>
  </si>
  <si>
    <t>458</t>
  </si>
  <si>
    <t>马来西亚</t>
  </si>
  <si>
    <t>462</t>
  </si>
  <si>
    <t>马尔代夫共和国</t>
  </si>
  <si>
    <t>466</t>
  </si>
  <si>
    <t>马里共和国</t>
  </si>
  <si>
    <t>470</t>
  </si>
  <si>
    <t>马耳他共和国</t>
  </si>
  <si>
    <t>474</t>
  </si>
  <si>
    <t>马提尼克</t>
  </si>
  <si>
    <t>478</t>
  </si>
  <si>
    <t>毛里塔尼亚伊斯兰共和国</t>
  </si>
  <si>
    <t>480</t>
  </si>
  <si>
    <t>毛里求斯共和国</t>
  </si>
  <si>
    <t>484</t>
  </si>
  <si>
    <t>墨西哥合众国</t>
  </si>
  <si>
    <t>492</t>
  </si>
  <si>
    <t>摩纳哥公国</t>
  </si>
  <si>
    <t>496</t>
  </si>
  <si>
    <t>蒙古国</t>
  </si>
  <si>
    <t>498</t>
  </si>
  <si>
    <t>摩尔多瓦共和国</t>
  </si>
  <si>
    <t>500</t>
  </si>
  <si>
    <t>蒙特塞拉特</t>
  </si>
  <si>
    <t>504</t>
  </si>
  <si>
    <t>摩洛哥王国</t>
  </si>
  <si>
    <t>508</t>
  </si>
  <si>
    <t>莫桑比克共和国</t>
  </si>
  <si>
    <t>512</t>
  </si>
  <si>
    <t>阿曼苏丹国</t>
  </si>
  <si>
    <t>516</t>
  </si>
  <si>
    <t>纳米比亚共和国</t>
  </si>
  <si>
    <t>520</t>
  </si>
  <si>
    <t>瑙鲁共和国</t>
  </si>
  <si>
    <t>524</t>
  </si>
  <si>
    <t>尼泊尔王国</t>
  </si>
  <si>
    <t>528</t>
  </si>
  <si>
    <t>荷兰王国</t>
  </si>
  <si>
    <t>530</t>
  </si>
  <si>
    <t>荷属安的列斯</t>
  </si>
  <si>
    <t>533</t>
  </si>
  <si>
    <t>阿鲁巴</t>
  </si>
  <si>
    <t>540</t>
  </si>
  <si>
    <t>新喀里多尼亚</t>
  </si>
  <si>
    <t>548</t>
  </si>
  <si>
    <t>瓦努阿图共和国</t>
  </si>
  <si>
    <t>554</t>
  </si>
  <si>
    <t>新西兰</t>
  </si>
  <si>
    <t>558</t>
  </si>
  <si>
    <t>尼加拉瓜共和国</t>
  </si>
  <si>
    <t>562</t>
  </si>
  <si>
    <t>尼日尔共和国</t>
  </si>
  <si>
    <t>566</t>
  </si>
  <si>
    <t>尼日利亚联邦共和国</t>
  </si>
  <si>
    <t>570</t>
  </si>
  <si>
    <t>纽埃</t>
  </si>
  <si>
    <t>574</t>
  </si>
  <si>
    <t>诺福克岛</t>
  </si>
  <si>
    <t>578</t>
  </si>
  <si>
    <t>挪威王国</t>
  </si>
  <si>
    <t>580</t>
  </si>
  <si>
    <t>北马里亚纳自由联邦</t>
  </si>
  <si>
    <t>581</t>
  </si>
  <si>
    <t>美属太平洋各群岛</t>
  </si>
  <si>
    <t>583</t>
  </si>
  <si>
    <t>密克罗尼西亚联邦</t>
  </si>
  <si>
    <t>584</t>
  </si>
  <si>
    <t>马绍尔群岛共和国</t>
  </si>
  <si>
    <t>585</t>
  </si>
  <si>
    <t>贝劳共和国</t>
  </si>
  <si>
    <t>586</t>
  </si>
  <si>
    <t>巴基斯坦伊斯兰共和国</t>
  </si>
  <si>
    <t>591</t>
  </si>
  <si>
    <t>巴拿马共和国</t>
  </si>
  <si>
    <t>598</t>
  </si>
  <si>
    <t>巴布亚新几内亚独立国</t>
  </si>
  <si>
    <t>600</t>
  </si>
  <si>
    <t>巴拉圭共和国</t>
  </si>
  <si>
    <t>604</t>
  </si>
  <si>
    <t>秘鲁共和国</t>
  </si>
  <si>
    <t>608</t>
  </si>
  <si>
    <t>菲律宾共和国</t>
  </si>
  <si>
    <t>612</t>
  </si>
  <si>
    <t>皮特凯恩群岛</t>
  </si>
  <si>
    <t>616</t>
  </si>
  <si>
    <t>波兰共和国</t>
  </si>
  <si>
    <t>620</t>
  </si>
  <si>
    <t>葡萄牙共和国</t>
  </si>
  <si>
    <t>624</t>
  </si>
  <si>
    <t>几内亚比绍共和国</t>
  </si>
  <si>
    <t>626</t>
  </si>
  <si>
    <t>东帝汶</t>
  </si>
  <si>
    <t>630</t>
  </si>
  <si>
    <t>波多黎各自由联邦</t>
  </si>
  <si>
    <t>634</t>
  </si>
  <si>
    <t>卡塔尔国</t>
  </si>
  <si>
    <t>638</t>
  </si>
  <si>
    <t>留尼汪</t>
  </si>
  <si>
    <t>642</t>
  </si>
  <si>
    <t>罗马尼亚</t>
  </si>
  <si>
    <t>643</t>
  </si>
  <si>
    <t>俄罗斯联邦</t>
  </si>
  <si>
    <t>646</t>
  </si>
  <si>
    <t>卢旺达共和国</t>
  </si>
  <si>
    <t>654</t>
  </si>
  <si>
    <t>圣赫勒拿</t>
  </si>
  <si>
    <t>659</t>
  </si>
  <si>
    <t>圣基茨和尼维斯联邦</t>
  </si>
  <si>
    <t>660</t>
  </si>
  <si>
    <t>安圭拉</t>
  </si>
  <si>
    <t>662</t>
  </si>
  <si>
    <t>圣卢西亚</t>
  </si>
  <si>
    <t>666</t>
  </si>
  <si>
    <t>圣皮埃尔和密克隆</t>
  </si>
  <si>
    <t>670</t>
  </si>
  <si>
    <t>圣文森特和格林纳丁斯</t>
  </si>
  <si>
    <t>674</t>
  </si>
  <si>
    <t>圣马力诺共和国</t>
  </si>
  <si>
    <t>678</t>
  </si>
  <si>
    <t>圣多美和普林西比民主共和国</t>
  </si>
  <si>
    <t>682</t>
  </si>
  <si>
    <t>沙特阿拉伯王国</t>
  </si>
  <si>
    <t>686</t>
  </si>
  <si>
    <t>塞内加尔共和国</t>
  </si>
  <si>
    <t>690</t>
  </si>
  <si>
    <t>塞舌尔共和国</t>
  </si>
  <si>
    <t>694</t>
  </si>
  <si>
    <t>塞拉利昂共和国</t>
  </si>
  <si>
    <t>702</t>
  </si>
  <si>
    <t>新加坡共和国</t>
  </si>
  <si>
    <t>703</t>
  </si>
  <si>
    <t>斯洛伐克共和国</t>
  </si>
  <si>
    <t>704</t>
  </si>
  <si>
    <t>越南社会主义共和国</t>
  </si>
  <si>
    <t>705</t>
  </si>
  <si>
    <t>斯洛文尼亚共和国</t>
  </si>
  <si>
    <t>706</t>
  </si>
  <si>
    <t>索马里共和国</t>
  </si>
  <si>
    <t>710</t>
  </si>
  <si>
    <t>南非共和国</t>
  </si>
  <si>
    <t>716</t>
  </si>
  <si>
    <t>津巴布韦共和国</t>
  </si>
  <si>
    <t>724</t>
  </si>
  <si>
    <t>西班牙</t>
  </si>
  <si>
    <t>732</t>
  </si>
  <si>
    <t>西撒哈拉</t>
  </si>
  <si>
    <t>736</t>
  </si>
  <si>
    <t>苏丹共和国</t>
  </si>
  <si>
    <t>740</t>
  </si>
  <si>
    <t>苏里南共和国</t>
  </si>
  <si>
    <t>744</t>
  </si>
  <si>
    <t>斯瓦尔巴群岛</t>
  </si>
  <si>
    <t>748</t>
  </si>
  <si>
    <t>斯威士兰王国</t>
  </si>
  <si>
    <t>752</t>
  </si>
  <si>
    <t>瑞典王国</t>
  </si>
  <si>
    <t>756</t>
  </si>
  <si>
    <t>瑞士王国</t>
  </si>
  <si>
    <t>760</t>
  </si>
  <si>
    <t>阿拉伯叙利亚共和国</t>
  </si>
  <si>
    <t>762</t>
  </si>
  <si>
    <t>塔吉克斯坦共和国</t>
  </si>
  <si>
    <t>764</t>
  </si>
  <si>
    <t>泰王国</t>
  </si>
  <si>
    <t>768</t>
  </si>
  <si>
    <t>多可共和国</t>
  </si>
  <si>
    <t>772</t>
  </si>
  <si>
    <t>托克劳</t>
  </si>
  <si>
    <t>776</t>
  </si>
  <si>
    <t>汤加王国</t>
  </si>
  <si>
    <t>780</t>
  </si>
  <si>
    <t>特立尼达和多巴哥共和国</t>
  </si>
  <si>
    <t>784</t>
  </si>
  <si>
    <t>阿拉伯联合酋长国</t>
  </si>
  <si>
    <t>788</t>
  </si>
  <si>
    <t>突尼斯共和国</t>
  </si>
  <si>
    <t>792</t>
  </si>
  <si>
    <t>土耳其共和国</t>
  </si>
  <si>
    <t>795</t>
  </si>
  <si>
    <t>土库曼斯坦</t>
  </si>
  <si>
    <t>796</t>
  </si>
  <si>
    <t>特克斯和凯科斯群岛</t>
  </si>
  <si>
    <t>798</t>
  </si>
  <si>
    <t>图瓦卢</t>
  </si>
  <si>
    <t>800</t>
  </si>
  <si>
    <t>乌干达共和国</t>
  </si>
  <si>
    <t>804</t>
  </si>
  <si>
    <t>乌克兰</t>
  </si>
  <si>
    <t>807</t>
  </si>
  <si>
    <t>马其顿共和国</t>
  </si>
  <si>
    <t>818</t>
  </si>
  <si>
    <t>阿拉伯埃及共和国</t>
  </si>
  <si>
    <t>826</t>
  </si>
  <si>
    <t>大不列颠及北爱尔兰联合王国</t>
  </si>
  <si>
    <t>834</t>
  </si>
  <si>
    <t>坦桑尼亚联合共和国</t>
  </si>
  <si>
    <t>840</t>
  </si>
  <si>
    <t>美利坚合众国</t>
  </si>
  <si>
    <t>850</t>
  </si>
  <si>
    <t>美属维尔京群岛</t>
  </si>
  <si>
    <t>854</t>
  </si>
  <si>
    <t>布基纳法索</t>
  </si>
  <si>
    <t>858</t>
  </si>
  <si>
    <t>乌拉圭东岸共和国</t>
  </si>
  <si>
    <t>860</t>
  </si>
  <si>
    <t>乌兹别克斯坦共和国</t>
  </si>
  <si>
    <t>862</t>
  </si>
  <si>
    <t>委内瑞拉共和国</t>
  </si>
  <si>
    <t>876</t>
  </si>
  <si>
    <t>瓦利斯和富图纳群岛</t>
  </si>
  <si>
    <t>882</t>
  </si>
  <si>
    <t>西萨摩亚独立国</t>
  </si>
  <si>
    <t>887</t>
  </si>
  <si>
    <t>也门共和国</t>
  </si>
  <si>
    <t>891</t>
  </si>
  <si>
    <t>南斯拉夫联盟共和国</t>
  </si>
  <si>
    <t>894</t>
  </si>
  <si>
    <t>赞比亚共和国</t>
  </si>
  <si>
    <t>7（5-6）</t>
  </si>
  <si>
    <t xml:space="preserve">账载金额  </t>
  </si>
  <si>
    <t>填报说明：
1、本表用于填报无限期结转扣除项目的本年度结转扣除额、抵扣以前年度结转额及累计结转以后年度扣除额等有关情况；    
2、本表填报项目不限，请按顺序填写，不得跳空行填写。</t>
  </si>
  <si>
    <t xml:space="preserve">金额单位：元（列至角分）    </t>
  </si>
  <si>
    <t xml:space="preserve">项   目  </t>
  </si>
  <si>
    <t>累计结转以后年度扣除额 </t>
  </si>
  <si>
    <t>填报说明：
1、本表用于填报债务重组所得、向非居民企业投资转让所得、搬迁收入、租金收入等按规定跨年度确认所得的各项目发生时间及金额，以及确认所得时间及金额等情况；     
2、本表填报项目不限，请按顺序填写，不得跳空行填写。如无跨年度所得项目的，不需填写。</t>
  </si>
  <si>
    <t xml:space="preserve">金额单位：元（列至角分）   </t>
  </si>
  <si>
    <t>项   目 </t>
  </si>
  <si>
    <t>发生金额 </t>
  </si>
  <si>
    <t xml:space="preserve">备注       </t>
  </si>
  <si>
    <t xml:space="preserve">年度 </t>
  </si>
  <si>
    <t xml:space="preserve">金额 </t>
  </si>
  <si>
    <t>企业各税（费）审核汇总表</t>
  </si>
  <si>
    <t>税款所属期始：</t>
  </si>
  <si>
    <t>（自填，必录。例如2011-01-01）</t>
  </si>
  <si>
    <t>税款所属期止：</t>
  </si>
  <si>
    <t>（自填，必录。例如2011-12-31）</t>
  </si>
  <si>
    <t xml:space="preserve">行次  </t>
  </si>
  <si>
    <t>调整后金额</t>
  </si>
  <si>
    <t xml:space="preserve">调整原因说明 </t>
  </si>
  <si>
    <t>城镇土地使用税</t>
  </si>
  <si>
    <t>说明：本表“调整金额”栏，调增填正数，调减填负数。“调整后金额”=“账载金额”+“调整金额”</t>
  </si>
  <si>
    <t>社会保险费明细表</t>
  </si>
  <si>
    <t>人数情况（12月份数）</t>
  </si>
  <si>
    <t>社保费缴交情况（年汇总数）</t>
  </si>
  <si>
    <t xml:space="preserve">备注        </t>
  </si>
  <si>
    <t>在职人数</t>
  </si>
  <si>
    <t>参保人数</t>
  </si>
  <si>
    <t>未参保人数</t>
  </si>
  <si>
    <t>期初未缴数</t>
  </si>
  <si>
    <t>本期应缴数</t>
  </si>
  <si>
    <t>本期已缴数</t>
  </si>
  <si>
    <t>期末未缴数</t>
  </si>
  <si>
    <t>填表说明:                                                                                                                                                                                                           1、人数情况：反映12月份的人数情况，其中在职人数为12月份的用工人数；参保人数为费款所属期12月份的参保缴费人数；未参保人数为12月职工中应参保而未参保的人数；                                                                                               2、社保费缴交情况：反映全年缴交社保费的情况，包括单位缴纳及为个人代缴的社保费；
3、未参保人数不为0的，要求企业提供说明，写明差异的原因。</t>
  </si>
  <si>
    <t>工作表名称</t>
    <phoneticPr fontId="51" type="noConversion"/>
  </si>
  <si>
    <t>底稿检查</t>
    <phoneticPr fontId="51" type="noConversion"/>
  </si>
  <si>
    <t>相差</t>
    <phoneticPr fontId="51" type="noConversion"/>
  </si>
  <si>
    <t>元</t>
    <phoneticPr fontId="51" type="noConversion"/>
  </si>
  <si>
    <t>点击超链接后：</t>
    <phoneticPr fontId="51" type="noConversion"/>
  </si>
  <si>
    <t>手动检查</t>
    <phoneticPr fontId="51" type="noConversion"/>
  </si>
  <si>
    <t>原材料</t>
    <phoneticPr fontId="51" type="noConversion"/>
  </si>
  <si>
    <t>包装物</t>
    <phoneticPr fontId="51" type="noConversion"/>
  </si>
  <si>
    <t>产成品</t>
    <phoneticPr fontId="51" type="noConversion"/>
  </si>
  <si>
    <t>生产成本</t>
    <phoneticPr fontId="51" type="noConversion"/>
  </si>
  <si>
    <t>制造费用</t>
    <phoneticPr fontId="51" type="noConversion"/>
  </si>
  <si>
    <t>工程施工</t>
    <phoneticPr fontId="51" type="noConversion"/>
  </si>
  <si>
    <t>委托加工物质</t>
    <phoneticPr fontId="51" type="noConversion"/>
  </si>
  <si>
    <t>材料成本差异</t>
    <phoneticPr fontId="51" type="noConversion"/>
  </si>
  <si>
    <t>材料采购</t>
    <phoneticPr fontId="51" type="noConversion"/>
  </si>
  <si>
    <t>在途物质</t>
    <phoneticPr fontId="51" type="noConversion"/>
  </si>
  <si>
    <t>发出商品</t>
    <phoneticPr fontId="51" type="noConversion"/>
  </si>
  <si>
    <t>一级科目长度</t>
    <phoneticPr fontId="51" type="noConversion"/>
  </si>
  <si>
    <t>起始行</t>
    <phoneticPr fontId="51" type="noConversion"/>
  </si>
  <si>
    <t>结束行</t>
    <phoneticPr fontId="51" type="noConversion"/>
  </si>
  <si>
    <t>600条记录操作
时间约为8秒
记录越少速度越快</t>
    <phoneticPr fontId="51" type="noConversion"/>
  </si>
  <si>
    <t>根据需要填写</t>
    <phoneticPr fontId="51" type="noConversion"/>
  </si>
  <si>
    <t>600条记录操作
时间约为2秒
记录越少速度越快</t>
    <phoneticPr fontId="51" type="noConversion"/>
  </si>
  <si>
    <t>辅助功能不常用：</t>
    <phoneticPr fontId="51" type="noConversion"/>
  </si>
  <si>
    <t>R4单元格请勿操作</t>
    <phoneticPr fontId="51" type="noConversion"/>
  </si>
  <si>
    <t> </t>
    <phoneticPr fontId="51" type="noConversion"/>
  </si>
  <si>
    <t>140条记录操作时间约为1至2秒。</t>
    <phoneticPr fontId="51" type="noConversion"/>
  </si>
  <si>
    <t>【自动填写底稿】功能包括填写：货币资金、往来款、管理费用、营业费用、实收资本</t>
    <phoneticPr fontId="51" type="noConversion"/>
  </si>
  <si>
    <t>收入与申报核对表</t>
    <phoneticPr fontId="51" type="noConversion"/>
  </si>
  <si>
    <t>主营税金</t>
    <phoneticPr fontId="51" type="noConversion"/>
  </si>
  <si>
    <t>税费缴纳测算</t>
    <phoneticPr fontId="51" type="noConversion"/>
  </si>
  <si>
    <t>请勿随意删除、添加行列。
系统只会读取A至H列的余额表数据。</t>
    <phoneticPr fontId="51" type="noConversion"/>
  </si>
  <si>
    <t>企业所得税汇总纳税分支机构所得税分配表十二</t>
  </si>
  <si>
    <t>企业所得税汇总纳税分支机构所得税分配表</t>
  </si>
  <si>
    <t>ZS900</t>
  </si>
  <si>
    <t xml:space="preserve">总机构情况                                                         </t>
  </si>
  <si>
    <t xml:space="preserve">备注         </t>
  </si>
  <si>
    <t>总机构纳税人代码</t>
  </si>
  <si>
    <t>总机构名称</t>
  </si>
  <si>
    <t>总机构分摊所得税额</t>
  </si>
  <si>
    <t xml:space="preserve"> 总机构财政集中分配所得税额</t>
  </si>
  <si>
    <t>分支机构分摊所得税额</t>
  </si>
  <si>
    <t xml:space="preserve">
a、分支机构请逐行填写。若分支机构较多的，可在“合计”行的上方区域自行插入新增行进行填写。注意保持“合计”行的完整性，请勿随意删改。
b、请留意本表、表间勾稽审核关系。
</t>
  </si>
  <si>
    <t>分支机构情况</t>
  </si>
  <si>
    <t>分支机构纳税人代码</t>
  </si>
  <si>
    <t>分支机构名称</t>
  </si>
  <si>
    <t>三项因素</t>
  </si>
  <si>
    <t>分配比例
（%）</t>
  </si>
  <si>
    <t>分配税额</t>
  </si>
  <si>
    <t>收入额</t>
  </si>
  <si>
    <t>工资额</t>
  </si>
  <si>
    <t>资产额</t>
  </si>
  <si>
    <t>合计
（收入+工资+资产）</t>
  </si>
  <si>
    <t xml:space="preserve">合计 </t>
  </si>
  <si>
    <t xml:space="preserve">填表说明： 
1、本表适用于在中国境内跨省、自治区、直辖市设立不具有法人资格的营业机构，并实行“统一计算、分级管理、就地预缴、汇总 
清算、财政调节”汇总纳税办法的居民企业填报。 
2、年度终了之日起五个月内，由实行汇总纳税的总机构、有独立生产经营部门的总机构及分支机构分别随同《中华人民共和国企业所得税年度纳税申报表（A类）》、《分支机构企业所得税申报表（A类）》报送。  
3、“应纳所得税额”填写分配期计算的应纳所得税额。 
4、“总机构分摊所得税额”：填写总机构统一计算的企业当期应纳所得税额的25%。 
5、“总机构财政集中分配所得税额”：填写总机构统一计算的企业当期应纳所得税额的25%。 
6、“分支机构分摊所得税额”：填写本所属期总机构根据税务机关确定的分摊方法计算，由各分支机构进行分摊的所得税额。 
7、“收入额”：填写基期年度各分支机构的经营收入额。 
8、“工资额”：填写基期年度各分支机构的工资额。 
9、“资产额”：填写基期年度各分支机构的资产额，不包括无形资产。 
10、“分配比例”：填写经企业总机构所在地主管税务机关审批确认的各分支机构分配比例。（填写范例：例如78.65%则填写为“78.65”） 
11、“分配税额”：填写本所属期根据税务机关确定的分摊方法计算，分配给各分支机构缴纳的所得税额。 </t>
  </si>
  <si>
    <t>分支机构企业所得税申报表（A类）</t>
  </si>
  <si>
    <t xml:space="preserve">    根据《国家税务总局关于明确跨地区经营企业所得税汇总纳税分支机构年度纳税申报有关事项的公告》（2013年第44号）规定，跨地区经营汇总纳税企业的分支机构，在进行2013年度及以后年度纳税申报时，暂用本表格式进行年度纳税申报。</t>
  </si>
  <si>
    <t xml:space="preserve">                                               金额单位:   人民币元(列至角分)</t>
  </si>
  <si>
    <t xml:space="preserve">行次   </t>
  </si>
  <si>
    <t>项       目</t>
  </si>
  <si>
    <t xml:space="preserve">金额  </t>
  </si>
  <si>
    <t>一、按照实际利润额预缴</t>
  </si>
  <si>
    <t>本表第1行至第27行不填。</t>
  </si>
  <si>
    <t>营业收入</t>
  </si>
  <si>
    <t xml:space="preserve">—— </t>
  </si>
  <si>
    <t>营业成本</t>
  </si>
  <si>
    <t>加：特定业务计算的应纳税所得额</t>
  </si>
  <si>
    <t>减：不征税收入</t>
  </si>
  <si>
    <t xml:space="preserve">    免税收入</t>
  </si>
  <si>
    <t xml:space="preserve">    弥补以前年度亏损</t>
  </si>
  <si>
    <t>实际利润额（4行+5行-6行-7行-8行）</t>
  </si>
  <si>
    <t>税率(25%)</t>
  </si>
  <si>
    <t xml:space="preserve">应纳所得税额 </t>
  </si>
  <si>
    <t>减：实际已预缴所得税额</t>
  </si>
  <si>
    <t>减：特定业务预缴（征）所得税额</t>
  </si>
  <si>
    <t>应补（退）所得税额（11行-12行-13行-14行）</t>
  </si>
  <si>
    <t>减：以前年度多缴在本期抵缴所得税额</t>
  </si>
  <si>
    <t>本期实际应补（退）所得税额</t>
  </si>
  <si>
    <t>二、按照上一纳税年度应纳税所得额平均额预缴</t>
  </si>
  <si>
    <t>上一纳税年度应纳税所得额</t>
  </si>
  <si>
    <t>本月（季）应纳税所得额（19行×1/4或1/12）</t>
  </si>
  <si>
    <t>本月（季）应纳所得税额（20行×21行）</t>
  </si>
  <si>
    <t>三、按照税务机关确定的其他方法预缴</t>
  </si>
  <si>
    <t>本月（季）确定预缴的所得税额</t>
  </si>
  <si>
    <t>总分机构纳税人</t>
  </si>
  <si>
    <t>总机构</t>
  </si>
  <si>
    <t>总机构应分摊所得税额（15行或22行或24行×总机构应分摊预缴比例）</t>
  </si>
  <si>
    <t xml:space="preserve">财政集中分配所得税额 </t>
  </si>
  <si>
    <t>分支机构应分摊所得税额(15行或22行或24行×分支机构应分摊比例）</t>
  </si>
  <si>
    <t xml:space="preserve">自填        </t>
  </si>
  <si>
    <t xml:space="preserve">其中：总机构独立生产经营部门应分摊所得税额 </t>
  </si>
  <si>
    <t>不填</t>
  </si>
  <si>
    <t xml:space="preserve">     总机构已撤销分支机构应分摊所得税额</t>
  </si>
  <si>
    <t>分支机构</t>
  </si>
  <si>
    <t>分配比例</t>
  </si>
  <si>
    <t>分配所得税额</t>
  </si>
  <si>
    <t>填写说明：1、本报告模板中，凡是用蓝色显示字段为必录项。
         2、涉及“金额”或“年度”的，要求只能填写数字。
         3、涉及日期的，请按“YYYY-MM-DD”规范格式填写，例如“2011-01-01”
         4、纳税人（委托人）为跨地区经营汇总纳税企业（分支机构）的，不需填写《中华人民共和国企业所得税年度纳税申报表（A类）》主表及11张子表，须填写子表12《分支机构所得税分配表》和《分支机构企业所得税申报表（A类）》。</t>
  </si>
  <si>
    <t>是</t>
    <phoneticPr fontId="51" type="noConversion"/>
  </si>
  <si>
    <t>表单名称</t>
  </si>
  <si>
    <t>选择是否填报</t>
  </si>
  <si>
    <t xml:space="preserve">企业基础信息表 </t>
  </si>
  <si>
    <t>A100000</t>
  </si>
  <si>
    <t xml:space="preserve">中华人民共和国企业所得税年度纳税申报表（A类） </t>
  </si>
  <si>
    <t xml:space="preserve">    一般企业收入明细表</t>
  </si>
  <si>
    <t>A101020</t>
  </si>
  <si>
    <t xml:space="preserve">    金融企业收入明细表</t>
  </si>
  <si>
    <t>A102010</t>
  </si>
  <si>
    <t xml:space="preserve">    一般企业成本支出明细表</t>
  </si>
  <si>
    <t>A102020</t>
  </si>
  <si>
    <t xml:space="preserve">    金融企业支出明细表</t>
  </si>
  <si>
    <t>A103000</t>
  </si>
  <si>
    <t xml:space="preserve">    事业单位、民间非营利组织收入、支出明细表</t>
  </si>
  <si>
    <t>A104000</t>
  </si>
  <si>
    <t xml:space="preserve">    期间费用明细表</t>
  </si>
  <si>
    <t>A105000</t>
  </si>
  <si>
    <t xml:space="preserve">    纳税调整项目明细表</t>
  </si>
  <si>
    <t>A105010</t>
  </si>
  <si>
    <t xml:space="preserve">        视同销售和房地产开发企业特定业务纳税调整明细表</t>
  </si>
  <si>
    <t>A105020</t>
  </si>
  <si>
    <t xml:space="preserve">        未按权责发生制确认收入纳税调整明细表</t>
  </si>
  <si>
    <t>A105030</t>
  </si>
  <si>
    <t xml:space="preserve">        投资收益纳税调整明细表</t>
  </si>
  <si>
    <t>A105040</t>
  </si>
  <si>
    <t xml:space="preserve">        专项用途财政性资金纳税调整明细表</t>
  </si>
  <si>
    <t>A105050</t>
  </si>
  <si>
    <t xml:space="preserve">        职工薪酬纳税调整明细表</t>
  </si>
  <si>
    <t>A105060</t>
  </si>
  <si>
    <t xml:space="preserve">        广告费和业务宣传费跨年度纳税调整明细表</t>
  </si>
  <si>
    <t>A105070</t>
  </si>
  <si>
    <t xml:space="preserve">        捐赠支出纳税调整明细表</t>
  </si>
  <si>
    <t>A105080</t>
  </si>
  <si>
    <t xml:space="preserve">        资产折旧、摊销情况及纳税调整明细表</t>
  </si>
  <si>
    <t>A105081</t>
  </si>
  <si>
    <t xml:space="preserve">            固定资产加速折旧、扣除明细表</t>
  </si>
  <si>
    <t>A105090</t>
  </si>
  <si>
    <t xml:space="preserve">        资产损失税前扣除及纳税调整明细表</t>
  </si>
  <si>
    <t>A105091</t>
  </si>
  <si>
    <t xml:space="preserve">            资产损失（专项申报）税前扣除及纳税调整明细表</t>
  </si>
  <si>
    <t>A105100</t>
  </si>
  <si>
    <t xml:space="preserve">        企业重组纳税调整明细表</t>
  </si>
  <si>
    <t>A105110</t>
  </si>
  <si>
    <t xml:space="preserve">        政策性搬迁纳税调整明细表</t>
  </si>
  <si>
    <t>A105120</t>
  </si>
  <si>
    <t xml:space="preserve">        特殊行业准备金纳税调整明细表</t>
  </si>
  <si>
    <t>A106000</t>
  </si>
  <si>
    <t xml:space="preserve">    企业所得税弥补亏损明细表</t>
  </si>
  <si>
    <t>A107010</t>
  </si>
  <si>
    <t xml:space="preserve">    免税、减计收入及加计扣除优惠明细表</t>
  </si>
  <si>
    <t>A107011</t>
  </si>
  <si>
    <t xml:space="preserve">        符合条件的居民企业之间的股息、红利等权益性投资收益优惠明细表</t>
  </si>
  <si>
    <t>A107012</t>
  </si>
  <si>
    <t xml:space="preserve">        综合利用资源生产产品取得的收入优惠明细表</t>
  </si>
  <si>
    <t>A107013</t>
  </si>
  <si>
    <t xml:space="preserve">        金融、保险等机构取得的涉农利息、保费收入优惠明细表</t>
  </si>
  <si>
    <t>A107014</t>
  </si>
  <si>
    <t xml:space="preserve">        研发费用加计扣除优惠明细表</t>
  </si>
  <si>
    <t>A107020</t>
  </si>
  <si>
    <t xml:space="preserve">    所得减免优惠明细表</t>
  </si>
  <si>
    <t>A107030</t>
  </si>
  <si>
    <t xml:space="preserve">    抵扣应纳税所得额明细表</t>
  </si>
  <si>
    <t>A107040</t>
  </si>
  <si>
    <t xml:space="preserve">    减免所得税优惠明细表</t>
  </si>
  <si>
    <t>A107041</t>
  </si>
  <si>
    <t xml:space="preserve">        高新技术企业优惠情况及明细表</t>
  </si>
  <si>
    <t>A107042</t>
  </si>
  <si>
    <t xml:space="preserve">        软件、集成电路企业优惠情况及明细表</t>
  </si>
  <si>
    <t>A107050</t>
  </si>
  <si>
    <t xml:space="preserve">    税额抵免优惠明细表</t>
  </si>
  <si>
    <t>A108000</t>
  </si>
  <si>
    <t xml:space="preserve">    境外所得税收抵免明细表</t>
  </si>
  <si>
    <t>A108010</t>
  </si>
  <si>
    <t xml:space="preserve">        境外所得纳税调整后所得明细表</t>
  </si>
  <si>
    <t>A108020</t>
  </si>
  <si>
    <t xml:space="preserve">        境外分支机构弥补亏损明细表</t>
  </si>
  <si>
    <t>A108030</t>
  </si>
  <si>
    <t xml:space="preserve">        跨年度结转抵免境外所得税明细表</t>
  </si>
  <si>
    <t>A109000</t>
  </si>
  <si>
    <t xml:space="preserve">    跨地区经营汇总纳税企业年度分摊企业所得税明细表</t>
  </si>
  <si>
    <t>A109010</t>
  </si>
  <si>
    <t xml:space="preserve">        企业所得税汇总纳税分支机构所得税分配表</t>
  </si>
  <si>
    <t>说明：企业应当根据实际情况选择需要填表的表单。</t>
  </si>
  <si>
    <t>A000000</t>
  </si>
  <si>
    <t>企业基础信息表</t>
  </si>
  <si>
    <t>申报状态</t>
  </si>
  <si>
    <t>正常申报</t>
  </si>
  <si>
    <t>100基本信息</t>
  </si>
  <si>
    <t>101汇总纳税企业</t>
  </si>
  <si>
    <t>102注册资本（万元）</t>
  </si>
  <si>
    <t>106境外中资控股居民企业</t>
  </si>
  <si>
    <t>103所属行业明细代码</t>
  </si>
  <si>
    <t xml:space="preserve">104从业人数 </t>
  </si>
  <si>
    <t>108存在境外关联交易</t>
  </si>
  <si>
    <t>105资产总额（万元）</t>
  </si>
  <si>
    <t>109上市公司</t>
  </si>
  <si>
    <t>200主要会计政策和估计</t>
  </si>
  <si>
    <t xml:space="preserve">201适用的会计准则
或会计制度 </t>
  </si>
  <si>
    <t>202会计档案的存放地</t>
  </si>
  <si>
    <t>203会计核算软件</t>
  </si>
  <si>
    <t xml:space="preserve">204记账本位币   </t>
  </si>
  <si>
    <t>人民币</t>
  </si>
  <si>
    <t xml:space="preserve">205会计政策和估计是否发生变化  </t>
  </si>
  <si>
    <t>206固定资产折旧方法</t>
  </si>
  <si>
    <t>207存货成本计价方法</t>
  </si>
  <si>
    <t>208坏账损失核算方法</t>
  </si>
  <si>
    <t>209所得税计算方法</t>
  </si>
  <si>
    <t>应付税款法</t>
  </si>
  <si>
    <t>300企业主要股东及对外投资情况</t>
  </si>
  <si>
    <t>301企业主要股东（前5位）</t>
  </si>
  <si>
    <t>股东名称</t>
  </si>
  <si>
    <t>证件种类</t>
  </si>
  <si>
    <t>经济性质</t>
  </si>
  <si>
    <t>国籍（注册地址）</t>
  </si>
  <si>
    <t>身份证</t>
  </si>
  <si>
    <t>302对外投资（前5位）</t>
  </si>
  <si>
    <t>被投资者名称</t>
  </si>
  <si>
    <t>投资金额</t>
  </si>
  <si>
    <t>国家代码</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</si>
  <si>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</si>
  <si>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</si>
  <si>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</si>
  <si>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</si>
  <si>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</si>
  <si>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</si>
  <si>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</si>
  <si>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</si>
  <si>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</si>
  <si>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</si>
  <si>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</si>
  <si>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</si>
  <si>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</si>
  <si>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</si>
  <si>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</si>
  <si>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</si>
  <si>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</si>
  <si>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</si>
  <si>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</si>
  <si>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</si>
  <si>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</si>
  <si>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</si>
  <si>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</si>
  <si>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</si>
  <si>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</si>
  <si>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</si>
  <si>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</si>
  <si>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</si>
  <si>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</si>
  <si>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</si>
  <si>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</si>
  <si>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</si>
  <si>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</si>
  <si>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</si>
  <si>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</si>
  <si>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</si>
  <si>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</si>
  <si>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</si>
  <si>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</si>
  <si>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</si>
  <si>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</si>
  <si>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</si>
  <si>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</si>
  <si>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</si>
  <si>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</si>
  <si>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</si>
  <si>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</si>
  <si>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</si>
  <si>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</si>
  <si>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</si>
  <si>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</si>
  <si>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</si>
  <si>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</si>
  <si>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</si>
  <si>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</si>
  <si>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</si>
  <si>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</si>
  <si>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</si>
  <si>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</si>
  <si>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</si>
  <si>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</si>
  <si>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</si>
  <si>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</si>
  <si>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</si>
  <si>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</si>
  <si>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</si>
  <si>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</si>
  <si>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</si>
  <si>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</si>
  <si>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</si>
  <si>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</si>
  <si>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</si>
  <si>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</si>
  <si>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</si>
  <si>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</si>
  <si>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</si>
  <si>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</si>
  <si>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</si>
  <si>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</si>
  <si>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</si>
  <si>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</si>
  <si>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</si>
  <si>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</si>
  <si>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</si>
  <si>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</si>
  <si>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</si>
  <si>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</si>
  <si>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</si>
  <si>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</si>
  <si>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</si>
  <si>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</si>
  <si>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</si>
  <si>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</si>
  <si>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</si>
  <si>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</si>
  <si>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</si>
  <si>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</si>
  <si>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</si>
  <si>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</si>
  <si>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</si>
  <si>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178</t>
  </si>
  <si>
    <t>刚果（布）</t>
  </si>
  <si>
    <t>0511</t>
  </si>
  <si>
    <t>农业机械服务</t>
  </si>
  <si>
    <t>刚果（金）</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</si>
  <si>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</si>
  <si>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</si>
  <si>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</si>
  <si>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</si>
  <si>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</si>
  <si>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</si>
  <si>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</si>
  <si>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</si>
  <si>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</si>
  <si>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</si>
  <si>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</si>
  <si>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</si>
  <si>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</si>
  <si>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</si>
  <si>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</si>
  <si>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</si>
  <si>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</si>
  <si>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</si>
  <si>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</si>
  <si>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</si>
  <si>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</si>
  <si>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</si>
  <si>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</si>
  <si>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</si>
  <si>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</si>
  <si>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</si>
  <si>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</si>
  <si>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</si>
  <si>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</si>
  <si>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</si>
  <si>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</si>
  <si>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</si>
  <si>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</si>
  <si>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</si>
  <si>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</si>
  <si>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</si>
  <si>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</si>
  <si>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</si>
  <si>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</si>
  <si>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</si>
  <si>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</si>
  <si>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</si>
  <si>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</si>
  <si>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</si>
  <si>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248</t>
  </si>
  <si>
    <t>奥兰群岛</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</si>
  <si>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</si>
  <si>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</si>
  <si>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</si>
  <si>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</si>
  <si>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</si>
  <si>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</si>
  <si>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</si>
  <si>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</si>
  <si>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</si>
  <si>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</si>
  <si>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</si>
  <si>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</si>
  <si>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</si>
  <si>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</si>
  <si>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</si>
  <si>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</si>
  <si>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</si>
  <si>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</si>
  <si>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275</t>
  </si>
  <si>
    <t>巴勒斯坦</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</si>
  <si>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</si>
  <si>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</si>
  <si>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</si>
  <si>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</si>
  <si>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</si>
  <si>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</si>
  <si>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</si>
  <si>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</si>
  <si>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</si>
  <si>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</si>
  <si>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</si>
  <si>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</si>
  <si>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</si>
  <si>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</si>
  <si>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</si>
  <si>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</si>
  <si>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</si>
  <si>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</si>
  <si>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</si>
  <si>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</si>
  <si>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</si>
  <si>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</si>
  <si>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</si>
  <si>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</si>
  <si>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</si>
  <si>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</si>
  <si>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</si>
  <si>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</si>
  <si>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</si>
  <si>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</si>
  <si>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</si>
  <si>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</si>
  <si>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</si>
  <si>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</si>
  <si>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</si>
  <si>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</si>
  <si>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</si>
  <si>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</si>
  <si>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</si>
  <si>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</si>
  <si>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</si>
  <si>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</si>
  <si>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</si>
  <si>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</si>
  <si>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</si>
  <si>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</si>
  <si>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</si>
  <si>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</si>
  <si>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</si>
  <si>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</si>
  <si>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</si>
  <si>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</si>
  <si>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</si>
  <si>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</si>
  <si>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</si>
  <si>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</si>
  <si>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</si>
  <si>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</si>
  <si>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</si>
  <si>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</si>
  <si>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</si>
  <si>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</si>
  <si>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</si>
  <si>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</si>
  <si>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</si>
  <si>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</si>
  <si>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</si>
  <si>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</si>
  <si>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</si>
  <si>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</si>
  <si>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</si>
  <si>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</si>
  <si>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</si>
  <si>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</si>
  <si>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</si>
  <si>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</si>
  <si>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</si>
  <si>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</si>
  <si>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</si>
  <si>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</si>
  <si>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</si>
  <si>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</si>
  <si>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</si>
  <si>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</si>
  <si>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</si>
  <si>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</si>
  <si>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</si>
  <si>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</si>
  <si>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</si>
  <si>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</si>
  <si>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</si>
  <si>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</si>
  <si>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</si>
  <si>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</si>
  <si>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</si>
  <si>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</si>
  <si>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</si>
  <si>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</si>
  <si>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</si>
  <si>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</si>
  <si>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</si>
  <si>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</si>
  <si>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</si>
  <si>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</si>
  <si>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</si>
  <si>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</si>
  <si>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</si>
  <si>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</si>
  <si>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</si>
  <si>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</si>
  <si>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</si>
  <si>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</si>
  <si>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</si>
  <si>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</si>
  <si>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</si>
  <si>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</si>
  <si>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</si>
  <si>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</si>
  <si>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</si>
  <si>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</si>
  <si>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</si>
  <si>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</si>
  <si>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499</t>
  </si>
  <si>
    <t>黑山</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</si>
  <si>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</si>
  <si>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</si>
  <si>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</si>
  <si>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</si>
  <si>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</si>
  <si>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</si>
  <si>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</si>
  <si>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</si>
  <si>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</si>
  <si>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</si>
  <si>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</si>
  <si>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</si>
  <si>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</si>
  <si>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</si>
  <si>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</si>
  <si>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</si>
  <si>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</si>
  <si>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</si>
  <si>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</si>
  <si>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</si>
  <si>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</si>
  <si>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</si>
  <si>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535</t>
  </si>
  <si>
    <t>荷兰加勒比区</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</si>
  <si>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</si>
  <si>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</si>
  <si>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</si>
  <si>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</si>
  <si>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</si>
  <si>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</si>
  <si>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</si>
  <si>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</si>
  <si>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</si>
  <si>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</si>
  <si>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</si>
  <si>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</si>
  <si>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</si>
  <si>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</si>
  <si>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</si>
  <si>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</si>
  <si>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</si>
  <si>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</si>
  <si>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</si>
  <si>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</si>
  <si>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</si>
  <si>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</si>
  <si>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</si>
  <si>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</si>
  <si>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</si>
  <si>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</si>
  <si>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</si>
  <si>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</si>
  <si>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</si>
  <si>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</si>
  <si>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</si>
  <si>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</si>
  <si>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</si>
  <si>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</si>
  <si>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</si>
  <si>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</si>
  <si>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</si>
  <si>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</si>
  <si>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</si>
  <si>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</si>
  <si>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</si>
  <si>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</si>
  <si>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</si>
  <si>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</si>
  <si>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</si>
  <si>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</si>
  <si>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</si>
  <si>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</si>
  <si>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</si>
  <si>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</si>
  <si>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</si>
  <si>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</si>
  <si>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</si>
  <si>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</si>
  <si>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</si>
  <si>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</si>
  <si>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</si>
  <si>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</si>
  <si>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</si>
  <si>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</si>
  <si>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</si>
  <si>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</si>
  <si>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</si>
  <si>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</si>
  <si>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652</t>
  </si>
  <si>
    <t>圣巴泰勒米岛</t>
  </si>
  <si>
    <t>1929</t>
  </si>
  <si>
    <t>其他皮革制品制造</t>
  </si>
  <si>
    <t>1931</t>
  </si>
  <si>
    <t>毛皮鞣制加工</t>
  </si>
  <si>
    <t>1932</t>
  </si>
  <si>
    <t>毛皮服装加工</t>
  </si>
  <si>
    <t>1939</t>
  </si>
  <si>
    <t>其他毛皮制品加工</t>
  </si>
  <si>
    <t>1941</t>
  </si>
  <si>
    <t>羽毛（绒）加工</t>
  </si>
  <si>
    <t>663</t>
  </si>
  <si>
    <t>1942</t>
  </si>
  <si>
    <t>羽毛（绒）制品加工</t>
  </si>
  <si>
    <t>1951</t>
  </si>
  <si>
    <t>纺织面料鞋制造</t>
  </si>
  <si>
    <t>1952</t>
  </si>
  <si>
    <t>皮鞋制造</t>
  </si>
  <si>
    <t>1953</t>
  </si>
  <si>
    <t>塑料鞋制造</t>
  </si>
  <si>
    <t>1954</t>
  </si>
  <si>
    <t>橡胶鞋制造</t>
  </si>
  <si>
    <t>1959</t>
  </si>
  <si>
    <t>其他制鞋业</t>
  </si>
  <si>
    <t>2011</t>
  </si>
  <si>
    <t>锯材加工</t>
  </si>
  <si>
    <t>688</t>
  </si>
  <si>
    <t>塞尔维亚</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</si>
  <si>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</si>
  <si>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</si>
  <si>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</si>
  <si>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</si>
  <si>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</si>
  <si>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</si>
  <si>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</si>
  <si>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</si>
  <si>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</si>
  <si>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</si>
  <si>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</si>
  <si>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</si>
  <si>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</si>
  <si>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</si>
  <si>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</si>
  <si>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</si>
  <si>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</si>
  <si>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</si>
  <si>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</si>
  <si>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</si>
  <si>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</si>
  <si>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</si>
  <si>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728</t>
  </si>
  <si>
    <t>南苏丹</t>
  </si>
  <si>
    <t>2039</t>
  </si>
  <si>
    <t>软木制品及其他木制品制造</t>
  </si>
  <si>
    <t>729</t>
  </si>
  <si>
    <t>苏丹</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</si>
  <si>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</si>
  <si>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</si>
  <si>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</si>
  <si>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</si>
  <si>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</si>
  <si>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</si>
  <si>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</si>
  <si>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</si>
  <si>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</si>
  <si>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</si>
  <si>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</si>
  <si>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</si>
  <si>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</si>
  <si>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</si>
  <si>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</si>
  <si>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</si>
  <si>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</si>
  <si>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</si>
  <si>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</si>
  <si>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</si>
  <si>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</si>
  <si>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</si>
  <si>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</si>
  <si>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</si>
  <si>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</si>
  <si>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</si>
  <si>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</si>
  <si>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</si>
  <si>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</si>
  <si>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</si>
  <si>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</si>
  <si>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</si>
  <si>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</si>
  <si>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</si>
  <si>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</si>
  <si>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</si>
  <si>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</si>
  <si>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</si>
  <si>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</si>
  <si>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</si>
  <si>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</si>
  <si>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</si>
  <si>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</si>
  <si>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</si>
  <si>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</si>
  <si>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</si>
  <si>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</si>
  <si>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</si>
  <si>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</si>
  <si>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</si>
  <si>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</si>
  <si>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</si>
  <si>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831</t>
  </si>
  <si>
    <t>根西岛</t>
  </si>
  <si>
    <t>2421</t>
  </si>
  <si>
    <t>中乐器制造</t>
  </si>
  <si>
    <t>832</t>
  </si>
  <si>
    <t>泽西岛</t>
  </si>
  <si>
    <t>2422</t>
  </si>
  <si>
    <t>西乐器制造</t>
  </si>
  <si>
    <t>833</t>
  </si>
  <si>
    <t>马恩岛</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</si>
  <si>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</si>
  <si>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</si>
  <si>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</si>
  <si>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</si>
  <si>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</si>
  <si>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</si>
  <si>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</si>
  <si>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</si>
  <si>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</si>
  <si>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</si>
  <si>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</si>
  <si>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</si>
  <si>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</si>
  <si>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</si>
  <si>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</si>
  <si>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</si>
  <si>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</si>
  <si>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</si>
  <si>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</si>
  <si>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</si>
  <si>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</si>
  <si>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</si>
  <si>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</si>
  <si>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</si>
  <si>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</si>
  <si>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</si>
  <si>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</si>
  <si>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</si>
  <si>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</si>
  <si>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</si>
  <si>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</si>
  <si>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</si>
  <si>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</si>
  <si>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</si>
  <si>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</si>
  <si>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</si>
  <si>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</si>
  <si>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</si>
  <si>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</si>
  <si>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</si>
  <si>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</si>
  <si>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</si>
  <si>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</si>
  <si>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</si>
  <si>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</si>
  <si>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</si>
  <si>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</si>
  <si>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</si>
  <si>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</si>
  <si>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</si>
  <si>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</si>
  <si>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</si>
  <si>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</si>
  <si>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</si>
  <si>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</si>
  <si>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</si>
  <si>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</si>
  <si>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</si>
  <si>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</si>
  <si>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</si>
  <si>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</si>
  <si>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</si>
  <si>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</si>
  <si>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</si>
  <si>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</si>
  <si>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</si>
  <si>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</si>
  <si>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</si>
  <si>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</si>
  <si>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</si>
  <si>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</si>
  <si>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</si>
  <si>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</si>
  <si>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</si>
  <si>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</si>
  <si>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</si>
  <si>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</si>
  <si>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</si>
  <si>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</si>
  <si>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</si>
  <si>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</si>
  <si>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</si>
  <si>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</si>
  <si>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</si>
  <si>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</si>
  <si>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</si>
  <si>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</si>
  <si>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</si>
  <si>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</si>
  <si>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</si>
  <si>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</si>
  <si>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</si>
  <si>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</si>
  <si>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</si>
  <si>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</si>
  <si>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</si>
  <si>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</si>
  <si>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</si>
  <si>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</si>
  <si>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</si>
  <si>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</si>
  <si>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</si>
  <si>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</si>
  <si>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</si>
  <si>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</si>
  <si>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</si>
  <si>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</si>
  <si>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</si>
  <si>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</si>
  <si>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</si>
  <si>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</si>
  <si>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</si>
  <si>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</si>
  <si>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</si>
  <si>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</si>
  <si>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</si>
  <si>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</si>
  <si>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</si>
  <si>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</si>
  <si>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</si>
  <si>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</si>
  <si>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</si>
  <si>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</si>
  <si>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</si>
  <si>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</si>
  <si>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</si>
  <si>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</si>
  <si>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</si>
  <si>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</si>
  <si>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</si>
  <si>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</si>
  <si>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</si>
  <si>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</si>
  <si>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</si>
  <si>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</si>
  <si>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</si>
  <si>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</si>
  <si>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</si>
  <si>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</si>
  <si>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</si>
  <si>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</si>
  <si>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</si>
  <si>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</si>
  <si>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</si>
  <si>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</si>
  <si>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</si>
  <si>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</si>
  <si>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</si>
  <si>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</si>
  <si>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</si>
  <si>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</si>
  <si>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</si>
  <si>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</si>
  <si>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</si>
  <si>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</si>
  <si>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</si>
  <si>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</si>
  <si>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</si>
  <si>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</si>
  <si>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</si>
  <si>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</si>
  <si>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</si>
  <si>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</si>
  <si>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</si>
  <si>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</si>
  <si>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</si>
  <si>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</si>
  <si>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</si>
  <si>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</si>
  <si>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</si>
  <si>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</si>
  <si>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</si>
  <si>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</si>
  <si>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</si>
  <si>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</si>
  <si>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</si>
  <si>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</si>
  <si>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</si>
  <si>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</si>
  <si>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</si>
  <si>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</si>
  <si>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</si>
  <si>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</si>
  <si>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</si>
  <si>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</si>
  <si>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</si>
  <si>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</si>
  <si>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</si>
  <si>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</si>
  <si>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</si>
  <si>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</si>
  <si>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</si>
  <si>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</si>
  <si>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</si>
  <si>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</si>
  <si>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</si>
  <si>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</si>
  <si>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</si>
  <si>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</si>
  <si>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</si>
  <si>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</si>
  <si>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</si>
  <si>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</si>
  <si>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</si>
  <si>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</si>
  <si>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</si>
  <si>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</si>
  <si>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</si>
  <si>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</si>
  <si>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</si>
  <si>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</si>
  <si>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</si>
  <si>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</si>
  <si>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</si>
  <si>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</si>
  <si>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</si>
  <si>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</si>
  <si>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</si>
  <si>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</si>
  <si>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</si>
  <si>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</si>
  <si>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</si>
  <si>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</si>
  <si>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</si>
  <si>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</si>
  <si>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</si>
  <si>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</si>
  <si>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</si>
  <si>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</si>
  <si>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</si>
  <si>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</si>
  <si>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</si>
  <si>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</si>
  <si>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</si>
  <si>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</si>
  <si>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</si>
  <si>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</si>
  <si>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</si>
  <si>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</si>
  <si>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</si>
  <si>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</si>
  <si>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</si>
  <si>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</si>
  <si>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</si>
  <si>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</si>
  <si>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</si>
  <si>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</si>
  <si>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</si>
  <si>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</si>
  <si>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</si>
  <si>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</si>
  <si>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</si>
  <si>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</si>
  <si>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</si>
  <si>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</si>
  <si>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</si>
  <si>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</si>
  <si>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</si>
  <si>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</si>
  <si>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</si>
  <si>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</si>
  <si>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</si>
  <si>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</si>
  <si>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</si>
  <si>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</si>
  <si>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</si>
  <si>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</si>
  <si>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</si>
  <si>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</si>
  <si>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</si>
  <si>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</si>
  <si>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</si>
  <si>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</si>
  <si>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</si>
  <si>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</si>
  <si>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</si>
  <si>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</si>
  <si>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</si>
  <si>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</si>
  <si>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</si>
  <si>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</si>
  <si>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</si>
  <si>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</si>
  <si>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</si>
  <si>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</si>
  <si>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</si>
  <si>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</si>
  <si>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</si>
  <si>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</si>
  <si>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</si>
  <si>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</si>
  <si>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</si>
  <si>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</si>
  <si>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</si>
  <si>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</si>
  <si>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</si>
  <si>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</si>
  <si>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</si>
  <si>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</si>
  <si>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</si>
  <si>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</si>
  <si>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</si>
  <si>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</si>
  <si>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</si>
  <si>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</si>
  <si>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</si>
  <si>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</si>
  <si>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</si>
  <si>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</si>
  <si>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</si>
  <si>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</si>
  <si>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</si>
  <si>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</si>
  <si>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</si>
  <si>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</si>
  <si>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</si>
  <si>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</si>
  <si>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</si>
  <si>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</si>
  <si>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</si>
  <si>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</si>
  <si>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</si>
  <si>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</si>
  <si>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</si>
  <si>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</si>
  <si>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</si>
  <si>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</si>
  <si>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</si>
  <si>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</si>
  <si>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</si>
  <si>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</si>
  <si>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</si>
  <si>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</si>
  <si>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</si>
  <si>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</si>
  <si>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</si>
  <si>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</si>
  <si>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</si>
  <si>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</si>
  <si>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</si>
  <si>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</si>
  <si>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</si>
  <si>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</si>
  <si>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</si>
  <si>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</si>
  <si>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</si>
  <si>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</si>
  <si>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</si>
  <si>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</si>
  <si>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</si>
  <si>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</si>
  <si>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</si>
  <si>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</si>
  <si>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</si>
  <si>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</si>
  <si>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</si>
  <si>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</si>
  <si>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</si>
  <si>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</si>
  <si>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</si>
  <si>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</si>
  <si>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</si>
  <si>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</si>
  <si>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</si>
  <si>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</si>
  <si>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</si>
  <si>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</si>
  <si>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</si>
  <si>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</si>
  <si>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</si>
  <si>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</si>
  <si>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</si>
  <si>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</si>
  <si>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</si>
  <si>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</si>
  <si>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</si>
  <si>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</si>
  <si>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</si>
  <si>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</si>
  <si>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</si>
  <si>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</si>
  <si>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</si>
  <si>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</si>
  <si>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</si>
  <si>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</si>
  <si>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</si>
  <si>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</si>
  <si>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</si>
  <si>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</si>
  <si>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</si>
  <si>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</si>
  <si>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</si>
  <si>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</si>
  <si>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</si>
  <si>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</si>
  <si>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</si>
  <si>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</si>
  <si>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</si>
  <si>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</si>
  <si>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</si>
  <si>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</si>
  <si>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</si>
  <si>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</si>
  <si>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</si>
  <si>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</si>
  <si>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</si>
  <si>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</si>
  <si>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</si>
  <si>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</si>
  <si>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</si>
  <si>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</si>
  <si>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</si>
  <si>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</si>
  <si>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</si>
  <si>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</si>
  <si>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</si>
  <si>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</si>
  <si>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</si>
  <si>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</si>
  <si>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</si>
  <si>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</si>
  <si>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</si>
  <si>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</si>
  <si>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</si>
  <si>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</si>
  <si>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</si>
  <si>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</si>
  <si>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</si>
  <si>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</si>
  <si>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</si>
  <si>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</si>
  <si>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</si>
  <si>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</si>
  <si>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</si>
  <si>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</si>
  <si>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</si>
  <si>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</si>
  <si>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</si>
  <si>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</si>
  <si>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</si>
  <si>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</si>
  <si>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</si>
  <si>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</si>
  <si>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</si>
  <si>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</si>
  <si>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</si>
  <si>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</si>
  <si>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</si>
  <si>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</si>
  <si>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</si>
  <si>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</si>
  <si>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</si>
  <si>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</si>
  <si>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</si>
  <si>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</si>
  <si>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</si>
  <si>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</si>
  <si>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</si>
  <si>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</si>
  <si>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</si>
  <si>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</si>
  <si>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</si>
  <si>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</si>
  <si>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</si>
  <si>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</si>
  <si>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</si>
  <si>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</si>
  <si>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</si>
  <si>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</si>
  <si>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</si>
  <si>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</si>
  <si>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</si>
  <si>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</si>
  <si>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</si>
  <si>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</si>
  <si>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</si>
  <si>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</si>
  <si>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</si>
  <si>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</si>
  <si>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</si>
  <si>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</si>
  <si>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</si>
  <si>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</si>
  <si>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</si>
  <si>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</si>
  <si>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</si>
  <si>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</si>
  <si>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</si>
  <si>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</si>
  <si>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</si>
  <si>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</si>
  <si>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</si>
  <si>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</si>
  <si>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</si>
  <si>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</si>
  <si>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</si>
  <si>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</si>
  <si>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</si>
  <si>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</si>
  <si>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</si>
  <si>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</si>
  <si>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</si>
  <si>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</si>
  <si>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</si>
  <si>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</si>
  <si>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</si>
  <si>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</si>
  <si>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</si>
  <si>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</si>
  <si>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</si>
  <si>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</si>
  <si>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</si>
  <si>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</si>
  <si>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</si>
  <si>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</si>
  <si>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</si>
  <si>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</si>
  <si>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</si>
  <si>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</si>
  <si>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</si>
  <si>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</si>
  <si>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</si>
  <si>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</si>
  <si>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</si>
  <si>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</si>
  <si>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</si>
  <si>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</si>
  <si>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</si>
  <si>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</si>
  <si>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</si>
  <si>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</si>
  <si>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</si>
  <si>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</si>
  <si>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</si>
  <si>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</si>
  <si>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</si>
  <si>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</si>
  <si>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</si>
  <si>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</si>
  <si>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</si>
  <si>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</si>
  <si>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</si>
  <si>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</si>
  <si>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</si>
  <si>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</si>
  <si>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</si>
  <si>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</si>
  <si>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</si>
  <si>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</si>
  <si>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</si>
  <si>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</si>
  <si>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</si>
  <si>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</si>
  <si>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</si>
  <si>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</si>
  <si>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</si>
  <si>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</si>
  <si>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</si>
  <si>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</si>
  <si>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</si>
  <si>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</si>
  <si>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</si>
  <si>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</si>
  <si>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</si>
  <si>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</si>
  <si>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</si>
  <si>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</si>
  <si>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</si>
  <si>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</si>
  <si>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</si>
  <si>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</si>
  <si>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</si>
  <si>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</si>
  <si>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</si>
  <si>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</si>
  <si>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</si>
  <si>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</si>
  <si>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</si>
  <si>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</si>
  <si>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</si>
  <si>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</si>
  <si>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</si>
  <si>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</si>
  <si>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</si>
  <si>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</si>
  <si>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</si>
  <si>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</si>
  <si>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</si>
  <si>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</si>
  <si>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</si>
  <si>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</si>
  <si>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</si>
  <si>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</si>
  <si>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</si>
  <si>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</si>
  <si>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</si>
  <si>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</si>
  <si>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</si>
  <si>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</si>
  <si>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</si>
  <si>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</si>
  <si>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</si>
  <si>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</si>
  <si>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</si>
  <si>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</si>
  <si>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</si>
  <si>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</si>
  <si>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</si>
  <si>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</si>
  <si>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</si>
  <si>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</si>
  <si>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</si>
  <si>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</si>
  <si>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</si>
  <si>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</si>
  <si>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</si>
  <si>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</si>
  <si>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</si>
  <si>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</si>
  <si>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</si>
  <si>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</si>
  <si>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</si>
  <si>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</si>
  <si>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</si>
  <si>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</si>
  <si>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</si>
  <si>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</si>
  <si>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</si>
  <si>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</si>
  <si>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</si>
  <si>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</si>
  <si>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</si>
  <si>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</si>
  <si>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</si>
  <si>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</si>
  <si>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</si>
  <si>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</si>
  <si>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</si>
  <si>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</si>
  <si>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</si>
  <si>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</si>
  <si>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</si>
  <si>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</si>
  <si>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</si>
  <si>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</si>
  <si>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</si>
  <si>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</si>
  <si>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</si>
  <si>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</si>
  <si>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</si>
  <si>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</si>
  <si>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</si>
  <si>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</si>
  <si>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</si>
  <si>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</si>
  <si>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</si>
  <si>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</si>
  <si>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</si>
  <si>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</si>
  <si>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</si>
  <si>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</si>
  <si>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</si>
  <si>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</si>
  <si>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</si>
  <si>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</si>
  <si>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</si>
  <si>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</si>
  <si>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</si>
  <si>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</si>
  <si>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</si>
  <si>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</si>
  <si>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</si>
  <si>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</si>
  <si>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</si>
  <si>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</si>
  <si>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</si>
  <si>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</si>
  <si>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</si>
  <si>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</si>
  <si>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</si>
  <si>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</si>
  <si>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</si>
  <si>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</si>
  <si>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</si>
  <si>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</si>
  <si>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</si>
  <si>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</si>
  <si>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</si>
  <si>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</si>
  <si>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</si>
  <si>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</si>
  <si>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</si>
  <si>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</si>
  <si>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</si>
  <si>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</si>
  <si>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</si>
  <si>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</si>
  <si>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</si>
  <si>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</si>
  <si>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</si>
  <si>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</si>
  <si>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</si>
  <si>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</si>
  <si>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</si>
  <si>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</si>
  <si>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</si>
  <si>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</si>
  <si>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</si>
  <si>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</si>
  <si>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</si>
  <si>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</si>
  <si>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</si>
  <si>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</si>
  <si>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</si>
  <si>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</si>
  <si>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</si>
  <si>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</si>
  <si>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</si>
  <si>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</si>
  <si>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</si>
  <si>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</si>
  <si>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</si>
  <si>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</si>
  <si>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</si>
  <si>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</si>
  <si>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</si>
  <si>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</si>
  <si>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</si>
  <si>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</si>
  <si>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</si>
  <si>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</si>
  <si>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</si>
  <si>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</si>
  <si>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</si>
  <si>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</si>
  <si>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</si>
  <si>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</si>
  <si>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</si>
  <si>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</si>
  <si>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</si>
  <si>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</si>
  <si>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</si>
  <si>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</si>
  <si>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</si>
  <si>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</si>
  <si>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</si>
  <si>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</si>
  <si>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</si>
  <si>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</si>
  <si>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</si>
  <si>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</si>
  <si>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</si>
  <si>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</si>
  <si>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</si>
  <si>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</si>
  <si>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</si>
  <si>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</si>
  <si>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</si>
  <si>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</si>
  <si>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</si>
  <si>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</si>
  <si>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</si>
  <si>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</si>
  <si>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</si>
  <si>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</si>
  <si>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</si>
  <si>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</si>
  <si>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</si>
  <si>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</si>
  <si>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</si>
  <si>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</si>
  <si>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</si>
  <si>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</si>
  <si>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</si>
  <si>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</si>
  <si>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</si>
  <si>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</si>
  <si>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</si>
  <si>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</si>
  <si>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</si>
  <si>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</si>
  <si>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</si>
  <si>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</si>
  <si>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</si>
  <si>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</si>
  <si>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</si>
  <si>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</si>
  <si>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</si>
  <si>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</si>
  <si>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</si>
  <si>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</si>
  <si>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</si>
  <si>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</si>
  <si>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</si>
  <si>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</si>
  <si>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</si>
  <si>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</si>
  <si>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</si>
  <si>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</si>
  <si>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</si>
  <si>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</si>
  <si>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</si>
  <si>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</si>
  <si>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</si>
  <si>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</si>
  <si>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</si>
  <si>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</si>
  <si>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</si>
  <si>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</si>
  <si>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</si>
  <si>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</si>
  <si>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</si>
  <si>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</si>
  <si>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</si>
  <si>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</si>
  <si>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</si>
  <si>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</si>
  <si>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</si>
  <si>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</si>
  <si>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</si>
  <si>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</si>
  <si>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</si>
  <si>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</si>
  <si>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</si>
  <si>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</si>
  <si>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</si>
  <si>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</si>
  <si>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</si>
  <si>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</si>
  <si>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</si>
  <si>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</si>
  <si>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</si>
  <si>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</si>
  <si>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</si>
  <si>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</si>
  <si>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</si>
  <si>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</si>
  <si>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</si>
  <si>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</si>
  <si>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</si>
  <si>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</si>
  <si>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</si>
  <si>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</si>
  <si>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</si>
  <si>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</si>
  <si>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</si>
  <si>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</si>
  <si>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</si>
  <si>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</si>
  <si>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</si>
  <si>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</si>
  <si>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</si>
  <si>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</si>
  <si>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</si>
  <si>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</si>
  <si>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</si>
  <si>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</si>
  <si>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</si>
  <si>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</si>
  <si>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</si>
  <si>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</si>
  <si>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</si>
  <si>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</si>
  <si>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</si>
  <si>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</si>
  <si>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</si>
  <si>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</si>
  <si>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</si>
  <si>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</si>
  <si>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</si>
  <si>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</si>
  <si>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</si>
  <si>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</si>
  <si>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</si>
  <si>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</si>
  <si>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</si>
  <si>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</si>
  <si>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</si>
  <si>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</si>
  <si>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</si>
  <si>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</si>
  <si>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</si>
  <si>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</si>
  <si>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</si>
  <si>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</si>
  <si>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</si>
  <si>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</si>
  <si>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</si>
  <si>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</si>
  <si>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</si>
  <si>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</si>
  <si>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</si>
  <si>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</si>
  <si>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</si>
  <si>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</si>
  <si>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</si>
  <si>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</si>
  <si>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</si>
  <si>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</si>
  <si>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</si>
  <si>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</si>
  <si>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</si>
  <si>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</si>
  <si>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</si>
  <si>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</si>
  <si>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</si>
  <si>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</si>
  <si>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</si>
  <si>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</si>
  <si>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</si>
  <si>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</si>
  <si>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</si>
  <si>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</si>
  <si>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</si>
  <si>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</si>
  <si>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</si>
  <si>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</si>
  <si>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</si>
  <si>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</si>
  <si>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</si>
  <si>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</si>
  <si>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</si>
  <si>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</si>
  <si>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</si>
  <si>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</si>
  <si>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</si>
  <si>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</si>
  <si>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</si>
  <si>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</si>
  <si>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</si>
  <si>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</si>
  <si>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</si>
  <si>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</si>
  <si>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</si>
  <si>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</si>
  <si>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</si>
  <si>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</si>
  <si>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</si>
  <si>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</si>
  <si>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</si>
  <si>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</si>
  <si>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</si>
  <si>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</si>
  <si>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</si>
  <si>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</si>
  <si>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</si>
  <si>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</si>
  <si>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</si>
  <si>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</si>
  <si>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</si>
  <si>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</si>
  <si>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</si>
  <si>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</si>
  <si>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</si>
  <si>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</si>
  <si>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</si>
  <si>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</si>
  <si>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</si>
  <si>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</si>
  <si>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</si>
  <si>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</si>
  <si>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</si>
  <si>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</si>
  <si>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</si>
  <si>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</si>
  <si>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</si>
  <si>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</si>
  <si>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</si>
  <si>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</si>
  <si>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</si>
  <si>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</si>
  <si>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</si>
  <si>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</si>
  <si>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</si>
  <si>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</si>
  <si>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</si>
  <si>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</si>
  <si>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</si>
  <si>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</si>
  <si>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</si>
  <si>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</si>
  <si>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</si>
  <si>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</si>
  <si>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</si>
  <si>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</si>
  <si>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</si>
  <si>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</si>
  <si>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</si>
  <si>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</si>
  <si>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</si>
  <si>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</si>
  <si>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</si>
  <si>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</si>
  <si>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</si>
  <si>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</si>
  <si>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</si>
  <si>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</si>
  <si>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</si>
  <si>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</si>
  <si>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</si>
  <si>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</si>
  <si>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</si>
  <si>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</si>
  <si>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</si>
  <si>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</si>
  <si>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</si>
  <si>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</si>
  <si>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</si>
  <si>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</si>
  <si>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</si>
  <si>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</si>
  <si>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</si>
  <si>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</si>
  <si>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</si>
  <si>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</si>
  <si>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</si>
  <si>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</si>
  <si>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</si>
  <si>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</si>
  <si>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</si>
  <si>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</si>
  <si>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</si>
  <si>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</si>
  <si>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</si>
  <si>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</si>
  <si>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</si>
  <si>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</si>
  <si>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</si>
  <si>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</si>
  <si>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</si>
  <si>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</si>
  <si>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</si>
  <si>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</si>
  <si>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</si>
  <si>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</si>
  <si>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</si>
  <si>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</si>
  <si>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</si>
  <si>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</si>
  <si>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</si>
  <si>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</si>
  <si>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</si>
  <si>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</si>
  <si>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</si>
  <si>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</si>
  <si>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</si>
  <si>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</si>
  <si>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</si>
  <si>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</si>
  <si>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</si>
  <si>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</si>
  <si>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</si>
  <si>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</si>
  <si>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</si>
  <si>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</si>
  <si>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</si>
  <si>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</si>
  <si>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</si>
  <si>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</si>
  <si>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</si>
  <si>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</si>
  <si>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</si>
  <si>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</si>
  <si>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</si>
  <si>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</si>
  <si>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</si>
  <si>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</si>
  <si>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</si>
  <si>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</si>
  <si>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</si>
  <si>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</si>
  <si>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</si>
  <si>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</si>
  <si>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</si>
  <si>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</si>
  <si>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</si>
  <si>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</si>
  <si>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</si>
  <si>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</si>
  <si>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</si>
  <si>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</si>
  <si>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</si>
  <si>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</si>
  <si>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</si>
  <si>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</si>
  <si>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</si>
  <si>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</si>
  <si>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</si>
  <si>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</si>
  <si>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</si>
  <si>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</si>
  <si>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</si>
  <si>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</si>
  <si>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</si>
  <si>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</si>
  <si>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</si>
  <si>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</si>
  <si>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</si>
  <si>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</si>
  <si>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</si>
  <si>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</si>
  <si>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</si>
  <si>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</si>
  <si>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</si>
  <si>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</si>
  <si>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</si>
  <si>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</si>
  <si>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</si>
  <si>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</si>
  <si>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</si>
  <si>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</si>
  <si>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</si>
  <si>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</si>
  <si>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</si>
  <si>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</si>
  <si>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</si>
  <si>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</si>
  <si>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</si>
  <si>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</si>
  <si>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</si>
  <si>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</si>
  <si>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</si>
  <si>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</si>
  <si>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</si>
  <si>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</si>
  <si>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</si>
  <si>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</si>
  <si>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</si>
  <si>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</si>
  <si>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</si>
  <si>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</si>
  <si>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</si>
  <si>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</si>
  <si>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</si>
  <si>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</si>
  <si>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</si>
  <si>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</si>
  <si>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</si>
  <si>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</si>
  <si>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</si>
  <si>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</si>
  <si>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</si>
  <si>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</si>
  <si>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</si>
  <si>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</si>
  <si>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</si>
  <si>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</si>
  <si>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</si>
  <si>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</si>
  <si>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</si>
  <si>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</si>
  <si>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</si>
  <si>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</si>
  <si>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</si>
  <si>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</si>
  <si>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</si>
  <si>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</si>
  <si>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</si>
  <si>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</si>
  <si>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</si>
  <si>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</si>
  <si>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</si>
  <si>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</si>
  <si>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</si>
  <si>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</si>
  <si>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</si>
  <si>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</si>
  <si>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</si>
  <si>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</si>
  <si>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</si>
  <si>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</si>
  <si>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</si>
  <si>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</si>
  <si>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</si>
  <si>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</si>
  <si>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</si>
  <si>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</si>
  <si>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</si>
  <si>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</si>
  <si>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</si>
  <si>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</si>
  <si>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</si>
  <si>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</si>
  <si>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</si>
  <si>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</si>
  <si>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</si>
  <si>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</si>
  <si>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</si>
  <si>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</si>
  <si>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</si>
  <si>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</si>
  <si>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</si>
  <si>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</si>
  <si>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</si>
  <si>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</si>
  <si>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</si>
  <si>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</si>
  <si>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</si>
  <si>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</si>
  <si>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</si>
  <si>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</si>
  <si>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</si>
  <si>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</si>
  <si>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</si>
  <si>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</si>
  <si>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</si>
  <si>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</si>
  <si>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</si>
  <si>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</si>
  <si>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</si>
  <si>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</si>
  <si>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</si>
  <si>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</si>
  <si>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</si>
  <si>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</si>
  <si>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</si>
  <si>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</si>
  <si>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</si>
  <si>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</si>
  <si>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</si>
  <si>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</si>
  <si>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</si>
  <si>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</si>
  <si>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</si>
  <si>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</si>
  <si>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</si>
  <si>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</si>
  <si>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</si>
  <si>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</si>
  <si>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</si>
  <si>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</si>
  <si>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</si>
  <si>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</si>
  <si>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</si>
  <si>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</si>
  <si>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</si>
  <si>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</si>
  <si>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</si>
  <si>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</si>
  <si>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</si>
  <si>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</si>
  <si>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</si>
  <si>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</si>
  <si>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</si>
  <si>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</si>
  <si>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</si>
  <si>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</si>
  <si>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</si>
  <si>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</si>
  <si>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</si>
  <si>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</si>
  <si>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</si>
  <si>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</si>
  <si>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</si>
  <si>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</si>
  <si>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</si>
  <si>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</si>
  <si>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</si>
  <si>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</si>
  <si>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</si>
  <si>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</si>
  <si>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</si>
  <si>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</si>
  <si>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</si>
  <si>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</si>
  <si>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</si>
  <si>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</si>
  <si>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</si>
  <si>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</si>
  <si>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</si>
  <si>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</si>
  <si>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</si>
  <si>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</si>
  <si>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</si>
  <si>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</si>
  <si>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</si>
  <si>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</si>
  <si>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</si>
  <si>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</si>
  <si>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</si>
  <si>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</si>
  <si>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</si>
  <si>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</si>
  <si>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</si>
  <si>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</si>
  <si>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</si>
  <si>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</si>
  <si>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</si>
  <si>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</si>
  <si>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</si>
  <si>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</si>
  <si>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</si>
  <si>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</si>
  <si>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</si>
  <si>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</si>
  <si>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</si>
  <si>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</si>
  <si>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</si>
  <si>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</si>
  <si>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</si>
  <si>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</si>
  <si>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</si>
  <si>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</si>
  <si>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</si>
  <si>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</si>
  <si>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</si>
  <si>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</si>
  <si>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</si>
  <si>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</si>
  <si>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</si>
  <si>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</si>
  <si>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</si>
  <si>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</si>
  <si>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</si>
  <si>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</si>
  <si>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</si>
  <si>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</si>
  <si>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</si>
  <si>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</si>
  <si>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</si>
  <si>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</si>
  <si>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</si>
  <si>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</si>
  <si>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</si>
  <si>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</si>
  <si>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</si>
  <si>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</si>
  <si>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</si>
  <si>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</si>
  <si>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</si>
  <si>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</si>
  <si>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</si>
  <si>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</si>
  <si>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</si>
  <si>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</si>
  <si>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</si>
  <si>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</si>
  <si>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</si>
  <si>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</si>
  <si>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</si>
  <si>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</si>
  <si>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</si>
  <si>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</si>
  <si>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</si>
  <si>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</si>
  <si>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</si>
  <si>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</si>
  <si>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</si>
  <si>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</si>
  <si>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</si>
  <si>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</si>
  <si>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</si>
  <si>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</si>
  <si>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</si>
  <si>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</si>
  <si>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</si>
  <si>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</si>
  <si>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</si>
  <si>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</si>
  <si>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</si>
  <si>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</si>
  <si>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</si>
  <si>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</si>
  <si>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</si>
  <si>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</si>
  <si>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</si>
  <si>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</si>
  <si>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</si>
  <si>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</si>
  <si>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</si>
  <si>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</si>
  <si>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</si>
  <si>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</si>
  <si>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</si>
  <si>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</si>
  <si>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</si>
  <si>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</si>
  <si>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</si>
  <si>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</si>
  <si>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</si>
  <si>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</si>
  <si>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</si>
  <si>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</si>
  <si>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</si>
  <si>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</si>
  <si>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</si>
  <si>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</si>
  <si>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</si>
  <si>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</si>
  <si>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</si>
  <si>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</si>
  <si>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</si>
  <si>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</si>
  <si>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</si>
  <si>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</si>
  <si>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</si>
  <si>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</si>
  <si>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</si>
  <si>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</si>
  <si>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</si>
  <si>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</si>
  <si>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</si>
  <si>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</si>
  <si>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</si>
  <si>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</si>
  <si>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</si>
  <si>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</si>
  <si>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</si>
  <si>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</si>
  <si>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</si>
  <si>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</si>
  <si>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</si>
  <si>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</si>
  <si>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</si>
  <si>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</si>
  <si>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</si>
  <si>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</si>
  <si>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</si>
  <si>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</si>
  <si>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</si>
  <si>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</si>
  <si>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</si>
  <si>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</si>
  <si>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</si>
  <si>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</si>
  <si>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</si>
  <si>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</si>
  <si>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</si>
  <si>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</si>
  <si>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</si>
  <si>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</si>
  <si>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</si>
  <si>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</si>
  <si>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</si>
  <si>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</si>
  <si>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</si>
  <si>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</si>
  <si>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</si>
  <si>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</si>
  <si>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</si>
  <si>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</si>
  <si>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</si>
  <si>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</si>
  <si>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</si>
  <si>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</si>
  <si>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</si>
  <si>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</si>
  <si>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</si>
  <si>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</si>
  <si>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</si>
  <si>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</si>
  <si>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</si>
  <si>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</si>
  <si>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</si>
  <si>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</si>
  <si>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</si>
  <si>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</si>
  <si>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</si>
  <si>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</si>
  <si>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</si>
  <si>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</si>
  <si>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</si>
  <si>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</si>
  <si>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</si>
  <si>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</si>
  <si>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</si>
  <si>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</si>
  <si>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</si>
  <si>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</si>
  <si>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</si>
  <si>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</si>
  <si>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</si>
  <si>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</si>
  <si>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</si>
  <si>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</si>
  <si>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</si>
  <si>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</si>
  <si>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</si>
  <si>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</si>
  <si>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</si>
  <si>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</si>
  <si>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</si>
  <si>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</si>
  <si>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</si>
  <si>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</si>
  <si>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</si>
  <si>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</si>
  <si>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</si>
  <si>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</si>
  <si>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</si>
  <si>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</si>
  <si>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</si>
  <si>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</si>
  <si>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</si>
  <si>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</si>
  <si>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</si>
  <si>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</si>
  <si>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</si>
  <si>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</si>
  <si>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</si>
  <si>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</si>
  <si>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</si>
  <si>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</si>
  <si>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</si>
  <si>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</si>
  <si>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</si>
  <si>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</si>
  <si>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</si>
  <si>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</si>
  <si>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</si>
  <si>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</si>
  <si>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</si>
  <si>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</si>
  <si>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</si>
  <si>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</si>
  <si>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</si>
  <si>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</si>
  <si>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</si>
  <si>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</si>
  <si>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</si>
  <si>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</si>
  <si>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</si>
  <si>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</si>
  <si>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</si>
  <si>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</si>
  <si>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</si>
  <si>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</si>
  <si>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</si>
  <si>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</si>
  <si>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</si>
  <si>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</si>
  <si>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</si>
  <si>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</si>
  <si>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</si>
  <si>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</si>
  <si>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</si>
  <si>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</si>
  <si>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</si>
  <si>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</si>
  <si>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</si>
  <si>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</si>
  <si>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</si>
  <si>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</si>
  <si>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</si>
  <si>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</si>
  <si>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</si>
  <si>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</si>
  <si>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</si>
  <si>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</si>
  <si>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</si>
  <si>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</si>
  <si>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</si>
  <si>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</si>
  <si>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</si>
  <si>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</si>
  <si>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</si>
  <si>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</si>
  <si>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</si>
  <si>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</si>
  <si>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</si>
  <si>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</si>
  <si>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</si>
  <si>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</si>
  <si>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</si>
  <si>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</si>
  <si>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</si>
  <si>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</si>
  <si>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</si>
  <si>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</si>
  <si>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</si>
  <si>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</si>
  <si>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</si>
  <si>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</si>
  <si>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</si>
  <si>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</si>
  <si>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</si>
  <si>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</si>
  <si>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</si>
  <si>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</si>
  <si>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</si>
  <si>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</si>
  <si>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</si>
  <si>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</si>
  <si>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</si>
  <si>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</si>
  <si>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</si>
  <si>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</si>
  <si>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</si>
  <si>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</si>
  <si>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</si>
  <si>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</si>
  <si>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</si>
  <si>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</si>
  <si>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</si>
  <si>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</si>
  <si>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</si>
  <si>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</si>
  <si>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</si>
  <si>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</si>
  <si>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</si>
  <si>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</si>
  <si>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</si>
  <si>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</si>
  <si>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</si>
  <si>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</si>
  <si>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</si>
  <si>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</si>
  <si>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</si>
  <si>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</si>
  <si>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</si>
  <si>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</si>
  <si>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</si>
  <si>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</si>
  <si>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</si>
  <si>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</si>
  <si>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</si>
  <si>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</si>
  <si>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</si>
  <si>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</si>
  <si>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</si>
  <si>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</si>
  <si>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</si>
  <si>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</si>
  <si>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</si>
  <si>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</si>
  <si>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</si>
  <si>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</si>
  <si>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</si>
  <si>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</si>
  <si>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</si>
  <si>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</si>
  <si>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</si>
  <si>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</si>
  <si>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</si>
  <si>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</si>
  <si>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</si>
  <si>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</si>
  <si>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</si>
  <si>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</si>
  <si>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</si>
  <si>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</si>
  <si>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</si>
  <si>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</si>
  <si>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</si>
  <si>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</si>
  <si>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</si>
  <si>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</si>
  <si>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</si>
  <si>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</si>
  <si>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</si>
  <si>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</si>
  <si>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</si>
  <si>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</si>
  <si>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</si>
  <si>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</si>
  <si>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</si>
  <si>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</si>
  <si>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</si>
  <si>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</si>
  <si>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</si>
  <si>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</si>
  <si>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</si>
  <si>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</si>
  <si>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</si>
  <si>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</si>
  <si>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</si>
  <si>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</si>
  <si>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</si>
  <si>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</si>
  <si>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</si>
  <si>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</si>
  <si>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</si>
  <si>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</si>
  <si>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</si>
  <si>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</si>
  <si>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</si>
  <si>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</si>
  <si>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</si>
  <si>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</si>
  <si>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</si>
  <si>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</si>
  <si>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</si>
  <si>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</si>
  <si>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</si>
  <si>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</si>
  <si>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</si>
  <si>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</si>
  <si>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</si>
  <si>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</si>
  <si>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</si>
  <si>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</si>
  <si>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</si>
  <si>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</si>
  <si>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</si>
  <si>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</si>
  <si>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</si>
  <si>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</si>
  <si>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</si>
  <si>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</si>
  <si>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</si>
  <si>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</si>
  <si>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</si>
  <si>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</si>
  <si>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</si>
  <si>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</si>
  <si>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</si>
  <si>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</si>
  <si>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</si>
  <si>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</si>
  <si>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</si>
  <si>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</si>
  <si>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 xml:space="preserve">A100000 </t>
  </si>
  <si>
    <t xml:space="preserve">项        目      </t>
  </si>
  <si>
    <t xml:space="preserve">金    额  </t>
  </si>
  <si>
    <t xml:space="preserve">表间关系       </t>
  </si>
  <si>
    <t>一、营业收入(填写A101010\101020\103000)</t>
  </si>
  <si>
    <t>第1行＝表A101010第1行或表A101020第1行或表A103000第2+3+4+5+6行或表A103000第11+12+13+14+15行</t>
  </si>
  <si>
    <t xml:space="preserve">    减：营业成本(填写A102010\102020\103000)</t>
  </si>
  <si>
    <t>第2行＝表A102010第1行或表A102020第1行或表A103000第19+20+21+22行或表A103000第25+26+27行</t>
  </si>
  <si>
    <t xml:space="preserve">        销售费用(填写A104000)</t>
  </si>
  <si>
    <t>第4行＝表A104000第25行第1列</t>
  </si>
  <si>
    <t xml:space="preserve">        管理费用(填写A104000)</t>
  </si>
  <si>
    <t>第5行＝表A104000第25行第3列</t>
  </si>
  <si>
    <t xml:space="preserve">        财务费用(填写A104000)</t>
  </si>
  <si>
    <t>第6行＝表A104000第25行第5列</t>
  </si>
  <si>
    <t xml:space="preserve">    加：公允价值变动收益</t>
  </si>
  <si>
    <t>二、营业利润(1-2-3-4-5-6-7+8+9)</t>
  </si>
  <si>
    <t xml:space="preserve">    加：营业外收入(填写A101010\101020\103000)</t>
  </si>
  <si>
    <t>第11行＝表A101010第16行或表A101020第35行或表A103000第9行或第17行</t>
  </si>
  <si>
    <t xml:space="preserve">    减：营业外支出(填写A102010\102020\103000)</t>
  </si>
  <si>
    <t>第12行＝表A102010第16行或表A102020第33行或表A103000第23行或第28行</t>
  </si>
  <si>
    <t>三、利润总额（10+11-12）</t>
  </si>
  <si>
    <t xml:space="preserve">    减：境外所得（填写A108010）</t>
  </si>
  <si>
    <t>第14行＝表A108010第10行第14列－第11列</t>
  </si>
  <si>
    <t xml:space="preserve">    加：纳税调整增加额（填写A105000）</t>
  </si>
  <si>
    <t>第15行＝表A105000第43行第3列</t>
  </si>
  <si>
    <t xml:space="preserve">    减：纳税调整减少额（填写A105000）</t>
  </si>
  <si>
    <t>第16行＝表A105000第43行第4列</t>
  </si>
  <si>
    <t xml:space="preserve">    减：免税、减计收入及加计扣除（填写A107010）</t>
  </si>
  <si>
    <t xml:space="preserve">    加：境外应税所得抵减境内亏损（填写A108000）</t>
  </si>
  <si>
    <t>第18行＝表A108000第10行第6列。（当本表第13-14+15-16-17行≥0时，本行＝0）</t>
  </si>
  <si>
    <t>四、纳税调整后所得（13-14+15-16-17+18）</t>
  </si>
  <si>
    <t xml:space="preserve">    减：所得减免（填写A107020）</t>
  </si>
  <si>
    <t>第20行=表A107020第40行第7列
≤第19行，本行≤0，填0</t>
  </si>
  <si>
    <t xml:space="preserve">    减：抵扣应纳税所得额（填写A107030）</t>
  </si>
  <si>
    <t>第21行＝表A107030第7行
本行≤第19-20行</t>
  </si>
  <si>
    <t xml:space="preserve">    减：弥补以前年度亏损（填写A106000）</t>
  </si>
  <si>
    <t>第22行＝表A106000第6行第10列
本行≥0且≤第19-20行-21行</t>
  </si>
  <si>
    <t>五、应纳税所得额（19-20-21-22）</t>
  </si>
  <si>
    <t>本行≥0</t>
  </si>
  <si>
    <t xml:space="preserve">    税率（25%）</t>
  </si>
  <si>
    <t>六、应纳所得税额（23×24）</t>
  </si>
  <si>
    <t xml:space="preserve">本行≥0 </t>
  </si>
  <si>
    <t xml:space="preserve">    减：减免所得税额（填写A107040）</t>
  </si>
  <si>
    <t>第26行＝表A107040第29行
本行≤本表第25行</t>
  </si>
  <si>
    <t xml:space="preserve">    减：抵免所得税额（填写A107050）</t>
  </si>
  <si>
    <t>第27行＝表A107050第7行第11列
本行≤本表第25-26行</t>
  </si>
  <si>
    <t>七、应纳税额（25-26-27）</t>
  </si>
  <si>
    <t xml:space="preserve">    加：境外所得应纳所得税额（填写A108000）</t>
  </si>
  <si>
    <t>第29行＝表A108000第10行第9列</t>
  </si>
  <si>
    <t xml:space="preserve">    减：境外所得抵免所得税额（填写A108000）</t>
  </si>
  <si>
    <t>第30行＝表A108000第10行第19列,本行≤本表第29行</t>
  </si>
  <si>
    <t>八、实际应纳所得税额（28+29-30）</t>
  </si>
  <si>
    <t xml:space="preserve">    减：本年累计实际已预缴的所得税额</t>
  </si>
  <si>
    <t>九、本年应补（退）所得税额（31-32）</t>
  </si>
  <si>
    <t xml:space="preserve">    其中：总机构分摊本年应补（退）所得税额(填写A109000)</t>
  </si>
  <si>
    <t>第34行＝表A109000第12+16行</t>
  </si>
  <si>
    <t xml:space="preserve">          财政集中分配本年应补（退）所得税额（填写A109000）</t>
  </si>
  <si>
    <t>第35行＝表A109000第13行</t>
  </si>
  <si>
    <t xml:space="preserve">          总机构主体生产经营部门分摊本年应补（退）所得税额(填写A109000)</t>
  </si>
  <si>
    <t>第36行＝表A109000第15行</t>
  </si>
  <si>
    <t>A101010</t>
  </si>
  <si>
    <t xml:space="preserve">项        目       </t>
  </si>
  <si>
    <t>一、营业收入（2+9）</t>
  </si>
  <si>
    <t xml:space="preserve">第1行＝表A100000第1行 </t>
  </si>
  <si>
    <t xml:space="preserve">   （一）主营业务收入（3+5+6+7+8）</t>
  </si>
  <si>
    <t xml:space="preserve">       1.销售商品收入</t>
  </si>
  <si>
    <t xml:space="preserve">         其中：非货币性资产交换收入</t>
  </si>
  <si>
    <t xml:space="preserve">       2.提供劳务收入</t>
  </si>
  <si>
    <t xml:space="preserve">       3.建造合同收入</t>
  </si>
  <si>
    <t xml:space="preserve">       4.让渡资产使用权收入</t>
  </si>
  <si>
    <t xml:space="preserve">       5.其他</t>
  </si>
  <si>
    <t xml:space="preserve">  （二）其他业务收入（10+12+13+14+15）</t>
  </si>
  <si>
    <t xml:space="preserve">       1.销售材料收入</t>
  </si>
  <si>
    <t xml:space="preserve">         其中：非货币性资产交换收入 </t>
  </si>
  <si>
    <t xml:space="preserve">       2.出租固定资产收入</t>
  </si>
  <si>
    <t xml:space="preserve">       3.出租无形资产收入</t>
  </si>
  <si>
    <t xml:space="preserve">       4.出租包装物和商品收入</t>
  </si>
  <si>
    <t>二、营业外收入（17+18+19+20+21+22+23+24+25+26）</t>
  </si>
  <si>
    <t>第16行＝表A100000第11行</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</si>
  <si>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</si>
  <si>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</si>
  <si>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</si>
  <si>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</si>
  <si>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</si>
  <si>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</si>
  <si>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</si>
  <si>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</si>
  <si>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</si>
  <si>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</si>
  <si>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 xml:space="preserve">A101020 </t>
  </si>
  <si>
    <t>金融企业收入明细表</t>
  </si>
  <si>
    <t xml:space="preserve">项        目           </t>
  </si>
  <si>
    <t xml:space="preserve">金    额   </t>
  </si>
  <si>
    <t xml:space="preserve">表间关系      </t>
  </si>
  <si>
    <t>一、营业收入（2+18+27+32+33+34）</t>
  </si>
  <si>
    <t>第1行＝表A100000第1行</t>
  </si>
  <si>
    <t xml:space="preserve">   （一）银行业务收入（3+10）</t>
  </si>
  <si>
    <t xml:space="preserve">       1.利息收入（4+5+6+7+8+9）</t>
  </si>
  <si>
    <t xml:space="preserve">        （1）存放同业</t>
  </si>
  <si>
    <t xml:space="preserve">        （2）存放中央银行</t>
  </si>
  <si>
    <t xml:space="preserve">        （3）拆出资金</t>
  </si>
  <si>
    <t xml:space="preserve">        （4）发放贷款及垫资</t>
  </si>
  <si>
    <t xml:space="preserve">        （5）买入返售金融资产</t>
  </si>
  <si>
    <t xml:space="preserve">        （6）其他</t>
  </si>
  <si>
    <t xml:space="preserve">       2.手续费及佣金收入（11+12+13+14+15+16+17）</t>
  </si>
  <si>
    <t xml:space="preserve">        （1）结算与清算手续费</t>
  </si>
  <si>
    <t xml:space="preserve">        （2）代理业务手续费</t>
  </si>
  <si>
    <t xml:space="preserve">        （3）信用承诺手续费及佣金</t>
  </si>
  <si>
    <t xml:space="preserve">        （4）银行卡手续费</t>
  </si>
  <si>
    <t xml:space="preserve">        （5）顾问和咨询费</t>
  </si>
  <si>
    <t xml:space="preserve">        （6）托管及其他受托业务佣金</t>
  </si>
  <si>
    <t xml:space="preserve">        （7）其他</t>
  </si>
  <si>
    <t xml:space="preserve">   （二）证券业务收入（19+26）</t>
  </si>
  <si>
    <t xml:space="preserve">       1.证券业务手续费及佣金收入（20+21+22+23+24+25）</t>
  </si>
  <si>
    <t xml:space="preserve">        （1）证券承销业务</t>
  </si>
  <si>
    <t xml:space="preserve">        （2）证券经纪业务 </t>
  </si>
  <si>
    <t xml:space="preserve">        （3）受托客户资产管理业务 </t>
  </si>
  <si>
    <t xml:space="preserve">        （4）代理兑付证券 </t>
  </si>
  <si>
    <t xml:space="preserve">        （5）代理保管证券 </t>
  </si>
  <si>
    <t xml:space="preserve">       2.其他证券业务收入</t>
  </si>
  <si>
    <t xml:space="preserve">   （三）已赚保费（28-30-31）</t>
  </si>
  <si>
    <t xml:space="preserve">       1.保险业务收入</t>
  </si>
  <si>
    <t xml:space="preserve">         其中：分保费收入</t>
  </si>
  <si>
    <t xml:space="preserve">       2.分出保费</t>
  </si>
  <si>
    <t xml:space="preserve">       3.提取未到期责任准备金</t>
  </si>
  <si>
    <t xml:space="preserve">   （四）其他金融业务收入</t>
  </si>
  <si>
    <t xml:space="preserve">   （五）汇兑收益（损失以“-”号填列）</t>
  </si>
  <si>
    <t xml:space="preserve">   （六）其他业务收入</t>
  </si>
  <si>
    <t>二、营业外收入（36+37+38+39+40+41+42）</t>
  </si>
  <si>
    <t>第35行＝表A100000第11行</t>
  </si>
  <si>
    <t xml:space="preserve">   （一）非流动资产处置利得 </t>
  </si>
  <si>
    <t xml:space="preserve">   （二）非货币性资产交换利得 </t>
  </si>
  <si>
    <t xml:space="preserve">   （三）债务重组利得 </t>
  </si>
  <si>
    <t xml:space="preserve">   （四）政府补助利得 </t>
  </si>
  <si>
    <t xml:space="preserve">   （五）盘盈利得 </t>
  </si>
  <si>
    <t xml:space="preserve">   （六）捐赠利得 </t>
  </si>
  <si>
    <t xml:space="preserve">   （七）其他  </t>
  </si>
  <si>
    <t xml:space="preserve">A102010 </t>
  </si>
  <si>
    <t>一般企业成本支出明细表</t>
  </si>
  <si>
    <t xml:space="preserve">项         目 </t>
  </si>
  <si>
    <t>一、营业成本（2+9）</t>
  </si>
  <si>
    <t>第1行＝表A100000第2行</t>
  </si>
  <si>
    <t xml:space="preserve">   （一）主营业务成本（3+5+6+7+8）</t>
  </si>
  <si>
    <t xml:space="preserve">       1.销售商品成本</t>
  </si>
  <si>
    <t xml:space="preserve">         其中:非货币性资产交换成本</t>
  </si>
  <si>
    <t xml:space="preserve">       2.提供劳务成本</t>
  </si>
  <si>
    <t xml:space="preserve">       3.建造合同成本</t>
  </si>
  <si>
    <t xml:space="preserve">       4.让渡资产使用权成本</t>
  </si>
  <si>
    <t xml:space="preserve">   （二）其他业务成本（10+12+13+14+15）</t>
  </si>
  <si>
    <t xml:space="preserve">       1.材料销售成本</t>
  </si>
  <si>
    <t xml:space="preserve">       2.出租固定资产成本</t>
  </si>
  <si>
    <t xml:space="preserve">       3.出租无形资产成本</t>
  </si>
  <si>
    <t xml:space="preserve">       4.包装物出租成本</t>
  </si>
  <si>
    <t xml:space="preserve">       5.其他 </t>
  </si>
  <si>
    <t>二、营业外支出（17+18+19+20+21+22+23+24+25+26）</t>
  </si>
  <si>
    <t>第16行＝表A100000第12行</t>
  </si>
  <si>
    <t xml:space="preserve">   （一）非流动资产处置损失</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</si>
  <si>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</si>
  <si>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</si>
  <si>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</si>
  <si>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</si>
  <si>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</si>
  <si>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</si>
  <si>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</si>
  <si>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</si>
  <si>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A102020 </t>
  </si>
  <si>
    <t>金融企业支出明细表</t>
  </si>
  <si>
    <t xml:space="preserve">项        目     </t>
  </si>
  <si>
    <t xml:space="preserve">金    额    </t>
  </si>
  <si>
    <t>一、营业支出（2+15+25+31+32）</t>
  </si>
  <si>
    <t xml:space="preserve">第1行＝表A100000第2行 </t>
  </si>
  <si>
    <t xml:space="preserve">   （一）银行业务支出（3+11）</t>
  </si>
  <si>
    <t xml:space="preserve">       1.银行利息支出（4+5+6+7+8+9+10）</t>
  </si>
  <si>
    <t xml:space="preserve">        （1）同业存放</t>
  </si>
  <si>
    <t xml:space="preserve">        （2）向中央银行借款</t>
  </si>
  <si>
    <t xml:space="preserve">        （3）拆入资金</t>
  </si>
  <si>
    <t xml:space="preserve">        （4）吸收存款</t>
  </si>
  <si>
    <t xml:space="preserve">        （5）卖出回购金融资产</t>
  </si>
  <si>
    <t xml:space="preserve">        （6）发行债券</t>
  </si>
  <si>
    <t xml:space="preserve">        （7）其他 </t>
  </si>
  <si>
    <t xml:space="preserve">       2.银行手续费及佣金支出（12+13+14）</t>
  </si>
  <si>
    <t xml:space="preserve">        （1）手续费支出</t>
  </si>
  <si>
    <t xml:space="preserve">        （2）佣金支出</t>
  </si>
  <si>
    <t xml:space="preserve">        （3）其他</t>
  </si>
  <si>
    <t xml:space="preserve">   （二）保险业务支出（16+17-18+19-20+21+22-23+24）</t>
  </si>
  <si>
    <t xml:space="preserve">       1.退保金</t>
  </si>
  <si>
    <t xml:space="preserve">       2.赔付支出</t>
  </si>
  <si>
    <t xml:space="preserve">         减：摊回赔付支出</t>
  </si>
  <si>
    <t xml:space="preserve">       3.提取保险责任准备金</t>
  </si>
  <si>
    <t xml:space="preserve">         减：摊回保险责任准备金</t>
  </si>
  <si>
    <t xml:space="preserve">       4.保单红利支出</t>
  </si>
  <si>
    <t xml:space="preserve">       5.分保费用</t>
  </si>
  <si>
    <t xml:space="preserve">         减：摊回分保费用</t>
  </si>
  <si>
    <t xml:space="preserve">       6.保险业务手续费及佣金支出</t>
  </si>
  <si>
    <t xml:space="preserve">    （三）证券业务支出（26+30）</t>
  </si>
  <si>
    <t xml:space="preserve">       1.证券业务手续费及佣金支出（27+28+29）</t>
  </si>
  <si>
    <t xml:space="preserve">        （1）证券经纪业务手续费支出</t>
  </si>
  <si>
    <t xml:space="preserve">       2.其他证券业务支出</t>
  </si>
  <si>
    <t xml:space="preserve">   （四）其他金融业务支出</t>
  </si>
  <si>
    <t xml:space="preserve">   （五）其他业务成本</t>
  </si>
  <si>
    <t>二、营业外支出（34+35+36+37+38+39）</t>
  </si>
  <si>
    <t>第33行＝表A100000第12行</t>
  </si>
  <si>
    <t xml:space="preserve">   （四）捐赠支出</t>
  </si>
  <si>
    <t xml:space="preserve">   （五）非常损失</t>
  </si>
  <si>
    <t xml:space="preserve">   （六）其他 </t>
  </si>
  <si>
    <t xml:space="preserve">A103000 </t>
  </si>
  <si>
    <t>事业单位、民间非营利组织收入、支出明细表</t>
  </si>
  <si>
    <t xml:space="preserve">项        目        </t>
  </si>
  <si>
    <t xml:space="preserve">金    额 </t>
  </si>
  <si>
    <t>一、事业单位收入（2+3+4+5+6+7）</t>
  </si>
  <si>
    <t>第2+3+4+5+6行或第11+12+13+14+15行＝表A100000第1行</t>
  </si>
  <si>
    <t xml:space="preserve">   （一）财政补助收入</t>
  </si>
  <si>
    <t xml:space="preserve">   （二）事业收入</t>
  </si>
  <si>
    <t xml:space="preserve">   （三）上级补助收入</t>
  </si>
  <si>
    <t xml:space="preserve">   （四）附属单位上缴收入 </t>
  </si>
  <si>
    <t xml:space="preserve">   （五）经营收入</t>
  </si>
  <si>
    <t xml:space="preserve">   （六）其他收入（8+9）</t>
  </si>
  <si>
    <t xml:space="preserve">        其中：投资收益</t>
  </si>
  <si>
    <t>第8行或第16行＝表A100000第9行</t>
  </si>
  <si>
    <t xml:space="preserve">              其他</t>
  </si>
  <si>
    <t>第9行或第17行＝表A100000第11行</t>
  </si>
  <si>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</si>
  <si>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</si>
  <si>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</si>
  <si>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</si>
  <si>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</si>
  <si>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</si>
  <si>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</si>
  <si>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</si>
  <si>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</si>
  <si>
    <t xml:space="preserve">   （一）事业支出</t>
  </si>
  <si>
    <t>第19+20+21+22行或第25+26+27行＝表A100000第2行</t>
  </si>
  <si>
    <t xml:space="preserve">   （二）上缴上级支出</t>
  </si>
  <si>
    <t xml:space="preserve">   （三）对附属单位补助</t>
  </si>
  <si>
    <t xml:space="preserve">   （四）经营支出</t>
  </si>
  <si>
    <t xml:space="preserve">   （五）其他支出</t>
  </si>
  <si>
    <t>第23行或第28行＝表A100000第12行</t>
  </si>
  <si>
    <t>四、民间非营利组织支出（25+26+27+28）</t>
  </si>
  <si>
    <t xml:space="preserve">   （一）业务活动成本</t>
  </si>
  <si>
    <t xml:space="preserve">   （二）管理费用</t>
  </si>
  <si>
    <t xml:space="preserve">   （三）筹资费用</t>
  </si>
  <si>
    <t xml:space="preserve">   （四）其他费用</t>
  </si>
  <si>
    <t xml:space="preserve">A104000 </t>
  </si>
  <si>
    <t>期间费用明细表</t>
  </si>
  <si>
    <t>销售费用</t>
  </si>
  <si>
    <t>其中：境外支付</t>
  </si>
  <si>
    <t>一、职工薪酬</t>
  </si>
  <si>
    <t>二、劳务费</t>
  </si>
  <si>
    <t>三、咨询顾问费</t>
  </si>
  <si>
    <t>四、业务招待费</t>
  </si>
  <si>
    <t>五、广告费和业务宣传费</t>
  </si>
  <si>
    <t>六、佣金和手续费</t>
  </si>
  <si>
    <t>七、资产折旧摊销费</t>
  </si>
  <si>
    <t>八、财产损耗、盘亏及毁损损失</t>
  </si>
  <si>
    <t>九、办公费</t>
  </si>
  <si>
    <t>十、董事会费</t>
  </si>
  <si>
    <t>十一、租赁费</t>
  </si>
  <si>
    <t>十二、诉讼费</t>
  </si>
  <si>
    <t>十三、差旅费</t>
  </si>
  <si>
    <t>十四、保险费</t>
  </si>
  <si>
    <t>十五、运输、仓储费</t>
  </si>
  <si>
    <t>十六、修理费</t>
  </si>
  <si>
    <t>十七、包装费</t>
  </si>
  <si>
    <t>十八、技术转让费</t>
  </si>
  <si>
    <t>十九、研究费用</t>
  </si>
  <si>
    <t>二十、各项税费</t>
  </si>
  <si>
    <t>二十一、利息收支</t>
  </si>
  <si>
    <t>二十二、汇兑差额</t>
  </si>
  <si>
    <t>二十三、现金折扣</t>
  </si>
  <si>
    <t>二十四、其他</t>
  </si>
  <si>
    <t>合计(1+2+3+…24)</t>
  </si>
  <si>
    <t xml:space="preserve">1.第25行第1列＝表A100000第4行
2.第25行第3列＝表A100000第5行
3.第25行第5列＝表A100000第6行
</t>
  </si>
  <si>
    <t xml:space="preserve">A105000 </t>
  </si>
  <si>
    <t xml:space="preserve">项        目         </t>
  </si>
  <si>
    <t>一、收入类调整项目（2+3+4+5+6+7+8+10+11）</t>
  </si>
  <si>
    <t>　  （一）视同销售收入（填写A105010）</t>
  </si>
  <si>
    <t>第2行第2列＝表A105010第1行第1列；第2行第3列＝表A105010第1行第2列</t>
  </si>
  <si>
    <t>　  （二）未按权责发生制原则确认的收入（填写A105020）</t>
  </si>
  <si>
    <t>第3行第1列＝表A105020第14行第2列；第3行第2列＝表A105020第14行第4列；若表A105020第14行第6列≥0，填入第3行第3列；若表A105020第14行第6列＜0，将绝对值填入第3行第4列</t>
  </si>
  <si>
    <t xml:space="preserve">    （三）投资收益（填写A105030）</t>
  </si>
  <si>
    <t>第4行第1列＝ 表A105030第10行第1+8列；第4行第2列＝表A105030第10行第2+9列；若表A105030第10行第11列≥0，填入第4行第3列；若表A105030第10行第11列＜0，将绝对值填入第4行第4列</t>
  </si>
  <si>
    <t>　  （四）按权益法核算长期股权投资对初始投资成本调整确认收益</t>
  </si>
  <si>
    <t xml:space="preserve">    （五）交易性金融资产初始投资调整  </t>
  </si>
  <si>
    <t>　  （六）公允价值变动净损益</t>
  </si>
  <si>
    <t>第1列＜0，将绝对值填入第3列；若第1列≥0，填入第4列。</t>
  </si>
  <si>
    <t xml:space="preserve">    （七）不征税收入</t>
  </si>
  <si>
    <t xml:space="preserve">          其中：专项用途财政性资金（填写A105040）</t>
  </si>
  <si>
    <t>第9行第3列＝表A105040第7行第14列；第9行第4列＝表A105040第7行第4列</t>
  </si>
  <si>
    <t xml:space="preserve">    （八）销售折扣、折让和退回</t>
  </si>
  <si>
    <t>第1列减第2列，若余额≥0，填入第3列；若余额＜0，将绝对值填入第4列</t>
  </si>
  <si>
    <t>　  （九）其他</t>
  </si>
  <si>
    <t>若第2列≥第1列，将第2-1列的余额填入第3列，若第2列＜第1列，将第2-1列余额的绝对值填入第4列</t>
  </si>
  <si>
    <t>二、扣除类调整项目
    （13+14+15+16+17+18+19+20+21+22+23+24+26+27+28+29）</t>
  </si>
  <si>
    <t>　  （一）视同销售成本（填写A105010）</t>
  </si>
  <si>
    <t>第13行第2列＝表A105010第11行第1列；第13行第4列＝表A105010第11行第2列的绝对值</t>
  </si>
  <si>
    <t>　  （二）职工薪酬（填写A105050）</t>
  </si>
  <si>
    <t>第14行第1列＝表A105050第13行第1列；第14行第2列＝表A105050第13行第4列；若表A105050第13行第5列≥0，填入第14行第3列；若表A105050第13行第5列＜0，将绝对值填入第14行第4列</t>
  </si>
  <si>
    <t>　  （三）业务招待费支出</t>
  </si>
  <si>
    <t>第3列=第1-2列；第1列=表A104000第4行第1列+第4行第3列</t>
  </si>
  <si>
    <t>　  （四）广告费和业务宣传费支出（填写A105060）</t>
  </si>
  <si>
    <t>若表A105060第12行≥0，填入第16行第3列，若表A105060第12行＜0，将绝对值填入第16行第4列</t>
  </si>
  <si>
    <t>　  （五）捐赠支出（填写A105070）</t>
  </si>
  <si>
    <t>第17行第1列＝表A105070第20行第2+6列；第17行第2列＝表A105070第20行第4列；第17行第3列＝表A105070第20行第7列</t>
  </si>
  <si>
    <t>　  （六）利息支出</t>
  </si>
  <si>
    <t>若第1列≥第2列，将第1列减第2列余额填入第3列，若第1列＜第2列，将第1列减第2列余额的绝对值填入第4列</t>
  </si>
  <si>
    <t>　  （七）罚金、罚款和被没收财物的损失</t>
  </si>
  <si>
    <t>第3列=第1列</t>
  </si>
  <si>
    <t>　  （八）税收滞纳金、加收利息</t>
  </si>
  <si>
    <t>　  （九）赞助支出</t>
  </si>
  <si>
    <t>　  （十）与未实现融资收益相关在当期确认的财务费用</t>
  </si>
  <si>
    <t>若第1列≥第2列，将第1-2列余额填入第3列；若第1列＜第2列，将第1-2列余额的绝对值填入第4列</t>
  </si>
  <si>
    <t xml:space="preserve">    （十一）佣金和手续费支出</t>
  </si>
  <si>
    <t>第3列=第1-2列</t>
  </si>
  <si>
    <t xml:space="preserve">　  （十二）不征税收入用于支出所形成的费用 </t>
  </si>
  <si>
    <t xml:space="preserve">            其中：专项用途财政性资金用于支出所形成的费用（填写A105040）</t>
  </si>
  <si>
    <t>第25行第3列＝表A105040第7行第11列</t>
  </si>
  <si>
    <t>　  （十四）与取得收入无关的支出</t>
  </si>
  <si>
    <t xml:space="preserve">    （十五）境外所得分摊的共同支出</t>
  </si>
  <si>
    <t>第28行第3列＝表A108010第10行第16+17列</t>
  </si>
  <si>
    <t>　  （十六）其他</t>
  </si>
  <si>
    <t>三、资产类调整项目（31+32+33+34）</t>
  </si>
  <si>
    <t xml:space="preserve">    （一）资产折旧、摊销 （填写A105080）</t>
  </si>
  <si>
    <t>第31行第1列＝表A105080第27行第2列；第31行第2列＝表A105080第27行第5+6列；若表A105080第27行第9列≥0，填入第31行第3列，若表A105080第27行第9列＜0，将绝对值填入第31行第4列</t>
  </si>
  <si>
    <t xml:space="preserve">    （二）资产减值准备金</t>
  </si>
  <si>
    <t>第1列，若≥0，填入第3列；若＜0，将绝对值填入第4列</t>
  </si>
  <si>
    <t>　  （三）资产损失（填写A105090）</t>
  </si>
  <si>
    <t>第33行第1列＝表A105090第14行第1列；第33行第2列＝表A105090第14行第2列；若表A105090第14行第3列≥0，填入第33行第3列，若表A105090第14行第3列＜0，将绝对值填入第33行第4列</t>
  </si>
  <si>
    <t>　  （四）其他</t>
  </si>
  <si>
    <t>四、特殊事项调整项目（36+37+38+39+40）</t>
  </si>
  <si>
    <t>　  （一）企业重组（填写A105100）</t>
  </si>
  <si>
    <t>第36行第1列＝表A105100第14行第1+4列；第36行第2列＝表A105100第14行第2+5列；若表A105100第14行第7列≥0，填入第36行第3列，若表A105100第14行第7列＜0，将绝对值填入第36行第4列</t>
  </si>
  <si>
    <t xml:space="preserve">    （二）政策性搬迁（填写A105110）</t>
  </si>
  <si>
    <t>若表A105110第24行≥0，填入第37行第3列，若表A105110第24行＜0，将绝对值填入第37行第4列</t>
  </si>
  <si>
    <t xml:space="preserve">    （三）特殊行业准备金（填写A105120）</t>
  </si>
  <si>
    <t>第38行第1列＝表A105120第30行第1列；第38行第2列＝表A105120第30行第2列；若表A105120第30行第3列≥0，填入第38行第3列，若表A105120第30行第3列＜0，将绝对值填入第38行第4列</t>
  </si>
  <si>
    <t xml:space="preserve">    （四）房地产开发企业特定业务计算的纳税调整额(填写A105010)</t>
  </si>
  <si>
    <t>第39行第2列＝表A105010第21行第1列；若表A105010第21行第2列≥0，填入第39行第3列，若表A105010第21行第2列＜0，将绝对值填入第39行第4列</t>
  </si>
  <si>
    <t xml:space="preserve">    （五）其他</t>
  </si>
  <si>
    <t>五、特别纳税调整应税所得</t>
  </si>
  <si>
    <t xml:space="preserve">六、其他 </t>
  </si>
  <si>
    <t>合计（1+12+30+35+41+42）</t>
  </si>
  <si>
    <t>第43行第3列＝表A100000第15行；第43行第4列＝表A100000第16行</t>
  </si>
  <si>
    <t xml:space="preserve">A105010 </t>
  </si>
  <si>
    <t>视同销售和房地产开发企业特定业务纳税调整明细表</t>
  </si>
  <si>
    <t xml:space="preserve">纳税调整金额  </t>
  </si>
  <si>
    <t xml:space="preserve">表间关系        </t>
  </si>
  <si>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</si>
  <si>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</si>
  <si>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</si>
  <si>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</si>
  <si>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</si>
  <si>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</si>
  <si>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</si>
  <si>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</si>
  <si>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</si>
  <si>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</si>
  <si>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</si>
  <si>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</si>
  <si>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</si>
  <si>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</si>
  <si>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</si>
  <si>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</si>
  <si>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</si>
  <si>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</si>
  <si>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</si>
  <si>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</si>
  <si>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</si>
  <si>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</si>
  <si>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</si>
  <si>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</si>
  <si>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</si>
  <si>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</si>
  <si>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</si>
  <si>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</si>
  <si>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</si>
  <si>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</si>
  <si>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</si>
  <si>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</si>
  <si>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 xml:space="preserve">A105020 </t>
  </si>
  <si>
    <t>未按权责发生制确认收入纳税调整明细表</t>
  </si>
  <si>
    <t>合同金额（交易金额）</t>
  </si>
  <si>
    <t xml:space="preserve"> 纳税调整金额</t>
  </si>
  <si>
    <t xml:space="preserve">本年 </t>
  </si>
  <si>
    <t>累计</t>
  </si>
  <si>
    <t>6（4-2）</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</si>
  <si>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</si>
  <si>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</si>
  <si>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</si>
  <si>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</si>
  <si>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</si>
  <si>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</si>
  <si>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</si>
  <si>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</si>
  <si>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</si>
  <si>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</si>
  <si>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</si>
  <si>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</si>
  <si>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</si>
  <si>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合计（1+5+9+13）</t>
  </si>
  <si>
    <t xml:space="preserve">1.第14行第2列＝表A105000第3行第1列
2.第14行第4列＝表A105000第3行第2列
3.第14行第6列，若≥0，填入表A105000第3行第3列；若＜0，将绝对值填入表A105000第3行第4列
</t>
  </si>
  <si>
    <t xml:space="preserve">A105030 </t>
  </si>
  <si>
    <t>投资收益纳税调整明细表</t>
  </si>
  <si>
    <t>持有收益</t>
  </si>
  <si>
    <t>处置收益</t>
  </si>
  <si>
    <t>会计确认的处置收入</t>
  </si>
  <si>
    <t>税收计算的处置收入</t>
  </si>
  <si>
    <t>处置投资的账面价值</t>
  </si>
  <si>
    <t>处置投资的计税基础</t>
  </si>
  <si>
    <t>会计确认的处置所得或损失</t>
  </si>
  <si>
    <t>税收计算的处置所得</t>
  </si>
  <si>
    <t>3（2-1）</t>
  </si>
  <si>
    <t>8（4-6）</t>
  </si>
  <si>
    <t>9（5-7）</t>
  </si>
  <si>
    <t>10（9-8）</t>
  </si>
  <si>
    <t>11（3+10）</t>
  </si>
  <si>
    <t xml:space="preserve">一、交易性金融资产     </t>
  </si>
  <si>
    <t xml:space="preserve">二、可供出售金融资产    </t>
  </si>
  <si>
    <t xml:space="preserve">三、持有至到期投资    </t>
  </si>
  <si>
    <t xml:space="preserve">四、衍生工具        </t>
  </si>
  <si>
    <t xml:space="preserve">五、交易性金融负债      </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</si>
  <si>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</si>
  <si>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</si>
  <si>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</si>
  <si>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</si>
  <si>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</si>
  <si>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</si>
  <si>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 xml:space="preserve">A105040 </t>
  </si>
  <si>
    <t>专项用途财政性资金纳税调整明细表</t>
  </si>
  <si>
    <t>取得年度</t>
  </si>
  <si>
    <t>财政性资金</t>
  </si>
  <si>
    <t>其中：符合不征税收入条件的财政性资金</t>
  </si>
  <si>
    <t>以前年度支出情况</t>
  </si>
  <si>
    <t>本年支出情况</t>
  </si>
  <si>
    <t>本年结余情况</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</si>
  <si>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</si>
  <si>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</si>
  <si>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</si>
  <si>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</si>
  <si>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</si>
  <si>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</si>
  <si>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</si>
  <si>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</si>
  <si>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</si>
  <si>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</si>
  <si>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其中：计入本年损益的金额</t>
  </si>
  <si>
    <t xml:space="preserve">前五年度 </t>
  </si>
  <si>
    <t>本    年</t>
  </si>
  <si>
    <t>合计（1+2+3+4+5+6）</t>
  </si>
  <si>
    <t xml:space="preserve">1.第7行第4列＝表A105000第9行第4列
2.第7行第11列＝表A105000第25行第3列
3.第7行第14列＝表A105000第9行第3列
</t>
  </si>
  <si>
    <t xml:space="preserve">A105050 </t>
  </si>
  <si>
    <t>职工薪酬纳税调整明细表</t>
  </si>
  <si>
    <t>税收规定扣除率</t>
  </si>
  <si>
    <t>以前年度累计结转扣除额</t>
  </si>
  <si>
    <t xml:space="preserve">纳税调整金额 </t>
  </si>
  <si>
    <t>5（1-4）</t>
  </si>
  <si>
    <t>6（1+3-4）</t>
  </si>
  <si>
    <t>一、工资薪金支出</t>
  </si>
  <si>
    <t xml:space="preserve">    其中：股权激励</t>
  </si>
  <si>
    <t>二、职工福利费支出</t>
  </si>
  <si>
    <t>三、职工教育经费支出（5或5+6）</t>
  </si>
  <si>
    <t xml:space="preserve">    其中：按税收规定比例扣除的职工教育经费</t>
  </si>
  <si>
    <t xml:space="preserve">          按税收规定全额扣除的职工培训费用</t>
  </si>
  <si>
    <t>四、工会经费支出</t>
  </si>
  <si>
    <t>五、各类基本社会保障性缴款</t>
  </si>
  <si>
    <t>六、住房公积金</t>
  </si>
  <si>
    <t>七、补充养老保险</t>
  </si>
  <si>
    <t>八、补充医疗保险</t>
  </si>
  <si>
    <t>九、其他</t>
  </si>
  <si>
    <t>合计（1+3+4+7+8+9+10+11+12）</t>
  </si>
  <si>
    <t xml:space="preserve">1.第13行第1列＝表A105000第14行第1列
2.第13行第4列＝表A105000第14行第2列
3.第13行第5列，若≥0，填入表A105000第14行第3列；若＜0，将其绝对值填入表A105000第14行第4列
</t>
  </si>
  <si>
    <t xml:space="preserve">A105060 </t>
  </si>
  <si>
    <t>广告费和业务宣传费跨年度纳税调整明细表</t>
  </si>
  <si>
    <t xml:space="preserve">项        目 </t>
  </si>
  <si>
    <t>一、本年广告费和业务宣传费支出</t>
  </si>
  <si>
    <t>第1行=表A104000第五行第1列+第五行第3列</t>
  </si>
  <si>
    <t xml:space="preserve">    减：不允许扣除的广告费和业务宣传费支出</t>
  </si>
  <si>
    <t xml:space="preserve">二、本年符合条件的广告费和业务宣传费支出（1-2） </t>
  </si>
  <si>
    <t>三、本年计算广告费和业务宣传费扣除限额的销售（营业）收入</t>
  </si>
  <si>
    <t>第4行应等于A101010一般企业收入明细表的第1行+A105010表第1行“税收金额”+ A105010表第23行“税收金额”- A105010表第27行“税收金额”。</t>
  </si>
  <si>
    <t xml:space="preserve">    税收规定扣除率</t>
  </si>
  <si>
    <t>四、本企业计算的广告费和业务宣传费扣除限额（4×5）</t>
  </si>
  <si>
    <t>五、本年结转以后年度扣除额（3＞6，本行=3-6；3≤6，本行=0）</t>
  </si>
  <si>
    <t xml:space="preserve">    加：以前年度累计结转扣除额</t>
  </si>
  <si>
    <t xml:space="preserve">    减：本年扣除的以前年度结转额[3＞6，本行=0；3≤6，本行=8或（6-3）孰小值]</t>
  </si>
  <si>
    <t>六、按照分摊协议归集至其他关联方的广告费和业务宣传费（10≤3或6孰小值）</t>
  </si>
  <si>
    <t xml:space="preserve">    按照分摊协议从其他关联方归集至本企业的广告费和业务宣传费</t>
  </si>
  <si>
    <t>七、本年广告费和业务宣传费支出纳税调整金额（3＞6，本行=2+3-6+10-11；3≤6，本行=2+10-11-9）</t>
  </si>
  <si>
    <t>八、累计结转以后年度扣除额（7+8-9）</t>
  </si>
  <si>
    <t>第12行，若≥0，填入表A105000第16行第3列，若＜0，将第12行的绝对值填入表A105000第16行第4列</t>
  </si>
  <si>
    <t xml:space="preserve">A105070 </t>
  </si>
  <si>
    <t>捐赠支出纳税调整明细表</t>
  </si>
  <si>
    <t>受赠单位名称</t>
  </si>
  <si>
    <t>公益性捐赠</t>
  </si>
  <si>
    <t>非公益性捐赠</t>
  </si>
  <si>
    <t>按税收规定计算的扣除限额</t>
  </si>
  <si>
    <t xml:space="preserve">税收金额  </t>
  </si>
  <si>
    <t>5（2-4）</t>
  </si>
  <si>
    <t>7（5+6）</t>
  </si>
  <si>
    <t xml:space="preserve">*     </t>
  </si>
  <si>
    <t xml:space="preserve">合计    </t>
  </si>
  <si>
    <t xml:space="preserve">1.第20行第2+6列＝表A105000第17行第1列
2.第20行第4列＝表A105000第17行第2列
3.第20行第7列＝表A105000第17行第3列
</t>
  </si>
  <si>
    <t xml:space="preserve">A105080 </t>
  </si>
  <si>
    <t xml:space="preserve">资产折旧、摊销情况及纳税调整明细表              </t>
  </si>
  <si>
    <t xml:space="preserve">项        目  </t>
  </si>
  <si>
    <t>纳税调整</t>
  </si>
  <si>
    <t>资产账载金额</t>
  </si>
  <si>
    <t>本年折旧、摊销额</t>
  </si>
  <si>
    <t>累计折旧、摊销额</t>
  </si>
  <si>
    <t>资产计税基础</t>
  </si>
  <si>
    <t>按税收一般规定计算的本年折旧、摊销额</t>
  </si>
  <si>
    <t>本年加速折旧额</t>
  </si>
  <si>
    <t>其中：2014年及以后年度新增固定资产加速折旧额（填写A105081）</t>
  </si>
  <si>
    <t>9(2-5-6)</t>
  </si>
  <si>
    <t>一、固定资产（2+3+4+5+6+7）</t>
  </si>
  <si>
    <t>第1行第7列＝表A105081第1行第18列</t>
  </si>
  <si>
    <t xml:space="preserve">   （一）房屋、建筑物</t>
  </si>
  <si>
    <t>第2行第7列＝表A105081第1行第2列</t>
  </si>
  <si>
    <t xml:space="preserve">   （二）飞机、火车、轮船、机器、机械和其他生产设备</t>
  </si>
  <si>
    <t>第3行第7列＝表A105081第1行第5列</t>
  </si>
  <si>
    <t xml:space="preserve">   （三）与生产经营活动有关的器具、工具、家具等</t>
  </si>
  <si>
    <t>第4行第7列＝表A105081第1行第8列</t>
  </si>
  <si>
    <t xml:space="preserve">   （四）飞机、火车、轮船以外的运输工具</t>
  </si>
  <si>
    <t>第5行第7列＝表A105081第1行第11列</t>
  </si>
  <si>
    <t xml:space="preserve">   （五）电子设备</t>
  </si>
  <si>
    <t>第6行第7列＝表A105081第1行第14列</t>
  </si>
  <si>
    <t>二、生产性生物资产（9+10）</t>
  </si>
  <si>
    <t xml:space="preserve">   （一）林木类</t>
  </si>
  <si>
    <t xml:space="preserve">   （二）畜类</t>
  </si>
  <si>
    <t>三、无形资产（12+13+14+15+16+17+18）</t>
  </si>
  <si>
    <t xml:space="preserve">   （一）专利权</t>
  </si>
  <si>
    <t xml:space="preserve">   （二）商标权</t>
  </si>
  <si>
    <t xml:space="preserve">   （三）著作权</t>
  </si>
  <si>
    <t xml:space="preserve">   （四）土地使用权</t>
  </si>
  <si>
    <t xml:space="preserve">   （五）非专利技术</t>
  </si>
  <si>
    <t xml:space="preserve">   （六）特许权使用费</t>
  </si>
  <si>
    <t xml:space="preserve">   （七）其他</t>
  </si>
  <si>
    <t>四、长期待摊费用（20+21+22+23+24）</t>
  </si>
  <si>
    <t xml:space="preserve">   （一）已足额提取折旧的固定资产的改建支出</t>
  </si>
  <si>
    <t xml:space="preserve">   （二）租入固定资产的改建支出</t>
  </si>
  <si>
    <t xml:space="preserve">   （三）固定资产的大修理支出</t>
  </si>
  <si>
    <t xml:space="preserve">   （四）开办费</t>
  </si>
  <si>
    <t>合计（1+8+11+19+25+26）</t>
  </si>
  <si>
    <t xml:space="preserve">1.第27行第2列＝表A105000第31行第1列
2.第27行第5+6列＝表A105000第31行第2列
3.第27行第9列，若≥0，填入表A105000第31行第3列；若＜0，将绝对值填入表A105000第31行第4列
</t>
  </si>
  <si>
    <t>项    目</t>
  </si>
  <si>
    <t>房屋、建筑物</t>
  </si>
  <si>
    <t>飞机、火车、轮船、机器、机械和其他生产设备</t>
  </si>
  <si>
    <t>与生产经营活动有关的器具、工具、家具</t>
  </si>
  <si>
    <t>飞机、火车、轮船以外的运输工具</t>
  </si>
  <si>
    <t>原值</t>
  </si>
  <si>
    <t xml:space="preserve">1.第1行第18列=表A105080第1行第7列
2.第1行第2列=表A105080第2行第7列
3.第1行第5列=表A105080第3行第7列
4.第1行第8列=表A105080第4行第7列
5.第1行第11列=表A105080第5行第7列
6.第1行第14列=表A105080第6行第7列
</t>
  </si>
  <si>
    <t xml:space="preserve">A105090 </t>
  </si>
  <si>
    <t>资产损失税前扣除及纳税调整明细表</t>
  </si>
  <si>
    <t xml:space="preserve">项        目          </t>
  </si>
  <si>
    <t>2&gt;=0</t>
  </si>
  <si>
    <t>3（1-2）</t>
  </si>
  <si>
    <t>一、清单申报资产损失（2+3+4+5+6+7+8）</t>
  </si>
  <si>
    <t xml:space="preserve">   （一）正常经营管理活动中，按照公允价格销售、转让、变卖非货币资产的损失</t>
  </si>
  <si>
    <t xml:space="preserve">
7.第10行第1列＝表A105091第1行第2列。
8.第10行第2列＝表A105091第1行第6列。
9.第10行第3列＝表A105091第1行第7列。
10.第11行第1列＝表A105091第6行第2列。
11.第11行第2列＝表A105091第6行第6列。
12.第11行第3列＝表A105091第6行第7列。
13.第12行第1列＝表A105091第11行第2列。
14.第12行第2列＝表A105091第11行第6列。
15.第12行第3列＝表A105091第11行第7列。
16.第13行第1列＝表A105091第16行第2列。
17.第13行第2列＝表A105091第16行第6列。
18.第13行第3列＝表A105091第16行第7列。
</t>
  </si>
  <si>
    <t xml:space="preserve">   （二）存货发生的正常损耗</t>
  </si>
  <si>
    <t xml:space="preserve">   （三）固定资产达到或超过使用年限而正常报废清理的损失</t>
  </si>
  <si>
    <t xml:space="preserve">   （四）生产性生物资产达到或超过使用年限而正常死亡发生的资产损失</t>
  </si>
  <si>
    <t xml:space="preserve">   （五）按照市场公平交易原则，通过各种交易场所、市场等买卖债券、股票、期货、基金以及金融衍生产品等发生的损失</t>
  </si>
  <si>
    <t xml:space="preserve">   （六）分支机构上报的资产损失</t>
  </si>
  <si>
    <t xml:space="preserve">   （七）其他 </t>
  </si>
  <si>
    <t>二、专项申报资产损失（填写A105091）</t>
  </si>
  <si>
    <t xml:space="preserve">1.第9行第1列＝表A105091第20行第2列
2.第9行第2列＝表A105091第20行第6列
3.第9行第3列＝表A105091第20行第7列
</t>
  </si>
  <si>
    <t xml:space="preserve">   （一）货币资产损失（填写A105091）</t>
  </si>
  <si>
    <t xml:space="preserve">1.第10行第1列＝表A105091第1行第2列
2.第10行第2列＝表A105091第1行第6列
3.第10行第3列＝表A105091第1行第7列
</t>
  </si>
  <si>
    <t xml:space="preserve">   （二）非货币资产损失（填写A105091）</t>
  </si>
  <si>
    <t xml:space="preserve">1.第11行第1列＝表A105091第6行第2列。
2.第11行第2列＝表A105091第6行第6列。
3.第11行第3列＝表A105091第6行第7列
</t>
  </si>
  <si>
    <t xml:space="preserve">   （三）投资损失（填写A105091）</t>
  </si>
  <si>
    <t xml:space="preserve">1.第12行第1列＝表A105091第11行第2列
2.第12行第2列＝表A105091第11行第6列
3.第12行第3列＝表A105091第11行第7列
</t>
  </si>
  <si>
    <t xml:space="preserve">   （四）其他（填写A105091）</t>
  </si>
  <si>
    <t xml:space="preserve">1.第13行第1列＝表A105091第16行第2列。
2.第13行第2列＝表A105091第16行第6列。
3.第13行第3列＝表A105091第16行第7列
</t>
  </si>
  <si>
    <t>合计（1+9）</t>
  </si>
  <si>
    <t xml:space="preserve">1.第14行第1列＝表A105000第33行第1列
2.第14行第2列＝表A105000第33行第2列
3.第14行第3列，若≥0，填入表A105000第33行第3列；若＜0，将绝对值填入表A105000第33行第4列
</t>
  </si>
  <si>
    <t xml:space="preserve">A105091 </t>
  </si>
  <si>
    <t>资产损失（专项申报）税前扣除及纳税调整明细表</t>
  </si>
  <si>
    <t xml:space="preserve">项        目    </t>
  </si>
  <si>
    <t>处置收入</t>
  </si>
  <si>
    <t>赔偿收入</t>
  </si>
  <si>
    <t>纳税调整金额</t>
  </si>
  <si>
    <t xml:space="preserve">表间关系    </t>
  </si>
  <si>
    <t>6（5-3-4）</t>
  </si>
  <si>
    <t>7（2-6）</t>
  </si>
  <si>
    <t>一、货币资产损失(2+3+4+5)</t>
  </si>
  <si>
    <t xml:space="preserve">1.第1行第2列＝表A105090第10行第1列
2.第1行第6列＝表A105090第10行第2列
3.第1行第7列＝表A105090第10行第3列
</t>
  </si>
  <si>
    <t>二、非货币资产损失(7+8+9+10)</t>
  </si>
  <si>
    <t xml:space="preserve">1.第6行第2列＝表A105090第11行第1列。
2.第6行第6列＝表A105090第11行第2列。
3.第6行第7列＝表A105090第11行第3列
</t>
  </si>
  <si>
    <t>三、投资损失(12+13+14+15)</t>
  </si>
  <si>
    <t xml:space="preserve">1.第11行第2列＝表A105090第12行第1列
2.第11行第6列＝表A105090第12行第2列
3.第11行第7列＝表A105090第12行第3列
</t>
  </si>
  <si>
    <t>四、其他(17+18+19)</t>
  </si>
  <si>
    <t xml:space="preserve">1.第16行第2列＝表A105090第13行第1列。
2.第16行第6列＝表A105090第13行第2列。
3.第16行第7列＝表A105090第13行第3列
</t>
  </si>
  <si>
    <t>合计(1+6+11+16)</t>
  </si>
  <si>
    <t xml:space="preserve">1.第20行第2列＝表A105090第9行第1列。
2.第20行第6列＝表A105090第9行第2列。
3.第20行第7列＝表A105090第9行第3列
</t>
  </si>
  <si>
    <t xml:space="preserve">A105100 </t>
  </si>
  <si>
    <t>企业重组纳税调整明细表</t>
  </si>
  <si>
    <t>一般性税务处理</t>
  </si>
  <si>
    <t>特殊性税务处理</t>
  </si>
  <si>
    <t>3(2-1)</t>
  </si>
  <si>
    <t>6(5-4)</t>
  </si>
  <si>
    <t>7(3+6)</t>
  </si>
  <si>
    <t>一、债务重组</t>
  </si>
  <si>
    <t xml:space="preserve">    其中：以非货币性资产清偿债务</t>
  </si>
  <si>
    <t xml:space="preserve">          债转股</t>
  </si>
  <si>
    <t>二、股权收购</t>
  </si>
  <si>
    <t xml:space="preserve">    其中：涉及跨境重组的股权收购</t>
  </si>
  <si>
    <t>三、资产收购</t>
  </si>
  <si>
    <t xml:space="preserve">    其中：涉及跨境重组的资产收购</t>
  </si>
  <si>
    <t>四、企业合并（9+10）</t>
  </si>
  <si>
    <t xml:space="preserve">    其中：同一控制下企业合并</t>
  </si>
  <si>
    <t xml:space="preserve">          非同一控制下企业合并</t>
  </si>
  <si>
    <t>五、企业分立</t>
  </si>
  <si>
    <t>六、其他</t>
  </si>
  <si>
    <t xml:space="preserve">    其中：以非货币性资产对外投资</t>
  </si>
  <si>
    <t>合计（1+4+6+8+11+12）</t>
  </si>
  <si>
    <t xml:space="preserve">1.第14行第1+4列＝表A105000第36行第1列
2.第14行第2+5列＝表A105000第36行第2列
3.第14行第7列金额，若≥0，填入表A105000第36行第3列；若＜0，将绝对值填入表A105000第36行第4列
</t>
  </si>
  <si>
    <t xml:space="preserve">A105110 </t>
  </si>
  <si>
    <t>政策性搬迁纳税调整明细表</t>
  </si>
  <si>
    <t xml:space="preserve">项        目   </t>
  </si>
  <si>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</si>
  <si>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</si>
  <si>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</si>
  <si>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</si>
  <si>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</si>
  <si>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</si>
  <si>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</si>
  <si>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</si>
  <si>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</si>
  <si>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</si>
  <si>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</si>
  <si>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</si>
  <si>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</si>
  <si>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</si>
  <si>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</si>
  <si>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</si>
  <si>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</si>
  <si>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</si>
  <si>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</si>
  <si>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</si>
  <si>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</si>
  <si>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</si>
  <si>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</si>
  <si>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</si>
  <si>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</si>
  <si>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 xml:space="preserve">A105120 </t>
  </si>
  <si>
    <t>特殊行业准备金纳税调整明细表</t>
  </si>
  <si>
    <t>一、保险公司（2+3+6+7+8+9+10）</t>
  </si>
  <si>
    <t xml:space="preserve">   （一）未到期责任准备金</t>
  </si>
  <si>
    <t xml:space="preserve">   （二）未决赔款准备金（4+5）</t>
  </si>
  <si>
    <t xml:space="preserve">        其中：已发生已报案未决赔款准备金</t>
  </si>
  <si>
    <t xml:space="preserve">              已发生未报案未决赔款准备金</t>
  </si>
  <si>
    <t xml:space="preserve">   （三）巨灾风险准备金</t>
  </si>
  <si>
    <t xml:space="preserve">   （四）寿险责任准备金</t>
  </si>
  <si>
    <t xml:space="preserve">   （五）长期健康险责任准备金</t>
  </si>
  <si>
    <t xml:space="preserve">   （六）保险保障基金</t>
  </si>
  <si>
    <t>二、证券行业（12+13+14+15）</t>
  </si>
  <si>
    <t xml:space="preserve">   （一）证券交易所风险基金</t>
  </si>
  <si>
    <t xml:space="preserve">   （二）证券结算风险基金</t>
  </si>
  <si>
    <t xml:space="preserve">   （三）证券投资者保护基金</t>
  </si>
  <si>
    <t>三、期货行业（17+18+19+20）</t>
  </si>
  <si>
    <t xml:space="preserve">   （一）期货交易所风险准备金</t>
  </si>
  <si>
    <t xml:space="preserve">   （二）期货公司风险准备金</t>
  </si>
  <si>
    <t xml:space="preserve">   （三）期货投资者保障基金</t>
  </si>
  <si>
    <t>四、金融企业（22+23+24)</t>
  </si>
  <si>
    <t xml:space="preserve">   （一）涉农和中小企业贷款损失准备金</t>
  </si>
  <si>
    <t xml:space="preserve">   （二）贷款损失准备金</t>
  </si>
  <si>
    <t>五、中小企业信用担保机构(26+27+28)</t>
  </si>
  <si>
    <t xml:space="preserve">   （一）担保赔偿准备</t>
  </si>
  <si>
    <t xml:space="preserve">   （二）未到期责任准备</t>
  </si>
  <si>
    <t>合计(1+11+16+21+25+29)</t>
  </si>
  <si>
    <t xml:space="preserve">1.第30行第1列＝表A105000第38行第1列
2.第30行第2列＝表A105000第38行第2列
3.第30行第3列，若≥0，填入表A105000第38行第3列；若＜0，将绝对值填入表A105000第38行第4列
</t>
  </si>
  <si>
    <t xml:space="preserve">A106000 </t>
  </si>
  <si>
    <t>合并、分立转入（转出）可弥补的亏损额</t>
  </si>
  <si>
    <t>当年可弥补的亏损额</t>
  </si>
  <si>
    <t>以前年度亏损已弥补额</t>
  </si>
  <si>
    <t xml:space="preserve">合计   </t>
  </si>
  <si>
    <t>本年度</t>
  </si>
  <si>
    <t>可结转以后年度弥补的亏损额合计
表内关系1.若第2列＜0，第4列＝第2+3列，否则第4列＝第3列。
2.若第3列＞0且第2列＜0，第3列＜第2列的绝对值。
3.第9列＝第5+6+7+8列。4.若第2列第6行＞0，第10列第1至5行同一行次≤第4列1至5行同一行次的绝对值-第9列1至5行同一行次；若第2列第6行＜0，第10列第1行至第5行＝0。
5.若第2列第6行＞0，第10列第6行＝第10列第1+2+3+4+5行且≤第2列第6行；若第2列第6行＜0，第10列第6行＝0。
6.第4列为负数的行次，第11列同一行次＝第4列该行的绝对值-第9列该行-第10列该行。否则第11列同一行次填“0”。
7.第11列第7行＝第11列第2+3+4+5+6行。</t>
  </si>
  <si>
    <t xml:space="preserve">1．表A100000第19行“纳税调整后所得”＞0，第20行“所得减免”＞0，则本表第2列第6行=本年度表A100000第19-20-21行，且减至0止。
第20行“所得减免”＜0，填报此处时，以0计算。
2．表A100000第19行“纳税调整后所得”＜0，则本表第2列第6行=本年度表A100000第19行。3.第6行第10列＝表A100000第22行
</t>
  </si>
  <si>
    <t xml:space="preserve">A107010  </t>
  </si>
  <si>
    <t>免税、减计收入及加计扣除优惠明细表</t>
  </si>
  <si>
    <t xml:space="preserve">表间关系     </t>
  </si>
  <si>
    <t>一、免税收入（2+3+4+5）</t>
  </si>
  <si>
    <t xml:space="preserve">   （一）国债利息收入</t>
  </si>
  <si>
    <t xml:space="preserve">   （二）符合条件的居民企业之间的股息、红利等权益性投资收益（填写A107011）</t>
  </si>
  <si>
    <t>第3行＝表A107011第10行第16列</t>
  </si>
  <si>
    <t xml:space="preserve">   （三）符合条件的非营利组织的收入</t>
  </si>
  <si>
    <t xml:space="preserve">   （四）其他专项优惠（6+7+8+9+10+11+12+13+14）</t>
  </si>
  <si>
    <t xml:space="preserve">       1.中国清洁发展机制基金取得的收入</t>
  </si>
  <si>
    <t xml:space="preserve">       2.证券投资基金从证券市场取得的收入</t>
  </si>
  <si>
    <t xml:space="preserve">       3.证券投资基金投资者获得的分配收入</t>
  </si>
  <si>
    <t xml:space="preserve">       4.证券投资基金管理人运用基金买卖股票、债券的差价收入</t>
  </si>
  <si>
    <t xml:space="preserve">       5.取得的地方政府债券利息所得或收入</t>
  </si>
  <si>
    <t xml:space="preserve">       6.受灾地区企业取得的救灾和灾后恢复重建款项等收入</t>
  </si>
  <si>
    <t xml:space="preserve">       7.中国期货保证金监控中心有限责任公司取得的银行存款利息等收入</t>
  </si>
  <si>
    <t xml:space="preserve">       8.中国保险保障基金有限责任公司取得的保险保障基金等收入</t>
  </si>
  <si>
    <t xml:space="preserve">       9.其他</t>
  </si>
  <si>
    <t>二、减计收入（16+17）</t>
  </si>
  <si>
    <t xml:space="preserve">   （一）综合利用资源生产产品取得的收入（填写A107012）</t>
  </si>
  <si>
    <t>第16行＝表107012第10行第10列</t>
  </si>
  <si>
    <t xml:space="preserve">   （二）其他专项优惠（18+19+20）</t>
  </si>
  <si>
    <t xml:space="preserve">       1.金融、保险等机构取得的涉农利息、保费收入（填写A107013）</t>
  </si>
  <si>
    <t>第18行＝表A107013第13行</t>
  </si>
  <si>
    <t xml:space="preserve">       2.取得的中国铁路建设债券利息收入</t>
  </si>
  <si>
    <t xml:space="preserve">       3.其他</t>
  </si>
  <si>
    <t>三、加计扣除（22+23+26）</t>
  </si>
  <si>
    <t xml:space="preserve">   （一）开发新技术、新产品、新工艺发生的研究开发费用加计扣除（填写A107014）</t>
  </si>
  <si>
    <t>第22行＝表A107014第10行第19列</t>
  </si>
  <si>
    <t xml:space="preserve">   （二）安置残疾人员及国家鼓励安置的其他就业人员所支付的工资加计扣除（24+25）</t>
  </si>
  <si>
    <t xml:space="preserve">       1.支付残疾人员工资加计扣除</t>
  </si>
  <si>
    <t xml:space="preserve">       2.国家鼓励的其他就业人员工资加计扣除</t>
  </si>
  <si>
    <t xml:space="preserve">   （三）其他专项优惠</t>
  </si>
  <si>
    <t>合计（1+15+21）</t>
  </si>
  <si>
    <t>第27行＝表A100000第17行</t>
  </si>
  <si>
    <t xml:space="preserve">A107011    </t>
  </si>
  <si>
    <t>符合条件的居民企业之间的股息、红利等权益性投资收益优惠明细表</t>
  </si>
  <si>
    <t>投资性质</t>
  </si>
  <si>
    <t>被投资企业利润分配确认金额</t>
  </si>
  <si>
    <t>被投资企业清算确认金额</t>
  </si>
  <si>
    <t>撤回或减少投资确认金额</t>
  </si>
  <si>
    <t>被投资企业做出利润分配或转股决定时间</t>
  </si>
  <si>
    <t>依决定归属于本公司的股息、红利等权益性投资收益金额</t>
  </si>
  <si>
    <t>分得的被投资企业清算剩余资产</t>
  </si>
  <si>
    <t>被清算企业累计未分配利润和累计盈余公积应享有部分</t>
  </si>
  <si>
    <t>应确认的股息所得</t>
  </si>
  <si>
    <t>从被投资企业撤回或减少投资取得的资产</t>
  </si>
  <si>
    <t>收回初始投资成本</t>
  </si>
  <si>
    <t>取得资产中超过收回初始投资成本部分</t>
  </si>
  <si>
    <t>撤回或减少投资应享有被投资企业累计未分配利润和累计盈余公积</t>
  </si>
  <si>
    <t>9（7与8孰小)</t>
  </si>
  <si>
    <t>12（3×11）</t>
  </si>
  <si>
    <t>13（10-12）</t>
  </si>
  <si>
    <t>15(13与14孰小)</t>
  </si>
  <si>
    <t>16（6+9+15）</t>
  </si>
  <si>
    <t>10（1+2+3+4+5+6+7+8+9）</t>
  </si>
  <si>
    <t xml:space="preserve">* </t>
  </si>
  <si>
    <t>第10行第16列=表A107010第3行</t>
  </si>
  <si>
    <t xml:space="preserve">A107012 </t>
  </si>
  <si>
    <t>综合利用资源生产产品取得的收入优惠明细表</t>
  </si>
  <si>
    <t>生产的产品名称</t>
  </si>
  <si>
    <t>资源综合利用认定证书基本情况</t>
  </si>
  <si>
    <t>属于《资源综合利用企业所得税优惠目录》类别</t>
  </si>
  <si>
    <t>综合利用的资源</t>
  </si>
  <si>
    <t>综合利用的资源占生产产品材料的比例</t>
  </si>
  <si>
    <t>《资源综合利用企业所得税优惠目录》规定的标准</t>
  </si>
  <si>
    <t>符合条件的综合利用资源生产产品取得的收入总额</t>
  </si>
  <si>
    <t>综合利用资源减计收入</t>
  </si>
  <si>
    <t>《资源综合利用认定证书》取得时间</t>
  </si>
  <si>
    <t>《资源综合利用认定证书》有效期</t>
  </si>
  <si>
    <t>《资源综合利用认定证书》编号</t>
  </si>
  <si>
    <t>10（9×10%）</t>
  </si>
  <si>
    <t xml:space="preserve">合计  </t>
  </si>
  <si>
    <t>第10列1+2+3+4+5+6+7+8+9行</t>
  </si>
  <si>
    <t>第10行第10列＝表A107010第16行</t>
  </si>
  <si>
    <t xml:space="preserve">A107013 </t>
  </si>
  <si>
    <t>金融、保险等机构取得的涉农利息、保费收入优惠明细表</t>
  </si>
  <si>
    <t xml:space="preserve">金额   </t>
  </si>
  <si>
    <t>一、金融机构农户小额贷款的利息收入</t>
  </si>
  <si>
    <t xml:space="preserve">   （一）金融机构取得农户小额贷款利息收入总额</t>
  </si>
  <si>
    <t xml:space="preserve">   （二）金融机构取得农户小额贷款利息减计收入（2×10%）</t>
  </si>
  <si>
    <t>二、保险公司为种植业、养殖业提供保险业务取得的保费收入</t>
  </si>
  <si>
    <t xml:space="preserve">   （一）保险公司为种植业、养殖业提供保险业务取得的保费收入总额（6+7-8）</t>
  </si>
  <si>
    <t xml:space="preserve">       1.原保费收入</t>
  </si>
  <si>
    <t xml:space="preserve">       2.分保费收入</t>
  </si>
  <si>
    <t xml:space="preserve">       3.分出保费收入</t>
  </si>
  <si>
    <t xml:space="preserve">   （二）保险公司为种植业、养殖业提供保险业务取得的保费减计收入（5×10%）</t>
  </si>
  <si>
    <t>三、其他符合条件的机构农户小额贷款的利息收入</t>
  </si>
  <si>
    <t xml:space="preserve">   （一）其他符合条件的机构取得农户小额贷款利息收入总额</t>
  </si>
  <si>
    <t xml:space="preserve">   （二）其他符合条件的机构取得农户小额贷款利息减计收入（11×10%）</t>
  </si>
  <si>
    <t>合计（3+9+12）</t>
  </si>
  <si>
    <t>第13行＝表A107010第18行</t>
  </si>
  <si>
    <t xml:space="preserve">A107014 </t>
  </si>
  <si>
    <t>研发费用加计扣除优惠明细表</t>
  </si>
  <si>
    <t>研发项目</t>
  </si>
  <si>
    <t>本年研发费用明细</t>
  </si>
  <si>
    <t>减:作为不征税收入处理的财政性资金用于研发的部分</t>
  </si>
  <si>
    <t>可加计扣除的研发费用合计</t>
  </si>
  <si>
    <t>费用化部分</t>
  </si>
  <si>
    <t>资本化部分</t>
  </si>
  <si>
    <t>本年研发费用加计扣除额合计</t>
  </si>
  <si>
    <t>研发活动直接消耗的材料、燃料和动力费用</t>
  </si>
  <si>
    <t>直接从事研发活动的本企业在职人员费用</t>
  </si>
  <si>
    <t>专门用于研发活动的有关折旧费、租赁费、运行维护费</t>
  </si>
  <si>
    <t>专门用于研发活动的有关无形资产摊销费</t>
  </si>
  <si>
    <t>中间试验和产品试制的有关费用，样品、样机及一般测试手段购置费</t>
  </si>
  <si>
    <t>研发成果论证、评审、验收、鉴定费用</t>
  </si>
  <si>
    <t>勘探开发技术的现场试验费，新药研制的临床试验费</t>
  </si>
  <si>
    <t>设计、制定、资料和翻译费用</t>
  </si>
  <si>
    <t>年度研发费用合计</t>
  </si>
  <si>
    <t>计入本年损益的金额</t>
  </si>
  <si>
    <t>计入本年研发费用加计扣除额</t>
  </si>
  <si>
    <t>本年形成无形资产的金额</t>
  </si>
  <si>
    <t>本年形成无形资产加计摊销额</t>
  </si>
  <si>
    <t>以前年度形成无形资产本年加计摊销额</t>
  </si>
  <si>
    <t>无形资产本年加计摊销额</t>
  </si>
  <si>
    <t>10（2+3+4+5+6+7+8+9）</t>
  </si>
  <si>
    <t>12（10-11）</t>
  </si>
  <si>
    <t>13
13≤12</t>
  </si>
  <si>
    <t>14（13×50%）</t>
  </si>
  <si>
    <t>18（16+17）</t>
  </si>
  <si>
    <t>19（14+18）</t>
  </si>
  <si>
    <t>第10行第19列＝表A107010第22行</t>
  </si>
  <si>
    <t xml:space="preserve">A107020 </t>
  </si>
  <si>
    <t>所得减免优惠明细表</t>
  </si>
  <si>
    <t>项目收入</t>
  </si>
  <si>
    <t>项目成本</t>
  </si>
  <si>
    <t>相关税费</t>
  </si>
  <si>
    <t>应分摊期间费用</t>
  </si>
  <si>
    <t>项目所得额</t>
  </si>
  <si>
    <t>减免所得额</t>
  </si>
  <si>
    <t>6(1-2-3-4+5)</t>
  </si>
  <si>
    <t>一、农、林、牧、渔业项目(2+13)</t>
  </si>
  <si>
    <t xml:space="preserve">   （一）免税项目（3+4+5+6+7+8+9+11+12)</t>
  </si>
  <si>
    <t xml:space="preserve">       1.蔬菜、谷物、薯类、油料、豆类、棉花、麻类、糖料、水果、坚果的种植</t>
  </si>
  <si>
    <t xml:space="preserve">       2.农作物新品种的选育</t>
  </si>
  <si>
    <t xml:space="preserve">       3.中药材的种植</t>
  </si>
  <si>
    <t xml:space="preserve">       4.林木的培育和种植</t>
  </si>
  <si>
    <t xml:space="preserve">       5.牲畜、家禽的饲养</t>
  </si>
  <si>
    <t xml:space="preserve">       6.林产品的采集</t>
  </si>
  <si>
    <t xml:space="preserve">       7.灌溉、农产品初加工、兽医、农技推广、农机作业和维修等农、林、牧、渔服务业项目</t>
  </si>
  <si>
    <t xml:space="preserve">         其中：农产品初加工</t>
  </si>
  <si>
    <t xml:space="preserve">       8.远洋捕捞</t>
  </si>
  <si>
    <t xml:space="preserve">   （二）减半征税项目（14+15+16）</t>
  </si>
  <si>
    <t xml:space="preserve">       1.花卉、茶以及其他饮料作物和香料作物的种植</t>
  </si>
  <si>
    <t xml:space="preserve">       2.海水养殖、内陆养殖</t>
  </si>
  <si>
    <t>二、国家重点扶持的公共基础设施项目(18+19+20+21+22+23+24+25)</t>
  </si>
  <si>
    <t xml:space="preserve">   （一）港口码头项目</t>
  </si>
  <si>
    <t xml:space="preserve">   （二）机场项目</t>
  </si>
  <si>
    <t xml:space="preserve">   （三）铁路项目</t>
  </si>
  <si>
    <t xml:space="preserve">   （四）公路项目</t>
  </si>
  <si>
    <t xml:space="preserve">   （五）城市公共交通项目</t>
  </si>
  <si>
    <t xml:space="preserve">   （六）电力项目</t>
  </si>
  <si>
    <t xml:space="preserve">   （七）水利项目</t>
  </si>
  <si>
    <t xml:space="preserve">   （八）其他项目</t>
  </si>
  <si>
    <t>三、符合条件的环境保护、节能节水项目(27+28+29+30+31+32）</t>
  </si>
  <si>
    <t xml:space="preserve">   （一）公共污水处理项目</t>
  </si>
  <si>
    <t xml:space="preserve">   （二）公共垃圾处理项目</t>
  </si>
  <si>
    <t xml:space="preserve">   （三）沼气综合开发利用项目</t>
  </si>
  <si>
    <t xml:space="preserve">   （四）节能减排技术改造项目</t>
  </si>
  <si>
    <t xml:space="preserve">   （五）海水淡化项目</t>
  </si>
  <si>
    <t xml:space="preserve">   （六）其他项目</t>
  </si>
  <si>
    <t>四、符合条件的技术转让项目（34+35）</t>
  </si>
  <si>
    <t xml:space="preserve">   （一）技术转让所得不超过500万元部分</t>
  </si>
  <si>
    <t xml:space="preserve">   （二）技术转让所得超过500万元部分</t>
  </si>
  <si>
    <t>五、其他专项优惠项目（37+38+39）</t>
  </si>
  <si>
    <t xml:space="preserve">   （一）实施清洁发展机制项目</t>
  </si>
  <si>
    <t xml:space="preserve">   （二）符合条件的节能服务公司实施合同能源管理项目</t>
  </si>
  <si>
    <t xml:space="preserve">   （三）其他</t>
  </si>
  <si>
    <t>合计（1+17+26+33+36）</t>
  </si>
  <si>
    <t>第40行第7列＝表A100000第20行</t>
  </si>
  <si>
    <t xml:space="preserve">A107030 </t>
  </si>
  <si>
    <t>抵扣应纳税所得额明细表</t>
  </si>
  <si>
    <t>本年新增的符合条件的股权投资额</t>
  </si>
  <si>
    <t>税收规定的抵扣率</t>
  </si>
  <si>
    <t>以前年度结转的尚未抵扣的股权投资余额</t>
  </si>
  <si>
    <t>本年可用于抵扣的应纳税所得额</t>
  </si>
  <si>
    <t>第6行＝表A100000第19-20行，若小于0，则填报0</t>
  </si>
  <si>
    <t>第7行＝表A100000第21行</t>
  </si>
  <si>
    <t>结转以后年度抵扣的股权投资余额（5＞6，本行=5-7行；5≤6，本行=0）</t>
  </si>
  <si>
    <t xml:space="preserve">A107040 </t>
  </si>
  <si>
    <t>减免所得税优惠明细表</t>
  </si>
  <si>
    <t xml:space="preserve">   （十八）设在西部地区的鼓励类产业企业</t>
  </si>
  <si>
    <t xml:space="preserve">A107041 </t>
  </si>
  <si>
    <t>高新技术企业优惠情况及明细表</t>
  </si>
  <si>
    <t xml:space="preserve">行次    </t>
  </si>
  <si>
    <t>基本信息</t>
  </si>
  <si>
    <t>高新技术企业证书编号</t>
  </si>
  <si>
    <t>高新技术企业证书取得时间</t>
  </si>
  <si>
    <t>产品（服务）属于《国家重点支持的高新技术领域》规定的范围（填写具体范围名称）</t>
  </si>
  <si>
    <t>是否发生重大安全、质量事故</t>
  </si>
  <si>
    <t>是否有环境等违法、违规行为，受到有关部门处罚的</t>
  </si>
  <si>
    <t>是否发生偷骗税行为</t>
  </si>
  <si>
    <t>收入指标</t>
  </si>
  <si>
    <t>一、本年高新技术产品（服务）收入（8+9）</t>
  </si>
  <si>
    <t xml:space="preserve">    其中：产品（服务）收入</t>
  </si>
  <si>
    <t xml:space="preserve">          技术性收入</t>
  </si>
  <si>
    <t>二、本年企业总收入</t>
  </si>
  <si>
    <t>三、本年高新技术产品（服务）收入占企业总收入的比例（7÷10）</t>
  </si>
  <si>
    <t>人员指标</t>
  </si>
  <si>
    <t>四、本年具有大学专科以上学历的科技人员数</t>
  </si>
  <si>
    <t>五、本年研发人员数</t>
  </si>
  <si>
    <t>六、本年职工总数</t>
  </si>
  <si>
    <t>七、本年具有大学专科以上学历的科技人员占企业当年职工总数的比例（12÷14）</t>
  </si>
  <si>
    <t>八、本年研发人员占企业当年职工总数的比例（13÷14）</t>
  </si>
  <si>
    <t>研究开发费用指标</t>
  </si>
  <si>
    <t>九、本年归集的高新研发费用金额（18+27）</t>
  </si>
  <si>
    <t xml:space="preserve">   （一）内部研究开发投入（19+20+21+22+23+24+26）</t>
  </si>
  <si>
    <t xml:space="preserve">       1.人员人工</t>
  </si>
  <si>
    <t xml:space="preserve">       2.直接投入</t>
  </si>
  <si>
    <t xml:space="preserve">       3.折旧费用与长期费用摊销</t>
  </si>
  <si>
    <t xml:space="preserve">       4.设计费用</t>
  </si>
  <si>
    <t xml:space="preserve">       5.装备调试费</t>
  </si>
  <si>
    <t xml:space="preserve">       6.无形资产摊销</t>
  </si>
  <si>
    <t xml:space="preserve">       7.其他费用</t>
  </si>
  <si>
    <t xml:space="preserve">         其中：可计入研发费用的其他费用</t>
  </si>
  <si>
    <t xml:space="preserve">   （二）委托外部研究开发费用（28+29）</t>
  </si>
  <si>
    <t xml:space="preserve">       1.境内的外部研发费</t>
  </si>
  <si>
    <t xml:space="preserve">       2.境外的外部研发费</t>
  </si>
  <si>
    <t>十、本年研发费用占销售（营业）收入比例</t>
  </si>
  <si>
    <t>减免税金额</t>
  </si>
  <si>
    <t>第29行=表A107040第2行</t>
  </si>
  <si>
    <t xml:space="preserve">A107042 </t>
  </si>
  <si>
    <t>软件、集成电路企业优惠情况及明细表</t>
  </si>
  <si>
    <t xml:space="preserve">行次     </t>
  </si>
  <si>
    <t xml:space="preserve">基本信息 </t>
  </si>
  <si>
    <t xml:space="preserve">表间关系         </t>
  </si>
  <si>
    <t>基
本
信
息</t>
  </si>
  <si>
    <t>基本
信息</t>
  </si>
  <si>
    <t>企业成立日期</t>
  </si>
  <si>
    <t>软件企业证书取得日期</t>
  </si>
  <si>
    <t>软件企业认定证书编号</t>
  </si>
  <si>
    <t>软件产品登记证书编号</t>
  </si>
  <si>
    <t>计算机信息系统集成资质等级认定证书编号</t>
  </si>
  <si>
    <t>集成电路生产企业认定文号</t>
  </si>
  <si>
    <t>集成电路设计企业认定证书编号</t>
  </si>
  <si>
    <t xml:space="preserve">2011
年
1月
1日
以
后
成
立
企
业
填
报
</t>
  </si>
  <si>
    <t xml:space="preserve">人员指标 </t>
  </si>
  <si>
    <t>一、企业本年月平均职工总人数</t>
  </si>
  <si>
    <t xml:space="preserve">    其中:签订劳动合同关系且具有大学专科以上学历的职工人数</t>
  </si>
  <si>
    <t>二、研究开发人员人数</t>
  </si>
  <si>
    <t>三、签订劳动合同关系且具有大学专科以上学历的职工人数占企业当年月平均职工总人数的比例（9÷8）</t>
  </si>
  <si>
    <t>四、研究开发人员占企业本年月平均职工总数的比例（10÷8）</t>
  </si>
  <si>
    <t xml:space="preserve">收入指标 </t>
  </si>
  <si>
    <t>五、企业收入总额</t>
  </si>
  <si>
    <t>六、集成电路制造销售（营业）收入</t>
  </si>
  <si>
    <t>七、集成电路制造销售（营业）收入占企业收入总额的比例（14÷13）</t>
  </si>
  <si>
    <t>八、集成电路设计销售（营业）收入</t>
  </si>
  <si>
    <t xml:space="preserve">    其中：集成电路自主设计销售（营业）收入</t>
  </si>
  <si>
    <t>九、集成电路设计企业的集成电路设计销售（营业）收入占企业收入总额的比例（16÷13）</t>
  </si>
  <si>
    <t>十、集成电路自主设计销售（营业）收入占企业收入总额的比例（17÷13）</t>
  </si>
  <si>
    <t>十一、软件产品开发销售（营业）收入</t>
  </si>
  <si>
    <t xml:space="preserve">     其中：嵌入式软件产品和信息系统集成产品开发销售（营业）收入</t>
  </si>
  <si>
    <t>十二、软件产品自主开发销售（营业）收入</t>
  </si>
  <si>
    <t xml:space="preserve">     其中：嵌入式软件产品和信息系统集成产品自主开发销售（营业）收入</t>
  </si>
  <si>
    <t>十三、软件企业的软件产品开发销售（营业）收入占企业收入总额的比例（20÷13）</t>
  </si>
  <si>
    <t>十四、嵌入式软件产品和信息系统集成产品开发销售（营业）收入占企业收入总额的比例（21÷13）</t>
  </si>
  <si>
    <t>十五、软件产品自主开发销售（营业）收入占企业收入总额的比例（22÷13）</t>
  </si>
  <si>
    <t>十六、嵌入式软件产品和信息系统集成产品自主开发销售（营业）收入占企业收入总额的比例（23÷13）</t>
  </si>
  <si>
    <t xml:space="preserve">研究开发费用指标 </t>
  </si>
  <si>
    <t>十七、研究开发费用总额</t>
  </si>
  <si>
    <t xml:space="preserve">     其中：企业在中国境内发生的研究开发费用金额</t>
  </si>
  <si>
    <t>十八、研究开发费用总额占企业销售（营业）收入总额的比例</t>
  </si>
  <si>
    <t>十九、企业在中国境内发生的研究开发费用金额占研究开发费用总额的比例（29÷28）</t>
  </si>
  <si>
    <t>2011
年
1月
1日
以
前
成
立
企
业
填
报</t>
  </si>
  <si>
    <t>二十、企业职工总数</t>
  </si>
  <si>
    <t>二十一、从事软件产品开发和技术服务的技术人员</t>
  </si>
  <si>
    <t>二十二、从事软件产品开发和技术服务的技术人员占企业职工总数的比例（33÷32）</t>
  </si>
  <si>
    <t>二十三、企业年总收入</t>
  </si>
  <si>
    <t xml:space="preserve">    其中：企业年软件销售收入</t>
  </si>
  <si>
    <t xml:space="preserve">        其中：自产软件销售收入</t>
  </si>
  <si>
    <t>二十四、软件销售收入占企业年总收入比例（36÷35）</t>
  </si>
  <si>
    <t>二十五、自产软件收入占软件销售收入比例（37÷36）</t>
  </si>
  <si>
    <t>研究开发经费指标</t>
  </si>
  <si>
    <t>二十六、软件技术及产品的研究开发经费</t>
  </si>
  <si>
    <t>二十七、软件技术及产品的研究开发经费占企业年软件收入比例（40÷36）</t>
  </si>
  <si>
    <t xml:space="preserve">减免税金额 </t>
  </si>
  <si>
    <t>第41行=表A107040第18行或20行</t>
  </si>
  <si>
    <t xml:space="preserve">A107050 </t>
  </si>
  <si>
    <t>税额抵免优惠明细表</t>
  </si>
  <si>
    <t>本年
抵免前
应纳税额</t>
  </si>
  <si>
    <t>本年允许抵免的专用设备投资额</t>
  </si>
  <si>
    <t>本年
可抵免
税额</t>
  </si>
  <si>
    <t>以前年度已抵免额</t>
  </si>
  <si>
    <t>本年实际抵免的各年度税额</t>
  </si>
  <si>
    <t>可结转以后年度抵免的税额</t>
  </si>
  <si>
    <t>前五年度</t>
  </si>
  <si>
    <t>4=3×10%</t>
  </si>
  <si>
    <t>10（5+6+7+8+9）</t>
  </si>
  <si>
    <t>11（≤4－10）且第11列第1至6行合计数不得大于第6行第2列的金额</t>
  </si>
  <si>
    <t>12（4-10-11）</t>
  </si>
  <si>
    <t xml:space="preserve">第2列＝表A100000第25行-表 A100000第26行。
2009-2013年度：第2列＝原《企业所得税年度纳税申报表（A类）》第27-28行
</t>
  </si>
  <si>
    <t>本年实际抵免税额合计（第11列第1+2+…+6行）</t>
  </si>
  <si>
    <t xml:space="preserve">1. 第7行第11列≤表A100000第25-26行
2. 第7行第11列＝表A100000第27行
</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</si>
  <si>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</si>
  <si>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</si>
  <si>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</si>
  <si>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</si>
  <si>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</si>
  <si>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 xml:space="preserve">A108000 </t>
  </si>
  <si>
    <t>境外所得税收抵免明细表</t>
  </si>
  <si>
    <t>国家
（地区）</t>
  </si>
  <si>
    <t>境外税前所得</t>
  </si>
  <si>
    <t>境外所得纳税调整后所得</t>
  </si>
  <si>
    <t>抵减境内亏损</t>
  </si>
  <si>
    <t>抵减境内亏损后的境外应纳税所得额</t>
  </si>
  <si>
    <t>境外所得抵免限额</t>
  </si>
  <si>
    <t>本年可抵免境外所得税额</t>
  </si>
  <si>
    <t>未超过境外所得税抵免限额的余额</t>
  </si>
  <si>
    <t>本年可抵免以前年度未抵免境外所得税额</t>
  </si>
  <si>
    <t>按简易办法计算</t>
  </si>
  <si>
    <t>境外所得抵免所得税额合计</t>
  </si>
  <si>
    <t>按低于12.5%的实际税率计算的抵免额</t>
  </si>
  <si>
    <t>按12.5%计算的抵免额</t>
  </si>
  <si>
    <t>按25%计算的抵免额</t>
  </si>
  <si>
    <t>5（3-4）</t>
  </si>
  <si>
    <t>9（7×8）</t>
  </si>
  <si>
    <t>12（10、11孰小）</t>
  </si>
  <si>
    <t>13（11-12）</t>
  </si>
  <si>
    <t>14（≤13）</t>
  </si>
  <si>
    <t>18（15+16+17）</t>
  </si>
  <si>
    <t>19（12+14+18）</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</si>
  <si>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</si>
  <si>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</si>
  <si>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</si>
  <si>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</si>
  <si>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</si>
  <si>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</si>
  <si>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</si>
  <si>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</si>
  <si>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境外所得纳税调整后所得明细表</t>
  </si>
  <si>
    <t>境外税后所得</t>
  </si>
  <si>
    <t>境外所得可抵免的所得税额</t>
  </si>
  <si>
    <t>境外分支机构收入与支出纳税调整额</t>
  </si>
  <si>
    <t>境外分支机构调整分摊扣除的有关成本费用</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</si>
  <si>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</si>
  <si>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</si>
  <si>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</si>
  <si>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</si>
  <si>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</si>
  <si>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</si>
  <si>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</si>
  <si>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</si>
  <si>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</si>
  <si>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</si>
  <si>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</si>
  <si>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</si>
  <si>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</si>
  <si>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</si>
  <si>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</si>
  <si>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第13列各行＝表A108000第10列相应行次</t>
  </si>
  <si>
    <t>1.第14列各行＝表A108000第2列相应行次
2.第14列－第11列=主表A100000第14行</t>
  </si>
  <si>
    <t>第16列合计+第17列合计＝表A105000第28行第3列</t>
  </si>
  <si>
    <t>第18列各行＝表A108000第3列相应各行</t>
  </si>
  <si>
    <t xml:space="preserve">A108020 </t>
  </si>
  <si>
    <t>境外分支机构弥补亏损明细表</t>
  </si>
  <si>
    <t>非实际亏损额的弥补</t>
  </si>
  <si>
    <t>实际亏损额的弥补</t>
  </si>
  <si>
    <t>以前年度结转尚未弥补的非实际亏损额</t>
  </si>
  <si>
    <t>本年发生的非实际亏损额</t>
  </si>
  <si>
    <t>本年弥补的以前年度非实际亏损额</t>
  </si>
  <si>
    <t>结转以后年度弥补的非实际亏损额</t>
  </si>
  <si>
    <t>以前年度结转尚未弥补的实际亏损额</t>
  </si>
  <si>
    <t>本年发生的实际亏损额</t>
  </si>
  <si>
    <t>本年弥补的以前年度实际亏损额</t>
  </si>
  <si>
    <t>结转以后年度弥补的实际亏损额</t>
  </si>
  <si>
    <t>前五年</t>
  </si>
  <si>
    <t>前四年</t>
  </si>
  <si>
    <t>前三年</t>
  </si>
  <si>
    <t>前二年</t>
  </si>
  <si>
    <t>前一年</t>
  </si>
  <si>
    <t xml:space="preserve">小计 </t>
  </si>
  <si>
    <t>5（2+3-4）</t>
  </si>
  <si>
    <t>11（6+7+8+9+10）</t>
  </si>
  <si>
    <t>19（14+15+16+17+18）</t>
  </si>
  <si>
    <t>表间
关系</t>
  </si>
  <si>
    <t>第4列各行+第13列各行＝表A108000第4列相应行次</t>
  </si>
  <si>
    <t xml:space="preserve">A108030 </t>
  </si>
  <si>
    <t>跨年度结转抵免境外所得税明细表</t>
  </si>
  <si>
    <t>前五年境外所得已缴所得税未抵免余额</t>
  </si>
  <si>
    <t>本年实际抵免以前年度未抵免的境外已缴所得税额</t>
  </si>
  <si>
    <t>结转以后年度抵免的境外所得已缴所得税额</t>
  </si>
  <si>
    <t>7（2+3+4+5+6）</t>
  </si>
  <si>
    <t>13（8+9+10+11+12）</t>
  </si>
  <si>
    <t>14（3-9）</t>
  </si>
  <si>
    <t>15（4-10）</t>
  </si>
  <si>
    <t>16（5-11）</t>
  </si>
  <si>
    <t>17（6-12）</t>
  </si>
  <si>
    <t>第13列各行＝表A108000第14列相应行次</t>
  </si>
  <si>
    <t>第18列各行＝表A108000第10列相应行次-表A108000第12列相应行次（当表A108000第10列相应行次大于表A108000第12列相应行次时填报）</t>
  </si>
  <si>
    <t xml:space="preserve">A109000 </t>
  </si>
  <si>
    <t>跨地区经营汇总纳税企业年度分摊企业所得税明细表</t>
  </si>
  <si>
    <t xml:space="preserve">金    额     </t>
  </si>
  <si>
    <t>一、总机构实际应纳所得税额</t>
  </si>
  <si>
    <t>第1行＝表A10000第31行</t>
  </si>
  <si>
    <t xml:space="preserve">   减：境外所得应纳所得税额</t>
  </si>
  <si>
    <t>第2行＝表A10000第29行</t>
  </si>
  <si>
    <t xml:space="preserve">   加：境外所得抵免所得税额</t>
  </si>
  <si>
    <t>第3行＝表A10000第30行</t>
  </si>
  <si>
    <t>二、总机构用于分摊的本年实际应纳所得税（1-2+3）</t>
  </si>
  <si>
    <t>三、本年累计已预分、已分摊所得税（6+7+8+9）</t>
  </si>
  <si>
    <t>第5行＝表A10000第32行</t>
  </si>
  <si>
    <t xml:space="preserve">   （一）总机构向其直接管理的建筑项目部所在地预分的所得税额</t>
  </si>
  <si>
    <t xml:space="preserve">   （二）总机构已分摊所得税额</t>
  </si>
  <si>
    <t xml:space="preserve">   （三）财政集中已分配所得税额</t>
  </si>
  <si>
    <t xml:space="preserve">   （四）总机构所属分支机构已分摊所得税额</t>
  </si>
  <si>
    <t xml:space="preserve">         其中：总机构主体生产经营部门已分摊所得税额</t>
  </si>
  <si>
    <t>四、总机构本年度应分摊的应补（退）的所得税（4-5）</t>
  </si>
  <si>
    <t xml:space="preserve">   （一）总机构分摊本年应补（退）的所得税额（11×25%）</t>
  </si>
  <si>
    <t>第12+16行＝表A10000第34行</t>
  </si>
  <si>
    <t xml:space="preserve">   （二）财政集中分配本年应补（退）的所得税额（11×25%）</t>
  </si>
  <si>
    <t>第13行＝表A100000第35行</t>
  </si>
  <si>
    <t xml:space="preserve">   （三）总机构所属分支机构分摊本年应补（退）的所得税额（11×50%）</t>
  </si>
  <si>
    <t xml:space="preserve">         其中：总机构主体生产经营部门分摊本年应补（退）的所得税额（11×总机构主体生产经营部门分摊比例。）</t>
  </si>
  <si>
    <t>第15行＝表A10000第36行=表A109010分配给本部门的税额</t>
  </si>
  <si>
    <t>五、总机构境外所得抵免后的应纳所得税额（2-3）</t>
  </si>
  <si>
    <t>六、总机构本年应补（退）的所得税额（12+13+15+16）</t>
  </si>
  <si>
    <t xml:space="preserve">A109010 </t>
  </si>
  <si>
    <t>金额单位: 元（列至角分）</t>
  </si>
  <si>
    <t>总机构纳税人识别号</t>
  </si>
  <si>
    <t>应纳所得税额＝表A109000第11行</t>
  </si>
  <si>
    <t>分支机构纳税人识别号</t>
  </si>
  <si>
    <t>分配
比例</t>
  </si>
  <si>
    <t>职工薪酬</t>
  </si>
  <si>
    <t>资产总额</t>
  </si>
  <si>
    <t>其他</t>
    <phoneticPr fontId="51" type="noConversion"/>
  </si>
  <si>
    <t>出租无形资产收入</t>
    <phoneticPr fontId="51" type="noConversion"/>
  </si>
  <si>
    <t xml:space="preserve">    出租无形资产收入</t>
    <phoneticPr fontId="51" type="noConversion"/>
  </si>
  <si>
    <t>跳转超链接所选页面</t>
  </si>
  <si>
    <t>建造合同</t>
    <phoneticPr fontId="51" type="noConversion"/>
  </si>
  <si>
    <t>4、</t>
    <phoneticPr fontId="51" type="noConversion"/>
  </si>
  <si>
    <t>出口退税免抵退税额</t>
    <phoneticPr fontId="51" type="noConversion"/>
  </si>
  <si>
    <t>出租房屋建筑收入</t>
    <phoneticPr fontId="51" type="noConversion"/>
  </si>
  <si>
    <t>出租有形动产收入</t>
    <phoneticPr fontId="51" type="noConversion"/>
  </si>
  <si>
    <t>5、</t>
    <phoneticPr fontId="51" type="noConversion"/>
  </si>
  <si>
    <t>销售材料收入</t>
    <phoneticPr fontId="51" type="noConversion"/>
  </si>
  <si>
    <t>出租包装物和商品收入</t>
    <phoneticPr fontId="51" type="noConversion"/>
  </si>
  <si>
    <t>收入与申报核对表</t>
    <phoneticPr fontId="51" type="noConversion"/>
  </si>
  <si>
    <t>未按权责发生制确认收入审核表</t>
    <phoneticPr fontId="51" type="noConversion"/>
  </si>
  <si>
    <t>投资收益审核表</t>
    <phoneticPr fontId="51" type="noConversion"/>
  </si>
  <si>
    <t>专项用途财政性资金审核表</t>
    <phoneticPr fontId="51" type="noConversion"/>
  </si>
  <si>
    <t>资产损失税前扣除审核表</t>
    <phoneticPr fontId="51" type="noConversion"/>
  </si>
  <si>
    <t>资产损失（专项申报）税前扣除审核表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</si>
  <si>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</si>
  <si>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</si>
  <si>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</si>
  <si>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免税、减计收入及加计扣除优惠审核表</t>
    <phoneticPr fontId="51" type="noConversion"/>
  </si>
  <si>
    <t>符合条件的居民企业之间的股息、红利等权益性投资收益优惠审核表</t>
    <phoneticPr fontId="51" type="noConversion"/>
  </si>
  <si>
    <t>综合利用资源生产产品取得的收入优惠审核表</t>
    <phoneticPr fontId="51" type="noConversion"/>
  </si>
  <si>
    <t>金融、保险等机构取得的涉农利息、保费收入优惠审核表</t>
    <phoneticPr fontId="51" type="noConversion"/>
  </si>
  <si>
    <t>研发费用加计扣除优惠审核表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</si>
  <si>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</si>
  <si>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</si>
  <si>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</si>
  <si>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</si>
  <si>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软件、集成电路企业优惠情况审核表</t>
    <phoneticPr fontId="51" type="noConversion"/>
  </si>
  <si>
    <t>跨地区经营汇总纳税企业年度分摊企业所得税审核表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</si>
  <si>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</si>
  <si>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</si>
  <si>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</si>
  <si>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</si>
  <si>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税额抵免优惠审核表</t>
    <phoneticPr fontId="51" type="noConversion"/>
  </si>
  <si>
    <t>视同销售和房开企业特定业务</t>
    <phoneticPr fontId="51" type="noConversion"/>
  </si>
  <si>
    <t>未按权责发生制确认收入审核表</t>
    <phoneticPr fontId="51" type="noConversion"/>
  </si>
  <si>
    <t>固定资产加速折旧审核表</t>
    <phoneticPr fontId="51" type="noConversion"/>
  </si>
  <si>
    <t>资产损失税前扣除审核表</t>
    <phoneticPr fontId="51" type="noConversion"/>
  </si>
  <si>
    <t>资产损失（专项申报）审核表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</si>
  <si>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</si>
  <si>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</si>
  <si>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</si>
  <si>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免税、减计收入及加计扣除优惠</t>
    <phoneticPr fontId="51" type="noConversion"/>
  </si>
  <si>
    <t>综合利用资源生产产品取得收入</t>
    <phoneticPr fontId="51" type="noConversion"/>
  </si>
  <si>
    <t>金融保险机构涉农利息保费收入</t>
    <phoneticPr fontId="51" type="noConversion"/>
  </si>
  <si>
    <t>股息红利优惠审核表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</si>
  <si>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</si>
  <si>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</si>
  <si>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</si>
  <si>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</si>
  <si>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境外分支机构弥补亏损审核表</t>
    <phoneticPr fontId="51" type="noConversion"/>
  </si>
  <si>
    <t>跨年度结转抵免境外所得税审核表</t>
    <phoneticPr fontId="51" type="noConversion"/>
  </si>
  <si>
    <t>税额抵免优惠审核表</t>
    <phoneticPr fontId="51" type="noConversion"/>
  </si>
  <si>
    <t>境外所得税收抵免审核表</t>
    <phoneticPr fontId="51" type="noConversion"/>
  </si>
  <si>
    <t>汇总纳税分支机构所得税分配表</t>
    <phoneticPr fontId="51" type="noConversion"/>
  </si>
  <si>
    <t>汇总纳税分摊企业所得税审核表</t>
    <phoneticPr fontId="51" type="noConversion"/>
  </si>
  <si>
    <t>企业所得税年度纳税申报表填报表单</t>
    <phoneticPr fontId="51" type="noConversion"/>
  </si>
  <si>
    <t>企业所得税年度纳税申报表填报表单</t>
  </si>
  <si>
    <t>首页</t>
  </si>
  <si>
    <t>业务约定</t>
  </si>
  <si>
    <t>地税、基本情况</t>
  </si>
  <si>
    <t>基本情况</t>
  </si>
  <si>
    <t>当局声明</t>
  </si>
  <si>
    <t>计划</t>
  </si>
  <si>
    <t>内控</t>
  </si>
  <si>
    <t>审核问卷</t>
  </si>
  <si>
    <t>重大问题</t>
  </si>
  <si>
    <t>交换意见</t>
  </si>
  <si>
    <t>资料清单</t>
  </si>
  <si>
    <t>审核标识</t>
  </si>
  <si>
    <t>盘点表</t>
  </si>
  <si>
    <t>通用记录</t>
  </si>
  <si>
    <t>资产负债</t>
  </si>
  <si>
    <t>利润</t>
  </si>
  <si>
    <t>补亏</t>
  </si>
  <si>
    <t>视同销售和房地产开发企业特定业务审核表</t>
  </si>
  <si>
    <t>未按权责发生制确认收入审核表</t>
  </si>
  <si>
    <t>投资收益审核表</t>
  </si>
  <si>
    <t>专项用途财政性资金审核表</t>
  </si>
  <si>
    <t>固定资产加速折旧审核表</t>
  </si>
  <si>
    <t>资产损失税前扣除审核表</t>
  </si>
  <si>
    <t>资产损失（专项申报）税前扣除审核表</t>
  </si>
  <si>
    <t>企业重组审核表</t>
  </si>
  <si>
    <t>政策性搬迁审核表</t>
  </si>
  <si>
    <t>特殊行业准备金审核表</t>
  </si>
  <si>
    <t>免税、减计收入及加计扣除优惠审核表</t>
  </si>
  <si>
    <t>股息红利优惠审核表</t>
  </si>
  <si>
    <t>综合利用资源生产产品取得的收入优惠审核表</t>
  </si>
  <si>
    <t>金融保险等机构取得涉农利息保费收入优惠审核表</t>
  </si>
  <si>
    <t>研发费用加计扣除优惠审核表</t>
  </si>
  <si>
    <t>所得减免优惠审核表</t>
  </si>
  <si>
    <t>抵扣应纳税所得额审核表</t>
  </si>
  <si>
    <t>减免所得税优惠审核表</t>
  </si>
  <si>
    <t>高新技术企业优惠情况审核表</t>
  </si>
  <si>
    <t>软件、集成电路企业优惠情况审核表</t>
  </si>
  <si>
    <t>税额抵免优惠审核表</t>
  </si>
  <si>
    <t>境外所得税收抵免审核表</t>
  </si>
  <si>
    <t>境外所得纳税调整后所得审核表</t>
  </si>
  <si>
    <t>境外分支机构弥补亏损审核表</t>
  </si>
  <si>
    <t>跨年度结转抵免境外所得税审核表</t>
  </si>
  <si>
    <t>跨地区经营汇总纳税企业年度分摊企业所得税审核表</t>
  </si>
  <si>
    <t>主页</t>
  </si>
  <si>
    <t>报告目录</t>
  </si>
  <si>
    <t>主营税金</t>
  </si>
  <si>
    <t>银行调节</t>
  </si>
  <si>
    <t>余额表</t>
  </si>
  <si>
    <t>税金申报明细</t>
  </si>
  <si>
    <t>检查表</t>
  </si>
  <si>
    <t>基本情况（封面）</t>
  </si>
  <si>
    <t>1.保留意见</t>
  </si>
  <si>
    <t>2.否定意见</t>
  </si>
  <si>
    <t>3.无保留意见</t>
  </si>
  <si>
    <t>4.无法表明意见</t>
  </si>
  <si>
    <t>(二)企业基本情况和审核事项说明</t>
  </si>
  <si>
    <t>(二)附表-科目说明</t>
  </si>
  <si>
    <t>(二)附表-纳税调整额的审核</t>
  </si>
  <si>
    <t>(三)主表</t>
  </si>
  <si>
    <t>(三)子表1.一般企业收入明细表</t>
  </si>
  <si>
    <t>(三)子表2.成本费用明细表</t>
  </si>
  <si>
    <t>(三)子表3.纳税调整明细表</t>
  </si>
  <si>
    <t>(三)子表4.弥补亏损明细表</t>
  </si>
  <si>
    <t>(三)子表5.税收优惠明细表</t>
  </si>
  <si>
    <t>(三)子表6.境外所得税抵免明细表</t>
  </si>
  <si>
    <t>(三)子表7.以公允价值计量调整表</t>
  </si>
  <si>
    <t>(三)子表8.广告费纳税调整表</t>
  </si>
  <si>
    <t>(三)子表9.资产折旧纳税调整表</t>
  </si>
  <si>
    <t>(三)子表10.减值准备纳税调整表</t>
  </si>
  <si>
    <t>(三)子表11.股权投资所得明细表</t>
  </si>
  <si>
    <t>(三)子表12.企业所得税汇总纳税分支机构所得税分配表</t>
  </si>
  <si>
    <t>(四)无限期结转扣除项目情况表</t>
  </si>
  <si>
    <t>(五)跨年度确认所得情况表</t>
  </si>
  <si>
    <t>（六）企业各税（费）审核汇总表</t>
  </si>
  <si>
    <t>（七）社会保险费明细表</t>
  </si>
  <si>
    <t>A000000企业基础信息表</t>
  </si>
  <si>
    <t>A100000中华人民共和国企业所得税年度纳税申报表（A类）</t>
  </si>
  <si>
    <t>A101010一般企业收入明细表</t>
  </si>
  <si>
    <t>A101020金融企业收入明细表</t>
  </si>
  <si>
    <t>A102010一般企业成本支出明细表</t>
  </si>
  <si>
    <t>A102020金融企业支出明细表</t>
  </si>
  <si>
    <t>A103000事业单位、民间非营利组织收入、支出明细表</t>
  </si>
  <si>
    <t>A104000期间费用明细表</t>
  </si>
  <si>
    <t>A105000纳税调整项目明细表</t>
  </si>
  <si>
    <t>A105010视同销售和房地产开发企业特定业务纳税调整明细表</t>
  </si>
  <si>
    <t>A105020未按权责发生制确认收入纳税调整明细表</t>
  </si>
  <si>
    <t>A105030投资收益纳税调整明细表</t>
  </si>
  <si>
    <t>A105040专项用途财政性资金纳税调整表</t>
  </si>
  <si>
    <t>A105050职工薪酬纳税调整明细表</t>
  </si>
  <si>
    <t>A105060广告费和业务宣传费跨年度纳税调整明细表</t>
  </si>
  <si>
    <t>A105070捐赠支出纳税调整明细表</t>
  </si>
  <si>
    <t>A105080资产折旧、摊销情况及纳税调整明细表</t>
  </si>
  <si>
    <t>A105081固定资产加速折旧、扣除明细表</t>
  </si>
  <si>
    <t>A105090资产损失税前扣除及纳税调整明细表</t>
  </si>
  <si>
    <t>A105091资产损失（专项申报）税前扣除及纳税调整明细表</t>
  </si>
  <si>
    <t>A105100企业重组纳税调整明细表</t>
  </si>
  <si>
    <t>A105110政策性搬迁纳税调整明细表</t>
  </si>
  <si>
    <t>A105120特殊行业准备金纳税调整明细表</t>
  </si>
  <si>
    <t>A106000企业所得税弥补亏损明细表</t>
  </si>
  <si>
    <t>A107010免税、减计收入及加计扣除优惠明细表</t>
  </si>
  <si>
    <t>A107011股息红利优惠明细表</t>
  </si>
  <si>
    <t>A107012综合利用资源生产产品取得的收入优惠明细表</t>
  </si>
  <si>
    <t>A107013金融保险等机构取得涉农利息保费收入优惠明细表</t>
  </si>
  <si>
    <t>A107014研发费用加计扣除优惠明细表</t>
  </si>
  <si>
    <t>A107020所得减免优惠明细表</t>
  </si>
  <si>
    <t>A107030抵扣应纳税所得额明细表</t>
  </si>
  <si>
    <t>A107040减免所得税优惠明细表</t>
  </si>
  <si>
    <t>A107041高新技术企业优惠情况及明细表</t>
  </si>
  <si>
    <t>A107042软件、集成电路企业优惠情况及明细表</t>
  </si>
  <si>
    <t>A107050税额抵免优惠明细表</t>
  </si>
  <si>
    <t>A108000境外所得税收抵免明细表</t>
  </si>
  <si>
    <t>A108010境外所得纳税调整后所得明细表</t>
  </si>
  <si>
    <t>A108020境外分支机构弥补亏损明细表</t>
  </si>
  <si>
    <t>A108030跨年度结转抵免境外所得税明细表</t>
  </si>
  <si>
    <t>A109000跨地区经营汇总纳税企业年度分摊企业所得税明细表</t>
  </si>
  <si>
    <t>A109010企业所得税汇总纳税分支机构所得税分配表</t>
  </si>
  <si>
    <t>相关链接：</t>
    <phoneticPr fontId="51" type="noConversion"/>
  </si>
  <si>
    <t>税法允许的加速折旧</t>
    <phoneticPr fontId="51" type="noConversion"/>
  </si>
  <si>
    <t>9</t>
    <phoneticPr fontId="51" type="noConversion"/>
  </si>
  <si>
    <t>10=7*丙+9</t>
    <phoneticPr fontId="51" type="noConversion"/>
  </si>
  <si>
    <t>按照分摊协议归集至其他关联方的广告费和业务宣传费</t>
    <phoneticPr fontId="51" type="noConversion"/>
  </si>
  <si>
    <t>按照分摊协议从其他关联方归集至本企业的广告费和业务宣传费</t>
    <phoneticPr fontId="51" type="noConversion"/>
  </si>
  <si>
    <t>按税收规定全额扣除的职工培训费用</t>
    <phoneticPr fontId="51" type="noConversion"/>
  </si>
  <si>
    <t>股权激励</t>
    <phoneticPr fontId="51" type="noConversion"/>
  </si>
  <si>
    <t>*</t>
    <phoneticPr fontId="51" type="noConversion"/>
  </si>
  <si>
    <t>（四）其他</t>
    <phoneticPr fontId="51" type="noConversion"/>
  </si>
  <si>
    <t>按权益法核算长期股权投资对初始投资成本调整确认收益</t>
    <phoneticPr fontId="51" type="noConversion"/>
  </si>
  <si>
    <t>交易性金融资产初始投资调整</t>
    <phoneticPr fontId="51" type="noConversion"/>
  </si>
  <si>
    <t>公允价值变动审定表</t>
    <phoneticPr fontId="51" type="noConversion"/>
  </si>
  <si>
    <t xml:space="preserve">1.第7行第4列＝表A105000第9行第4列
2.第7行第11列＝表A105000第25行第3列
3.第7行第14列＝表A105000第9行第3列
</t>
    <phoneticPr fontId="51" type="noConversion"/>
  </si>
  <si>
    <t>扣除税率</t>
    <phoneticPr fontId="51" type="noConversion"/>
  </si>
  <si>
    <t>减：不允许扣除的广告费和业务宣传费支出</t>
    <phoneticPr fontId="51" type="noConversion"/>
  </si>
  <si>
    <t>本年广告费和业务宣传费支出</t>
    <phoneticPr fontId="51" type="noConversion"/>
  </si>
  <si>
    <t>本年符合条件的广告费和业务宣传费支出</t>
    <phoneticPr fontId="51" type="noConversion"/>
  </si>
  <si>
    <t>与未实现融资收益相关在当期确认的财务费用</t>
    <phoneticPr fontId="51" type="noConversion"/>
  </si>
  <si>
    <t>跨期扣除项目</t>
    <phoneticPr fontId="51" type="noConversion"/>
  </si>
  <si>
    <t>A101010</t>
    <phoneticPr fontId="51" type="noConversion"/>
  </si>
  <si>
    <t>A100000</t>
    <phoneticPr fontId="51" type="noConversion"/>
  </si>
  <si>
    <t>A000000</t>
    <phoneticPr fontId="51" type="noConversion"/>
  </si>
  <si>
    <t>小规模应税增值税(4%/2)收入</t>
    <phoneticPr fontId="51" type="noConversion"/>
  </si>
  <si>
    <t xml:space="preserve"> 顺序号 </t>
  </si>
  <si>
    <t xml:space="preserve">会计科目名称 </t>
  </si>
  <si>
    <t>一、资产类</t>
  </si>
  <si>
    <t xml:space="preserve">二、负债类 </t>
  </si>
  <si>
    <t xml:space="preserve">三、所有者权益类 </t>
  </si>
  <si>
    <t xml:space="preserve">四、成本类 </t>
  </si>
  <si>
    <t xml:space="preserve">五、损益类 </t>
  </si>
  <si>
    <t>编号</t>
  </si>
  <si>
    <t>库存现金</t>
  </si>
  <si>
    <t>其他货币资金</t>
  </si>
  <si>
    <t>短期投资</t>
  </si>
  <si>
    <t>应收票据</t>
  </si>
  <si>
    <t>应收账款</t>
  </si>
  <si>
    <t>预付账款</t>
  </si>
  <si>
    <t>应收股利</t>
  </si>
  <si>
    <t>应收利息</t>
  </si>
  <si>
    <t>其他应收款</t>
  </si>
  <si>
    <t>材料采购</t>
  </si>
  <si>
    <t>在途物资</t>
  </si>
  <si>
    <t>原材料</t>
  </si>
  <si>
    <t>材料成本差异</t>
  </si>
  <si>
    <t>委托加工物资</t>
  </si>
  <si>
    <t>周转材料</t>
  </si>
  <si>
    <t>消耗性生物资产</t>
  </si>
  <si>
    <t>长期债券投资</t>
  </si>
  <si>
    <t>长期股权投资</t>
  </si>
  <si>
    <t>固定资产</t>
  </si>
  <si>
    <t>累计折旧</t>
  </si>
  <si>
    <t>工程物资</t>
  </si>
  <si>
    <t>固定资产清理</t>
  </si>
  <si>
    <t>生产性生物资产</t>
  </si>
  <si>
    <t>生产性生物资产累计折旧</t>
  </si>
  <si>
    <t>无形资产</t>
  </si>
  <si>
    <t>累计摊销</t>
  </si>
  <si>
    <t>长期待摊费用</t>
  </si>
  <si>
    <t>待处理财产损溢</t>
  </si>
  <si>
    <t>短期借款</t>
  </si>
  <si>
    <t>应付票据</t>
  </si>
  <si>
    <t>应付账款</t>
  </si>
  <si>
    <t>预收账款</t>
  </si>
  <si>
    <t>应付职工薪酬</t>
  </si>
  <si>
    <t>应交税费</t>
  </si>
  <si>
    <t>应付利息</t>
  </si>
  <si>
    <t>应付利润</t>
  </si>
  <si>
    <t>其他应付款</t>
  </si>
  <si>
    <t>递延收益</t>
  </si>
  <si>
    <t>长期借款</t>
  </si>
  <si>
    <t>长期应付款</t>
  </si>
  <si>
    <t>本年利润</t>
  </si>
  <si>
    <t>利润分配</t>
  </si>
  <si>
    <t>研发支出</t>
  </si>
  <si>
    <t>工程施工</t>
  </si>
  <si>
    <t>机械作业</t>
  </si>
  <si>
    <t>投资收益</t>
  </si>
  <si>
    <t>营业外收入</t>
  </si>
  <si>
    <t>其他业务成本</t>
  </si>
  <si>
    <t>营业税金及附加</t>
  </si>
  <si>
    <t>所得税费用</t>
  </si>
  <si>
    <t>1000</t>
  </si>
  <si>
    <t>1001</t>
  </si>
  <si>
    <t>1002</t>
  </si>
  <si>
    <t>1101</t>
  </si>
  <si>
    <t>1121</t>
  </si>
  <si>
    <t>1122</t>
  </si>
  <si>
    <t>1123</t>
  </si>
  <si>
    <t>1131</t>
  </si>
  <si>
    <t>1132</t>
  </si>
  <si>
    <t>1221</t>
  </si>
  <si>
    <t>1401</t>
  </si>
  <si>
    <t>1402</t>
  </si>
  <si>
    <t>1403</t>
  </si>
  <si>
    <t>1404</t>
  </si>
  <si>
    <t>1405</t>
  </si>
  <si>
    <t>1407</t>
  </si>
  <si>
    <t>1408</t>
  </si>
  <si>
    <t>1501</t>
  </si>
  <si>
    <t>1601</t>
  </si>
  <si>
    <t>1602</t>
  </si>
  <si>
    <t>1604</t>
  </si>
  <si>
    <t>1605</t>
  </si>
  <si>
    <t>1606</t>
  </si>
  <si>
    <t>1621</t>
  </si>
  <si>
    <t>1622</t>
  </si>
  <si>
    <t>1701</t>
  </si>
  <si>
    <t>1702</t>
  </si>
  <si>
    <t>1801</t>
  </si>
  <si>
    <t>1901</t>
  </si>
  <si>
    <t>2000</t>
  </si>
  <si>
    <t>2001</t>
  </si>
  <si>
    <t>2201</t>
  </si>
  <si>
    <t>2202</t>
  </si>
  <si>
    <t>2203</t>
  </si>
  <si>
    <t>2232</t>
  </si>
  <si>
    <t>2241</t>
  </si>
  <si>
    <t>2401</t>
  </si>
  <si>
    <t>2501</t>
  </si>
  <si>
    <t>2701</t>
  </si>
  <si>
    <t>3000</t>
  </si>
  <si>
    <t>3001</t>
  </si>
  <si>
    <t>3002</t>
  </si>
  <si>
    <t>3101</t>
  </si>
  <si>
    <t>3103</t>
  </si>
  <si>
    <t>3104</t>
  </si>
  <si>
    <t>4000</t>
  </si>
  <si>
    <t>4001</t>
  </si>
  <si>
    <t>4101</t>
  </si>
  <si>
    <t>4301</t>
  </si>
  <si>
    <t>4401</t>
  </si>
  <si>
    <t>4403</t>
  </si>
  <si>
    <t>5000</t>
  </si>
  <si>
    <t>5001</t>
  </si>
  <si>
    <t>5051</t>
  </si>
  <si>
    <t>5301</t>
  </si>
  <si>
    <t>5401</t>
  </si>
  <si>
    <t>5402</t>
  </si>
  <si>
    <t>5403</t>
  </si>
  <si>
    <t>5601</t>
  </si>
  <si>
    <t>5602</t>
  </si>
  <si>
    <t>5603</t>
  </si>
  <si>
    <t>5711</t>
  </si>
  <si>
    <t>5801</t>
  </si>
  <si>
    <t>劳务费</t>
  </si>
  <si>
    <t>咨询顾问费</t>
  </si>
  <si>
    <t>业务招待费</t>
  </si>
  <si>
    <t>广告费和业务宣传费</t>
  </si>
  <si>
    <t>佣金和手续费</t>
  </si>
  <si>
    <t>资产折旧摊销费</t>
  </si>
  <si>
    <t>财产损耗</t>
  </si>
  <si>
    <t>盘亏及毁损损失</t>
  </si>
  <si>
    <t>办公费</t>
  </si>
  <si>
    <t>董事会费</t>
  </si>
  <si>
    <t>租赁费</t>
  </si>
  <si>
    <t>诉讼费</t>
  </si>
  <si>
    <t>差旅费</t>
  </si>
  <si>
    <t>保险费</t>
  </si>
  <si>
    <t>运输</t>
  </si>
  <si>
    <t>仓储费</t>
  </si>
  <si>
    <t>修理费</t>
  </si>
  <si>
    <t>包装费</t>
  </si>
  <si>
    <t>技术转让费</t>
  </si>
  <si>
    <t>研究费用</t>
  </si>
  <si>
    <t>各项税费</t>
  </si>
  <si>
    <t>利息收支</t>
  </si>
  <si>
    <t>汇兑差额</t>
  </si>
  <si>
    <t>现金折扣</t>
  </si>
  <si>
    <t>01</t>
    <phoneticPr fontId="51" type="noConversion"/>
  </si>
  <si>
    <t>03</t>
  </si>
  <si>
    <t>04</t>
  </si>
  <si>
    <t>05</t>
  </si>
  <si>
    <t>06</t>
  </si>
  <si>
    <t>07</t>
  </si>
  <si>
    <t>08</t>
  </si>
  <si>
    <t>09</t>
  </si>
  <si>
    <t>10</t>
  </si>
  <si>
    <t>11</t>
  </si>
  <si>
    <t>12</t>
  </si>
  <si>
    <t>13</t>
  </si>
  <si>
    <t>14</t>
  </si>
  <si>
    <t>15</t>
  </si>
  <si>
    <t>16</t>
  </si>
  <si>
    <t>17</t>
  </si>
  <si>
    <t>18</t>
  </si>
  <si>
    <t>19</t>
  </si>
  <si>
    <t>20</t>
  </si>
  <si>
    <t>21</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</si>
  <si>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</si>
  <si>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</si>
  <si>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</si>
  <si>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</si>
  <si>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</si>
  <si>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</si>
  <si>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</si>
  <si>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</si>
  <si>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</si>
  <si>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</si>
  <si>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</si>
  <si>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</si>
  <si>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</si>
  <si>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</si>
  <si>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</si>
  <si>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</si>
  <si>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</si>
  <si>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</si>
  <si>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</si>
  <si>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</si>
  <si>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</si>
  <si>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销售费用-职工薪酬</t>
  </si>
  <si>
    <t>销售费用-劳务费</t>
  </si>
  <si>
    <t>销售费用-咨询顾问费</t>
  </si>
  <si>
    <t>销售费用-业务招待费</t>
  </si>
  <si>
    <t>销售费用-广告费和业务宣传费</t>
  </si>
  <si>
    <t>销售费用-佣金和手续费</t>
  </si>
  <si>
    <t>销售费用-资产折旧摊销费</t>
  </si>
  <si>
    <t>销售费用-财产损耗</t>
  </si>
  <si>
    <t>销售费用-办公费</t>
  </si>
  <si>
    <t>销售费用-董事会费</t>
  </si>
  <si>
    <t>销售费用-租赁费</t>
  </si>
  <si>
    <t>销售费用-诉讼费</t>
  </si>
  <si>
    <t>销售费用-差旅费</t>
  </si>
  <si>
    <t>销售费用-保险费</t>
  </si>
  <si>
    <t>销售费用-运输</t>
  </si>
  <si>
    <t>销售费用-修理费</t>
  </si>
  <si>
    <t>销售费用-包装费</t>
  </si>
  <si>
    <t>销售费用-技术转让费</t>
  </si>
  <si>
    <t>销售费用-研究费用</t>
  </si>
  <si>
    <t>销售费用-各项税费</t>
  </si>
  <si>
    <t>销售费用-其他</t>
  </si>
  <si>
    <t>560201</t>
  </si>
  <si>
    <t>管理费用-职工薪酬</t>
  </si>
  <si>
    <t>560202</t>
  </si>
  <si>
    <t>管理费用-劳务费</t>
  </si>
  <si>
    <t>560203</t>
  </si>
  <si>
    <t>管理费用-咨询顾问费</t>
  </si>
  <si>
    <t>560204</t>
  </si>
  <si>
    <t>管理费用-业务招待费</t>
  </si>
  <si>
    <t>560205</t>
  </si>
  <si>
    <t>管理费用-广告费和业务宣传费</t>
  </si>
  <si>
    <t>560206</t>
  </si>
  <si>
    <t>管理费用-佣金和手续费</t>
  </si>
  <si>
    <t>560207</t>
  </si>
  <si>
    <t>管理费用-资产折旧摊销费</t>
  </si>
  <si>
    <t>560208</t>
  </si>
  <si>
    <t>管理费用-财产损耗</t>
  </si>
  <si>
    <t>560209</t>
  </si>
  <si>
    <t>管理费用-办公费</t>
  </si>
  <si>
    <t>560210</t>
  </si>
  <si>
    <t>管理费用-董事会费</t>
  </si>
  <si>
    <t>560211</t>
  </si>
  <si>
    <t>管理费用-租赁费</t>
  </si>
  <si>
    <t>560212</t>
  </si>
  <si>
    <t>管理费用-诉讼费</t>
  </si>
  <si>
    <t>560213</t>
  </si>
  <si>
    <t>管理费用-差旅费</t>
  </si>
  <si>
    <t>560214</t>
  </si>
  <si>
    <t>管理费用-保险费</t>
  </si>
  <si>
    <t>560215</t>
  </si>
  <si>
    <t>管理费用-运输</t>
  </si>
  <si>
    <t>560216</t>
  </si>
  <si>
    <t>管理费用-修理费</t>
  </si>
  <si>
    <t>560217</t>
  </si>
  <si>
    <t>管理费用-包装费</t>
  </si>
  <si>
    <t>560218</t>
  </si>
  <si>
    <t>管理费用-技术转让费</t>
  </si>
  <si>
    <t>560219</t>
  </si>
  <si>
    <t>管理费用-研究费用</t>
  </si>
  <si>
    <t>560220</t>
  </si>
  <si>
    <t>管理费用-各项税费</t>
  </si>
  <si>
    <t>560221</t>
  </si>
  <si>
    <t>管理费用-其他</t>
  </si>
  <si>
    <t>矿产资源补偿费</t>
  </si>
  <si>
    <t>排污费</t>
  </si>
  <si>
    <t>印花税</t>
    <phoneticPr fontId="51" type="noConversion"/>
  </si>
  <si>
    <t>540301</t>
  </si>
  <si>
    <t>营业税金及附加-消费税</t>
  </si>
  <si>
    <t>540302</t>
  </si>
  <si>
    <t>营业税金及附加-营业税</t>
  </si>
  <si>
    <t>540303</t>
  </si>
  <si>
    <t>营业税金及附加-城市维护建设税</t>
  </si>
  <si>
    <t>540304</t>
  </si>
  <si>
    <t>营业税金及附加-资源税</t>
  </si>
  <si>
    <t>540305</t>
  </si>
  <si>
    <t>营业税金及附加-土地增值税</t>
  </si>
  <si>
    <t>540306</t>
  </si>
  <si>
    <t>营业税金及附加-城镇土地使用税</t>
  </si>
  <si>
    <t>540307</t>
  </si>
  <si>
    <t>营业税金及附加-房产税</t>
  </si>
  <si>
    <t>540308</t>
  </si>
  <si>
    <t>营业税金及附加-车船税</t>
  </si>
  <si>
    <t>540309</t>
  </si>
  <si>
    <t>营业税金及附加-印花税</t>
  </si>
  <si>
    <t>540310</t>
  </si>
  <si>
    <t>营业税金及附加-教育费附加</t>
  </si>
  <si>
    <t>540311</t>
  </si>
  <si>
    <t>营业税金及附加-矿产资源补偿费</t>
  </si>
  <si>
    <t>540312</t>
  </si>
  <si>
    <t>营业税金及附加-排污费</t>
  </si>
  <si>
    <t>540313</t>
  </si>
  <si>
    <t>营业税金及附加-其他</t>
  </si>
  <si>
    <t>560301</t>
  </si>
  <si>
    <t>财务费用-佣金和手续费</t>
  </si>
  <si>
    <t>560302</t>
  </si>
  <si>
    <t>财务费用-利息收支</t>
  </si>
  <si>
    <t>560303</t>
  </si>
  <si>
    <t>财务费用-汇兑差额</t>
  </si>
  <si>
    <t>560304</t>
  </si>
  <si>
    <t>财务费用-现金折扣</t>
  </si>
  <si>
    <t>560305</t>
  </si>
  <si>
    <t>财务费用-其他</t>
  </si>
  <si>
    <t>Z</t>
    <phoneticPr fontId="51" type="noConversion"/>
  </si>
  <si>
    <t>（一）已足额提取折旧的固定资产的改建支出</t>
    <phoneticPr fontId="51" type="noConversion"/>
  </si>
  <si>
    <t>（二）租入固定资产的改建支出</t>
    <phoneticPr fontId="51" type="noConversion"/>
  </si>
  <si>
    <t>（三）固定资产的大修理支出</t>
    <phoneticPr fontId="51" type="noConversion"/>
  </si>
  <si>
    <t>（四）开办费</t>
    <phoneticPr fontId="51" type="noConversion"/>
  </si>
  <si>
    <t>（五）其他</t>
    <phoneticPr fontId="51" type="noConversion"/>
  </si>
  <si>
    <r>
      <t xml:space="preserve">   （一）内部研究开发投入（19+20+21+22+23+24</t>
    </r>
    <r>
      <rPr>
        <sz val="10"/>
        <color rgb="FFFF0000"/>
        <rFont val="宋体"/>
        <family val="3"/>
        <charset val="134"/>
      </rPr>
      <t>+26</t>
    </r>
    <r>
      <rPr>
        <sz val="10"/>
        <rFont val="宋体"/>
        <family val="3"/>
        <charset val="134"/>
      </rPr>
      <t>）</t>
    </r>
    <phoneticPr fontId="51" type="noConversion"/>
  </si>
  <si>
    <t xml:space="preserve">
请
在
左
侧
粘
贴</t>
    <phoneticPr fontId="51" type="noConversion"/>
  </si>
  <si>
    <t>林木类</t>
  </si>
  <si>
    <t>林木类</t>
    <phoneticPr fontId="51" type="noConversion"/>
  </si>
  <si>
    <t>畜类</t>
  </si>
  <si>
    <t>畜类</t>
    <phoneticPr fontId="51" type="noConversion"/>
  </si>
  <si>
    <t>A105081固定资产加速折旧、扣除明细表!A1</t>
  </si>
  <si>
    <t>生产性生物性资产折旧</t>
    <phoneticPr fontId="51" type="noConversion"/>
  </si>
  <si>
    <t>生产性生物性资产原值</t>
    <phoneticPr fontId="51" type="noConversion"/>
  </si>
  <si>
    <t>本年加速折旧</t>
    <phoneticPr fontId="51" type="noConversion"/>
  </si>
  <si>
    <t>累计税收折旧</t>
    <phoneticPr fontId="51" type="noConversion"/>
  </si>
  <si>
    <t>累计税法摊销额</t>
    <phoneticPr fontId="51" type="noConversion"/>
  </si>
  <si>
    <t xml:space="preserve">   （一）专利权</t>
    <phoneticPr fontId="51" type="noConversion"/>
  </si>
  <si>
    <t xml:space="preserve">   （二）商标权</t>
    <phoneticPr fontId="51" type="noConversion"/>
  </si>
  <si>
    <t xml:space="preserve">   （三）著作权</t>
    <phoneticPr fontId="51" type="noConversion"/>
  </si>
  <si>
    <t xml:space="preserve">   （四）土地使用权</t>
    <phoneticPr fontId="51" type="noConversion"/>
  </si>
  <si>
    <t xml:space="preserve">   （五）非专利技术</t>
    <phoneticPr fontId="51" type="noConversion"/>
  </si>
  <si>
    <t xml:space="preserve">   （六）特许权使用费</t>
    <phoneticPr fontId="51" type="noConversion"/>
  </si>
  <si>
    <t xml:space="preserve">   （七）其他</t>
    <phoneticPr fontId="51" type="noConversion"/>
  </si>
  <si>
    <t>三、油气投资</t>
    <phoneticPr fontId="51" type="noConversion"/>
  </si>
  <si>
    <t xml:space="preserve">   （一）油气勘探投资</t>
    <phoneticPr fontId="51" type="noConversion"/>
  </si>
  <si>
    <t xml:space="preserve">   （二）油气开发投资</t>
    <phoneticPr fontId="51" type="noConversion"/>
  </si>
  <si>
    <t>总机构名称</t>
    <phoneticPr fontId="51" type="noConversion"/>
  </si>
  <si>
    <t>2008-2013审核报告</t>
    <phoneticPr fontId="51" type="noConversion"/>
  </si>
  <si>
    <t>资产折旧、摊销情况及纳税调整明细表</t>
  </si>
  <si>
    <t>固定资产加速折旧、扣除明细表</t>
  </si>
  <si>
    <t>审核报告</t>
    <phoneticPr fontId="51" type="noConversion"/>
  </si>
  <si>
    <t>A105010视同销售和房地产开发企业特定业务纳税调整明细表!A1</t>
  </si>
  <si>
    <t>视同销售和房地产开发企业特定业务审核表!A1</t>
  </si>
  <si>
    <t>A105020未按权责发生制确认收入纳税调整明细表!A1</t>
  </si>
  <si>
    <t>未按权责发生制确认收入审核表!A1</t>
  </si>
  <si>
    <t>A105030投资收益纳税调整明细表!A1</t>
  </si>
  <si>
    <t>投资收益审核表!A1</t>
  </si>
  <si>
    <t>A105040专项用途财政性资金纳税调整表!A1</t>
  </si>
  <si>
    <t>专项用途财政性资金审核表!A1</t>
  </si>
  <si>
    <t>A105080资产折旧、摊销情况及纳税调整明细表!A1</t>
  </si>
  <si>
    <t>固定资产加速折旧审核表!A1</t>
  </si>
  <si>
    <t>折旧测算!A1</t>
  </si>
  <si>
    <t>A105090资产损失税前扣除及纳税调整明细表!A1</t>
  </si>
  <si>
    <t>资产损失税前扣除审核表!A1</t>
  </si>
  <si>
    <t>A105091资产损失（专项申报）税前扣除及纳税调整明细表'!A1</t>
  </si>
  <si>
    <t>资产损失（专项申报）税前扣除审核表'!A1</t>
  </si>
  <si>
    <t>A105120特殊行业准备金纳税调整明细表!A1</t>
  </si>
  <si>
    <t>A105100企业重组纳税调整明细表!A1</t>
  </si>
  <si>
    <t>企业重组审核表!A1</t>
  </si>
  <si>
    <t>A105110政策性搬迁纳税调整明细表!A1</t>
  </si>
  <si>
    <t>政策性搬迁审核表!A1</t>
  </si>
  <si>
    <t>特殊行业准备金审核表!A1</t>
  </si>
  <si>
    <t>A107010免税、减计收入及加计扣除优惠明细表!A1</t>
  </si>
  <si>
    <t>免税、减计收入及加计扣除优惠审核表!A1</t>
  </si>
  <si>
    <t>A107011股息红利优惠明细表!A1</t>
  </si>
  <si>
    <t>股息红利优惠审核表!A1</t>
  </si>
  <si>
    <t>A107012综合利用资源生产产品取得的收入优惠明细表!A1</t>
  </si>
  <si>
    <t>综合利用资源生产产品取得的收入优惠审核表!A1</t>
  </si>
  <si>
    <t>A107013金融保险等机构取得涉农利息保费收入优惠明细表!A1</t>
  </si>
  <si>
    <t>金融保险等机构取得涉农利息保费收入优惠审核表!A1</t>
  </si>
  <si>
    <t>A107014研发费用加计扣除优惠明细表!A1</t>
  </si>
  <si>
    <t>研发费用加计扣除优惠审核表!A1</t>
  </si>
  <si>
    <t>A107020所得减免优惠明细表!A1</t>
  </si>
  <si>
    <t>所得减免优惠审核表!A1</t>
  </si>
  <si>
    <t>A107030抵扣应纳税所得额明细表!A1</t>
  </si>
  <si>
    <t>抵扣应纳税所得额审核表!A1</t>
  </si>
  <si>
    <t>A107040减免所得税优惠明细表!A1</t>
  </si>
  <si>
    <t>减免所得税优惠审核表!A1</t>
  </si>
  <si>
    <t>A107041高新技术企业优惠情况及明细表!A1</t>
  </si>
  <si>
    <t>高新技术企业优惠情况审核表!A1</t>
  </si>
  <si>
    <t>A107042软件、集成电路企业优惠情况及明细表!A1</t>
  </si>
  <si>
    <t>软件、集成电路企业优惠情况审核表!A1</t>
  </si>
  <si>
    <t>A107050税额抵免优惠明细表!A1</t>
  </si>
  <si>
    <t>税额抵免优惠审核表!A1</t>
  </si>
  <si>
    <t>A108000境外所得税收抵免明细表!A1</t>
  </si>
  <si>
    <t>境外所得税收抵免审核表!A1</t>
  </si>
  <si>
    <t>A108010境外所得纳税调整后所得明细表!A1</t>
  </si>
  <si>
    <t>A108020境外分支机构弥补亏损明细表!A1</t>
  </si>
  <si>
    <t>境外分支机构弥补亏损审核表!A1</t>
  </si>
  <si>
    <t>A108030跨年度结转抵免境外所得税明细表!A1</t>
  </si>
  <si>
    <t>跨年度结转抵免境外所得税审核表!A1</t>
  </si>
  <si>
    <t>A109000跨地区经营汇总纳税企业年度分摊企业所得税明细表!A1</t>
  </si>
  <si>
    <t>跨地区经营汇总纳税企业年度分摊企业所得税审核表!A1</t>
  </si>
  <si>
    <t>A109010企业所得税汇总纳税分支机构所得税分配表!A1</t>
  </si>
  <si>
    <t>企业所得税汇总纳税分支机构所得税分配表!A1</t>
  </si>
  <si>
    <t>备注/税收金额</t>
    <phoneticPr fontId="51" type="noConversion"/>
  </si>
  <si>
    <t xml:space="preserve">固定资产加速折旧、扣除审核表              </t>
    <phoneticPr fontId="51" type="noConversion"/>
  </si>
  <si>
    <t>销售折扣、折让和退回</t>
    <phoneticPr fontId="51" type="noConversion"/>
  </si>
  <si>
    <t>其他</t>
    <phoneticPr fontId="51" type="noConversion"/>
  </si>
  <si>
    <t>佣金和手续费支出</t>
    <phoneticPr fontId="51" type="noConversion"/>
  </si>
  <si>
    <t>不征税收入用于支出形成的费用（专项用途财政资金以外）</t>
    <phoneticPr fontId="51" type="noConversion"/>
  </si>
  <si>
    <t xml:space="preserve">    （十三）跨期扣除项目</t>
    <phoneticPr fontId="51" type="noConversion"/>
  </si>
  <si>
    <t>跨期扣除项目</t>
    <phoneticPr fontId="51" type="noConversion"/>
  </si>
  <si>
    <t>罚金、违法经营罚款和被没收财物损失</t>
    <phoneticPr fontId="51" type="noConversion"/>
  </si>
  <si>
    <t>特殊事项</t>
    <phoneticPr fontId="51" type="noConversion"/>
  </si>
  <si>
    <t>特别纳税调整</t>
    <phoneticPr fontId="51" type="noConversion"/>
  </si>
  <si>
    <t>其他</t>
    <phoneticPr fontId="51" type="noConversion"/>
  </si>
  <si>
    <t>资产减值准备审核表</t>
    <phoneticPr fontId="51" type="noConversion"/>
  </si>
  <si>
    <t>减值准备审核表</t>
  </si>
  <si>
    <t>公允价值变动审定表</t>
  </si>
  <si>
    <t>以前年度多缴的所得税额在本年抵减额</t>
    <phoneticPr fontId="51" type="noConversion"/>
  </si>
  <si>
    <t>以前年度应缴未缴在本年入库所得税额</t>
    <phoneticPr fontId="51" type="noConversion"/>
  </si>
  <si>
    <t>以前年度应缴未缴在本年入库所得税额</t>
    <phoneticPr fontId="51" type="noConversion"/>
  </si>
  <si>
    <t>其中非货币交换</t>
    <phoneticPr fontId="51" type="noConversion"/>
  </si>
  <si>
    <t>*</t>
    <phoneticPr fontId="51" type="noConversion"/>
  </si>
  <si>
    <t>*</t>
    <phoneticPr fontId="51" type="noConversion"/>
  </si>
  <si>
    <t xml:space="preserve">  其中：非货币性交换</t>
    <phoneticPr fontId="51" type="noConversion"/>
  </si>
  <si>
    <t>其中：境外支付</t>
    <phoneticPr fontId="51" type="noConversion"/>
  </si>
  <si>
    <t>其中：境外支付</t>
    <phoneticPr fontId="51" type="noConversion"/>
  </si>
  <si>
    <t>表间关系</t>
    <phoneticPr fontId="51" type="noConversion"/>
  </si>
  <si>
    <t xml:space="preserve">*  </t>
    <phoneticPr fontId="51" type="noConversion"/>
  </si>
  <si>
    <t>辞退福利</t>
  </si>
  <si>
    <t>长期待摊费用摊销</t>
  </si>
  <si>
    <t>车船使用税</t>
  </si>
  <si>
    <t>运输、仓储费</t>
  </si>
  <si>
    <t>560122</t>
  </si>
  <si>
    <t>560123</t>
  </si>
  <si>
    <t>560124</t>
  </si>
  <si>
    <t>560125</t>
  </si>
  <si>
    <t>560126</t>
  </si>
  <si>
    <t>560127</t>
  </si>
  <si>
    <t>560128</t>
  </si>
  <si>
    <t>560129</t>
  </si>
  <si>
    <t>560130</t>
  </si>
  <si>
    <t>560131</t>
  </si>
  <si>
    <t>560132</t>
  </si>
  <si>
    <t>560133</t>
  </si>
  <si>
    <t>560134</t>
  </si>
  <si>
    <t>560135</t>
  </si>
  <si>
    <t>560136</t>
  </si>
  <si>
    <t>560137</t>
  </si>
  <si>
    <t>560222</t>
  </si>
  <si>
    <t>560223</t>
  </si>
  <si>
    <t>560224</t>
  </si>
  <si>
    <t>560225</t>
  </si>
  <si>
    <t>560226</t>
  </si>
  <si>
    <t>560227</t>
  </si>
  <si>
    <t>560228</t>
  </si>
  <si>
    <t>560229</t>
  </si>
  <si>
    <t>560230</t>
  </si>
  <si>
    <t>560231</t>
  </si>
  <si>
    <t>560232</t>
  </si>
  <si>
    <t>560233</t>
  </si>
  <si>
    <t>560234</t>
  </si>
  <si>
    <t>560235</t>
  </si>
  <si>
    <t>560236</t>
  </si>
  <si>
    <t>560237</t>
  </si>
  <si>
    <t xml:space="preserve">  37.1</t>
    <phoneticPr fontId="51" type="noConversion"/>
  </si>
  <si>
    <t>其中：</t>
    <phoneticPr fontId="51" type="noConversion"/>
  </si>
  <si>
    <t>利息收入</t>
    <phoneticPr fontId="51" type="noConversion"/>
  </si>
  <si>
    <t>利息支出</t>
    <phoneticPr fontId="51" type="noConversion"/>
  </si>
  <si>
    <t>汇兑收益</t>
    <phoneticPr fontId="51" type="noConversion"/>
  </si>
  <si>
    <t>汇兑损失</t>
    <phoneticPr fontId="51" type="noConversion"/>
  </si>
  <si>
    <t>560306</t>
  </si>
  <si>
    <t>560307</t>
  </si>
  <si>
    <t>现金折扣</t>
    <phoneticPr fontId="51" type="noConversion"/>
  </si>
  <si>
    <t>加：其他</t>
    <phoneticPr fontId="51" type="noConversion"/>
  </si>
  <si>
    <t>*</t>
    <phoneticPr fontId="51" type="noConversion"/>
  </si>
  <si>
    <t xml:space="preserve">  商行031</t>
    <phoneticPr fontId="51" type="noConversion"/>
  </si>
  <si>
    <t xml:space="preserve">  商行498</t>
    <phoneticPr fontId="51" type="noConversion"/>
  </si>
  <si>
    <t xml:space="preserve">  兴行087</t>
    <phoneticPr fontId="51" type="noConversion"/>
  </si>
  <si>
    <t xml:space="preserve">  兴行256</t>
    <phoneticPr fontId="51" type="noConversion"/>
  </si>
  <si>
    <t xml:space="preserve">  兴行4481</t>
    <phoneticPr fontId="51" type="noConversion"/>
  </si>
  <si>
    <t xml:space="preserve">  招行结算户711</t>
    <phoneticPr fontId="51" type="noConversion"/>
  </si>
  <si>
    <t>其他</t>
    <phoneticPr fontId="51" type="noConversion"/>
  </si>
  <si>
    <t>A000000《企业基础信息表》填报说明</t>
  </si>
  <si>
    <t>纳税人在填报申报表前，首先填报基础信息表，为后续申报提供指引。基础信息表主要内容包括表头、基本信息、主要会计政策和估计、企业主要股东及对外投资情况等部分。有关项目填报说明如下：</t>
  </si>
  <si>
    <t>1.纳税人根据具体情况选择"正常申报"、"更正申报"或"补充申报"。</t>
  </si>
  <si>
    <t>正常申报：申报期内，纳税人第一次年度申报为"正常申报"；</t>
  </si>
  <si>
    <t>更正申报：申报期内，纳税人对已申报内容进行更正申报的为"更正申报"；</t>
  </si>
  <si>
    <t>补充申报：申报期后，由于纳税人自查、主管税务机关评估等发现以前年度申报有误而更改申报为"补充申报"。</t>
  </si>
  <si>
    <t>2."101汇总纳税企业"：纳税人根据情况选择。纳税人为《国家税务总局关于印发&lt;跨地区经营汇总纳税企业所得税征收管理办法&gt;的公告》（国家税务总局公告2012第57号）规定的跨地区经营企业总机构的，选择"总机构"，选择的纳税人需填报表A109000和A109010；纳税人根据相关政策规定按比例缴纳的总机构，选择"按比例缴纳总机构"；其他纳税人选择"否"。</t>
  </si>
  <si>
    <t>3."102注册资本"：填报全体股东或发起人在公司登记机关依法登记的出资或认缴的股本金额（单位：万元）。</t>
  </si>
  <si>
    <t>5."104从业人数"：填报纳税人全年平均从业人数，从业人数是指与企业建立劳动关系的职工人数和企业接受的劳务派遣用工人数之和；从业人数指标，按企业全年月平均值确定，具体计算公式如下：</t>
  </si>
  <si>
    <t>月平均值＝（月初值＋月末值）÷2</t>
  </si>
  <si>
    <t>全年月平均值＝全年各月平均值之和÷12</t>
  </si>
  <si>
    <t>全年从业人数＝月平均值×12</t>
  </si>
  <si>
    <t>年度中间开业或者终止经营活动的，以其实际经营期作为一个纳税年度确定上述相关指标。</t>
  </si>
  <si>
    <t>6."105资产总额（万元）"：填报纳税人全年资产总额平均数，依据和计算方法同"从业人数"口径，资产总额单位为万元，小数点后保留2位小数。</t>
  </si>
  <si>
    <t>7．"106境外中资控股居民企业"：根据《国家税务总局关于境外注册中资控股企业依据实际管理机构标准认定为居民企业有关问题的通知》（国税发〔2009〕82号）规定，境外中资控股企业被税务机关认定为实际管理机构在中国境内的居民企业选择"是"。其他选择"否"。</t>
  </si>
  <si>
    <t>9."108境外关联交易"：纳税人存在境外关联交易，选择"是"，不存在选择"否"。</t>
  </si>
  <si>
    <t>10."109上市公司"：纳税人根据情况，在境内上市的选择"境内"；在境外（含香港）上市的选择"境外"；其他选择"否"。</t>
  </si>
  <si>
    <t>11．"201适用的会计准则或会计制度"：纳税人根据采用的会计准则或会计制度选择。</t>
  </si>
  <si>
    <t>12."202会计档案存放地"：填报会计档案的存放地。</t>
  </si>
  <si>
    <t>13．"203会计核算软件"：填报会计电算化系统的会计核算软件，如ERP。</t>
  </si>
  <si>
    <t>14．"204记账本位币"：纳税人根据实际情况选择人民币或者其他币种。</t>
  </si>
  <si>
    <t>15．"205会计政策和估计是否发生变化"：纳税人本年会计政策和估计与上年度发生变更的选择"是"，未发生的选择"否"。</t>
  </si>
  <si>
    <t>16．"206固定资产折旧方法"：纳税人根据实际情况选择，可选择多项。</t>
  </si>
  <si>
    <t>17．"207存货成本计价方法"：纳税人根据实际情况选择，可选择多项。</t>
  </si>
  <si>
    <t>18．"208坏账损失核算方法"：纳税人根据实际情况选择。</t>
  </si>
  <si>
    <t>19．"209所得税会计核算方法"：纳税人根据实际情况选择。</t>
  </si>
  <si>
    <t>20．"301企业主要股东（前5位）"，填报本企业投资比例前5位的股东情况。包括股东名称，证件种类（税务登记证、组织机构代码证、身份证、护照等），证件号码（纳税人识别号、组织机构代码号、身份证号、护照号等），经济性质（单位投资的，按其登记注册类型填报；个人投资的，填报自然人），投资比例，国籍（注册地址）。</t>
  </si>
  <si>
    <t>国外非居民企业证件种类和证件号码可不填写。</t>
  </si>
  <si>
    <t>21．"302对外投资（前5位）"，填报本企业对境内投资金额前5位的投资情况。包括被投资者名称、纳税人识别号、经济性质、投资比例、投资金额、注册地址。</t>
  </si>
  <si>
    <t>A104000期间费用明细表!A1</t>
  </si>
  <si>
    <t>营业费用!A1</t>
  </si>
  <si>
    <t>管理费用!A1</t>
  </si>
  <si>
    <t>跨年度确认所得情况表</t>
    <phoneticPr fontId="51" type="noConversion"/>
  </si>
  <si>
    <t>A101010</t>
    <phoneticPr fontId="51" type="noConversion"/>
  </si>
  <si>
    <t xml:space="preserve">   其中：</t>
    <phoneticPr fontId="51" type="noConversion"/>
  </si>
  <si>
    <t xml:space="preserve">   其中：</t>
    <phoneticPr fontId="51" type="noConversion"/>
  </si>
  <si>
    <t>应并入业务招待费的费用</t>
    <phoneticPr fontId="51" type="noConversion"/>
  </si>
  <si>
    <t>A105000纳税调整项目明细表!A1</t>
  </si>
  <si>
    <t>科目对照后，</t>
    <phoneticPr fontId="51" type="noConversion"/>
  </si>
  <si>
    <t>期间费用审核表才有数</t>
    <phoneticPr fontId="51" type="noConversion"/>
  </si>
  <si>
    <t>卢卿洪</t>
  </si>
  <si>
    <t>350321197707291666</t>
  </si>
  <si>
    <t>潘申武</t>
  </si>
  <si>
    <t>340111198104027515</t>
  </si>
  <si>
    <t>朱茵茵</t>
  </si>
  <si>
    <t>352225197209105025</t>
  </si>
  <si>
    <t>张美治</t>
  </si>
  <si>
    <t>张泽艺</t>
  </si>
  <si>
    <t>350583198211264976</t>
  </si>
  <si>
    <t>林永平</t>
  </si>
  <si>
    <t>350525197107211315</t>
  </si>
  <si>
    <t>苏步干</t>
  </si>
  <si>
    <t>350211196509250078</t>
  </si>
  <si>
    <t>350321198212108414</t>
  </si>
  <si>
    <t>郑幼凤</t>
  </si>
  <si>
    <t>350881198004020921</t>
  </si>
  <si>
    <t>茅艳霞</t>
  </si>
  <si>
    <t>350322197609064327</t>
  </si>
  <si>
    <t xml:space="preserve">           其中：</t>
    <phoneticPr fontId="51" type="noConversion"/>
  </si>
  <si>
    <t xml:space="preserve">A108010 </t>
    <phoneticPr fontId="51" type="noConversion"/>
  </si>
  <si>
    <t>境外所得纳税调整后所得审核表!A1</t>
  </si>
  <si>
    <t>不征税收入（专项用途财政资金以外）</t>
    <phoneticPr fontId="51" type="noConversion"/>
  </si>
  <si>
    <t>前五年度</t>
    <phoneticPr fontId="51" type="noConversion"/>
  </si>
  <si>
    <t>前五年度</t>
    <phoneticPr fontId="51" type="noConversion"/>
  </si>
  <si>
    <t>行次</t>
    <phoneticPr fontId="51" type="noConversion"/>
  </si>
  <si>
    <t>表间关系</t>
    <phoneticPr fontId="51" type="noConversion"/>
  </si>
  <si>
    <t>2A-15</t>
  </si>
  <si>
    <t>2A-16</t>
  </si>
  <si>
    <t>2A-17</t>
  </si>
  <si>
    <t>2A-18</t>
  </si>
  <si>
    <t>2A-19</t>
  </si>
  <si>
    <t>2A-20</t>
  </si>
  <si>
    <t>2A-21</t>
  </si>
  <si>
    <t>2A-22</t>
  </si>
  <si>
    <t>2A-23</t>
  </si>
  <si>
    <t>2A-24</t>
  </si>
  <si>
    <t>2A-25</t>
  </si>
  <si>
    <t>2A-26</t>
  </si>
  <si>
    <t>2A-27</t>
  </si>
  <si>
    <t>2A-28</t>
  </si>
  <si>
    <t>视同销售和房地产开发企业特定业务审核表</t>
    <phoneticPr fontId="51" type="noConversion"/>
  </si>
  <si>
    <t>未按权责发生制确认收入审核表</t>
    <phoneticPr fontId="51" type="noConversion"/>
  </si>
  <si>
    <t>投资收益审核表</t>
    <phoneticPr fontId="51" type="noConversion"/>
  </si>
  <si>
    <t>专项用途财政性资金审核表</t>
    <phoneticPr fontId="51" type="noConversion"/>
  </si>
  <si>
    <t>固定资产加速折旧审核表</t>
    <phoneticPr fontId="51" type="noConversion"/>
  </si>
  <si>
    <t>资产损失税前扣除审核表</t>
    <phoneticPr fontId="51" type="noConversion"/>
  </si>
  <si>
    <t>资产损失（专项申报）审核表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</si>
  <si>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</si>
  <si>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</si>
  <si>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</si>
  <si>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免税、减计收入及加计扣除审核表</t>
    <phoneticPr fontId="51" type="noConversion"/>
  </si>
  <si>
    <t>股息红利优惠审核表</t>
    <phoneticPr fontId="51" type="noConversion"/>
  </si>
  <si>
    <t>综合利用资源生产产品取得收入审核表</t>
    <phoneticPr fontId="51" type="noConversion"/>
  </si>
  <si>
    <t>金融保险机构涉农利息保费收入审核表</t>
    <phoneticPr fontId="51" type="noConversion"/>
  </si>
  <si>
    <t>研发费用加计扣除优惠审核表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</si>
  <si>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</si>
  <si>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</si>
  <si>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</si>
  <si>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</si>
  <si>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软件、集成电路企业优惠情况审核表</t>
    <phoneticPr fontId="51" type="noConversion"/>
  </si>
  <si>
    <t>软件、集成电路企业优惠情况审核表</t>
    <phoneticPr fontId="51" type="noConversion"/>
  </si>
  <si>
    <t>税额抵免优惠审核表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</si>
  <si>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</si>
  <si>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</si>
  <si>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</si>
  <si>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</si>
  <si>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汇总纳税分摊企业所得税审核表</t>
    <phoneticPr fontId="51" type="noConversion"/>
  </si>
  <si>
    <t>汇总纳税分支机构所得税分配表</t>
    <phoneticPr fontId="51" type="noConversion"/>
  </si>
  <si>
    <t>减值准备审核表</t>
    <phoneticPr fontId="51" type="noConversion"/>
  </si>
  <si>
    <t>公允价值变动审定表</t>
    <phoneticPr fontId="51" type="noConversion"/>
  </si>
  <si>
    <t>2B-1</t>
    <phoneticPr fontId="51" type="noConversion"/>
  </si>
  <si>
    <t>2B-2</t>
  </si>
  <si>
    <t>2B-3</t>
  </si>
  <si>
    <t>2B-4</t>
  </si>
  <si>
    <t>2B-5</t>
  </si>
  <si>
    <t>2B-6</t>
  </si>
  <si>
    <t>2B-7</t>
  </si>
  <si>
    <t>2B-8</t>
  </si>
  <si>
    <t>2B-9</t>
  </si>
  <si>
    <t>2B-10</t>
  </si>
  <si>
    <t>2B-11</t>
  </si>
  <si>
    <t>2B-12</t>
  </si>
  <si>
    <t>2B-13</t>
  </si>
  <si>
    <t>2B-14</t>
  </si>
  <si>
    <t>2B-15</t>
  </si>
  <si>
    <t>视同销售和房地产开发企业特定业务审核表</t>
    <phoneticPr fontId="51" type="noConversion"/>
  </si>
  <si>
    <t>委托单位</t>
    <phoneticPr fontId="51" type="noConversion"/>
  </si>
  <si>
    <t>会计期间</t>
    <phoneticPr fontId="51" type="noConversion"/>
  </si>
  <si>
    <t>编制人及日期：</t>
    <phoneticPr fontId="51" type="noConversion"/>
  </si>
  <si>
    <t>审核人及日期：</t>
    <phoneticPr fontId="51" type="noConversion"/>
  </si>
  <si>
    <t>表间关系</t>
    <phoneticPr fontId="51" type="noConversion"/>
  </si>
  <si>
    <t>软件、集成电路企业优惠情况审核表</t>
    <phoneticPr fontId="51" type="noConversion"/>
  </si>
  <si>
    <t>跨地区经营汇总纳税企业年度分摊企业所得税审核表</t>
    <phoneticPr fontId="51" type="noConversion"/>
  </si>
  <si>
    <t>企业所得税汇总纳税分支机构所得税分配表</t>
    <phoneticPr fontId="51" type="noConversion"/>
  </si>
  <si>
    <t>无限期结转扣除项目审核表</t>
    <phoneticPr fontId="51" type="noConversion"/>
  </si>
  <si>
    <t>免税、减计收入及加审核表计扣除优惠</t>
    <phoneticPr fontId="51" type="noConversion"/>
  </si>
  <si>
    <t>综合利用资源生产产审核表品取得的收入优惠</t>
    <phoneticPr fontId="51" type="noConversion"/>
  </si>
  <si>
    <t>金融保险等机构取得审核表涉农利息保费收入优惠</t>
    <phoneticPr fontId="51" type="noConversion"/>
  </si>
  <si>
    <t>所得减免优惠审核表</t>
    <phoneticPr fontId="51" type="noConversion"/>
  </si>
  <si>
    <t>抵扣应纳税所得额审核表</t>
    <phoneticPr fontId="51" type="noConversion"/>
  </si>
  <si>
    <t>减免所得税优惠审核表</t>
    <phoneticPr fontId="51" type="noConversion"/>
  </si>
  <si>
    <t>税额抵免优惠审核表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</si>
  <si>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</si>
  <si>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</si>
  <si>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</si>
  <si>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</si>
  <si>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减值准备审核表</t>
    <phoneticPr fontId="51"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</si>
  <si>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117" type="noConversion"/>
  </si>
  <si>
    <t>序号</t>
    <phoneticPr fontId="51" type="noConversion"/>
  </si>
  <si>
    <t>类型</t>
  </si>
  <si>
    <t>标准收费金额(元）</t>
    <phoneticPr fontId="51" type="noConversion"/>
  </si>
  <si>
    <t>上浮30%</t>
  </si>
  <si>
    <t>下浮30%</t>
    <phoneticPr fontId="117" type="noConversion"/>
  </si>
  <si>
    <t>是否属于行政事业单位及社会团体等非营利单位、小微企业、特困企业、破产企业、个体工商户</t>
    <phoneticPr fontId="51" type="noConversion"/>
  </si>
  <si>
    <t>福建省税务师事务所涉税鉴证服务收费标准闽价服闽价服[2014]281号 摘要</t>
    <phoneticPr fontId="51" type="noConversion"/>
  </si>
  <si>
    <t>收费项目</t>
  </si>
  <si>
    <t>服务</t>
  </si>
  <si>
    <t>计费单位</t>
  </si>
  <si>
    <t>计费基础</t>
  </si>
  <si>
    <t>收费标准或费率</t>
  </si>
  <si>
    <t>内容</t>
  </si>
  <si>
    <t>企业所得税汇算清缴纳税申报鉴证</t>
    <phoneticPr fontId="51" type="noConversion"/>
  </si>
  <si>
    <t>是</t>
    <phoneticPr fontId="51" type="noConversion"/>
  </si>
  <si>
    <t>企业资产损失所得税前扣除鉴证</t>
    <phoneticPr fontId="51" type="noConversion"/>
  </si>
  <si>
    <t>否</t>
    <phoneticPr fontId="51" type="noConversion"/>
  </si>
  <si>
    <t>企业所得税税前弥补亏损鉴证</t>
  </si>
  <si>
    <t>土地增值税清算鉴证</t>
    <phoneticPr fontId="51" type="noConversion"/>
  </si>
  <si>
    <t>增值税纳税审核鉴证</t>
    <phoneticPr fontId="51" type="noConversion"/>
  </si>
  <si>
    <t>房地产开发企业完工产品结算鉴证</t>
    <phoneticPr fontId="51" type="noConversion"/>
  </si>
  <si>
    <t>研究开发费所得税前加计扣除鉴证</t>
    <phoneticPr fontId="51" type="noConversion"/>
  </si>
  <si>
    <t>福建省税务师事务所涉税鉴证服务收费标准</t>
    <phoneticPr fontId="51" type="noConversion"/>
  </si>
  <si>
    <t>企业所得税汇算清缴纳税申报鉴证</t>
    <phoneticPr fontId="51" type="noConversion"/>
  </si>
  <si>
    <t>对委托人进行企业所得税汇算结缴审核并出具鉴证报告</t>
    <phoneticPr fontId="51" type="noConversion"/>
  </si>
  <si>
    <t>元/年</t>
  </si>
  <si>
    <t>按资产总额或销售收入</t>
  </si>
  <si>
    <t>100万元以下</t>
  </si>
  <si>
    <t>3‰</t>
  </si>
  <si>
    <t>100万元—500万元</t>
  </si>
  <si>
    <t>500万元—1000万元</t>
  </si>
  <si>
    <t>1000万元—5000万元</t>
  </si>
  <si>
    <t>5000万元以上-1亿</t>
    <phoneticPr fontId="51" type="noConversion"/>
  </si>
  <si>
    <t>1亿以上</t>
    <phoneticPr fontId="51" type="noConversion"/>
  </si>
  <si>
    <t>双方协商确定</t>
    <phoneticPr fontId="51" type="noConversion"/>
  </si>
  <si>
    <t>对委托人税前财产损失额进行审核并出具鉴证报告</t>
    <phoneticPr fontId="51" type="noConversion"/>
  </si>
  <si>
    <t>元/次</t>
    <phoneticPr fontId="51" type="noConversion"/>
  </si>
  <si>
    <t>按企业委托报损金额</t>
    <phoneticPr fontId="51" type="noConversion"/>
  </si>
  <si>
    <t>1000万元以上</t>
  </si>
  <si>
    <t>企业所得税税前弥补亏损鉴证</t>
    <phoneticPr fontId="51" type="noConversion"/>
  </si>
  <si>
    <t>对委托人前年度的亏损结转弥补进行鉴证并出具鉴证报告</t>
    <phoneticPr fontId="51" type="noConversion"/>
  </si>
  <si>
    <t>参照企业所得税汇算清缴</t>
  </si>
  <si>
    <t>对委托人房地产开发项目的土地增值税清算进行审核并出具鉴证报告</t>
    <phoneticPr fontId="51" type="noConversion"/>
  </si>
  <si>
    <t>元/项目</t>
    <phoneticPr fontId="51" type="noConversion"/>
  </si>
  <si>
    <t>按项目销售收入</t>
  </si>
  <si>
    <t>5000万元以下</t>
  </si>
  <si>
    <t>5000万元—1亿元</t>
  </si>
  <si>
    <t>0.7‰</t>
  </si>
  <si>
    <t>1亿元—5亿元</t>
  </si>
  <si>
    <t>0.3‰</t>
    <phoneticPr fontId="51" type="noConversion"/>
  </si>
  <si>
    <t>5亿元以上</t>
  </si>
  <si>
    <t>对委托人增值税进行纳税审核并出具鉴证报告</t>
    <phoneticPr fontId="51" type="noConversion"/>
  </si>
  <si>
    <t>元/年</t>
    <phoneticPr fontId="51" type="noConversion"/>
  </si>
  <si>
    <t>按销售收入</t>
  </si>
  <si>
    <t>0.4‰</t>
  </si>
  <si>
    <t>5000万元以上</t>
  </si>
  <si>
    <t>房地产开发企业完工产品结算鉴证</t>
    <phoneticPr fontId="51" type="noConversion"/>
  </si>
  <si>
    <t>对委托人房地产开发项目的完工产品结算进行审核并出具鉴证报告</t>
    <phoneticPr fontId="51" type="noConversion"/>
  </si>
  <si>
    <t>元/项目</t>
  </si>
  <si>
    <t>0.3‰</t>
    <phoneticPr fontId="51" type="noConversion"/>
  </si>
  <si>
    <t>双方协商确定</t>
    <phoneticPr fontId="51" type="noConversion"/>
  </si>
  <si>
    <t>技术开发费所得税前加计扣除鉴证</t>
    <phoneticPr fontId="51" type="noConversion"/>
  </si>
  <si>
    <t>对委托人按规定归集的科技开发费进行审核并出具鉴证报告</t>
    <phoneticPr fontId="51" type="noConversion"/>
  </si>
  <si>
    <t>按企业委托技术开发费发生额</t>
  </si>
  <si>
    <t>18‰</t>
  </si>
  <si>
    <t>2‰</t>
  </si>
  <si>
    <t>0.8‰</t>
  </si>
  <si>
    <r>
      <t>备注：</t>
    </r>
    <r>
      <rPr>
        <sz val="10.5"/>
        <color indexed="8"/>
        <rFont val="仿宋_GB2312"/>
        <family val="3"/>
        <charset val="134"/>
      </rPr>
      <t>1、按差额定率累进计费，不足1500元的按1500元计费。2、上下允许浮动30%。</t>
    </r>
    <phoneticPr fontId="51" type="noConversion"/>
  </si>
  <si>
    <t>3、对行政事业单位及社会团体等非营利单位的服务收费，可按基准价下浮50%；对小微企业、特困企业、破产企业、个体工商户的服务收费可按基准价下浮50%。</t>
    <phoneticPr fontId="51" type="noConversion"/>
  </si>
  <si>
    <t>二、计时服务收费政府指导价</t>
  </si>
  <si>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</si>
  <si>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</si>
  <si>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</si>
  <si>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t>企业所得税汇算清缴纳税申报鉴证</t>
  </si>
  <si>
    <t xml:space="preserve">   4．注册资本（单位：万元）</t>
    <phoneticPr fontId="51" type="noConversion"/>
  </si>
  <si>
    <t xml:space="preserve">   5．投资总额（单位：万元）</t>
    <phoneticPr fontId="51" type="noConversion"/>
  </si>
  <si>
    <t>会计名称</t>
  </si>
  <si>
    <t>发生合计</t>
  </si>
  <si>
    <t>归集科目</t>
  </si>
  <si>
    <t>跨期费用</t>
    <phoneticPr fontId="51" type="noConversion"/>
  </si>
  <si>
    <t>汇总合并纳税企业类别:</t>
  </si>
  <si>
    <t>说明：请填写对应代码。企业所得税属地税管征的，将以地税征管系统中认定的代码为准。
代码对照表：10-非汇总（合并）纳税企业、20-总机构、30-分支机构、40-有独立生产经营部门的总机构</t>
  </si>
  <si>
    <t xml:space="preserve">总机构情况                                                   </t>
  </si>
  <si>
    <t>第17行＝表A107010第27行</t>
    <phoneticPr fontId="51" type="noConversion"/>
  </si>
  <si>
    <t>107从事国家限制或禁止行业</t>
    <phoneticPr fontId="51" type="noConversion"/>
  </si>
  <si>
    <t>8．"107从事国家限制或禁止行业"：纳税人从事国家限制和禁止行业，选择"是"，其他选择"否"。</t>
    <phoneticPr fontId="51" type="noConversion"/>
  </si>
  <si>
    <t>4."103所属行业明细代码"：根据《国民经济行业分类》（GB/4754-2011）标准填报纳税人的行业代码。如所属行业代码为7010的房地产开发经营企业，可以填报表A105010中第21至29行；所属行业代码为06**至4690，小型微利企业优惠判断为工业企业；所属行业代码为66**的银行业，67**的证券和资本投资，68**的保险业，填报表A101020、A102020。</t>
    <phoneticPr fontId="51" type="noConversion"/>
  </si>
  <si>
    <t>其他</t>
    <phoneticPr fontId="51" type="noConversion"/>
  </si>
  <si>
    <t>原值</t>
    <phoneticPr fontId="51" type="noConversion"/>
  </si>
  <si>
    <t>税收折旧（扣除）额</t>
    <phoneticPr fontId="51" type="noConversion"/>
  </si>
  <si>
    <t>税收折旧（扣除）额</t>
    <phoneticPr fontId="51" type="noConversion"/>
  </si>
  <si>
    <t>税收折旧（扣除）额合计</t>
    <phoneticPr fontId="51" type="noConversion"/>
  </si>
  <si>
    <t>会计折旧额</t>
    <phoneticPr fontId="51" type="noConversion"/>
  </si>
  <si>
    <t>正常折旧额</t>
    <phoneticPr fontId="51" type="noConversion"/>
  </si>
  <si>
    <t>税收折旧额</t>
    <phoneticPr fontId="51" type="noConversion"/>
  </si>
  <si>
    <t>纳税减少额</t>
    <phoneticPr fontId="51" type="noConversion"/>
  </si>
  <si>
    <t>加速折旧优惠统计额</t>
    <phoneticPr fontId="51" type="noConversion"/>
  </si>
  <si>
    <t>一、重要行业固定资产加速折旧</t>
    <phoneticPr fontId="51" type="noConversion"/>
  </si>
  <si>
    <t>税会处理一致</t>
    <phoneticPr fontId="51" type="noConversion"/>
  </si>
  <si>
    <t>税会处理不一致</t>
    <phoneticPr fontId="51" type="noConversion"/>
  </si>
  <si>
    <t>二、其他行业研发设备加速折旧</t>
    <phoneticPr fontId="51" type="noConversion"/>
  </si>
  <si>
    <t>100万元以上专用研发设备</t>
    <phoneticPr fontId="51" type="noConversion"/>
  </si>
  <si>
    <t>三、允许一次性扣除的固定资产</t>
    <phoneticPr fontId="51" type="noConversion"/>
  </si>
  <si>
    <t>1.单价不超过100万元研发设备</t>
    <phoneticPr fontId="51" type="noConversion"/>
  </si>
  <si>
    <t>2.5000元以下固定资产</t>
    <phoneticPr fontId="51" type="noConversion"/>
  </si>
  <si>
    <t>*</t>
    <phoneticPr fontId="51" type="noConversion"/>
  </si>
  <si>
    <t>合计（1行+4行+7行）</t>
    <phoneticPr fontId="51" type="noConversion"/>
  </si>
  <si>
    <t>四、其他固定资产加速折旧备案信息</t>
    <phoneticPr fontId="51" type="noConversion"/>
  </si>
  <si>
    <t>1.技术进步、更新换代固定资产</t>
    <phoneticPr fontId="51" type="noConversion"/>
  </si>
  <si>
    <t>*</t>
    <phoneticPr fontId="51" type="noConversion"/>
  </si>
  <si>
    <t>2.常年强震动、高腐蚀固定资产</t>
    <phoneticPr fontId="51" type="noConversion"/>
  </si>
  <si>
    <t>3.外购软件折旧（摊销）</t>
    <phoneticPr fontId="51" type="noConversion"/>
  </si>
  <si>
    <t>4.集成电路企业生产设备</t>
    <phoneticPr fontId="51" type="noConversion"/>
  </si>
  <si>
    <t>合计（16行+19行+22行+25行）</t>
    <phoneticPr fontId="51" type="noConversion"/>
  </si>
  <si>
    <t>一、创业投资企业直接投资于未上市中小高新企业按投资额一定比例抵扣应纳税所得额</t>
    <phoneticPr fontId="51" type="noConversion"/>
  </si>
  <si>
    <t>本年新增的可抵扣的股权投资额（1行×2行）</t>
  </si>
  <si>
    <t>本年可抵扣的股权投资额（3行+4行）</t>
  </si>
  <si>
    <t>本年实际抵扣应纳税所得额（5行≤6行，本行=5行；5行＞6行，本行=6行）</t>
  </si>
  <si>
    <t>二、通过有限合伙制创业投资企业投资未上市中小高新企业按一定比例抵扣分得的应纳税所得额</t>
    <phoneticPr fontId="51" type="noConversion"/>
  </si>
  <si>
    <t>三、抵扣应纳税所得额合计</t>
    <phoneticPr fontId="51" type="noConversion"/>
  </si>
  <si>
    <t>本年从有限合伙创投企业应分得的应纳税所得额</t>
  </si>
  <si>
    <t>本年新增的可抵扣投资额</t>
  </si>
  <si>
    <t>以前年度结转的可抵扣投资额余额</t>
  </si>
  <si>
    <t>本年可抵扣投资额（10行+11行）</t>
  </si>
  <si>
    <t>本年实际抵扣应分得的应纳税所得额（9行≤12行，本行=9行；9行＞12行，本行=12行）</t>
  </si>
  <si>
    <t>结转以后年度抵扣的投资额余额（9行≤12行，本行=12行-9行；9行＞12行，本行=0）</t>
  </si>
  <si>
    <t>合计：（7行+13行）</t>
    <phoneticPr fontId="51" type="noConversion"/>
  </si>
  <si>
    <t>表A100000第21行=本表15行</t>
    <phoneticPr fontId="51" type="noConversion"/>
  </si>
  <si>
    <t>应纳税所得额计算</t>
    <phoneticPr fontId="51" type="noConversion"/>
  </si>
  <si>
    <t>由主表生成，不可填写：本行=表A100000第19-20-22行-本表第13行，若小于0，则填报0。循环引用</t>
    <phoneticPr fontId="51" type="noConversion"/>
  </si>
  <si>
    <t>一、符合条件的小型微利企业</t>
  </si>
  <si>
    <t xml:space="preserve">    其中：减半征税</t>
  </si>
  <si>
    <t>二、国家需要重点扶持的高新技术企业（4+5）</t>
  </si>
  <si>
    <t xml:space="preserve">   （一）高新技术企业低税率优惠（填写A107041）</t>
  </si>
  <si>
    <t xml:space="preserve">   （二）经济特区和上海浦东新区新设立的高新技术企业定期减免（填写A107041）</t>
  </si>
  <si>
    <t>三、其他专项优惠（7+8+9+10+11…+14+15+16+…+31）</t>
  </si>
  <si>
    <t xml:space="preserve">   （一）受灾地区损失严重的企业（7.1+7.2+7.3）</t>
  </si>
  <si>
    <t xml:space="preserve">   （二）受灾地区农村信用社（8.1+8.2+8.3）</t>
  </si>
  <si>
    <t xml:space="preserve">   （三）受灾地区的促进就业企业（9.1+9.2+9.3）</t>
  </si>
  <si>
    <t xml:space="preserve">   （四）支持和促进重点群体创业就业企业(10.1+10.2+10.3)</t>
  </si>
  <si>
    <t xml:space="preserve">          2.高校毕业生就业</t>
  </si>
  <si>
    <t xml:space="preserve">          3.退役士兵就业</t>
  </si>
  <si>
    <t xml:space="preserve">   （五）技术先进型服务企业</t>
  </si>
  <si>
    <t xml:space="preserve">   （六）动漫企业</t>
  </si>
  <si>
    <t xml:space="preserve">   （七）集成电路线宽小于0.8微米（含）的集成电路生产企业</t>
  </si>
  <si>
    <t xml:space="preserve">   （八）集成电路线宽小于0.25微米的集成电路生产企业（14.1+14.2）</t>
  </si>
  <si>
    <t xml:space="preserve">   （九）投资额超过80亿元人民币的集成电路生产企业（15.1+15.2）</t>
  </si>
  <si>
    <t xml:space="preserve">   （十）新办集成电路设计企业（填写A107042）</t>
  </si>
  <si>
    <t xml:space="preserve">   （十一）国家规划布局内重点集成电路设计企业</t>
  </si>
  <si>
    <t xml:space="preserve">   （十二）集成电路封装、测试企业</t>
  </si>
  <si>
    <t xml:space="preserve">   （十三）集成电路关键专用材料生产企业或集成电路专用设备生产企业</t>
  </si>
  <si>
    <t xml:space="preserve">   （十四）符合条件的软件企业（填写A107042）</t>
  </si>
  <si>
    <t xml:space="preserve">   （十五）国家规划布局内重点软件企业</t>
  </si>
  <si>
    <t xml:space="preserve">   （十六）经营性文化事业单位转制企业</t>
  </si>
  <si>
    <t xml:space="preserve">   （十七）符合条件的生产和装配伤残人员专门用品企业</t>
  </si>
  <si>
    <t xml:space="preserve">   （十九）新疆困难地区新办企业</t>
  </si>
  <si>
    <t xml:space="preserve">   （二十）新疆喀什、霍尔果斯特殊经济开发区新办企业</t>
  </si>
  <si>
    <t xml:space="preserve">   （二十一）横琴新区、平潭综合实验区和前海深港现代化服务业合作区企业</t>
  </si>
  <si>
    <t xml:space="preserve">   （二十二）享受过渡期税收优惠企业</t>
  </si>
  <si>
    <t>四、减：项目所得额按法定税率减半征收企业所得税叠加享受减免税优惠</t>
  </si>
  <si>
    <t>五、减免地方分享所得税的民族自治地方企业</t>
    <phoneticPr fontId="51" type="noConversion"/>
  </si>
  <si>
    <t>合计：（1+3+6-32+33）</t>
    <phoneticPr fontId="51" type="noConversion"/>
  </si>
  <si>
    <t xml:space="preserve">           3.</t>
    <phoneticPr fontId="51" type="noConversion"/>
  </si>
  <si>
    <t xml:space="preserve">           2.</t>
    <phoneticPr fontId="51" type="noConversion"/>
  </si>
  <si>
    <t>　　　其中：1.</t>
    <phoneticPr fontId="51" type="noConversion"/>
  </si>
  <si>
    <t>未见相关单元格</t>
    <phoneticPr fontId="51" type="noConversion"/>
  </si>
  <si>
    <t>　　　其中：1.</t>
    <phoneticPr fontId="51" type="noConversion"/>
  </si>
  <si>
    <t>　　　其中:1.下岗失业人员再就业</t>
    <phoneticPr fontId="51" type="noConversion"/>
  </si>
  <si>
    <t>　　　其中：1.定期减免企业所得税</t>
    <phoneticPr fontId="51" type="noConversion"/>
  </si>
  <si>
    <t>　　　　　　2.减按15%税率征收企业所得税</t>
    <phoneticPr fontId="51" type="noConversion"/>
  </si>
  <si>
    <t>　　　其中：1.定期减免企业所得税</t>
    <phoneticPr fontId="51" type="noConversion"/>
  </si>
  <si>
    <t>　　　　　　2.减按15%税率征收企业所得税</t>
    <phoneticPr fontId="51" type="noConversion"/>
  </si>
  <si>
    <t xml:space="preserve">   （二十三）其他1</t>
    <phoneticPr fontId="51" type="noConversion"/>
  </si>
  <si>
    <t xml:space="preserve">   （二十四）其他2</t>
    <phoneticPr fontId="51" type="noConversion"/>
  </si>
  <si>
    <t xml:space="preserve">   （二十五）其他3</t>
    <phoneticPr fontId="51" type="noConversion"/>
  </si>
  <si>
    <t>第29行=表A107040第3行</t>
    <phoneticPr fontId="51" type="noConversion"/>
  </si>
  <si>
    <t>=表A100000第26行</t>
    <phoneticPr fontId="51" type="noConversion"/>
  </si>
  <si>
    <t>=表A100000第26行。</t>
    <phoneticPr fontId="51" type="noConversion"/>
  </si>
  <si>
    <t>注：已纳税额包含2016年1月份入库的所属期为2015年12月份的应纳税额。</t>
    <phoneticPr fontId="51" type="noConversion"/>
  </si>
  <si>
    <t xml:space="preserve">  应收股利</t>
    <phoneticPr fontId="51" type="noConversion"/>
  </si>
  <si>
    <t xml:space="preserve">  应收利息</t>
    <phoneticPr fontId="51" type="noConversion"/>
  </si>
  <si>
    <t xml:space="preserve">   应付职工薪酬</t>
    <phoneticPr fontId="51" type="noConversion"/>
  </si>
  <si>
    <t xml:space="preserve">   应交税费</t>
    <phoneticPr fontId="51" type="noConversion"/>
  </si>
  <si>
    <t xml:space="preserve">   应付票据</t>
    <phoneticPr fontId="51" type="noConversion"/>
  </si>
  <si>
    <t xml:space="preserve">   应付利息</t>
    <phoneticPr fontId="51" type="noConversion"/>
  </si>
  <si>
    <t>期初数</t>
    <phoneticPr fontId="51" type="noConversion"/>
  </si>
  <si>
    <t>负债及所有者权益</t>
    <phoneticPr fontId="51" type="noConversion"/>
  </si>
  <si>
    <t>会小企01表</t>
    <phoneticPr fontId="51" type="noConversion"/>
  </si>
  <si>
    <t>非流动资产:</t>
    <phoneticPr fontId="51" type="noConversion"/>
  </si>
  <si>
    <t xml:space="preserve">  长期债券投资</t>
    <phoneticPr fontId="51" type="noConversion"/>
  </si>
  <si>
    <t xml:space="preserve">  固定资产账面价值</t>
    <phoneticPr fontId="51" type="noConversion"/>
  </si>
  <si>
    <t xml:space="preserve">  固定资产清理</t>
    <phoneticPr fontId="51" type="noConversion"/>
  </si>
  <si>
    <t xml:space="preserve">  生产性生物资产</t>
    <phoneticPr fontId="51" type="noConversion"/>
  </si>
  <si>
    <t xml:space="preserve">  其他非流动资产</t>
    <phoneticPr fontId="51" type="noConversion"/>
  </si>
  <si>
    <t xml:space="preserve">   非流动资产合计</t>
    <phoneticPr fontId="51" type="noConversion"/>
  </si>
  <si>
    <t>非流动负债:</t>
    <phoneticPr fontId="51" type="noConversion"/>
  </si>
  <si>
    <t xml:space="preserve">   递延收益</t>
    <phoneticPr fontId="51" type="noConversion"/>
  </si>
  <si>
    <t xml:space="preserve">   其他非流动负债</t>
    <phoneticPr fontId="51" type="noConversion"/>
  </si>
  <si>
    <t xml:space="preserve">   非流动负债合计</t>
    <phoneticPr fontId="51" type="noConversion"/>
  </si>
  <si>
    <t>资产总计</t>
    <phoneticPr fontId="51" type="noConversion"/>
  </si>
  <si>
    <t>负债合计</t>
    <phoneticPr fontId="51" type="noConversion"/>
  </si>
  <si>
    <t xml:space="preserve">   实收资本（或股本）</t>
    <phoneticPr fontId="51" type="noConversion"/>
  </si>
  <si>
    <t xml:space="preserve">   未分配利润</t>
    <phoneticPr fontId="51" type="noConversion"/>
  </si>
  <si>
    <t>所有者权益（股东权益）：</t>
    <phoneticPr fontId="51" type="noConversion"/>
  </si>
  <si>
    <t xml:space="preserve">   所有者权益（股东权益）合计</t>
    <phoneticPr fontId="51" type="noConversion"/>
  </si>
  <si>
    <t>负债和所有者权益（股东权益）总计</t>
    <phoneticPr fontId="51" type="noConversion"/>
  </si>
  <si>
    <t>一、营业收入</t>
    <phoneticPr fontId="51" type="noConversion"/>
  </si>
  <si>
    <t>减: 营业成本</t>
    <phoneticPr fontId="51" type="noConversion"/>
  </si>
  <si>
    <t xml:space="preserve">    营业税金及附加</t>
    <phoneticPr fontId="51" type="noConversion"/>
  </si>
  <si>
    <t xml:space="preserve">      其中：消费税</t>
    <phoneticPr fontId="51" type="noConversion"/>
  </si>
  <si>
    <t xml:space="preserve">            营业税</t>
    <phoneticPr fontId="51" type="noConversion"/>
  </si>
  <si>
    <t xml:space="preserve">            城市维护建设税</t>
    <phoneticPr fontId="51" type="noConversion"/>
  </si>
  <si>
    <t xml:space="preserve">            资源税</t>
    <phoneticPr fontId="51" type="noConversion"/>
  </si>
  <si>
    <t xml:space="preserve">            土地增值税</t>
    <phoneticPr fontId="51" type="noConversion"/>
  </si>
  <si>
    <t xml:space="preserve">            城镇土地使用税、房产税、车船税、印花税</t>
    <phoneticPr fontId="51" type="noConversion"/>
  </si>
  <si>
    <t xml:space="preserve">            教育费附加、矿产资源补偿费、排污费</t>
    <phoneticPr fontId="51" type="noConversion"/>
  </si>
  <si>
    <t xml:space="preserve">    其中：原材料</t>
    <phoneticPr fontId="51" type="noConversion"/>
  </si>
  <si>
    <t xml:space="preserve">          在产品</t>
    <phoneticPr fontId="51" type="noConversion"/>
  </si>
  <si>
    <t xml:space="preserve">          库存商品</t>
    <phoneticPr fontId="51" type="noConversion"/>
  </si>
  <si>
    <t xml:space="preserve">          周转材料</t>
    <phoneticPr fontId="51" type="noConversion"/>
  </si>
  <si>
    <t xml:space="preserve">      其中：商品维修费</t>
    <phoneticPr fontId="51" type="noConversion"/>
  </si>
  <si>
    <t xml:space="preserve">            广告费及业务宣传费</t>
    <phoneticPr fontId="51" type="noConversion"/>
  </si>
  <si>
    <t xml:space="preserve">      其中：开办费</t>
    <phoneticPr fontId="51" type="noConversion"/>
  </si>
  <si>
    <t xml:space="preserve">            业务招待费</t>
    <phoneticPr fontId="51" type="noConversion"/>
  </si>
  <si>
    <t xml:space="preserve">            研究费用</t>
    <phoneticPr fontId="51" type="noConversion"/>
  </si>
  <si>
    <t xml:space="preserve">    财务费用</t>
    <phoneticPr fontId="51" type="noConversion"/>
  </si>
  <si>
    <t xml:space="preserve">      其中：利息费用（收入以“-”号填列）</t>
    <phoneticPr fontId="51" type="noConversion"/>
  </si>
  <si>
    <t xml:space="preserve">      其中：政府补助</t>
    <phoneticPr fontId="51" type="noConversion"/>
  </si>
  <si>
    <t xml:space="preserve">      其中：坏账损失</t>
    <phoneticPr fontId="51" type="noConversion"/>
  </si>
  <si>
    <t xml:space="preserve">            无法收回的长期债券投资损失</t>
    <phoneticPr fontId="51" type="noConversion"/>
  </si>
  <si>
    <t xml:space="preserve">            无法收回的长期股权投资损失</t>
    <phoneticPr fontId="51" type="noConversion"/>
  </si>
  <si>
    <t xml:space="preserve">            自然灾害等不可抗力因素造成的损失</t>
    <phoneticPr fontId="51" type="noConversion"/>
  </si>
  <si>
    <t xml:space="preserve">            税收滞纳金</t>
    <phoneticPr fontId="51" type="noConversion"/>
  </si>
  <si>
    <t xml:space="preserve">            固定资产清理损失</t>
    <phoneticPr fontId="51" type="noConversion"/>
  </si>
  <si>
    <t>三、利润总额（亏损以“-”号填列）</t>
    <phoneticPr fontId="51" type="noConversion"/>
  </si>
  <si>
    <t>减：所得税费用</t>
    <phoneticPr fontId="51" type="noConversion"/>
  </si>
  <si>
    <t>四、净利润（亏损以“-”号填列）</t>
    <phoneticPr fontId="51" type="noConversion"/>
  </si>
  <si>
    <t>本期累计金额</t>
    <phoneticPr fontId="51" type="noConversion"/>
  </si>
  <si>
    <t>上年金额</t>
    <phoneticPr fontId="51" type="noConversion"/>
  </si>
  <si>
    <t>七、可供分配的利润</t>
    <phoneticPr fontId="51" type="noConversion"/>
  </si>
  <si>
    <t>八、可供投资者分配的利润</t>
    <phoneticPr fontId="51" type="noConversion"/>
  </si>
  <si>
    <t>九、未分配利润</t>
    <phoneticPr fontId="51" type="noConversion"/>
  </si>
  <si>
    <t>减: 应付利润</t>
    <phoneticPr fontId="51" type="noConversion"/>
  </si>
  <si>
    <t>减: 转增资本</t>
    <phoneticPr fontId="51" type="noConversion"/>
  </si>
  <si>
    <t xml:space="preserve">    其他转入</t>
    <phoneticPr fontId="51" type="noConversion"/>
  </si>
  <si>
    <t xml:space="preserve">    上年利润调整</t>
    <phoneticPr fontId="51" type="noConversion"/>
  </si>
  <si>
    <t>减：上年所得税调整</t>
    <phoneticPr fontId="51" type="noConversion"/>
  </si>
  <si>
    <t>减：应交特种基金</t>
    <phoneticPr fontId="51" type="noConversion"/>
  </si>
  <si>
    <t>本期金额</t>
    <phoneticPr fontId="51" type="noConversion"/>
  </si>
  <si>
    <t xml:space="preserve">   其他应付款</t>
    <phoneticPr fontId="51" type="noConversion"/>
  </si>
  <si>
    <t xml:space="preserve">    销售费用</t>
    <phoneticPr fontId="51" type="noConversion"/>
  </si>
  <si>
    <t xml:space="preserve">    管理费用</t>
    <phoneticPr fontId="51" type="noConversion"/>
  </si>
  <si>
    <t>加: 营业外收入</t>
    <phoneticPr fontId="51" type="noConversion"/>
  </si>
  <si>
    <t>减: 营业外支出</t>
    <phoneticPr fontId="51" type="noConversion"/>
  </si>
  <si>
    <t xml:space="preserve">    提取任意盈余公积</t>
    <phoneticPr fontId="51" type="noConversion"/>
  </si>
  <si>
    <t>加：盈余公积补亏</t>
    <phoneticPr fontId="51" type="noConversion"/>
  </si>
  <si>
    <t>减：提取法定盈余公积</t>
    <phoneticPr fontId="51" type="noConversion"/>
  </si>
  <si>
    <r>
      <t xml:space="preserve">    提取职工奖励及福利基金</t>
    </r>
    <r>
      <rPr>
        <vertAlign val="superscript"/>
        <sz val="10"/>
        <color indexed="12"/>
        <rFont val="宋体"/>
        <family val="3"/>
        <charset val="134"/>
      </rPr>
      <t>*</t>
    </r>
    <phoneticPr fontId="51" type="noConversion"/>
  </si>
  <si>
    <r>
      <t xml:space="preserve">    提取储备基金</t>
    </r>
    <r>
      <rPr>
        <vertAlign val="superscript"/>
        <sz val="10"/>
        <color indexed="12"/>
        <rFont val="宋体"/>
        <family val="3"/>
        <charset val="134"/>
      </rPr>
      <t>*</t>
    </r>
    <phoneticPr fontId="51" type="noConversion"/>
  </si>
  <si>
    <r>
      <t xml:space="preserve">    提取企业发展基金</t>
    </r>
    <r>
      <rPr>
        <vertAlign val="superscript"/>
        <sz val="10"/>
        <color indexed="12"/>
        <rFont val="宋体"/>
        <family val="3"/>
        <charset val="134"/>
      </rPr>
      <t>*</t>
    </r>
    <phoneticPr fontId="51" type="noConversion"/>
  </si>
  <si>
    <r>
      <t xml:space="preserve">    利润归还投资</t>
    </r>
    <r>
      <rPr>
        <vertAlign val="superscript"/>
        <sz val="10"/>
        <color indexed="12"/>
        <rFont val="宋体"/>
        <family val="3"/>
        <charset val="134"/>
      </rPr>
      <t>**</t>
    </r>
    <phoneticPr fontId="51" type="noConversion"/>
  </si>
  <si>
    <t>小企业准则报表里没有这个科目</t>
    <phoneticPr fontId="51" type="noConversion"/>
  </si>
  <si>
    <t>附件1:</t>
  </si>
  <si>
    <t>企 业 基 本 情 况 表</t>
  </si>
  <si>
    <t>单位：万元</t>
  </si>
  <si>
    <r>
      <t xml:space="preserve"> </t>
    </r>
    <r>
      <rPr>
        <sz val="10"/>
        <rFont val="宋体"/>
        <family val="3"/>
        <charset val="134"/>
      </rPr>
      <t xml:space="preserve">纳税人名称                                           </t>
    </r>
  </si>
  <si>
    <t>企业注册地址</t>
  </si>
  <si>
    <t>工商登记</t>
  </si>
  <si>
    <t>发照日期</t>
  </si>
  <si>
    <t>执照号码</t>
  </si>
  <si>
    <t>技术监督局识别号</t>
  </si>
  <si>
    <t>投  资  者  名  称</t>
  </si>
  <si>
    <t>投 资总 额</t>
  </si>
  <si>
    <t>注册金额</t>
  </si>
  <si>
    <t>出资比例％</t>
  </si>
  <si>
    <t>实收金额</t>
  </si>
  <si>
    <t>占注册资本总额％</t>
  </si>
  <si>
    <t>合        计</t>
  </si>
  <si>
    <t>分支机构概况</t>
  </si>
  <si>
    <t>名    称</t>
  </si>
  <si>
    <t>前事务所
鉴证报告编号</t>
  </si>
  <si>
    <t xml:space="preserve">    一、主要会计政策</t>
  </si>
  <si>
    <t xml:space="preserve">      3、会计核算方法：以权责发生制为记账原则，以历史成本为计价基础；</t>
  </si>
  <si>
    <t xml:space="preserve">       其中：记帐本位币：以人民币为记账本位币；</t>
  </si>
  <si>
    <t xml:space="preserve">             存货核算方法: 存货按实际成本计价;</t>
  </si>
  <si>
    <t xml:space="preserve">             固定资产及折旧核算方法：固定资产以历史成本计价、折旧采用直线法核算；</t>
  </si>
  <si>
    <t xml:space="preserve">             坏帐准备计提方法及比例：实际发生列支；</t>
  </si>
  <si>
    <t xml:space="preserve">    二、审核情况说明</t>
  </si>
  <si>
    <t xml:space="preserve">     1、会计调整事项说明</t>
  </si>
  <si>
    <t xml:space="preserve">    （1）调增会计利润：</t>
  </si>
  <si>
    <t>元。</t>
  </si>
  <si>
    <t>项　目</t>
  </si>
  <si>
    <t>金　额</t>
  </si>
  <si>
    <t>调整事项说明</t>
  </si>
  <si>
    <t>备    注</t>
  </si>
  <si>
    <t>调整多计税金及附加</t>
  </si>
  <si>
    <t>多提税金及附加</t>
  </si>
  <si>
    <t>各税费审核表</t>
  </si>
  <si>
    <t>合　计</t>
  </si>
  <si>
    <t xml:space="preserve">    （2）调减会计利润：</t>
  </si>
  <si>
    <t>调整少计税金及附加</t>
  </si>
  <si>
    <t>少计税金及附加</t>
  </si>
  <si>
    <t xml:space="preserve">    （3）调整后利润总额为：</t>
  </si>
  <si>
    <t xml:space="preserve">     2、纳税调整情况说明</t>
  </si>
  <si>
    <t>交换意见!A10</t>
  </si>
  <si>
    <t xml:space="preserve">    （1）纳税调整增加：</t>
  </si>
  <si>
    <t>插入10行</t>
    <phoneticPr fontId="51" type="noConversion"/>
  </si>
  <si>
    <t>数据来源为减值准备纳税调整表。</t>
  </si>
  <si>
    <t>需与其他事项审核表核对。</t>
  </si>
  <si>
    <t>其他事项!A17</t>
  </si>
  <si>
    <t>租金支出</t>
    <phoneticPr fontId="51" type="noConversion"/>
  </si>
  <si>
    <t>合                     计</t>
  </si>
  <si>
    <t xml:space="preserve">    （2）纳税调整减少：</t>
  </si>
  <si>
    <t>插入20行</t>
    <phoneticPr fontId="51" type="noConversion"/>
  </si>
  <si>
    <t xml:space="preserve">    （3）纳税调整后所得：</t>
  </si>
  <si>
    <t xml:space="preserve">    3、其他涉税事项说明</t>
  </si>
  <si>
    <t xml:space="preserve">    （2）</t>
  </si>
  <si>
    <t xml:space="preserve">    （3）</t>
  </si>
  <si>
    <t xml:space="preserve">    （4）</t>
  </si>
  <si>
    <t xml:space="preserve">    （5）</t>
  </si>
  <si>
    <t xml:space="preserve">    （6）</t>
  </si>
  <si>
    <t xml:space="preserve">    （7）</t>
  </si>
  <si>
    <t xml:space="preserve">    （8）</t>
  </si>
  <si>
    <t xml:space="preserve">   三、委托单位对审核事项意见：</t>
  </si>
  <si>
    <t xml:space="preserve">   企业同意审核调整事项,并据此办理企业所得税年度纳税申报事宜。</t>
  </si>
  <si>
    <t>委托单位盖章</t>
  </si>
  <si>
    <t xml:space="preserve">                                             </t>
  </si>
  <si>
    <t xml:space="preserve">  在建工程</t>
    <phoneticPr fontId="51" type="noConversion"/>
  </si>
  <si>
    <t xml:space="preserve">  工程物资</t>
    <phoneticPr fontId="51" type="noConversion"/>
  </si>
  <si>
    <t xml:space="preserve">  开发支出</t>
    <phoneticPr fontId="51" type="noConversion"/>
  </si>
  <si>
    <t xml:space="preserve">   长期应付款</t>
    <phoneticPr fontId="51" type="noConversion"/>
  </si>
  <si>
    <t>A107040《减免所得税优惠明细表》填报说明</t>
    <phoneticPr fontId="51" type="noConversion"/>
  </si>
  <si>
    <t>本表由享受减免所得税优惠的纳税人填报。纳税人根据税法和相关税收政策规定，填报本年享受减免所得税优惠情况。</t>
  </si>
  <si>
    <t>一、有关项目填报说明</t>
  </si>
  <si>
    <t>1.第1行“一、符合条件的小型微利企业”、第2行“其中减半征税”：由享受小型微利企业所得税政策的纳税人填报。该政策包括两种情形：一是小型微利企业2015年9月30日之前年应纳税所得额低于20万元的减半征税，应纳税所得税大于20万元、小于30万元的按20%税率征税。二是小型微利企业2015年10月1日之后应纳税所得额不超过30万元的减半征税。本行根据以下情形填写：</t>
  </si>
  <si>
    <t>（1）2015年度汇算清缴需区分以下情况：</t>
  </si>
  <si>
    <t>①2015年1月1日之前成立的企业</t>
  </si>
  <si>
    <t>当《中华人民共和国企业所得税年度纳税申报表(A类，2014版)》A100000表第23行&gt;0且≤20万元时，本行等于A100000表第23行×15%的积，该数字同时填入第2行“其中：减半征收”。</t>
  </si>
  <si>
    <t>当A100000表第23行&gt;20万元且≤30万元时，本行等于A100000表第23行×15%×(2015年10月1日之后经营月份数/2015年度经营月份数)+A100000表第23行×5%×（9/2015年度经营月份数）。A100000表第23行×15%×(2015年10月1日之后经营月份数/2015年度经营月份数)的计算金额，同时填入第2行“其中：减半征收”。</t>
  </si>
  <si>
    <t>②2015年1月1日-2015年9月30日之间成立的企业</t>
  </si>
  <si>
    <t>当A100000表第23行&gt;20万元且≤30万元时，本行等于A100000表第23行×15%×（2015年10月1日之后经营月份数/2015年度经营月份数）+A100000表第23行×5%×（2015年10月1日之前经营月份数/2015年度经营月份数）。A100000表第23行×5%×（2015年10月1日之前经营月份数/2015年度经营月份数）同时填入第2行“其中：减半征收”。</t>
  </si>
  <si>
    <t>③2015年10月1日之后的企业</t>
  </si>
  <si>
    <t>当《中华人民共和国企业所得税年度纳税申报表(A类，2014版)》A100000表第23行&gt;0且≤30万元时，本行等于A100000表第23行×15%的值，该数字同时填入第2行“其中：减半征收”。</t>
  </si>
  <si>
    <t>为简化计算，2015年度汇算清缴申报时，年度应纳税所得额大于20万元不超过30万元的小型微利企业，可以按照《20-30万元小型微利企业所得税优惠比例查询表》（见表1）计算填报该项优惠政策。</t>
  </si>
  <si>
    <t>2015年度汇算清缴结束后，本部分填报说明废止。</t>
  </si>
  <si>
    <t>（2）2016年及以后年度汇算清缴时</t>
  </si>
  <si>
    <t>当《中华人民共和国企业所得税年度纳税申报表(A类，2014版)》A100000表第23行≤30万元时，本行等于A100000表第23行×15%的值，该数字同时填入第3行“其中：减半征收”。</t>
  </si>
  <si>
    <t>表1：20-30万元小型微利企业所得税优惠比例查询表</t>
  </si>
  <si>
    <t>企业成立时间</t>
  </si>
  <si>
    <t>优惠率</t>
  </si>
  <si>
    <t>其中减半</t>
  </si>
  <si>
    <t>2015年1月及以前</t>
    <phoneticPr fontId="51" type="noConversion"/>
  </si>
  <si>
    <t>2015年2月</t>
    <phoneticPr fontId="51" type="noConversion"/>
  </si>
  <si>
    <t>2015年3月</t>
  </si>
  <si>
    <t>2015年4月</t>
  </si>
  <si>
    <t>2015年5月</t>
  </si>
  <si>
    <t>2015年6月</t>
  </si>
  <si>
    <t>2015年7月</t>
  </si>
  <si>
    <t>2015年8月</t>
  </si>
  <si>
    <t>2015年9月</t>
  </si>
  <si>
    <t>2015年10月</t>
  </si>
  <si>
    <t>2015年11月</t>
  </si>
  <si>
    <t>2015年12月</t>
  </si>
  <si>
    <t>查询方法说明：</t>
  </si>
  <si>
    <t>①本表由2015年度汇算清缴时应纳税所得额介于20万元至30万元之间的小型微利企业查询使用。</t>
  </si>
  <si>
    <t>②“企业成立时间”：企业根据其不同成立时间所在行次，查询申报税款所属期的对应优惠比率。</t>
  </si>
  <si>
    <t>③“优惠率、其中减半”：优惠率主要指企业同时享受20%、10%（减半征税）的综合优惠情况；“其中减半”指享受减半征税优惠情况。</t>
  </si>
  <si>
    <t>应纳税所得额与“优惠率”的乘积，填入本表第1行“符合条件的小型微利企业”；应纳税所得额与“其中减半”的乘积，填入本表第2行“其中：减半征税”。</t>
  </si>
  <si>
    <t>案例：A小型微利企业成立于2012年9月8日，2015年度应纳税所得额29.8万元。</t>
  </si>
  <si>
    <t>汇算清缴申报时，查询《20-30万元小型微利企业所得税优惠比例查询表》可知，成立时间“2015年1月及以前”对应“12月”列次的“优惠率”和“其中减半”为7.50%、3.75%。因此，A小型微利企业汇算清缴享受优惠税额=29.8×7.50%=2.235万元，减半征税=29.8×3.75%=1.1175万元。分别填写本表第1行、第2行。</t>
  </si>
  <si>
    <t>2.第3行“二、国家需要重点扶持的高新技术企业”：该行为合计行，填报第4+5行的合计数。合计高新技术企业享受的低税率和定期减免税优惠。</t>
  </si>
  <si>
    <t>（1）第4行“（一）高新技术企业低税率优惠”：国家需要重点扶持的高新技术企业（含文化产业支撑技术领域，高新技术领域扩围以后，按新规定执行）享受15%税率优惠金额填报本行。同时填报《高新技术企业优惠情况及明细表》（A107041）。</t>
  </si>
  <si>
    <t>（2）第5行“（二）经济特区和上海浦东新区新设立的高新技术企业定期减免”：填报纳税人根据《国务院关于经济特区和上海浦东新区新设立高新技术企业实行过渡性税收优惠的通知》（国发〔2007〕40号）、《财政部 国家税务总局关于贯彻落实国务院关于实施企业所得税过渡优惠政策有关问题的通知》（财税〔2008〕21号）等规定，经济特区和上海浦东新区内，在2008年1月1日（含）之后完成登记注册的国家需要重点扶持的高新技术企业，在经济特区和上海浦东新区内取得的所得，自取得第一笔生产经营收入所属纳税年度起，第一年至第二年免征企业所得税，第三年至第五年按照25%法定税率减半征收企业所得税。企业须同时填报《高新技术企业优惠情况及明细表》（A107041）。对于跨经济特区和上海浦东新区的高新技术企业，其区内所得优惠填写本行，区外所得优惠填写本表第4行。经济特区和上海浦东新区新设立的高新技术企业定期减免税期满后，只享受15%税率优惠的，填写本表第4行。</t>
  </si>
  <si>
    <t>3.第6行“三、其他专项优惠”：该行为合计行，填报第7+8+9+10+11…+14+15+16+…+31的合计金额。</t>
  </si>
  <si>
    <t>4.第7行“（一）受灾地区损失严重的企业”：填报受灾地区损失严重的企业免征企业所得税优惠金额。免征所得税金额根据表A100000第23行应纳税所得额和法定税率计算。本行为合计行，等于7.1行+7.2行+7.3行。</t>
  </si>
  <si>
    <t>《财政部 海关总署 国家税务总局关于支持芦山地震灾后恢复重建有关税收政策问题的通知》（财税〔2013〕58号）、《财政部 海关总署 国家税务总局关于支持鲁甸地震灾后恢复重建有关税收政策问题的通知》（财税〔2015〕27号）规定，对芦山、鲁甸受灾地区损失严重的企业，在规定期限内免征企业所得税。</t>
  </si>
  <si>
    <t>芦山受灾地区免征所得税政策执行至2015年12月31日，在7.1行填列；鲁甸受灾地区免征所得税政策执行至2016年12月31日，在7.2行填列。7.3行属于预留行次，需填报减免税项目名称、减免税代码和减免税金额。</t>
  </si>
  <si>
    <t>5.第8行“（二）受灾地区农村信用社”：填报受灾地区农村信用社免征企业所得税金额。免征所得税金额根据表A100000第23行应纳税所得额和法定税率计算。本行为合计行，等于8.1行+8.2行+8.3行。</t>
  </si>
  <si>
    <t>《财政部 海关总署 国家税务总局关于支持芦山地震灾后恢复重建有关税收政策问题的通知》（财税〔2013〕58号）、《财政部 海关总署 国家税务总局关于支持鲁甸地震灾后恢复重建有关税收政策问题的通知》（财税〔2015〕27号）规定，对芦山、鲁甸受灾地区农村信用社，在规定期限内免征企业所得税。</t>
  </si>
  <si>
    <t>芦山农村信用社在2017年12月31日前免征所得税，在8.1行填列；鲁甸农村信用社在2018年12月31日前免征所得税，在8.2行填列。8.3行属于预留行次，需填报减免税项目名称、减免税代码和减免税金额。</t>
  </si>
  <si>
    <t>6.第9行“（三）受灾地区的促进就业企业”：填报受灾地区促进就业企业限额免征的税款中，扣减企业所得税的金额。本行为合计行，等于9.1行+9.2行+9.3行。</t>
  </si>
  <si>
    <t>根据现行税收政策规定，对规定受灾地区范围内的企业招用当地因自然灾害失去工作人员就业的，按实际招用人数和实际工作时间予以定额依次扣减增值税、营业税、城市维护建设税、教育费附加和企业所得税。定额标准为每人每年4000元，可上下浮动20%，由省级人民政府根据当地实际情况具体确定。</t>
  </si>
  <si>
    <t>按上述标准计算的税收抵扣额在企业当年实际应缴增值税、营业税、城市维护建设税、教育费附加和企业所得税税额中依次扣减。企业所得税预缴时不享受该项优惠，汇算清缴时，企业税收抵扣额抵减增值税、营业税、城市维护建设税、教育费附加后有未抵减余额的，在本行限额填写。当年扣减不足的，不得结转下年使用。</t>
  </si>
  <si>
    <t>芦山受灾地区政策执行至2015年12月31日，在9.1行填列；鲁甸受灾地区政策执行至2016年12月31日，在9.2行填列。9.3行属于预留行次，需填报减免税项目名称、减免税代码和减免税金额。</t>
  </si>
  <si>
    <t>7.第10行“（四）支持和促进重点群体创业就业企业”：填报企业安置下岗人员再就业、高校毕业生就业、退役士兵就业等，以每人每年减税标准乘以安置人数计算的税收抵扣额，依次扣减营业税、城市维护建设税、教育费附加后仍有余额的，在汇算清缴时限额扣减企业所得税。本行为合计行，等于10.1行+10.2行+10.3行。</t>
  </si>
  <si>
    <t>安置下岗人员再就业、高校毕业生就业、退役士兵就业扣减的所得税，分别填写本表10.1行、10.2行、10.3行。</t>
  </si>
  <si>
    <t>8.第11行“（五）技术先进型服务企业”：根据《财政部 国家税务总局 商务部 科技部 国家发展改革委关于完善技术先进型服务企业有关企业所得税政策问题的通知》（财税〔2014〕59号）等规定，由经认定的技术先进型服务企业填报减按15%税率征收企业所得税的纳税人填报。本行根据表A100000第23行应纳税所得额乘以10%的积填写。</t>
  </si>
  <si>
    <t>9.第12行“（十六）动漫企业”：根据《财政部 国家税务总局关于扶持动漫产业发展有关税收政策问题的通知》（财税〔2009〕65号）、《文化部 财政部 国家税务总局关于印发&lt;动漫企业认定管理办法（试行）&gt;的通知》（文市发〔2008〕51号）、《文化部 财政部 国家税务总局关于实施&lt;动漫企业认定管理办法（试行）&gt;有关问题的通知》（文产发〔2009〕18号）等规定，经认定的动漫企业自主开发、生产动漫产品，享受软件企业所得税优惠政策。即在2017年12月31日前自获利年度起，第一年至第二年免征所得税，第三年至第五年按照25%的法定税率减半征收所得税，并享受至期满为止。本行填报根据表A100000第23行应纳税所得额计算的免征、减征企业所得税金额。</t>
  </si>
  <si>
    <t>10.第13行“（七）集成电路线宽小于0.8微米（含）的集成电路生产企业”：根据《财政部 国家税务总局关于进一步鼓励软件产业和集成电路产业发展企业所得税政策的通知》（财税〔2012〕27号）等规定，集成电路线宽小于0.8微米（含）的集成电路生产企业，在2017年12月31日前自获利年度起计算优惠期，第一年至第二年免征企业所得税，第三年至第五年按照25%的法定税率减半征收企业所得税，并享受至期满为止。本行填报根据表A100000第23行应纳税所得额计算的免征、减征企业所得税金额。</t>
  </si>
  <si>
    <t>11.第14行“（八）集成电路线宽小于0.25微米的集成电路生产企业”：根据《财政部 国家税务总局关于进一步鼓励软件产业和集成电路产业发展企业所得税政策的通知》（财税〔2012〕27号）等规定，经认定的线宽小于0.25微米的集成电路生产企业，享受15%税率，其中经营期超过15年的，享受“五免五减半”优惠政策。本行=第14.1行+第14.2行。</t>
  </si>
  <si>
    <t>第14.1行“1.定期减免企业所得税”：集成电路线宽小于0.25微米的集成电路生产企业享受定期减免税期间，填写本行。</t>
  </si>
  <si>
    <t>第14.2行“2.减按15%税率征收企业所得税”：集成电路线宽小于0.25微米的集成电路生产企业不符合定期减免税条件或享受定期减免税期满后，只享受15%税率优惠的，填写本行。</t>
  </si>
  <si>
    <t>12.第15行“（九）投资额超过80亿元人民币的集成电路生产企业”：根据《财政部 国家税务总局关于进一步鼓励软件产业和集成电路产业发展企业所得税政策的通知》（财税〔2012〕27号）等规定，经认定的投资额超过80亿元的集成电路生产企业，享受15%税率，其中经营期超过15年的，享受“五免五减半”优惠政策。本行=第15.1行+第15.2行。</t>
  </si>
  <si>
    <t>第15.1行“1.定期减免企业所得税”：投资额超过80亿元的集成电路生产企业，享受“五免五减半”优惠政策的填写本行。</t>
  </si>
  <si>
    <t>第15.2行“2.减按15%税率征收企业所得税”：投资额超过80亿元的集成电路生产企业，不符合定期减免税条件或享受定期减免税期满后，只享受15%税率优惠的，填写本行。</t>
  </si>
  <si>
    <t>13.第16行“（十）新办集成电路设计企业”：享受“二免三减半”优惠政策，填报《软件、集成电路企业优惠情况及明细表》（A107042）第41行的金额。</t>
  </si>
  <si>
    <t>14.第17行“（十一）国家规划布局内重点集成电路设计企业”：根据《财政部 国家税务总局关于进一步鼓励软件产业和集成电路产业发展企业所得税政策的通知》（财税〔2012〕27号）等规定，国家规划布局内的重点集成电路设计企业，如当年未享受免税优惠的，可减按10%税率征收企业所得税。本行填报A100000表第23行乘以15%的积。</t>
  </si>
  <si>
    <t>15.第18行“（十二）集成电路封装、测试企业”：根据《财政部 国家税务总局 发展改革委工业和信息化部关于进一步鼓励集成电路产业发展企业所得税政策的通知》（财税〔2015〕6号）规定，符合条件的集成电路封装、测试企业，自获利年度起第一年至第二年免征企业所得税，第三年至第五年按照25％的法定税率减半征收企业所得税。本行填报根据表A100000第23行应纳税所得额计算的免征、减征企业所得税金额。</t>
  </si>
  <si>
    <t>16.第19行“（十三）集成电路关键专用材料生产企业、集成电路专用设备生产企业”：根据《财政部 国家税务总局 发展改革委工业和信息化部关于进一步鼓励集成电路产业发展企业所得税政策的通知》（财税〔2015〕6号）规定，符合条件的集成电路关键专用材料生产企业、集成电路专用设备生产企业，自获利年度起第一年至第二年免征企业所得税，第三年至第五年按照25％的法定税率减半征收企业所得税。本行填报根据表A100000第23行应纳税所得额计算的免征、减征企业所得税金额。</t>
  </si>
  <si>
    <t>17.第20行“（十四）符合条件的软件企业”：享受“二免三减半”优惠政策的软件企业，填报《软件、集成电路企业优惠情况及明细表》（A107042）第41行的金额。</t>
  </si>
  <si>
    <t>18.第21行“（十五）国家规划布局内重点软件企业”：根据《财政部 国家税务总局关于进一步鼓励软件产业和集成电路产业发展企业所得税政策的通知》（财税〔2012〕27号）等规定，国家规划布局内的重点软件企业，如当年未享受免税优惠的，可减按10%税率征收企业所得税。本行填报A100000表第23行乘以15%的积。</t>
  </si>
  <si>
    <t>19.第22行“（十六）经营性文化事业单位转制企业”：根据《财政部 国家税务总局 中宣部关于继续实施文化体制改革中经营性文化事业单位转制为企业若干税收政策的通知》（财税〔2014〕84号）等规定，从事新闻出版、广播影视和文化艺术的经营性文化事业单位转制为企业的，转制注册之日起免征企业所得税。本行填报根据表A100000第23行应纳税所得额计算的免征企业所得税金额。</t>
  </si>
  <si>
    <t>20.第23行“（十七）符合条件的生产和装配伤残人员专门用品企业”：根据《财政部 国家税务总局 民政部关于生产和装配伤残人员专门用品企业免征企业所得税的通知》（财税〔2011〕81号）等规定，符合条件的生产和装配伤残人员专门用品的企业免征企业所得税。本行填报根据A100000表第23行应纳税所得额计算的免征企业所得税金额。</t>
  </si>
  <si>
    <t>21.第24行“（十八）设在西部地区的鼓励类产业企业”：根据《财政部 海关总署 国家税务总局关于深入实施西部大开发战略有关税收政策问题的通知》（财税〔2011〕58号）、《国家税务总局关于深入实施西部大开发战略有关企业所得税问题的公告》（国家税务总局公告2012第12号）、《财政部 海关总署 国家税务总局关于赣州市执行西部大开发税收政策问题的通知》（财税〔2013〕4号）等规定，对设在西部地区的鼓励类产业企业减按15%的税率征收企业所得税；对设在赣州市的鼓励类产业的内资和外商投资企业减按15%税率征收企业所得税。</t>
  </si>
  <si>
    <t>22.第25行“（十九）新疆困难地区新办企业”：根据《财政部 国家税务总局关于新疆困难地区新办企业所得税优惠政策的通知》（财税〔2011〕53号）、《财政部 国家税务总局 国家发展改革委 工业和信息化部关于公布新疆困难地区重点鼓励发展产业企业所得税优惠目录（试行）的通知》（财税〔2011〕60号）等规定，对新疆困难地区新办属于《新疆困难地区重点鼓励发展产业企业所得税优惠目录》范围内的企业，自取得第一笔生产经营收入所属纳税年度起享受“二免三减半”优惠政策。本行填报根据A100000表第23行应纳税所得额计算的免征、减征企业所得税金额。</t>
  </si>
  <si>
    <t>23.第26行“（二十）新疆喀什、霍尔果斯特殊经济开发区新办企业”：根据《财政部 国家税务总局 国家发展改革委 工业和信息化部关于公布新疆困难地区重点鼓励发展产业企业所得税优惠目录（试行）的通知》（财税〔2011〕60号）、《财政部 国家税务总局关于新疆喀什 霍尔果斯两个特殊经济开发区企业所得税优惠政策的通知》（财税〔2011〕112号）等规定，对在新疆喀什、霍尔果斯特殊经济开发区内新办属于《新疆困难地区重点鼓励发展产业企业所得税优惠目录》范围内的企业，自取得第一笔生产经营收入所属纳税年度起，享受“二免三减半”优惠政策。本行填报根据A100000表第23行应纳税所得额计算免征、减征企业所得税金额。</t>
  </si>
  <si>
    <t>24.第27行“（二十一）横琴新区、平潭综合实验区和前海深港现代化服务业合作区企业”：根据《财政部 国家税务总局关于广东横琴新区、福建平潭综合实验区、深圳前海深港现代化服务业合作区企业所得税优惠政策及优惠目录的通知》（财税〔2014〕26号）等规定，设在横琴新区、平潭综合实验区和前海深港现代化服务业合作区的鼓励类产业企业减按15%税率征收企业所得税。本行填报根据表A100000第23行应纳税所得额计算的减征10%企业所得税金额。</t>
  </si>
  <si>
    <t>25.第28行“（二十三）享受过渡期税收优惠企业”：填报《中华人民共和国企业所得税法》（以下简称税法）实施后，纳税人符合国务院规定以及经国务院批准给予的过渡期税收优惠政策。本行填报根据表A100000第23行应纳税所得额计算的免征、减征企业所得税金额。</t>
  </si>
  <si>
    <t>26.第29行至第31行“其他”：填报国务院根据税法授权制定的其他税收优惠政策，需填报减免税项目名称和减免税代码，以及免征、减征企业所得税金额。</t>
  </si>
  <si>
    <t>27.第32行“四、减：项目所得额按法定税率减半征收企业所得税叠加享受减免税优惠”：纳税人同时享受优惠税率和所得项目减半情形下，在填报本表低税率优惠时，所得项目按照优惠税率减半多计算享受的优惠部分。</t>
  </si>
  <si>
    <t>企业从事农林牧渔业项目、国家重点扶持的公共基础设施项目、符合条件的环境保护、节能节水项目、符合条件的技术转让、其他专项优惠等所得额应按法定税率25%减半征收，同时享受小型微利企业、高新技术企业、技术先进型服务企业、集成电路线宽小于0.25微米或投资额超过80亿元人民币集成电路生产企业、国家规划布局内重点软件企业和集成电路设计企业、西部大开发等优惠税率政策，由于申报表填报顺序，按优惠税率减半叠加享受减免税优惠部分，应在本行对该部分金额进行调整。</t>
  </si>
  <si>
    <t>计算公式：本行=所得项目金额×（12.5%－优惠税率÷2）。</t>
  </si>
  <si>
    <t>28.第33行“五、减免地方分享所得税的民族自治地方企业”：填报纳税人经省级民族自治地方权力机关批准，减征或者免征民族自治地方的企业缴纳的企业所得税中属于地方分享的企业所得税金额。</t>
  </si>
  <si>
    <t>29.第34行“合计”：金额等于第1+3+6-32+33行。</t>
  </si>
  <si>
    <t>二、表内、表间关系</t>
  </si>
  <si>
    <t>（一）表内关系</t>
  </si>
  <si>
    <t>1.第3行=第4+5行。</t>
  </si>
  <si>
    <t>2.第6行=第7+8+9+10+11…+14+15+16+…+31行。</t>
  </si>
  <si>
    <t>3.第7行=第7.1+7.2+7.3行。</t>
  </si>
  <si>
    <t>4.第8行=第8.1+8.2+8.3行。</t>
  </si>
  <si>
    <t>5.第9行=第9.1+9.2+9.3行。</t>
  </si>
  <si>
    <t>6.第10行=第10.1+10.2+10.3行。</t>
  </si>
  <si>
    <t>7.第14行=第14.1+14.2行。</t>
  </si>
  <si>
    <t>8.第15行=第15.1+15.2行。</t>
  </si>
  <si>
    <t>9.第34行=第1+3+6-32+33行。</t>
  </si>
  <si>
    <t>（二）表间关系</t>
  </si>
  <si>
    <t>1.本表第3行=表A107041第29行。</t>
  </si>
  <si>
    <t>2.本表第34行=表A100000第26行。</t>
  </si>
  <si>
    <t>减：资产减值损失</t>
    <phoneticPr fontId="51" type="noConversion"/>
  </si>
  <si>
    <t>加：公允价值变动收益（亏损以“-”号填列）</t>
    <phoneticPr fontId="51" type="noConversion"/>
  </si>
  <si>
    <t>二、营业利润（亏损以“-”号填列）</t>
    <phoneticPr fontId="51" type="noConversion"/>
  </si>
  <si>
    <t>加：投资收益（损失以“-”号填列）</t>
    <phoneticPr fontId="51" type="noConversion"/>
  </si>
  <si>
    <t>基本情况（封面）</t>
    <phoneticPr fontId="51" type="noConversion"/>
  </si>
  <si>
    <t>当期免抵税额</t>
    <phoneticPr fontId="51" type="noConversion"/>
  </si>
  <si>
    <t>出租有形动产</t>
    <phoneticPr fontId="51" type="noConversion"/>
  </si>
  <si>
    <t>其他方式</t>
    <phoneticPr fontId="51" type="noConversion"/>
  </si>
  <si>
    <t>地税、基本情况</t>
    <phoneticPr fontId="51" type="noConversion"/>
  </si>
  <si>
    <t>从业人数</t>
    <phoneticPr fontId="51" type="noConversion"/>
  </si>
  <si>
    <t>资产总额</t>
    <phoneticPr fontId="51" type="noConversion"/>
  </si>
  <si>
    <t>月份</t>
    <phoneticPr fontId="51" type="noConversion"/>
  </si>
  <si>
    <t>1月底</t>
    <phoneticPr fontId="51" type="noConversion"/>
  </si>
  <si>
    <t>2月底</t>
  </si>
  <si>
    <t>3月底</t>
  </si>
  <si>
    <t>4月底</t>
  </si>
  <si>
    <t>5月底</t>
  </si>
  <si>
    <t>6月底</t>
  </si>
  <si>
    <t>7月底</t>
  </si>
  <si>
    <t>8月底</t>
  </si>
  <si>
    <t>9月底</t>
  </si>
  <si>
    <t>10月底</t>
  </si>
  <si>
    <t>11月底</t>
  </si>
  <si>
    <t>实际经营期</t>
    <phoneticPr fontId="51" type="noConversion"/>
  </si>
  <si>
    <t>确认符合小微企业条件时，将H4、H5单元格金额填在C4、C5。</t>
    <phoneticPr fontId="51" type="noConversion"/>
  </si>
  <si>
    <t xml:space="preserve"> 6、
 其
 他</t>
    <phoneticPr fontId="51" type="noConversion"/>
  </si>
  <si>
    <t>成本</t>
    <phoneticPr fontId="51" type="noConversion"/>
  </si>
  <si>
    <t>A110010</t>
    <phoneticPr fontId="51" type="noConversion"/>
  </si>
  <si>
    <t>纳税人名称（盖章）</t>
  </si>
  <si>
    <t>单位地址</t>
  </si>
  <si>
    <t>主管税务机关（全称）</t>
  </si>
  <si>
    <t>重组日</t>
  </si>
  <si>
    <t>重组业务开始年度</t>
  </si>
  <si>
    <t>重组交易类型</t>
  </si>
  <si>
    <t>企业在重组业务中所属当事方类型</t>
  </si>
  <si>
    <t>特殊性税务处理条件</t>
  </si>
  <si>
    <t>（一）具有合理的商业目的，且不以减少、免除或者推迟缴纳税款为主要目的。</t>
  </si>
  <si>
    <t>（二）被收购、合并或分立部分的资产或股权比例符合规定的比例。(%)</t>
  </si>
  <si>
    <t>比例：</t>
    <phoneticPr fontId="51" type="noConversion"/>
  </si>
  <si>
    <t>（三）企业重组后的连续12个月内不改变重组资产原来的实质性经营活动。</t>
  </si>
  <si>
    <t>（四）重组交易对价中涉及股权支付金额符合规定比例。（%）</t>
  </si>
  <si>
    <t>（五）企业重组中取得股权支付的原主要股东，在重组后连续12个月内，不得转让所取得的股权。</t>
  </si>
  <si>
    <t>主管税务机关受理意见</t>
  </si>
  <si>
    <t>其他需要说明的事项（重组业务其他需要说明的事项，如没有则填“无”）：</t>
  </si>
  <si>
    <t>填表人</t>
  </si>
  <si>
    <t>填表日期</t>
  </si>
  <si>
    <t>A110011</t>
    <phoneticPr fontId="51" type="noConversion"/>
  </si>
  <si>
    <t>债务人名称</t>
  </si>
  <si>
    <t>债务人纳税识别号</t>
  </si>
  <si>
    <t>债务人所属主管税务机关（全称）</t>
  </si>
  <si>
    <t>债权人名称</t>
  </si>
  <si>
    <t>债权人纳税识别号</t>
  </si>
  <si>
    <t>债权人所属主管税务机关（全称）</t>
  </si>
  <si>
    <t>债务重组方式</t>
  </si>
  <si>
    <t>债务人重组业务涉及的债务账面价值</t>
  </si>
  <si>
    <t>债务人重组业务涉及的债务计税基础（1）</t>
  </si>
  <si>
    <t>其中:①应付账款计税基础</t>
  </si>
  <si>
    <t>②其他应付款计税基础</t>
  </si>
  <si>
    <t>③借款计税基础</t>
  </si>
  <si>
    <t>④其他债务计税基础</t>
  </si>
  <si>
    <t>除债转股方式外的债务重组</t>
  </si>
  <si>
    <t>债务人用于偿付债务的资产公允价值（2）</t>
  </si>
  <si>
    <t>其中：①现金</t>
  </si>
  <si>
    <t>②银行存款</t>
  </si>
  <si>
    <t>③非货币资产</t>
  </si>
  <si>
    <t>④其他</t>
  </si>
  <si>
    <t>债务人债务重组所得（3）=（1）-（2）</t>
  </si>
  <si>
    <t>债务人本年度应纳税所得额</t>
  </si>
  <si>
    <t>债务重组所得占本年度应纳税所得额的比重(%)</t>
  </si>
  <si>
    <t>债转股方式的债务重组</t>
  </si>
  <si>
    <t>债权人债转股后所拥有的股权占债务人全部股权比例(%)</t>
  </si>
  <si>
    <t>债转股取得股权的公允价值（4）</t>
  </si>
  <si>
    <t>债权人原债权的计税基础（即股权的计税基础）</t>
  </si>
  <si>
    <t>债务人暂不确认的债务重组所得（5）=（1）-（4）</t>
  </si>
  <si>
    <t>A110012</t>
    <phoneticPr fontId="51" type="noConversion"/>
  </si>
  <si>
    <t>被收购企业名称</t>
  </si>
  <si>
    <t>被收购企业纳税识别号</t>
  </si>
  <si>
    <t>被收购企业所属主管税务机关（全称）</t>
  </si>
  <si>
    <t>股权收购方名称</t>
  </si>
  <si>
    <t>股权收购方纳税识别号</t>
  </si>
  <si>
    <t>股权收购方所属主管税务机关（全称）</t>
  </si>
  <si>
    <t>股权转让方1（被收购企业的股东）名称</t>
  </si>
  <si>
    <t>转让被收购企业股权占被收购企业全部股权的比例(%)1</t>
  </si>
  <si>
    <t>股权转让方1所属主管税务机关（全称）</t>
  </si>
  <si>
    <t>股权转让方1（被收购企业的股东）纳税识别号</t>
  </si>
  <si>
    <t>股权转让方2（被收购企业的股东）名称</t>
  </si>
  <si>
    <t>转让被收购企业股权占被收购企业全部股权的比例(%)2</t>
  </si>
  <si>
    <t>股权转让方2所属主管税务机关（全称）</t>
  </si>
  <si>
    <t>股权转让方2（被收购企业的股东）纳税识别号</t>
  </si>
  <si>
    <t>股权转让方3（被收购企业的股东）名称</t>
  </si>
  <si>
    <t>转让被收购企业股权占被收购企业全部股权的比例(%)3</t>
  </si>
  <si>
    <t>股权转让方3所属主管税务机关（全称）</t>
  </si>
  <si>
    <t>股权转让方3（被收购企业的股东）纳税识别号</t>
  </si>
  <si>
    <t>股权转让方4（被收购企业的股东）名称</t>
  </si>
  <si>
    <t>转让被收购企业股权占被收购企业全部股权的比例(%)4</t>
  </si>
  <si>
    <t>股权转让方4所属主管税务机关（全称）</t>
  </si>
  <si>
    <t>股权转让方4（被收购企业的股东）纳税识别号</t>
  </si>
  <si>
    <t>股权转让方5（被收购企业的股东）名称</t>
  </si>
  <si>
    <t>转让被收购企业股权占被收购企业全部股权的比例(%)5</t>
  </si>
  <si>
    <t>股权转让方5所属主管税务机关（全称）</t>
  </si>
  <si>
    <t>股权转让方5（被收购企业的股东）纳税识别号</t>
  </si>
  <si>
    <t>股权转让方6（被收购企业的股东）名称</t>
  </si>
  <si>
    <t>转让被收购企业股权占被收购企业全部股权的比例(%)6</t>
  </si>
  <si>
    <t>股权转让方6所属主管税务机关（全称）</t>
  </si>
  <si>
    <t>股权转让方6（被收购企业的股东）纳税识别号</t>
  </si>
  <si>
    <t>股权转让方7（被收购企业的股东）名称</t>
  </si>
  <si>
    <t>转让被收购企业股权占被收购企业全部股权的比例(%)7</t>
  </si>
  <si>
    <t>股权转让方7所属主管税务机关（全称）</t>
  </si>
  <si>
    <t>股权转让方7（被收购企业的股东）纳税识别号</t>
    <phoneticPr fontId="51" type="noConversion"/>
  </si>
  <si>
    <t>股权收购方购买的股权占被收购企业全部股权的比例(%)</t>
  </si>
  <si>
    <t>股权收购方股权支付金额占交易支付总额的比例(%)</t>
  </si>
  <si>
    <t>股权收购交易支付总额</t>
  </si>
  <si>
    <t>其中：股权支付额</t>
  </si>
  <si>
    <t>非股权支付额</t>
  </si>
  <si>
    <t>股权转让合同（协议）生效日</t>
  </si>
  <si>
    <t>股权收购方所收购股权的工商变更登记日</t>
  </si>
  <si>
    <t>转让方与收购方是否为关联企业</t>
  </si>
  <si>
    <t>被收购企业原有各项资产和负债的计税基础是否保持不变</t>
  </si>
  <si>
    <t>股权转让方1</t>
  </si>
  <si>
    <t>公允价值</t>
  </si>
  <si>
    <t>账面价值</t>
  </si>
  <si>
    <t>原计税基础</t>
  </si>
  <si>
    <t>非股权支付对应的资产转让所得或损失</t>
  </si>
  <si>
    <t>实际取得股权及其他资产</t>
  </si>
  <si>
    <t>股权转让方2</t>
  </si>
  <si>
    <t>股权转让方3</t>
  </si>
  <si>
    <t>股权转让方4</t>
  </si>
  <si>
    <t>股权转让方5</t>
  </si>
  <si>
    <t>股权转让方6</t>
  </si>
  <si>
    <t>股权转让方7</t>
  </si>
  <si>
    <t>股权收购方</t>
  </si>
  <si>
    <t>1.股权支付额</t>
  </si>
  <si>
    <t>被收购企业股权</t>
  </si>
  <si>
    <t>（1）本企业股权</t>
  </si>
  <si>
    <t>（2）其控股企业股权</t>
  </si>
  <si>
    <t>2.非股权支付额</t>
  </si>
  <si>
    <t>合计（1+2）</t>
  </si>
  <si>
    <t>资产转让方名称</t>
  </si>
  <si>
    <t>资产转让方所属主管税务机关（全称）</t>
  </si>
  <si>
    <t>资产转让方纳税识别号</t>
  </si>
  <si>
    <t>资产转让方全部资产的公允价值</t>
  </si>
  <si>
    <t>资产转让方所转让资产的公允价值</t>
  </si>
  <si>
    <t>所转让资产占资产转让方全部资产的比例%</t>
  </si>
  <si>
    <t>资产受让方名称</t>
  </si>
  <si>
    <t>资产受让方所属主管税务机关（全称）</t>
  </si>
  <si>
    <t>股权支付金额占交易支付总额的比例%</t>
  </si>
  <si>
    <t>资产受让方纳税识别号</t>
  </si>
  <si>
    <t>资产收购交易支付总额</t>
  </si>
  <si>
    <t>资产转让方</t>
  </si>
  <si>
    <t>项目名称（按大类）</t>
  </si>
  <si>
    <t>转让资产合计</t>
  </si>
  <si>
    <t>资产受让方</t>
  </si>
  <si>
    <t>项目名称(按大类)</t>
  </si>
  <si>
    <t>合计（1+2)</t>
  </si>
  <si>
    <t>是否存在资产收购涉及项目所得的税收优惠承继</t>
  </si>
  <si>
    <t>优惠已执行年限</t>
  </si>
  <si>
    <t>优惠剩余年限</t>
  </si>
  <si>
    <t>填表人</t>
    <phoneticPr fontId="51" type="noConversion"/>
  </si>
  <si>
    <t>填表日期</t>
    <phoneticPr fontId="51" type="noConversion"/>
  </si>
  <si>
    <t>合并企业名称</t>
  </si>
  <si>
    <t>合并企业纳税识别号</t>
  </si>
  <si>
    <t>合并企业所属主管税务机关（全称）</t>
  </si>
  <si>
    <t>被合并企业名称</t>
  </si>
  <si>
    <t>被合并企业纳税识别号</t>
  </si>
  <si>
    <t>被合并企业所属主管税务机关（全称）</t>
  </si>
  <si>
    <t>被合并企业股东名称</t>
  </si>
  <si>
    <t>纳税识别号</t>
  </si>
  <si>
    <t>持股比例(%)</t>
  </si>
  <si>
    <t>被合并企业股东所属主管税务机关（全称）</t>
  </si>
  <si>
    <t>合并交易的支付总额</t>
  </si>
  <si>
    <t>股权支付额占交易支付总额的比例%</t>
    <phoneticPr fontId="51" type="noConversion"/>
  </si>
  <si>
    <t xml:space="preserve">         </t>
    <phoneticPr fontId="51" type="noConversion"/>
  </si>
  <si>
    <t>股权支付额（公允价值）</t>
  </si>
  <si>
    <t>股权支付额（原计税基础）</t>
  </si>
  <si>
    <t>非股权支付额（公允价值）</t>
  </si>
  <si>
    <t>非股权支付额（原计税基础）</t>
  </si>
  <si>
    <t>是否为同一控制下且不需要支付对价的合并</t>
  </si>
  <si>
    <t>被合并企业税前尚未弥补的亏损额</t>
  </si>
  <si>
    <t>被合并企业净资产公允价值</t>
  </si>
  <si>
    <t>截至合并业务发生当年年末国家发行的最长期限的国债利率</t>
  </si>
  <si>
    <t>可由合并企业弥补的被合并企业亏损的限额</t>
  </si>
  <si>
    <t>被合并企业资产的原计税基础</t>
  </si>
  <si>
    <t>合并企业接受被合并企业资产的计税基础</t>
  </si>
  <si>
    <t>被合并企业负债的原计税基础</t>
  </si>
  <si>
    <t>合并企业接受被合并企业负债的计税基础</t>
  </si>
  <si>
    <t>未确认的资产损失</t>
  </si>
  <si>
    <t>分期确认的收入</t>
  </si>
  <si>
    <t>被合并企业有关项目所得优惠的剩余期限</t>
  </si>
  <si>
    <t xml:space="preserve">             年至        年</t>
  </si>
  <si>
    <t>被合并企业股东取得股权和其他资产情况</t>
  </si>
  <si>
    <t>填表人</t>
    <phoneticPr fontId="51" type="noConversion"/>
  </si>
  <si>
    <t>填表日期</t>
    <phoneticPr fontId="51" type="noConversion"/>
  </si>
  <si>
    <t>被分立企业名称</t>
  </si>
  <si>
    <t>被分立企业所属主管税务机关（全称）</t>
  </si>
  <si>
    <t>被分立企业纳税识别号</t>
  </si>
  <si>
    <t>被分立企业</t>
  </si>
  <si>
    <t>资产</t>
  </si>
  <si>
    <t>负债</t>
  </si>
  <si>
    <t>净资产</t>
  </si>
  <si>
    <t>被分立企业股东名称</t>
  </si>
  <si>
    <t>被分立企业股东识别号</t>
  </si>
  <si>
    <t>持股比例%</t>
  </si>
  <si>
    <t>股权公允价值</t>
  </si>
  <si>
    <t>股权原计税基础</t>
  </si>
  <si>
    <t>被分立企业股东所属主管税务机关（全称）</t>
  </si>
  <si>
    <t>分立企业名称</t>
  </si>
  <si>
    <t>分立企业所属主管税务机关（全称）</t>
  </si>
  <si>
    <t>该5列为捆绑，增加时需同时增加5行</t>
    <phoneticPr fontId="51" type="noConversion"/>
  </si>
  <si>
    <t>分立企业纳税识别号</t>
  </si>
  <si>
    <t>分立企业</t>
  </si>
  <si>
    <t>分立交易的支付总额</t>
  </si>
  <si>
    <t>股权支付额占交易支付总额的比例（%)</t>
  </si>
  <si>
    <t>被分立企业分立资产公允价值</t>
  </si>
  <si>
    <t>被分立企业全部资产公允价值</t>
  </si>
  <si>
    <t>被分立企业未超过法定弥补期限的亏损额</t>
  </si>
  <si>
    <t>分立企业可弥补的被分立企业尚未弥补的亏损额</t>
  </si>
  <si>
    <t>被分立企业股东取得股权和其他资产情况</t>
  </si>
  <si>
    <t>填表人</t>
    <phoneticPr fontId="51" type="noConversion"/>
  </si>
  <si>
    <t>填表日期</t>
    <phoneticPr fontId="51" type="noConversion"/>
  </si>
  <si>
    <t>非货币性资产投资递延纳税调整明细表</t>
    <phoneticPr fontId="51" type="noConversion"/>
  </si>
  <si>
    <t>被投资企业情况</t>
  </si>
  <si>
    <t>非货币性资产情况</t>
  </si>
  <si>
    <t>非货币性资产投资基本信息</t>
  </si>
  <si>
    <t>本年税收金额</t>
  </si>
  <si>
    <t>递延纳税差异调整额</t>
  </si>
  <si>
    <t>结转以后年度递延确认所得税收金额</t>
  </si>
  <si>
    <t>企业名称</t>
  </si>
  <si>
    <t>与投资方是否为关联企业</t>
  </si>
  <si>
    <t>非货币性资产转让收入实现年度</t>
  </si>
  <si>
    <t>本年账载金额</t>
  </si>
  <si>
    <t>非货币性资产转让所得（税收金额）</t>
  </si>
  <si>
    <t>分期确认税收所得年限</t>
  </si>
  <si>
    <t>分期均匀确认税收所得额</t>
  </si>
  <si>
    <t>10=5-7</t>
  </si>
  <si>
    <t>12=10/11</t>
  </si>
  <si>
    <t>18=13-9</t>
  </si>
  <si>
    <t>19=[本表第10列-第13列(第1年该项目填报时)]或=[上年度明细表的相应行次第19列-本表第13列(以后递延期间该项目填报时)]</t>
  </si>
  <si>
    <t>*</t>
    <phoneticPr fontId="51" type="noConversion"/>
  </si>
  <si>
    <t>划出方企业名称</t>
  </si>
  <si>
    <t>划出方纳税人识别号</t>
    <phoneticPr fontId="51" type="noConversion"/>
  </si>
  <si>
    <t>主管税务机关名称</t>
  </si>
  <si>
    <t>划入方企业名称</t>
  </si>
  <si>
    <t>划入方纳税人识别号</t>
    <phoneticPr fontId="51" type="noConversion"/>
  </si>
  <si>
    <t>划转双方关系</t>
  </si>
  <si>
    <t>选择关系</t>
  </si>
  <si>
    <t xml:space="preserve">关系2：受同一或相同多家居民企业100%直接控制   </t>
  </si>
  <si>
    <t>关系1：100%直接控制的母子公司</t>
  </si>
  <si>
    <t>母公司是：</t>
  </si>
  <si>
    <t>100%控股起始时间:</t>
  </si>
  <si>
    <t>关系2：受同一或相同多家居民企业100%直接控制</t>
  </si>
  <si>
    <t>股东名称(划转双方为关系2时填报)</t>
  </si>
  <si>
    <t>划出方</t>
  </si>
  <si>
    <t>划入方</t>
  </si>
  <si>
    <t>持股起始时间（年月日）</t>
  </si>
  <si>
    <t>划转完成日 （年 月 日）</t>
  </si>
  <si>
    <t>被划转资产（股权）账面净值</t>
  </si>
  <si>
    <t>被划转资产（股权）计税基础</t>
  </si>
  <si>
    <t>会计处理</t>
  </si>
  <si>
    <t>（下方填借或贷）</t>
    <phoneticPr fontId="51" type="noConversion"/>
  </si>
  <si>
    <t>资产（股权）计税基础</t>
  </si>
  <si>
    <t>（下方填借或贷）</t>
    <phoneticPr fontId="51" type="noConversion"/>
  </si>
  <si>
    <t>填表人</t>
    <phoneticPr fontId="51" type="noConversion"/>
  </si>
  <si>
    <t>填表日期</t>
    <phoneticPr fontId="51" type="noConversion"/>
  </si>
  <si>
    <t>原计税基础</t>
    <phoneticPr fontId="51" type="noConversion"/>
  </si>
  <si>
    <t>A110013</t>
    <phoneticPr fontId="51" type="noConversion"/>
  </si>
  <si>
    <t>A110014</t>
    <phoneticPr fontId="51" type="noConversion"/>
  </si>
  <si>
    <t>A110015</t>
    <phoneticPr fontId="51" type="noConversion"/>
  </si>
  <si>
    <t>A110016</t>
    <phoneticPr fontId="51" type="noConversion"/>
  </si>
  <si>
    <t>A110017</t>
    <phoneticPr fontId="51" type="noConversion"/>
  </si>
  <si>
    <t>企业重组所得税特殊性税务处理报告表</t>
    <phoneticPr fontId="51" type="noConversion"/>
  </si>
  <si>
    <t>重组业务完成年度</t>
    <phoneticPr fontId="51" type="noConversion"/>
  </si>
  <si>
    <t>企业重组所得税特殊性税务处理报告表(债务重组)</t>
    <phoneticPr fontId="51" type="noConversion"/>
  </si>
  <si>
    <t>企业重组所得税特殊性税务处理报告表(股权收购)</t>
    <phoneticPr fontId="51" type="noConversion"/>
  </si>
  <si>
    <t>企业重组所得税特殊性税务处理报告表(资产收购)</t>
    <phoneticPr fontId="51" type="noConversion"/>
  </si>
  <si>
    <t>企业重组所得税特殊性税务处理报告表(企业合并)</t>
    <phoneticPr fontId="51" type="noConversion"/>
  </si>
  <si>
    <t>企业重组所得税特殊性税务处理报告表(企业分立)</t>
    <phoneticPr fontId="51" type="noConversion"/>
  </si>
  <si>
    <t>居民企业资产（股权）划转特殊性税务处理申报表</t>
    <phoneticPr fontId="51" type="noConversion"/>
  </si>
  <si>
    <t>居民企业资产（股权）划转特殊性税务处理申报表</t>
  </si>
  <si>
    <t>自填，必录，例如2012-01-01</t>
    <phoneticPr fontId="51" type="noConversion"/>
  </si>
  <si>
    <r>
      <t>对享受税收优惠情况进行简要描述并填报减免</t>
    </r>
    <r>
      <rPr>
        <b/>
        <sz val="10"/>
        <color indexed="8"/>
        <rFont val="宋体"/>
        <family val="3"/>
        <charset val="134"/>
      </rPr>
      <t>企业应纳税所得额</t>
    </r>
    <r>
      <rPr>
        <sz val="10"/>
        <color indexed="8"/>
        <rFont val="宋体"/>
        <family val="3"/>
        <charset val="134"/>
      </rPr>
      <t>。</t>
    </r>
    <phoneticPr fontId="51" type="noConversion"/>
  </si>
  <si>
    <t>填报说明：    
1、本表用于填报企业财务会计处理与税收规定不一致、进行纳税调整的项目及金额，并对纳税调整原因作出具体说明；    
2、本表填报内容包括但不限于“A105000纳税调整项目明细表”中调增或调减金额不为零的明细项目。请按顺序填写，不得跳空行。</t>
    <phoneticPr fontId="51" type="noConversion"/>
  </si>
  <si>
    <r>
      <t xml:space="preserve">调增（减）金额
</t>
    </r>
    <r>
      <rPr>
        <sz val="10"/>
        <color indexed="8"/>
        <rFont val="宋体"/>
        <family val="3"/>
        <charset val="134"/>
      </rPr>
      <t>（调增用正数表示，
调减用负数表示）</t>
    </r>
    <phoneticPr fontId="51" type="noConversion"/>
  </si>
  <si>
    <t>表单编号</t>
  </si>
  <si>
    <t>行业代码：</t>
    <phoneticPr fontId="51" type="noConversion"/>
  </si>
  <si>
    <t>行业中文名称：</t>
    <phoneticPr fontId="51" type="noConversion"/>
  </si>
  <si>
    <t>131</t>
  </si>
  <si>
    <t>131  谷物磨制</t>
    <phoneticPr fontId="51" type="noConversion"/>
  </si>
  <si>
    <t>132  饲料加工</t>
    <phoneticPr fontId="51" type="noConversion"/>
  </si>
  <si>
    <t>133</t>
  </si>
  <si>
    <t>133  植物油加工</t>
    <phoneticPr fontId="51" type="noConversion"/>
  </si>
  <si>
    <t>134</t>
  </si>
  <si>
    <t>134  制糖业</t>
    <phoneticPr fontId="51" type="noConversion"/>
  </si>
  <si>
    <t>135</t>
  </si>
  <si>
    <t>135  屠宰及肉类加工</t>
    <phoneticPr fontId="51" type="noConversion"/>
  </si>
  <si>
    <t>136  水产品加工</t>
    <phoneticPr fontId="51" type="noConversion"/>
  </si>
  <si>
    <t>137</t>
  </si>
  <si>
    <t>137  蔬菜、水果和坚果加工</t>
    <phoneticPr fontId="51" type="noConversion"/>
  </si>
  <si>
    <t>139</t>
  </si>
  <si>
    <t>139  其他农副食品加工</t>
    <phoneticPr fontId="51" type="noConversion"/>
  </si>
  <si>
    <t>141</t>
  </si>
  <si>
    <t>141  焙烤食品制造</t>
    <phoneticPr fontId="51" type="noConversion"/>
  </si>
  <si>
    <t>142</t>
  </si>
  <si>
    <t>142  糖果、巧克力及蜜饯制造</t>
    <phoneticPr fontId="51" type="noConversion"/>
  </si>
  <si>
    <t>143</t>
  </si>
  <si>
    <t>143  方便食品制造</t>
    <phoneticPr fontId="51" type="noConversion"/>
  </si>
  <si>
    <t>144  乳制品制造</t>
    <phoneticPr fontId="51" type="noConversion"/>
  </si>
  <si>
    <t>145</t>
  </si>
  <si>
    <t>145  罐头食品制造</t>
    <phoneticPr fontId="51" type="noConversion"/>
  </si>
  <si>
    <t>146</t>
  </si>
  <si>
    <t>146  调味品、发酵制品制造</t>
    <phoneticPr fontId="51" type="noConversion"/>
  </si>
  <si>
    <t>149</t>
  </si>
  <si>
    <t>149  其他食品制造</t>
    <phoneticPr fontId="51" type="noConversion"/>
  </si>
  <si>
    <t>171</t>
  </si>
  <si>
    <t>171  棉纺织及印染精加工</t>
    <phoneticPr fontId="51" type="noConversion"/>
  </si>
  <si>
    <t>172</t>
  </si>
  <si>
    <t>172  毛纺织及染整精加工</t>
    <phoneticPr fontId="51" type="noConversion"/>
  </si>
  <si>
    <t>173</t>
  </si>
  <si>
    <t>173  麻纺织及染整精加工</t>
    <phoneticPr fontId="51" type="noConversion"/>
  </si>
  <si>
    <t>174  丝绢纺织及印染精加工</t>
    <phoneticPr fontId="51" type="noConversion"/>
  </si>
  <si>
    <t>175  化纤织造及印染精加工</t>
    <phoneticPr fontId="51" type="noConversion"/>
  </si>
  <si>
    <t>176</t>
  </si>
  <si>
    <t>176  针织或钩针编织物及其制品制造</t>
    <phoneticPr fontId="51" type="noConversion"/>
  </si>
  <si>
    <t>177</t>
  </si>
  <si>
    <t>177  家用纺织制成品制造</t>
    <phoneticPr fontId="51" type="noConversion"/>
  </si>
  <si>
    <t>178  非家用纺织制成品制造</t>
    <phoneticPr fontId="51" type="noConversion"/>
  </si>
  <si>
    <t>181</t>
  </si>
  <si>
    <t>181  机织服装制造</t>
    <phoneticPr fontId="51" type="noConversion"/>
  </si>
  <si>
    <t>182</t>
  </si>
  <si>
    <t>182  针织或钩针编织服装制造</t>
    <phoneticPr fontId="51" type="noConversion"/>
  </si>
  <si>
    <t>183</t>
  </si>
  <si>
    <t>183  服饰制造</t>
    <phoneticPr fontId="51" type="noConversion"/>
  </si>
  <si>
    <t>191  皮革鞣制加工</t>
    <phoneticPr fontId="51" type="noConversion"/>
  </si>
  <si>
    <t>192  皮革制品制造</t>
    <phoneticPr fontId="51" type="noConversion"/>
  </si>
  <si>
    <t>193</t>
  </si>
  <si>
    <t>193  毛皮鞣制及制品加工</t>
    <phoneticPr fontId="51" type="noConversion"/>
  </si>
  <si>
    <t>194</t>
  </si>
  <si>
    <t>194  羽毛(绒)加工及制品制造</t>
    <phoneticPr fontId="51" type="noConversion"/>
  </si>
  <si>
    <t>195</t>
  </si>
  <si>
    <t>195  制鞋业</t>
    <phoneticPr fontId="51" type="noConversion"/>
  </si>
  <si>
    <t>201</t>
  </si>
  <si>
    <t>201  木材加工</t>
    <phoneticPr fontId="51" type="noConversion"/>
  </si>
  <si>
    <t>202</t>
  </si>
  <si>
    <t>202  人造板制造</t>
    <phoneticPr fontId="51" type="noConversion"/>
  </si>
  <si>
    <t>203  木制品制造</t>
    <phoneticPr fontId="51" type="noConversion"/>
  </si>
  <si>
    <t>204  竹、藤、棕、草等制品制造</t>
    <phoneticPr fontId="51" type="noConversion"/>
  </si>
  <si>
    <t>211</t>
  </si>
  <si>
    <t>211  木质家具制造</t>
    <phoneticPr fontId="51" type="noConversion"/>
  </si>
  <si>
    <t>212  竹、藤家具制造</t>
    <phoneticPr fontId="51" type="noConversion"/>
  </si>
  <si>
    <t>213</t>
  </si>
  <si>
    <t>213  金属家具制造</t>
    <phoneticPr fontId="51" type="noConversion"/>
  </si>
  <si>
    <t>214  塑料家具制造</t>
    <phoneticPr fontId="51" type="noConversion"/>
  </si>
  <si>
    <t>219</t>
  </si>
  <si>
    <t>219  其他家具制造</t>
    <phoneticPr fontId="51" type="noConversion"/>
  </si>
  <si>
    <t>221</t>
  </si>
  <si>
    <t>221  纸浆制造</t>
    <phoneticPr fontId="51" type="noConversion"/>
  </si>
  <si>
    <t>222  造纸</t>
    <phoneticPr fontId="51" type="noConversion"/>
  </si>
  <si>
    <t>223</t>
  </si>
  <si>
    <t>223  纸制品制造</t>
    <phoneticPr fontId="51" type="noConversion"/>
  </si>
  <si>
    <t>231  印刷</t>
    <phoneticPr fontId="51" type="noConversion"/>
  </si>
  <si>
    <t>232  装订及印刷相关服务</t>
    <phoneticPr fontId="51" type="noConversion"/>
  </si>
  <si>
    <t>233  记录媒介复制</t>
    <phoneticPr fontId="51" type="noConversion"/>
  </si>
  <si>
    <t>241</t>
  </si>
  <si>
    <t>241  文教办公用品制造</t>
    <phoneticPr fontId="51" type="noConversion"/>
  </si>
  <si>
    <t>242  乐器制造</t>
    <phoneticPr fontId="51" type="noConversion"/>
  </si>
  <si>
    <t>243</t>
  </si>
  <si>
    <t>243  工艺美术品制造</t>
    <phoneticPr fontId="51" type="noConversion"/>
  </si>
  <si>
    <t>244</t>
  </si>
  <si>
    <t>244  体育用品制造</t>
    <phoneticPr fontId="51" type="noConversion"/>
  </si>
  <si>
    <t>245</t>
  </si>
  <si>
    <t>245  玩具制造</t>
    <phoneticPr fontId="51" type="noConversion"/>
  </si>
  <si>
    <t>268  日用化学产品制造</t>
    <phoneticPr fontId="51" type="noConversion"/>
  </si>
  <si>
    <t>271</t>
  </si>
  <si>
    <t>271  化学药品原料药制造</t>
    <phoneticPr fontId="51" type="noConversion"/>
  </si>
  <si>
    <t>272</t>
  </si>
  <si>
    <t>272  化学药品制剂制造</t>
    <phoneticPr fontId="51" type="noConversion"/>
  </si>
  <si>
    <t>273</t>
  </si>
  <si>
    <t>273  中药饮片加工</t>
    <phoneticPr fontId="51" type="noConversion"/>
  </si>
  <si>
    <t>274</t>
  </si>
  <si>
    <t>274  中成药生产</t>
    <phoneticPr fontId="51" type="noConversion"/>
  </si>
  <si>
    <t>275  兽用药品制造</t>
    <phoneticPr fontId="51" type="noConversion"/>
  </si>
  <si>
    <t>276  生物药品制造</t>
    <phoneticPr fontId="51" type="noConversion"/>
  </si>
  <si>
    <t>277</t>
  </si>
  <si>
    <t>277  卫生材料及医药用品制造</t>
    <phoneticPr fontId="51" type="noConversion"/>
  </si>
  <si>
    <t>281</t>
  </si>
  <si>
    <t>281  纤维素纤维原料及纤维制造</t>
    <phoneticPr fontId="51" type="noConversion"/>
  </si>
  <si>
    <t>282</t>
  </si>
  <si>
    <t>282  合成纤维制造</t>
    <phoneticPr fontId="51" type="noConversion"/>
  </si>
  <si>
    <t>292  塑料制品业</t>
    <phoneticPr fontId="51" type="noConversion"/>
  </si>
  <si>
    <t>331</t>
  </si>
  <si>
    <t>331  结构性金属制品制造</t>
    <phoneticPr fontId="51" type="noConversion"/>
  </si>
  <si>
    <t>332  金属工具制造</t>
    <phoneticPr fontId="51" type="noConversion"/>
  </si>
  <si>
    <t>333</t>
  </si>
  <si>
    <t>333  集装箱及金属包装容器制造</t>
    <phoneticPr fontId="51" type="noConversion"/>
  </si>
  <si>
    <t>334  金属丝绳及其制品制造</t>
    <phoneticPr fontId="51" type="noConversion"/>
  </si>
  <si>
    <t>335</t>
  </si>
  <si>
    <t>335  建筑、安全用金属制品制造</t>
    <phoneticPr fontId="51" type="noConversion"/>
  </si>
  <si>
    <t>336  金属表面处理及热处理加工</t>
    <phoneticPr fontId="51" type="noConversion"/>
  </si>
  <si>
    <t>337</t>
  </si>
  <si>
    <t>337  搪瓷制品制造</t>
    <phoneticPr fontId="51" type="noConversion"/>
  </si>
  <si>
    <t>338</t>
  </si>
  <si>
    <t>338  金属制日用品制造</t>
    <phoneticPr fontId="51" type="noConversion"/>
  </si>
  <si>
    <t>339</t>
  </si>
  <si>
    <t>339  其他金属制品制造</t>
    <phoneticPr fontId="51" type="noConversion"/>
  </si>
  <si>
    <t>341</t>
  </si>
  <si>
    <t>341  锅炉及原动设备制造</t>
    <phoneticPr fontId="51" type="noConversion"/>
  </si>
  <si>
    <t>342</t>
  </si>
  <si>
    <t>342  金属加工机械制造</t>
    <phoneticPr fontId="51" type="noConversion"/>
  </si>
  <si>
    <t>343</t>
  </si>
  <si>
    <t>343  物料搬运设备制造</t>
    <phoneticPr fontId="51" type="noConversion"/>
  </si>
  <si>
    <t>344  泵、阀门、压缩机及类似机械制造</t>
    <phoneticPr fontId="51" type="noConversion"/>
  </si>
  <si>
    <t>345</t>
  </si>
  <si>
    <t>345  轴承、齿轮和传动部件制造</t>
    <phoneticPr fontId="51" type="noConversion"/>
  </si>
  <si>
    <t>346</t>
  </si>
  <si>
    <t>346  烘炉、风机、衡器、包装等设备制造</t>
    <phoneticPr fontId="51" type="noConversion"/>
  </si>
  <si>
    <t>347</t>
  </si>
  <si>
    <t>347  文化、办公用机械制造</t>
    <phoneticPr fontId="51" type="noConversion"/>
  </si>
  <si>
    <t>348  通用零部件制造</t>
    <phoneticPr fontId="51" type="noConversion"/>
  </si>
  <si>
    <t>349</t>
  </si>
  <si>
    <t>349  其他通用设备制造业</t>
    <phoneticPr fontId="51" type="noConversion"/>
  </si>
  <si>
    <t>351</t>
  </si>
  <si>
    <t>351  采矿、冶金、建筑专用设备制造</t>
    <phoneticPr fontId="51" type="noConversion"/>
  </si>
  <si>
    <t>352  化工、木材、非金属加工专用设备制造</t>
    <phoneticPr fontId="51" type="noConversion"/>
  </si>
  <si>
    <t>353</t>
  </si>
  <si>
    <t>353  食品、饮料、烟草及饲料生产专用设备制造　　　</t>
    <phoneticPr fontId="51" type="noConversion"/>
  </si>
  <si>
    <t>354</t>
  </si>
  <si>
    <t>354  印刷、制药、日化及日用品生产专用设备制造</t>
    <phoneticPr fontId="51" type="noConversion"/>
  </si>
  <si>
    <t>355</t>
  </si>
  <si>
    <t>355  纺织、服装和皮革加工专用设备制造</t>
    <phoneticPr fontId="51" type="noConversion"/>
  </si>
  <si>
    <t>356  电子和电工机械专用设备制造</t>
    <phoneticPr fontId="51" type="noConversion"/>
  </si>
  <si>
    <t>357</t>
  </si>
  <si>
    <t>357  农、林、牧、渔专用机械制造</t>
    <phoneticPr fontId="51" type="noConversion"/>
  </si>
  <si>
    <t>358</t>
  </si>
  <si>
    <t>358  医疗仪器设备及器械制造</t>
    <phoneticPr fontId="51" type="noConversion"/>
  </si>
  <si>
    <t>359</t>
  </si>
  <si>
    <t>359  环保、社会公共服务及其他专用设备制造</t>
    <phoneticPr fontId="51" type="noConversion"/>
  </si>
  <si>
    <t>361</t>
  </si>
  <si>
    <t>361  汽车整车制造</t>
    <phoneticPr fontId="51" type="noConversion"/>
  </si>
  <si>
    <t>362</t>
  </si>
  <si>
    <t>362  改装汽车制造</t>
    <phoneticPr fontId="51" type="noConversion"/>
  </si>
  <si>
    <t>363</t>
  </si>
  <si>
    <t>363  低速载货汽车制造</t>
    <phoneticPr fontId="51" type="noConversion"/>
  </si>
  <si>
    <t>364  电车制造</t>
    <phoneticPr fontId="51" type="noConversion"/>
  </si>
  <si>
    <t>365</t>
  </si>
  <si>
    <t>365  汽车车身、挂车制造</t>
    <phoneticPr fontId="51" type="noConversion"/>
  </si>
  <si>
    <t>366</t>
  </si>
  <si>
    <t>366  汽车零部件及配件制造</t>
    <phoneticPr fontId="51" type="noConversion"/>
  </si>
  <si>
    <t>371</t>
  </si>
  <si>
    <t>371  铁路运输设备制造</t>
    <phoneticPr fontId="51" type="noConversion"/>
  </si>
  <si>
    <t>372  城市轨道交通设备制造</t>
    <phoneticPr fontId="51" type="noConversion"/>
  </si>
  <si>
    <t>373</t>
  </si>
  <si>
    <t>373  船舶及相关装置制造</t>
    <phoneticPr fontId="51" type="noConversion"/>
  </si>
  <si>
    <t>374  航空、航天器及设备制造</t>
    <phoneticPr fontId="51" type="noConversion"/>
  </si>
  <si>
    <t>375</t>
  </si>
  <si>
    <t>375  摩托车制造</t>
    <phoneticPr fontId="51" type="noConversion"/>
  </si>
  <si>
    <t>376  自行车制造</t>
    <phoneticPr fontId="51" type="noConversion"/>
  </si>
  <si>
    <t>377</t>
  </si>
  <si>
    <t>377  非公路休闲车及零配件制造</t>
    <phoneticPr fontId="51" type="noConversion"/>
  </si>
  <si>
    <t>379</t>
  </si>
  <si>
    <t>379  潜水救捞及其他未列明运输设备制造</t>
    <phoneticPr fontId="51" type="noConversion"/>
  </si>
  <si>
    <t>381</t>
  </si>
  <si>
    <t>381  电机制造</t>
    <phoneticPr fontId="51" type="noConversion"/>
  </si>
  <si>
    <t>382</t>
  </si>
  <si>
    <t>382  输配电及控制设备制造</t>
    <phoneticPr fontId="51" type="noConversion"/>
  </si>
  <si>
    <t>383</t>
  </si>
  <si>
    <t>383  电线、电缆、光缆及电工器材制造</t>
    <phoneticPr fontId="51" type="noConversion"/>
  </si>
  <si>
    <t>384  电池制造</t>
    <phoneticPr fontId="51" type="noConversion"/>
  </si>
  <si>
    <t>385</t>
  </si>
  <si>
    <t>385  家用电力器具制造</t>
    <phoneticPr fontId="51" type="noConversion"/>
  </si>
  <si>
    <t>386</t>
  </si>
  <si>
    <t>386  非电力家用器具制造</t>
    <phoneticPr fontId="51" type="noConversion"/>
  </si>
  <si>
    <t>387</t>
  </si>
  <si>
    <t>387  照明器具制造</t>
    <phoneticPr fontId="51" type="noConversion"/>
  </si>
  <si>
    <t>389</t>
  </si>
  <si>
    <t>389  其他电气机械及器材制造</t>
    <phoneticPr fontId="51" type="noConversion"/>
  </si>
  <si>
    <t>391</t>
  </si>
  <si>
    <t>391  计算机制造</t>
    <phoneticPr fontId="51" type="noConversion"/>
  </si>
  <si>
    <t>392  通信设备制造</t>
    <phoneticPr fontId="51" type="noConversion"/>
  </si>
  <si>
    <t>393</t>
  </si>
  <si>
    <t>393  广播电视设备制造</t>
    <phoneticPr fontId="51" type="noConversion"/>
  </si>
  <si>
    <t>394</t>
  </si>
  <si>
    <t>394  雷达及配套设备制造</t>
    <phoneticPr fontId="51" type="noConversion"/>
  </si>
  <si>
    <t>395</t>
  </si>
  <si>
    <t>395  视听设备制造</t>
    <phoneticPr fontId="51" type="noConversion"/>
  </si>
  <si>
    <t>396</t>
  </si>
  <si>
    <t>396  电子器件制造</t>
    <phoneticPr fontId="51" type="noConversion"/>
  </si>
  <si>
    <t>397</t>
  </si>
  <si>
    <t>397  电子元件制造</t>
    <phoneticPr fontId="51" type="noConversion"/>
  </si>
  <si>
    <t>399</t>
  </si>
  <si>
    <t>399  其他电子设备制造</t>
    <phoneticPr fontId="51" type="noConversion"/>
  </si>
  <si>
    <t>401</t>
  </si>
  <si>
    <t>401  通用仪器仪表制造</t>
    <phoneticPr fontId="51" type="noConversion"/>
  </si>
  <si>
    <t>402</t>
  </si>
  <si>
    <t>402  专用仪器仪表制造</t>
    <phoneticPr fontId="51" type="noConversion"/>
  </si>
  <si>
    <t>403</t>
  </si>
  <si>
    <t>403  钟表与计时仪器制造</t>
    <phoneticPr fontId="51" type="noConversion"/>
  </si>
  <si>
    <t>404  光学仪器及眼镜制造</t>
    <phoneticPr fontId="51" type="noConversion"/>
  </si>
  <si>
    <t>409</t>
  </si>
  <si>
    <t>409  其他仪器仪表制造业</t>
    <phoneticPr fontId="51" type="noConversion"/>
  </si>
  <si>
    <t>631</t>
  </si>
  <si>
    <t>631  电信</t>
    <phoneticPr fontId="51" type="noConversion"/>
  </si>
  <si>
    <t>632</t>
  </si>
  <si>
    <t>632  广播电视传输服务</t>
    <phoneticPr fontId="51" type="noConversion"/>
  </si>
  <si>
    <t>633</t>
  </si>
  <si>
    <t>633  卫星传输服务</t>
    <phoneticPr fontId="51" type="noConversion"/>
  </si>
  <si>
    <t>641</t>
  </si>
  <si>
    <t>641  互联网接入及相关服务</t>
    <phoneticPr fontId="51" type="noConversion"/>
  </si>
  <si>
    <t>642  互联网信息服务</t>
    <phoneticPr fontId="51" type="noConversion"/>
  </si>
  <si>
    <t>649</t>
  </si>
  <si>
    <t>649  其他互联网服务</t>
    <phoneticPr fontId="51" type="noConversion"/>
  </si>
  <si>
    <t>651</t>
  </si>
  <si>
    <t>651  软件开发</t>
    <phoneticPr fontId="51" type="noConversion"/>
  </si>
  <si>
    <t>652  信息系统集成服务</t>
    <phoneticPr fontId="51" type="noConversion"/>
  </si>
  <si>
    <t>653</t>
  </si>
  <si>
    <t>653  信息技术咨询服务</t>
    <phoneticPr fontId="51" type="noConversion"/>
  </si>
  <si>
    <t>654  数据处理和存储服务</t>
    <phoneticPr fontId="51" type="noConversion"/>
  </si>
  <si>
    <t>655</t>
  </si>
  <si>
    <t>655  集成电路设计</t>
    <phoneticPr fontId="51" type="noConversion"/>
  </si>
  <si>
    <t>659  其他信息技术服务业</t>
    <phoneticPr fontId="51" type="noConversion"/>
  </si>
  <si>
    <t>第15行＝表A100000第21行。</t>
  </si>
  <si>
    <t>本行=表A100000第19-20-22行-本表第13行，若小于0，则填报0。</t>
    <phoneticPr fontId="51" type="noConversion"/>
  </si>
  <si>
    <t>第3行=表A107041第29行</t>
  </si>
  <si>
    <t>2</t>
  </si>
  <si>
    <t>3</t>
  </si>
  <si>
    <t>4</t>
  </si>
  <si>
    <t>5</t>
  </si>
  <si>
    <t>6</t>
  </si>
  <si>
    <t>7</t>
  </si>
  <si>
    <t>8</t>
  </si>
  <si>
    <t>9</t>
  </si>
  <si>
    <t>22</t>
  </si>
  <si>
    <t>23</t>
  </si>
  <si>
    <t>24</t>
  </si>
  <si>
    <t>25</t>
  </si>
  <si>
    <t>26</t>
  </si>
  <si>
    <t>27</t>
  </si>
  <si>
    <t>28</t>
  </si>
  <si>
    <t>29</t>
  </si>
  <si>
    <t>91350200776046719Q</t>
  </si>
  <si>
    <t>A105081</t>
    <phoneticPr fontId="51" type="noConversion"/>
  </si>
  <si>
    <t>SSJZ6101.2</t>
    <phoneticPr fontId="51" type="noConversion"/>
  </si>
  <si>
    <t>叶瑞卿</t>
  </si>
  <si>
    <t>陈酉凤</t>
  </si>
  <si>
    <t>直接核销法</t>
  </si>
  <si>
    <t>月末一次加权平均法</t>
  </si>
  <si>
    <t>比例(%)</t>
  </si>
  <si>
    <t>投资比例(%)</t>
    <phoneticPr fontId="51" type="noConversion"/>
  </si>
  <si>
    <t>减少投资比例(%)</t>
    <phoneticPr fontId="51" type="noConversion"/>
  </si>
  <si>
    <t>投资比例(%)</t>
    <phoneticPr fontId="51" type="noConversion"/>
  </si>
  <si>
    <t>减少投资比例(%)</t>
    <phoneticPr fontId="51" type="noConversion"/>
  </si>
  <si>
    <t>综合利用的资源占生产产品材料的比例(%)</t>
    <phoneticPr fontId="51" type="noConversion"/>
  </si>
  <si>
    <t>十、本年研发费用占销售（营业）收入比例(%)</t>
    <phoneticPr fontId="51" type="noConversion"/>
  </si>
  <si>
    <t>十八、研究开发费用总额占企业销售（营业）收入总额的比例(%)</t>
    <phoneticPr fontId="51" type="noConversion"/>
  </si>
  <si>
    <t>（三）企业所得税年度纳税申报表填报表单'!A1</t>
  </si>
  <si>
    <t>（四）企业各税（费）审核汇总表</t>
    <phoneticPr fontId="51" type="noConversion"/>
  </si>
  <si>
    <t>（五）社会保险费明细表</t>
    <phoneticPr fontId="51" type="noConversion"/>
  </si>
  <si>
    <t>中汇百邦（厦门）税务师事务所有限公司</t>
    <phoneticPr fontId="51" type="noConversion"/>
  </si>
  <si>
    <t>2017年3月16日</t>
    <phoneticPr fontId="51" type="noConversion"/>
  </si>
  <si>
    <t>2017年5月4日</t>
    <phoneticPr fontId="51" type="noConversion"/>
  </si>
  <si>
    <t>甲方（委托方）：</t>
    <phoneticPr fontId="51" type="noConversion"/>
  </si>
  <si>
    <t>统一社会信用代码</t>
    <phoneticPr fontId="51" type="noConversion"/>
  </si>
  <si>
    <t>甲方税务登记号：</t>
    <phoneticPr fontId="51" type="noConversion"/>
  </si>
  <si>
    <t>中汇百邦（厦门）税务师事务所有限公司</t>
  </si>
  <si>
    <t>身份证号</t>
    <phoneticPr fontId="51" type="noConversion"/>
  </si>
  <si>
    <t>350204197509302051</t>
  </si>
  <si>
    <t>350204196207020038</t>
  </si>
  <si>
    <t>黄培城</t>
  </si>
  <si>
    <t>35062819720320008X</t>
  </si>
  <si>
    <t>卢丽平</t>
  </si>
  <si>
    <t>350302197907030015</t>
  </si>
  <si>
    <t>林向武</t>
  </si>
  <si>
    <t>350423197810050017</t>
  </si>
  <si>
    <t>罗征洪</t>
  </si>
  <si>
    <t>350321197410140779</t>
  </si>
  <si>
    <t>肖恒山</t>
  </si>
  <si>
    <t>350205197504141048</t>
  </si>
  <si>
    <t>邱丽宏</t>
  </si>
  <si>
    <t>352103197906162523</t>
  </si>
  <si>
    <t>徐东莲</t>
  </si>
  <si>
    <t>350302197910140047</t>
  </si>
  <si>
    <t>陈丽珊</t>
  </si>
  <si>
    <t>350221197708092567</t>
  </si>
  <si>
    <t>310110196809058038</t>
  </si>
  <si>
    <t>郑永锋</t>
  </si>
  <si>
    <t>220104197210246759</t>
  </si>
  <si>
    <t>武景义</t>
  </si>
  <si>
    <t>35020519751105003X</t>
  </si>
  <si>
    <t>陈平</t>
  </si>
  <si>
    <t>350212198211085036</t>
  </si>
  <si>
    <t>陈金盾</t>
  </si>
  <si>
    <t>350203196610314099</t>
  </si>
  <si>
    <t>王泉升</t>
  </si>
  <si>
    <t>352627197511190237</t>
  </si>
  <si>
    <t>李书斌</t>
  </si>
  <si>
    <t>350603198206220024</t>
  </si>
  <si>
    <t>林艺平</t>
  </si>
  <si>
    <t>350784197902181021</t>
  </si>
  <si>
    <t>350623198105204207</t>
  </si>
  <si>
    <t>欧国良</t>
    <phoneticPr fontId="51" type="noConversion"/>
  </si>
  <si>
    <t>身份证号</t>
    <phoneticPr fontId="51" type="noConversion"/>
  </si>
  <si>
    <t>税务师事务所（盖章）</t>
    <phoneticPr fontId="51" type="noConversion"/>
  </si>
  <si>
    <t>申报日期</t>
    <phoneticPr fontId="51" type="noConversion"/>
  </si>
  <si>
    <t>征收项目</t>
    <phoneticPr fontId="51" type="noConversion"/>
  </si>
  <si>
    <t>征收品目</t>
    <phoneticPr fontId="51" type="noConversion"/>
  </si>
  <si>
    <t>征收子目</t>
    <phoneticPr fontId="51" type="noConversion"/>
  </si>
  <si>
    <t>税款所属期</t>
    <phoneticPr fontId="51" type="noConversion"/>
  </si>
  <si>
    <t>计税金额</t>
    <phoneticPr fontId="51" type="noConversion"/>
  </si>
  <si>
    <t>税率</t>
    <phoneticPr fontId="51" type="noConversion"/>
  </si>
  <si>
    <t>应纳税额</t>
    <phoneticPr fontId="51" type="noConversion"/>
  </si>
  <si>
    <t>已缴税额</t>
    <phoneticPr fontId="51" type="noConversion"/>
  </si>
  <si>
    <t>减免税额</t>
    <phoneticPr fontId="51" type="noConversion"/>
  </si>
  <si>
    <t>实际应缴税额</t>
    <phoneticPr fontId="51" type="noConversion"/>
  </si>
  <si>
    <t>入库日期</t>
    <phoneticPr fontId="51" type="noConversion"/>
  </si>
  <si>
    <t>10203</t>
  </si>
  <si>
    <t>102039971</t>
  </si>
  <si>
    <t>10201</t>
  </si>
  <si>
    <t>102019971</t>
  </si>
  <si>
    <t>10205</t>
  </si>
  <si>
    <t>102050101</t>
  </si>
  <si>
    <t>10202</t>
  </si>
  <si>
    <t>102029971</t>
  </si>
  <si>
    <t>10204</t>
  </si>
  <si>
    <t>102040101</t>
  </si>
  <si>
    <t>10109</t>
  </si>
  <si>
    <t>101090101</t>
  </si>
  <si>
    <t>30203</t>
  </si>
  <si>
    <t>302030100</t>
  </si>
  <si>
    <t>30216</t>
  </si>
  <si>
    <t>302160100</t>
  </si>
  <si>
    <t>10111</t>
  </si>
  <si>
    <t>101110101</t>
  </si>
  <si>
    <t>39900</t>
  </si>
  <si>
    <t>399001020</t>
  </si>
  <si>
    <t>30218</t>
  </si>
  <si>
    <t>302180100</t>
  </si>
  <si>
    <t>10106</t>
  </si>
  <si>
    <t>101060100</t>
  </si>
  <si>
    <t>zsxm_dm</t>
  </si>
  <si>
    <t>征收项目名称</t>
  </si>
  <si>
    <t>10101</t>
  </si>
  <si>
    <t>10102</t>
  </si>
  <si>
    <t>10103</t>
  </si>
  <si>
    <t>10104</t>
  </si>
  <si>
    <t>10105</t>
  </si>
  <si>
    <t>企业所得税退税</t>
  </si>
  <si>
    <t>10107</t>
  </si>
  <si>
    <t>10110</t>
  </si>
  <si>
    <t>10112</t>
  </si>
  <si>
    <t>10113</t>
  </si>
  <si>
    <t>10114</t>
  </si>
  <si>
    <t>10115</t>
  </si>
  <si>
    <t>船舶吨税</t>
  </si>
  <si>
    <t>10116</t>
  </si>
  <si>
    <t>车辆购置税</t>
  </si>
  <si>
    <t>10117</t>
  </si>
  <si>
    <t>关税</t>
  </si>
  <si>
    <t>10118</t>
  </si>
  <si>
    <t>耕地占用税</t>
  </si>
  <si>
    <t>10119</t>
  </si>
  <si>
    <t>10120</t>
  </si>
  <si>
    <t>烟叶税</t>
  </si>
  <si>
    <t>10125</t>
  </si>
  <si>
    <t>屠宰税（废止）</t>
  </si>
  <si>
    <t>10199</t>
  </si>
  <si>
    <t>其他税收收入</t>
  </si>
  <si>
    <t>企业职工基本养老保险基金收入</t>
  </si>
  <si>
    <t>失业保险基金收入</t>
  </si>
  <si>
    <t>基本医疗保险基金收入</t>
  </si>
  <si>
    <t>工伤保险基金收入</t>
  </si>
  <si>
    <t>生育保险基金收入</t>
  </si>
  <si>
    <t>10206</t>
  </si>
  <si>
    <t>新型农村合作医疗基金收入</t>
  </si>
  <si>
    <t>10207</t>
  </si>
  <si>
    <t>城镇居民基本医疗保险基金收入</t>
  </si>
  <si>
    <t>10210</t>
  </si>
  <si>
    <t>城乡居民基本养老保险基金收入</t>
  </si>
  <si>
    <t>10211</t>
  </si>
  <si>
    <t>机关事业单位基本养老保险基金收入</t>
  </si>
  <si>
    <t>10291</t>
  </si>
  <si>
    <t>机关事业单位职业年金</t>
  </si>
  <si>
    <t>10299</t>
  </si>
  <si>
    <t>其他社会保险基金收入</t>
  </si>
  <si>
    <t>30144</t>
  </si>
  <si>
    <t>城市公用事业附加收入</t>
  </si>
  <si>
    <t>30150</t>
  </si>
  <si>
    <t>大中型水库库区基金</t>
  </si>
  <si>
    <t>30158</t>
  </si>
  <si>
    <t>国家重大水利工程建设基金收入</t>
  </si>
  <si>
    <t>30175</t>
  </si>
  <si>
    <t>废弃电器电子产品处理基金收入</t>
  </si>
  <si>
    <t>30176</t>
  </si>
  <si>
    <t>水土保持补偿费收入</t>
  </si>
  <si>
    <t>30199</t>
  </si>
  <si>
    <t>其他政府性基金收入</t>
  </si>
  <si>
    <t>30201</t>
  </si>
  <si>
    <t>排污费收入</t>
  </si>
  <si>
    <t>30202</t>
  </si>
  <si>
    <t>水资源费收入</t>
  </si>
  <si>
    <t>30217</t>
  </si>
  <si>
    <t>残疾人就业保障金</t>
  </si>
  <si>
    <t>30221</t>
  </si>
  <si>
    <t>水利建设专项收入</t>
  </si>
  <si>
    <t>30299</t>
  </si>
  <si>
    <t>其他专项收入</t>
  </si>
  <si>
    <t>30407</t>
  </si>
  <si>
    <t>财政行政事业性收费收入</t>
  </si>
  <si>
    <t>30408</t>
  </si>
  <si>
    <t>税务行政事业性收费收入</t>
  </si>
  <si>
    <t>30432</t>
  </si>
  <si>
    <t>国土资源行政事业性收费收入</t>
  </si>
  <si>
    <t>30446</t>
  </si>
  <si>
    <t>水利行政事业性收费收入</t>
  </si>
  <si>
    <t>30499</t>
  </si>
  <si>
    <t>其他行政事业性收费收入</t>
  </si>
  <si>
    <t>30501</t>
  </si>
  <si>
    <t>税务部门罚没收入</t>
  </si>
  <si>
    <t>30701</t>
  </si>
  <si>
    <t>海上石油矿区使用费</t>
  </si>
  <si>
    <t>30702</t>
  </si>
  <si>
    <t>陆上石油矿区使用费</t>
  </si>
  <si>
    <t>30703</t>
  </si>
  <si>
    <t>场地使用费收入</t>
  </si>
  <si>
    <t>30705</t>
  </si>
  <si>
    <t>利息收入</t>
  </si>
  <si>
    <t>30799</t>
  </si>
  <si>
    <t>其他国有资源（产）有偿使用收入</t>
  </si>
  <si>
    <t>zspm_dm</t>
  </si>
  <si>
    <t>征收品目名称</t>
  </si>
  <si>
    <t>101010101</t>
  </si>
  <si>
    <t>卷烟</t>
  </si>
  <si>
    <t>101010102</t>
  </si>
  <si>
    <t>雪茄烟</t>
  </si>
  <si>
    <t>101010103</t>
  </si>
  <si>
    <t>烟丝</t>
  </si>
  <si>
    <t>101010104</t>
  </si>
  <si>
    <t>烟叶</t>
  </si>
  <si>
    <t>101010199</t>
  </si>
  <si>
    <t>其他烟草加工业</t>
  </si>
  <si>
    <t>101010201</t>
  </si>
  <si>
    <t>白酒</t>
  </si>
  <si>
    <t>101010202</t>
  </si>
  <si>
    <t>黄酒</t>
  </si>
  <si>
    <t>101010203</t>
  </si>
  <si>
    <t>啤酒</t>
  </si>
  <si>
    <t>101010204</t>
  </si>
  <si>
    <t>其他酒</t>
  </si>
  <si>
    <t>101010205</t>
  </si>
  <si>
    <t>酒精</t>
  </si>
  <si>
    <t>101010206</t>
  </si>
  <si>
    <t>饮料</t>
  </si>
  <si>
    <t>101010207</t>
  </si>
  <si>
    <t>茶（17%）</t>
  </si>
  <si>
    <t>101010208</t>
  </si>
  <si>
    <t>茶（13%）</t>
  </si>
  <si>
    <t>101010301</t>
  </si>
  <si>
    <t>粮食、饲料</t>
  </si>
  <si>
    <t>101010302</t>
  </si>
  <si>
    <t>食用植物油</t>
  </si>
  <si>
    <t>101010303</t>
  </si>
  <si>
    <t>糖</t>
  </si>
  <si>
    <t>101010398</t>
  </si>
  <si>
    <t>其他食品加工制造业（17%）</t>
  </si>
  <si>
    <t>101010399</t>
  </si>
  <si>
    <t>其他食品加工制造业（13%）</t>
  </si>
  <si>
    <t>101010401</t>
  </si>
  <si>
    <t>棉纺织品</t>
  </si>
  <si>
    <t>101010402</t>
  </si>
  <si>
    <t>毛纺织品</t>
  </si>
  <si>
    <t>101010403</t>
  </si>
  <si>
    <t>丝织品</t>
  </si>
  <si>
    <t>101010404</t>
  </si>
  <si>
    <t>针织品</t>
  </si>
  <si>
    <t>101010405</t>
  </si>
  <si>
    <t>化纤织品</t>
  </si>
  <si>
    <t>101010499</t>
  </si>
  <si>
    <t>其他纺织业</t>
  </si>
  <si>
    <t>101010501</t>
  </si>
  <si>
    <t>机制纸</t>
  </si>
  <si>
    <t>101010502</t>
  </si>
  <si>
    <t>纸板</t>
  </si>
  <si>
    <t>101010599</t>
  </si>
  <si>
    <t>其他造纸及纸制品业</t>
  </si>
  <si>
    <t>101010601</t>
  </si>
  <si>
    <t>服装</t>
  </si>
  <si>
    <t>101010602</t>
  </si>
  <si>
    <t>皮革、毛皮</t>
  </si>
  <si>
    <t>101010699</t>
  </si>
  <si>
    <t>其他服装及其他制品业</t>
  </si>
  <si>
    <t>101010701</t>
  </si>
  <si>
    <t>成品油</t>
  </si>
  <si>
    <t>101010799</t>
  </si>
  <si>
    <t>其他石油加工及炼焦业</t>
  </si>
  <si>
    <t>101010801</t>
  </si>
  <si>
    <t>化学化工产品</t>
  </si>
  <si>
    <t>101010802</t>
  </si>
  <si>
    <t>化肥</t>
  </si>
  <si>
    <t>101010803</t>
  </si>
  <si>
    <t>农药</t>
  </si>
  <si>
    <t>101010804</t>
  </si>
  <si>
    <t>化妆品</t>
  </si>
  <si>
    <t>101010805</t>
  </si>
  <si>
    <t>护肤护发品</t>
  </si>
  <si>
    <t>101010899</t>
  </si>
  <si>
    <t>其他化学原料及化学制品业</t>
  </si>
  <si>
    <t>101010901</t>
  </si>
  <si>
    <t>汽车轮胎</t>
  </si>
  <si>
    <t>101010999</t>
  </si>
  <si>
    <t>其他橡胶制品业</t>
  </si>
  <si>
    <t>101011001</t>
  </si>
  <si>
    <t>水泥</t>
  </si>
  <si>
    <t>101011002</t>
  </si>
  <si>
    <t>水泥制品</t>
  </si>
  <si>
    <t>101011003</t>
  </si>
  <si>
    <t>平板玻璃</t>
  </si>
  <si>
    <t>101011004</t>
  </si>
  <si>
    <t>陶瓷制品</t>
  </si>
  <si>
    <t>101011099</t>
  </si>
  <si>
    <t>其他非金属矿物制品业</t>
  </si>
  <si>
    <t>101011101</t>
  </si>
  <si>
    <t>生铁</t>
  </si>
  <si>
    <t>101011102</t>
  </si>
  <si>
    <t>钢坯</t>
  </si>
  <si>
    <t>101011103</t>
  </si>
  <si>
    <t>钢材</t>
  </si>
  <si>
    <t>101011199</t>
  </si>
  <si>
    <t>其他黑色金属冶炼及压延加工业</t>
  </si>
  <si>
    <t>101011201</t>
  </si>
  <si>
    <t>常用金属</t>
  </si>
  <si>
    <t>101011202</t>
  </si>
  <si>
    <t>贵金属</t>
  </si>
  <si>
    <t>101011299</t>
  </si>
  <si>
    <t>稀有稀土金属</t>
  </si>
  <si>
    <t>101011301</t>
  </si>
  <si>
    <t>汽车</t>
  </si>
  <si>
    <t>101011302</t>
  </si>
  <si>
    <t>摩托车</t>
  </si>
  <si>
    <t>101011303</t>
  </si>
  <si>
    <t>飞机</t>
  </si>
  <si>
    <t>101011304</t>
  </si>
  <si>
    <t>机动船舶</t>
  </si>
  <si>
    <t>101011305</t>
  </si>
  <si>
    <t>自行车</t>
  </si>
  <si>
    <t>101011306</t>
  </si>
  <si>
    <t>通用设备</t>
  </si>
  <si>
    <t>101011307</t>
  </si>
  <si>
    <t>专用设备（17%）</t>
  </si>
  <si>
    <t>101011308</t>
  </si>
  <si>
    <t>专用设备（13%）</t>
  </si>
  <si>
    <t>101011398</t>
  </si>
  <si>
    <t>其他交通运输工具（17%）</t>
  </si>
  <si>
    <t>101011399</t>
  </si>
  <si>
    <t>其他交通运输工具（13%）</t>
  </si>
  <si>
    <t>101011401</t>
  </si>
  <si>
    <t>家用电器</t>
  </si>
  <si>
    <t>101011402</t>
  </si>
  <si>
    <t>电机</t>
  </si>
  <si>
    <t>101011403</t>
  </si>
  <si>
    <t>电线电缆</t>
  </si>
  <si>
    <t>101011499</t>
  </si>
  <si>
    <t>其他电气机械及器材制造业</t>
  </si>
  <si>
    <t>101011501</t>
  </si>
  <si>
    <t>通信设备</t>
  </si>
  <si>
    <t>101011502</t>
  </si>
  <si>
    <t>电子计算机</t>
  </si>
  <si>
    <t>101011503</t>
  </si>
  <si>
    <t>家用视听设备</t>
  </si>
  <si>
    <t>101011599</t>
  </si>
  <si>
    <t>其他电子通信设备制造业</t>
  </si>
  <si>
    <t>101011600</t>
  </si>
  <si>
    <t>家具制造业</t>
  </si>
  <si>
    <t>101011701</t>
  </si>
  <si>
    <t>中药原药制造业</t>
  </si>
  <si>
    <t>101011799</t>
  </si>
  <si>
    <t>其他医药制造业</t>
  </si>
  <si>
    <t>101011801</t>
  </si>
  <si>
    <t>贵重首饰</t>
  </si>
  <si>
    <t>101011898</t>
  </si>
  <si>
    <t>其他制造业（17%）</t>
  </si>
  <si>
    <t>101011899</t>
  </si>
  <si>
    <t>其他制造业（13%）</t>
  </si>
  <si>
    <t>101012100</t>
  </si>
  <si>
    <t>原煤</t>
  </si>
  <si>
    <t>101012200</t>
  </si>
  <si>
    <t>洗煤</t>
  </si>
  <si>
    <t>101012301</t>
  </si>
  <si>
    <t>工业盐</t>
  </si>
  <si>
    <t>101012302</t>
  </si>
  <si>
    <t>食用盐</t>
  </si>
  <si>
    <t>101012400</t>
  </si>
  <si>
    <t>原油</t>
  </si>
  <si>
    <t>101012500</t>
  </si>
  <si>
    <t>天然气</t>
  </si>
  <si>
    <t>101012600</t>
  </si>
  <si>
    <t>黑色金属矿产品</t>
  </si>
  <si>
    <t>101012700</t>
  </si>
  <si>
    <t>有色金属矿产品</t>
  </si>
  <si>
    <t>101012800</t>
  </si>
  <si>
    <t>非金属矿产品</t>
  </si>
  <si>
    <t>101012900</t>
  </si>
  <si>
    <t>101013100</t>
  </si>
  <si>
    <t>发电</t>
  </si>
  <si>
    <t>101013200</t>
  </si>
  <si>
    <t>供电</t>
  </si>
  <si>
    <t>101013300</t>
  </si>
  <si>
    <t>煤气</t>
  </si>
  <si>
    <t>101013400</t>
  </si>
  <si>
    <t>燃气</t>
  </si>
  <si>
    <t>101013500</t>
  </si>
  <si>
    <t>自来水</t>
  </si>
  <si>
    <t>101013600</t>
  </si>
  <si>
    <t>暖气、热水、冷气等气及水的生产和供应</t>
  </si>
  <si>
    <t>101013901</t>
  </si>
  <si>
    <t>其他电力煤气及水的生产和供应业（17%）</t>
  </si>
  <si>
    <t>101013902</t>
  </si>
  <si>
    <t>其他电力煤气及水的生产和供应业（13%）</t>
  </si>
  <si>
    <t>101014001</t>
  </si>
  <si>
    <t>商业(17%)</t>
  </si>
  <si>
    <t>101014002</t>
  </si>
  <si>
    <t>商业(13%)</t>
  </si>
  <si>
    <t>101014003</t>
  </si>
  <si>
    <t>商业(6%)</t>
  </si>
  <si>
    <t>101014004</t>
  </si>
  <si>
    <t>商业(4%)</t>
  </si>
  <si>
    <t>101014006</t>
  </si>
  <si>
    <t>商业(3%)</t>
  </si>
  <si>
    <t>101015000</t>
  </si>
  <si>
    <t>软件、集成电路</t>
  </si>
  <si>
    <t>101016101</t>
  </si>
  <si>
    <t>陆路货物运输服务</t>
  </si>
  <si>
    <t>101016102</t>
  </si>
  <si>
    <t>水路运输服务</t>
  </si>
  <si>
    <t>101016103</t>
  </si>
  <si>
    <t>航空运输服务</t>
  </si>
  <si>
    <t>101016104</t>
  </si>
  <si>
    <t>管道运输服务</t>
  </si>
  <si>
    <t>101016105</t>
  </si>
  <si>
    <t>铁路运输服务</t>
  </si>
  <si>
    <t>101016106</t>
  </si>
  <si>
    <t>陆路旅客运输服务</t>
  </si>
  <si>
    <t>101016201</t>
  </si>
  <si>
    <t>研发服务</t>
  </si>
  <si>
    <t>101016204</t>
  </si>
  <si>
    <t>合同能源管理服务</t>
  </si>
  <si>
    <t>101016205</t>
  </si>
  <si>
    <t>工程勘察勘探服务</t>
  </si>
  <si>
    <t>101016206</t>
  </si>
  <si>
    <t>专业技术服务</t>
  </si>
  <si>
    <t>101016301</t>
  </si>
  <si>
    <t>软件服务</t>
  </si>
  <si>
    <t>101016302</t>
  </si>
  <si>
    <t>电路设计及测试服务</t>
  </si>
  <si>
    <t>101016303</t>
  </si>
  <si>
    <t>信息系统服务</t>
  </si>
  <si>
    <t>101016304</t>
  </si>
  <si>
    <t>业务流程管理服务</t>
  </si>
  <si>
    <t>101016305</t>
  </si>
  <si>
    <t>信息系统增值服务</t>
  </si>
  <si>
    <t>101016401</t>
  </si>
  <si>
    <t>设计服务</t>
  </si>
  <si>
    <t>101016403</t>
  </si>
  <si>
    <t>101016404</t>
  </si>
  <si>
    <t>广告服务</t>
  </si>
  <si>
    <t>101016405</t>
  </si>
  <si>
    <t>会议展览服务</t>
  </si>
  <si>
    <t>101016502</t>
  </si>
  <si>
    <t>航空服务</t>
  </si>
  <si>
    <t>101016503</t>
  </si>
  <si>
    <t>港口码头服务</t>
  </si>
  <si>
    <t>101016504</t>
  </si>
  <si>
    <t>货运客运场站服务</t>
  </si>
  <si>
    <t>101016505</t>
  </si>
  <si>
    <t>打捞救助服务</t>
  </si>
  <si>
    <t>101016508</t>
  </si>
  <si>
    <t>仓储服务</t>
  </si>
  <si>
    <t>101016509</t>
  </si>
  <si>
    <t>装卸搬运服务</t>
  </si>
  <si>
    <t>101016510</t>
  </si>
  <si>
    <t>收派服务</t>
  </si>
  <si>
    <t>101016601</t>
  </si>
  <si>
    <t>有形动产融资租赁</t>
  </si>
  <si>
    <t>101016602</t>
  </si>
  <si>
    <t>有形动产经营租赁</t>
  </si>
  <si>
    <t>101016603</t>
  </si>
  <si>
    <t>不动产融资租赁（11%、3%）</t>
  </si>
  <si>
    <t>101016604</t>
  </si>
  <si>
    <t>不动产融资租赁（11%、5%）</t>
  </si>
  <si>
    <t>101016605</t>
  </si>
  <si>
    <t>不动产经营租赁（11%、3%）</t>
  </si>
  <si>
    <t>101016606</t>
  </si>
  <si>
    <t>不动产经营租赁（11%、5%）</t>
  </si>
  <si>
    <t>101016701</t>
  </si>
  <si>
    <t>认证服务</t>
  </si>
  <si>
    <t>101016702</t>
  </si>
  <si>
    <t>鉴证服务</t>
  </si>
  <si>
    <t>101016703</t>
  </si>
  <si>
    <t>咨询服务</t>
  </si>
  <si>
    <t>101016801</t>
  </si>
  <si>
    <t>广播影视节目（作品）制作服务</t>
  </si>
  <si>
    <t>101016802</t>
  </si>
  <si>
    <t>广播影视节目（作品）发行服务</t>
  </si>
  <si>
    <t>101016803</t>
  </si>
  <si>
    <t>广播影视节目（作品）播映服务</t>
  </si>
  <si>
    <t>101016901</t>
  </si>
  <si>
    <t>邮政普遍服务</t>
  </si>
  <si>
    <t>101016902</t>
  </si>
  <si>
    <t>邮政特殊服务</t>
  </si>
  <si>
    <t>101016903</t>
  </si>
  <si>
    <t>其他邮政服务</t>
  </si>
  <si>
    <t>101017001</t>
  </si>
  <si>
    <t>基础电信服务</t>
  </si>
  <si>
    <t>101017002</t>
  </si>
  <si>
    <t>增值电信服务</t>
  </si>
  <si>
    <t>101017101</t>
  </si>
  <si>
    <t>工程服务</t>
  </si>
  <si>
    <t>101017102</t>
  </si>
  <si>
    <t>安装服务</t>
  </si>
  <si>
    <t>101017103</t>
  </si>
  <si>
    <t>修缮服务</t>
  </si>
  <si>
    <t>101017104</t>
  </si>
  <si>
    <t>装饰服务</t>
  </si>
  <si>
    <t>101017190</t>
  </si>
  <si>
    <t>其他建筑服务</t>
  </si>
  <si>
    <t>101017201</t>
  </si>
  <si>
    <t>贷款服务</t>
  </si>
  <si>
    <t>101017202</t>
  </si>
  <si>
    <t>直接收费金融服务</t>
  </si>
  <si>
    <t>101017203</t>
  </si>
  <si>
    <t>人身保险服务</t>
  </si>
  <si>
    <t>101017204</t>
  </si>
  <si>
    <t>财产保险服务</t>
  </si>
  <si>
    <t>101017205</t>
  </si>
  <si>
    <t>金融商品转让</t>
  </si>
  <si>
    <t>101017301</t>
  </si>
  <si>
    <t>企业管理服务</t>
  </si>
  <si>
    <t>101017302</t>
  </si>
  <si>
    <t>经纪代理服务（6%、3%）</t>
  </si>
  <si>
    <t>101017303</t>
  </si>
  <si>
    <t>人力资源服务（6%、3%）</t>
  </si>
  <si>
    <t>101017304</t>
  </si>
  <si>
    <t>安全保护服务（3%）</t>
  </si>
  <si>
    <t>101017305</t>
  </si>
  <si>
    <t>人力资源服务（6%、5%）</t>
  </si>
  <si>
    <t>101017306</t>
  </si>
  <si>
    <t>经纪代理服务（6%、5%）</t>
  </si>
  <si>
    <t>101017307</t>
  </si>
  <si>
    <t>安全保护服务（5%）</t>
  </si>
  <si>
    <t>101017490</t>
  </si>
  <si>
    <t>其他现代服务</t>
  </si>
  <si>
    <t>101017510</t>
  </si>
  <si>
    <t>文化服务</t>
  </si>
  <si>
    <t>101017520</t>
  </si>
  <si>
    <t>体育服务</t>
  </si>
  <si>
    <t>101017530</t>
  </si>
  <si>
    <t>教育服务</t>
  </si>
  <si>
    <t>101017540</t>
  </si>
  <si>
    <t>医疗服务</t>
  </si>
  <si>
    <t>101017550</t>
  </si>
  <si>
    <t>旅游服务</t>
  </si>
  <si>
    <t>101017560</t>
  </si>
  <si>
    <t>娱乐服务</t>
  </si>
  <si>
    <t>101017570</t>
  </si>
  <si>
    <t>餐饮服务</t>
  </si>
  <si>
    <t>101017580</t>
  </si>
  <si>
    <t>住宿服务</t>
  </si>
  <si>
    <t>101017590</t>
  </si>
  <si>
    <t>居民日常服务</t>
  </si>
  <si>
    <t>101017599</t>
  </si>
  <si>
    <t>其他生活服务</t>
  </si>
  <si>
    <t>101017601</t>
  </si>
  <si>
    <t>专利或非专利技术</t>
  </si>
  <si>
    <t>101017602</t>
  </si>
  <si>
    <t>商标和著作权</t>
  </si>
  <si>
    <t>101017603</t>
  </si>
  <si>
    <t>土地使用权（11%、3%）</t>
  </si>
  <si>
    <t>101017604</t>
  </si>
  <si>
    <t>土地使用权（11%、5%）</t>
  </si>
  <si>
    <t>101017680</t>
  </si>
  <si>
    <t>其他自然资源使用权</t>
  </si>
  <si>
    <t>101017690</t>
  </si>
  <si>
    <t>其他权益性无形资产</t>
  </si>
  <si>
    <t>101017711</t>
  </si>
  <si>
    <t>建筑物（11%、3%）-增量房</t>
  </si>
  <si>
    <t>101017712</t>
  </si>
  <si>
    <t>建筑物（11%、3%）-二手房</t>
  </si>
  <si>
    <t>101017713</t>
  </si>
  <si>
    <t>建筑物（11%、5%）-增量房</t>
  </si>
  <si>
    <t>101017714</t>
  </si>
  <si>
    <t>建筑物（11%、5%）-二手房</t>
  </si>
  <si>
    <t>101017721</t>
  </si>
  <si>
    <t>构筑物（11%、3%）-增量房</t>
  </si>
  <si>
    <t>101017722</t>
  </si>
  <si>
    <t>构筑物（11%、3%）-二手房</t>
  </si>
  <si>
    <t>101017723</t>
  </si>
  <si>
    <t>构筑物（11%、5%）-增量房</t>
  </si>
  <si>
    <t>101017724</t>
  </si>
  <si>
    <t>构筑物（11%、5%）-二手房</t>
  </si>
  <si>
    <t>101017801</t>
  </si>
  <si>
    <t>铁建设基金（中央）</t>
  </si>
  <si>
    <t>101019001</t>
  </si>
  <si>
    <t>其他行业（17%）</t>
  </si>
  <si>
    <t>101019002</t>
  </si>
  <si>
    <t>其他行业（13%）</t>
  </si>
  <si>
    <t>101019901</t>
  </si>
  <si>
    <t>滞纳金</t>
  </si>
  <si>
    <t>101019902</t>
  </si>
  <si>
    <t>罚款</t>
  </si>
  <si>
    <t>101020101</t>
  </si>
  <si>
    <t>卷烟（调拨价70元（不含增值税）/条以上（含70元）从价计算）</t>
  </si>
  <si>
    <t>101020102</t>
  </si>
  <si>
    <t>卷烟（调拨价70元（不含增值税）/条以下从价计算）</t>
  </si>
  <si>
    <t>101020104</t>
  </si>
  <si>
    <t>卷烟（调拨价70元（不含增值税）/条以上（含70元）从量计算）</t>
  </si>
  <si>
    <t>101020105</t>
  </si>
  <si>
    <t>卷烟（调拨价70元（不含增值税）/条以下从量计算）</t>
  </si>
  <si>
    <t>101020106</t>
  </si>
  <si>
    <t>卷烟（商业批发从价计算）</t>
  </si>
  <si>
    <t>101020107</t>
  </si>
  <si>
    <t>101020108</t>
  </si>
  <si>
    <t>101020109</t>
  </si>
  <si>
    <t>卷烟（商业批发从量计算）</t>
  </si>
  <si>
    <t>101020201</t>
  </si>
  <si>
    <t>粮食白酒（从价计算）</t>
  </si>
  <si>
    <t>101020202</t>
  </si>
  <si>
    <t>粮食白酒（从量计算）</t>
  </si>
  <si>
    <t>101020203</t>
  </si>
  <si>
    <t>薯类白酒（从价计算）</t>
  </si>
  <si>
    <t>101020204</t>
  </si>
  <si>
    <t>薯类白酒（从量计算）</t>
  </si>
  <si>
    <t>101020205</t>
  </si>
  <si>
    <t>101020206</t>
  </si>
  <si>
    <t>啤酒（3000元/吨以上）</t>
  </si>
  <si>
    <t>101020207</t>
  </si>
  <si>
    <t>啤酒（3000元/吨以下）</t>
  </si>
  <si>
    <t>101020299</t>
  </si>
  <si>
    <t>101020300</t>
  </si>
  <si>
    <t>101020401</t>
  </si>
  <si>
    <t>金银首饰（铂金首饰、钻石及钻石饰品）</t>
  </si>
  <si>
    <t>101020499</t>
  </si>
  <si>
    <t>其他金银首饰及珠宝玉石</t>
  </si>
  <si>
    <t>101020500</t>
  </si>
  <si>
    <t>鞭炮、焰火</t>
  </si>
  <si>
    <t>101020603</t>
  </si>
  <si>
    <t>柴油</t>
  </si>
  <si>
    <t>101020604</t>
  </si>
  <si>
    <t>航空煤油</t>
  </si>
  <si>
    <t>101020605</t>
  </si>
  <si>
    <t>石脑油</t>
  </si>
  <si>
    <t>101020606</t>
  </si>
  <si>
    <t>溶剂油</t>
  </si>
  <si>
    <t>101020607</t>
  </si>
  <si>
    <t>润滑油</t>
  </si>
  <si>
    <t>101020608</t>
  </si>
  <si>
    <t>燃料油</t>
  </si>
  <si>
    <t>101020609</t>
  </si>
  <si>
    <t>汽油</t>
  </si>
  <si>
    <t>101020802</t>
  </si>
  <si>
    <t>250毫升（不含）以上摩托车</t>
  </si>
  <si>
    <t>101020803</t>
  </si>
  <si>
    <t>250毫升摩托车</t>
  </si>
  <si>
    <t>101020901</t>
  </si>
  <si>
    <t>1.0升（含）以下的乘用车</t>
  </si>
  <si>
    <t>101020902</t>
  </si>
  <si>
    <t>1.0升以上至1.5升(含)的乘用车</t>
  </si>
  <si>
    <t>101020903</t>
  </si>
  <si>
    <t>1.5升以上至2.0升(含)的乘用车</t>
  </si>
  <si>
    <t>101020904</t>
  </si>
  <si>
    <t>2.0升以上至2.5升(含)的乘用车</t>
  </si>
  <si>
    <t>101020905</t>
  </si>
  <si>
    <t>2.5升以上至3.0升(含)的乘用车</t>
  </si>
  <si>
    <t>101020906</t>
  </si>
  <si>
    <t>3.0升以上至4.0升(含)的乘用车</t>
  </si>
  <si>
    <t>101020907</t>
  </si>
  <si>
    <t>4.0升以上的乘用车</t>
  </si>
  <si>
    <t>101021000</t>
  </si>
  <si>
    <t>中轻型商用客车</t>
  </si>
  <si>
    <t>101021100</t>
  </si>
  <si>
    <t>高尔夫球及球具</t>
  </si>
  <si>
    <t>101021200</t>
  </si>
  <si>
    <t>高档手表</t>
  </si>
  <si>
    <t>101021300</t>
  </si>
  <si>
    <t>游艇</t>
  </si>
  <si>
    <t>101021400</t>
  </si>
  <si>
    <t>木制一次性筷子</t>
  </si>
  <si>
    <t>101021500</t>
  </si>
  <si>
    <t>实木地板</t>
  </si>
  <si>
    <t>101021601</t>
  </si>
  <si>
    <t>电池（不含铅蓄电池）</t>
  </si>
  <si>
    <t>101021699</t>
  </si>
  <si>
    <t>铅蓄电池</t>
  </si>
  <si>
    <t>101021700</t>
  </si>
  <si>
    <t>涂料</t>
  </si>
  <si>
    <t>101021800</t>
  </si>
  <si>
    <t>高档化妆品</t>
  </si>
  <si>
    <t>101021901</t>
  </si>
  <si>
    <t>超豪华乘用车</t>
  </si>
  <si>
    <t>101021902</t>
  </si>
  <si>
    <t>超豪华中轻型商用客车</t>
  </si>
  <si>
    <t>101029901</t>
  </si>
  <si>
    <t>101029902</t>
  </si>
  <si>
    <t>101030101</t>
  </si>
  <si>
    <t>陆路运输</t>
  </si>
  <si>
    <t>101030102</t>
  </si>
  <si>
    <t>水路运输</t>
  </si>
  <si>
    <t>101030103</t>
  </si>
  <si>
    <t>航空运</t>
  </si>
  <si>
    <t>101030104</t>
  </si>
  <si>
    <t>管道运输</t>
  </si>
  <si>
    <t>101030105</t>
  </si>
  <si>
    <t>101030201</t>
  </si>
  <si>
    <t>建筑</t>
  </si>
  <si>
    <t>101030202</t>
  </si>
  <si>
    <t>安装</t>
  </si>
  <si>
    <t>101030203</t>
  </si>
  <si>
    <t>修缮</t>
  </si>
  <si>
    <t>101030204</t>
  </si>
  <si>
    <t>装饰</t>
  </si>
  <si>
    <t>101030299</t>
  </si>
  <si>
    <t>其他工程作业</t>
  </si>
  <si>
    <t>101030301</t>
  </si>
  <si>
    <t>金融</t>
  </si>
  <si>
    <t>101030302</t>
  </si>
  <si>
    <t>保险</t>
  </si>
  <si>
    <t>101030303</t>
  </si>
  <si>
    <t>证券</t>
  </si>
  <si>
    <t>101030401</t>
  </si>
  <si>
    <t>邮政</t>
  </si>
  <si>
    <t>101030402</t>
  </si>
  <si>
    <t>电信</t>
  </si>
  <si>
    <t>101030501</t>
  </si>
  <si>
    <t>文化业</t>
  </si>
  <si>
    <t>101030502</t>
  </si>
  <si>
    <t>体育业</t>
  </si>
  <si>
    <t>101030601</t>
  </si>
  <si>
    <t>音乐茶座</t>
  </si>
  <si>
    <t>101030602</t>
  </si>
  <si>
    <t>台球</t>
  </si>
  <si>
    <t>101030603</t>
  </si>
  <si>
    <t>高尔夫球</t>
  </si>
  <si>
    <t>101030604</t>
  </si>
  <si>
    <t>保龄球</t>
  </si>
  <si>
    <t>101030605</t>
  </si>
  <si>
    <t>游艺厅</t>
  </si>
  <si>
    <t>101030606</t>
  </si>
  <si>
    <t>网吧</t>
  </si>
  <si>
    <t>101030607</t>
  </si>
  <si>
    <t>舞厅</t>
  </si>
  <si>
    <t>101030608</t>
  </si>
  <si>
    <t>歌厅</t>
  </si>
  <si>
    <t>101030609</t>
  </si>
  <si>
    <t>卡拉OK舞厅</t>
  </si>
  <si>
    <t>101030699</t>
  </si>
  <si>
    <t>101030701</t>
  </si>
  <si>
    <t>代理业</t>
  </si>
  <si>
    <t>101030702</t>
  </si>
  <si>
    <t>旅店业</t>
  </si>
  <si>
    <t>101030703</t>
  </si>
  <si>
    <t>饮食业</t>
  </si>
  <si>
    <t>101030704</t>
  </si>
  <si>
    <t>旅游业</t>
  </si>
  <si>
    <t>101030705</t>
  </si>
  <si>
    <t>仓储业</t>
  </si>
  <si>
    <t>101030706</t>
  </si>
  <si>
    <t>租赁业</t>
  </si>
  <si>
    <t>101030707</t>
  </si>
  <si>
    <t>房屋租赁</t>
  </si>
  <si>
    <t>101030708</t>
  </si>
  <si>
    <t>101030799</t>
  </si>
  <si>
    <t>其他服务业</t>
  </si>
  <si>
    <t>101030801</t>
  </si>
  <si>
    <t>转让土地使用权</t>
  </si>
  <si>
    <t>101030802</t>
  </si>
  <si>
    <t>转让商标权</t>
  </si>
  <si>
    <t>101030803</t>
  </si>
  <si>
    <t>转让专利权</t>
  </si>
  <si>
    <t>101030804</t>
  </si>
  <si>
    <t>转让非专利权</t>
  </si>
  <si>
    <t>101030805</t>
  </si>
  <si>
    <t>转让著作权</t>
  </si>
  <si>
    <t>101030806</t>
  </si>
  <si>
    <t>转让商誉</t>
  </si>
  <si>
    <t>101030807</t>
  </si>
  <si>
    <t>转让动漫版权</t>
  </si>
  <si>
    <t>101030808</t>
  </si>
  <si>
    <t>转让自然资源使用权</t>
  </si>
  <si>
    <t>101030899</t>
  </si>
  <si>
    <t>其他转让无形资产</t>
  </si>
  <si>
    <t>101030901</t>
  </si>
  <si>
    <t>销售建筑物或构筑物</t>
  </si>
  <si>
    <t>101030902</t>
  </si>
  <si>
    <t>销售其他土地附着物</t>
  </si>
  <si>
    <t>101030999</t>
  </si>
  <si>
    <t>其他销售不动产</t>
  </si>
  <si>
    <t>101039901</t>
  </si>
  <si>
    <t>101039902</t>
  </si>
  <si>
    <t>101040001</t>
  </si>
  <si>
    <t>应纳税所得额</t>
  </si>
  <si>
    <t>101049901</t>
  </si>
  <si>
    <t>101049902</t>
  </si>
  <si>
    <t>101049903</t>
  </si>
  <si>
    <t>101050000</t>
  </si>
  <si>
    <t>工资薪金所得</t>
  </si>
  <si>
    <t>101060200</t>
  </si>
  <si>
    <t>个体户生产经营所得</t>
  </si>
  <si>
    <t>101060300</t>
  </si>
  <si>
    <t>企事业承包承租经营所得</t>
  </si>
  <si>
    <t>101060400</t>
  </si>
  <si>
    <t>劳务报酬所得</t>
  </si>
  <si>
    <t>101060500</t>
  </si>
  <si>
    <t>稿酬所得</t>
  </si>
  <si>
    <t>101060600</t>
  </si>
  <si>
    <t>101060701</t>
  </si>
  <si>
    <t>储蓄存款利息所得</t>
  </si>
  <si>
    <t>101060799</t>
  </si>
  <si>
    <t>其他利息、股息、红利所得</t>
  </si>
  <si>
    <t>101060801</t>
  </si>
  <si>
    <t>个人房屋出租</t>
  </si>
  <si>
    <t>101060899</t>
  </si>
  <si>
    <t>其他财产租赁所得</t>
  </si>
  <si>
    <t>101060901</t>
  </si>
  <si>
    <t>限售股转让所得</t>
  </si>
  <si>
    <t>101060902</t>
  </si>
  <si>
    <t>房屋转让所得</t>
  </si>
  <si>
    <t>101060903</t>
  </si>
  <si>
    <t>财产拍卖所得及回流文物拍卖所得</t>
  </si>
  <si>
    <t>101060999</t>
  </si>
  <si>
    <t>其他转让所得</t>
  </si>
  <si>
    <t>101061000</t>
  </si>
  <si>
    <t>偶然所得</t>
  </si>
  <si>
    <t>101061100</t>
  </si>
  <si>
    <t>101069901</t>
  </si>
  <si>
    <t>101069902</t>
  </si>
  <si>
    <t>101070100</t>
  </si>
  <si>
    <t>101070200</t>
  </si>
  <si>
    <t>101070303</t>
  </si>
  <si>
    <t>101070304</t>
  </si>
  <si>
    <t>洗选煤</t>
  </si>
  <si>
    <t>101070401</t>
  </si>
  <si>
    <t>玉石</t>
  </si>
  <si>
    <t>101070402</t>
  </si>
  <si>
    <t>硅藻土</t>
  </si>
  <si>
    <t>101070403</t>
  </si>
  <si>
    <t>高铝粘土</t>
  </si>
  <si>
    <t>101070404</t>
  </si>
  <si>
    <t>焦宝石</t>
  </si>
  <si>
    <t>101070405</t>
  </si>
  <si>
    <t>萤石</t>
  </si>
  <si>
    <t>101070406</t>
  </si>
  <si>
    <t>磷矿石</t>
  </si>
  <si>
    <t>101070407</t>
  </si>
  <si>
    <t>膨润土</t>
  </si>
  <si>
    <t>101070408</t>
  </si>
  <si>
    <t>沸石</t>
  </si>
  <si>
    <t>101070409</t>
  </si>
  <si>
    <t>珍珠岩</t>
  </si>
  <si>
    <t>101070410</t>
  </si>
  <si>
    <t>宝石</t>
  </si>
  <si>
    <t>101070411</t>
  </si>
  <si>
    <t>宝石级金刚石</t>
  </si>
  <si>
    <t>101070412</t>
  </si>
  <si>
    <t>耐火粘土</t>
  </si>
  <si>
    <t>101070413</t>
  </si>
  <si>
    <t>石墨</t>
  </si>
  <si>
    <t>101070414</t>
  </si>
  <si>
    <t>石英砂</t>
  </si>
  <si>
    <t>101070415</t>
  </si>
  <si>
    <t>重晶石</t>
  </si>
  <si>
    <t>101070416</t>
  </si>
  <si>
    <t>毒重石</t>
  </si>
  <si>
    <t>101070417</t>
  </si>
  <si>
    <t>蛭石</t>
  </si>
  <si>
    <t>101070418</t>
  </si>
  <si>
    <t>长石</t>
  </si>
  <si>
    <t>101070419</t>
  </si>
  <si>
    <t>滑石</t>
  </si>
  <si>
    <t>101070420</t>
  </si>
  <si>
    <t>白云石</t>
  </si>
  <si>
    <t>101070421</t>
  </si>
  <si>
    <t>硅灰石</t>
  </si>
  <si>
    <t>101070422</t>
  </si>
  <si>
    <t>凹凸棒石粘土</t>
  </si>
  <si>
    <t>101070423</t>
  </si>
  <si>
    <t>高岭土（瓷土）</t>
  </si>
  <si>
    <t>101070424</t>
  </si>
  <si>
    <t>云母</t>
  </si>
  <si>
    <t>101070425</t>
  </si>
  <si>
    <t>菱镁矿</t>
  </si>
  <si>
    <t>101070426</t>
  </si>
  <si>
    <t>天然碱</t>
  </si>
  <si>
    <t>101070427</t>
  </si>
  <si>
    <t>石膏</t>
  </si>
  <si>
    <t>101070428</t>
  </si>
  <si>
    <t>硅线石</t>
  </si>
  <si>
    <t>101070429</t>
  </si>
  <si>
    <t>工业用金刚石</t>
  </si>
  <si>
    <t>101070430</t>
  </si>
  <si>
    <t>一等石棉</t>
  </si>
  <si>
    <t>101070431</t>
  </si>
  <si>
    <t>二等石棉</t>
  </si>
  <si>
    <t>101070432</t>
  </si>
  <si>
    <t>三等石棉</t>
  </si>
  <si>
    <t>101070433</t>
  </si>
  <si>
    <t>四等石棉</t>
  </si>
  <si>
    <t>101070434</t>
  </si>
  <si>
    <t>五等石棉</t>
  </si>
  <si>
    <t>101070435</t>
  </si>
  <si>
    <t>六等石棉</t>
  </si>
  <si>
    <t>101070436</t>
  </si>
  <si>
    <t>硫铁矿</t>
  </si>
  <si>
    <t>101070437</t>
  </si>
  <si>
    <t>自然硫</t>
  </si>
  <si>
    <t>101070438</t>
  </si>
  <si>
    <t>磷铁矿</t>
  </si>
  <si>
    <t>101070439</t>
  </si>
  <si>
    <t>石灰石</t>
  </si>
  <si>
    <t>101070440</t>
  </si>
  <si>
    <t>矿泉水、地下水</t>
  </si>
  <si>
    <t>101070499</t>
  </si>
  <si>
    <t>其他未列名非金属矿原矿</t>
  </si>
  <si>
    <t>101070501</t>
  </si>
  <si>
    <t>一等铁矿石（重点矿山入选露天矿）</t>
  </si>
  <si>
    <t>101070502</t>
  </si>
  <si>
    <t>二等铁矿石（重点矿山入选露天矿）</t>
  </si>
  <si>
    <t>101070503</t>
  </si>
  <si>
    <t>三等铁矿石（重点矿山入选露天矿）</t>
  </si>
  <si>
    <t>101070504</t>
  </si>
  <si>
    <t>四等铁矿石（重点矿山入选露天矿）</t>
  </si>
  <si>
    <t>101070505</t>
  </si>
  <si>
    <t>五等铁矿石（重点矿山入选露天矿）</t>
  </si>
  <si>
    <t>101070506</t>
  </si>
  <si>
    <t>六等铁矿石（重点矿山入选露天矿）</t>
  </si>
  <si>
    <t>101070507</t>
  </si>
  <si>
    <t>二等铁矿石（重点矿山入选地下矿）</t>
  </si>
  <si>
    <t>101070508</t>
  </si>
  <si>
    <t>三等铁矿石（重点矿山入选地下矿）</t>
  </si>
  <si>
    <t>101070509</t>
  </si>
  <si>
    <t>四等铁矿石（重点矿山入选地下矿）</t>
  </si>
  <si>
    <t>101070510</t>
  </si>
  <si>
    <t>五等铁矿石（重点矿山入选地下矿）</t>
  </si>
  <si>
    <t>101070511</t>
  </si>
  <si>
    <t>六等铁矿石（重点矿山入选地下矿）</t>
  </si>
  <si>
    <t>101070512</t>
  </si>
  <si>
    <t>一等铁矿石（重点矿山入炉露天矿）</t>
  </si>
  <si>
    <t>101070513</t>
  </si>
  <si>
    <t>二等铁矿石（重点矿山入炉露天矿）</t>
  </si>
  <si>
    <t>101070514</t>
  </si>
  <si>
    <t>三等铁矿石（重点矿山入炉天矿）</t>
  </si>
  <si>
    <t>101070515</t>
  </si>
  <si>
    <t>四等铁矿石（重点矿山入炉露天矿）</t>
  </si>
  <si>
    <t>101070516</t>
  </si>
  <si>
    <t>二等铁矿石（重点矿山入炉地下矿）</t>
  </si>
  <si>
    <t>101070517</t>
  </si>
  <si>
    <t>三等铁矿石（重点矿山入炉地下矿）</t>
  </si>
  <si>
    <t>101070518</t>
  </si>
  <si>
    <t>四等铁矿石（重点矿山入炉地下矿）</t>
  </si>
  <si>
    <t>101070519</t>
  </si>
  <si>
    <t>二等铁矿石（非重点矿山入选露天矿）</t>
  </si>
  <si>
    <t>101070520</t>
  </si>
  <si>
    <t>四等铁矿石（非重点矿山入选露天矿）</t>
  </si>
  <si>
    <t>101070521</t>
  </si>
  <si>
    <t>五等铁矿石（非重点矿山入选露天矿）</t>
  </si>
  <si>
    <t>101070522</t>
  </si>
  <si>
    <t>六等铁矿石（非重点矿山入选露天矿）</t>
  </si>
  <si>
    <t>101070523</t>
  </si>
  <si>
    <t>三等铁矿石（非重点矿山入选地下矿）</t>
  </si>
  <si>
    <t>101070524</t>
  </si>
  <si>
    <t>四等铁矿石（非重点矿山入选地下矿）</t>
  </si>
  <si>
    <t>101070525</t>
  </si>
  <si>
    <t>五等铁矿石（非重点矿山入选地下矿）</t>
  </si>
  <si>
    <t>101070526</t>
  </si>
  <si>
    <t>六等铁矿石（非重点矿山入选地下矿）</t>
  </si>
  <si>
    <t>101070527</t>
  </si>
  <si>
    <t>二等铁矿石（非重点矿山入炉露天矿）</t>
  </si>
  <si>
    <t>101070528</t>
  </si>
  <si>
    <t>三等铁矿石（非重点矿山入炉露天矿）</t>
  </si>
  <si>
    <t>101070529</t>
  </si>
  <si>
    <t>四等铁矿石（非重点矿山入炉露天矿）</t>
  </si>
  <si>
    <t>101070530</t>
  </si>
  <si>
    <t>三等铁矿石（非重点矿山入炉地下矿）</t>
  </si>
  <si>
    <t>101070531</t>
  </si>
  <si>
    <t>四等铁矿石（非重点矿山入炉地下矿）</t>
  </si>
  <si>
    <t>101070532</t>
  </si>
  <si>
    <t>锰矿石</t>
  </si>
  <si>
    <t>101070533</t>
  </si>
  <si>
    <t>铬矿石</t>
  </si>
  <si>
    <t>101070601</t>
  </si>
  <si>
    <t>轻稀土矿</t>
  </si>
  <si>
    <t>101070602</t>
  </si>
  <si>
    <t>中重稀土矿</t>
  </si>
  <si>
    <t>101070603</t>
  </si>
  <si>
    <t>一等铜矿石</t>
  </si>
  <si>
    <t>101070604</t>
  </si>
  <si>
    <t>二等铜矿石</t>
  </si>
  <si>
    <t>101070605</t>
  </si>
  <si>
    <t>三等铜矿石</t>
  </si>
  <si>
    <t>101070606</t>
  </si>
  <si>
    <t>四等铜矿石</t>
  </si>
  <si>
    <t>101070607</t>
  </si>
  <si>
    <t>五等铜矿石</t>
  </si>
  <si>
    <t>101070608</t>
  </si>
  <si>
    <t>一等铅锌矿石</t>
  </si>
  <si>
    <t>101070609</t>
  </si>
  <si>
    <t>二等铅锌矿石</t>
  </si>
  <si>
    <t>101070610</t>
  </si>
  <si>
    <t>三等铅锌矿石</t>
  </si>
  <si>
    <t>101070611</t>
  </si>
  <si>
    <t>四等铅锌矿石</t>
  </si>
  <si>
    <t>101070612</t>
  </si>
  <si>
    <t>五等铅锌矿石</t>
  </si>
  <si>
    <t>101070613</t>
  </si>
  <si>
    <t>三等铝土矿</t>
  </si>
  <si>
    <t>101070614</t>
  </si>
  <si>
    <t>三等钨矿石</t>
  </si>
  <si>
    <t>101070615</t>
  </si>
  <si>
    <t>四等钨矿石</t>
  </si>
  <si>
    <t>101070616</t>
  </si>
  <si>
    <t>五等钨矿石</t>
  </si>
  <si>
    <t>101070617</t>
  </si>
  <si>
    <t>一等锡矿石</t>
  </si>
  <si>
    <t>101070618</t>
  </si>
  <si>
    <t>二等锡矿石</t>
  </si>
  <si>
    <t>101070619</t>
  </si>
  <si>
    <t>三等锡矿石</t>
  </si>
  <si>
    <t>101070620</t>
  </si>
  <si>
    <t>四等锡矿石</t>
  </si>
  <si>
    <t>101070621</t>
  </si>
  <si>
    <t>五等锡矿石</t>
  </si>
  <si>
    <t>101070622</t>
  </si>
  <si>
    <t>一等锑矿石</t>
  </si>
  <si>
    <t>101070623</t>
  </si>
  <si>
    <t>二等锑矿石</t>
  </si>
  <si>
    <t>101070624</t>
  </si>
  <si>
    <t>三等锑矿石</t>
  </si>
  <si>
    <t>101070625</t>
  </si>
  <si>
    <t>四等锑矿石</t>
  </si>
  <si>
    <t>101070626</t>
  </si>
  <si>
    <t>五等锑矿石</t>
  </si>
  <si>
    <t>101070627</t>
  </si>
  <si>
    <t>一等钼矿石</t>
  </si>
  <si>
    <t>101070628</t>
  </si>
  <si>
    <t>二等钼矿石</t>
  </si>
  <si>
    <t>101070629</t>
  </si>
  <si>
    <t>三等钼矿石</t>
  </si>
  <si>
    <t>101070630</t>
  </si>
  <si>
    <t>四等钼矿石</t>
  </si>
  <si>
    <t>101070631</t>
  </si>
  <si>
    <t>五等钼矿石</t>
  </si>
  <si>
    <t>101070632</t>
  </si>
  <si>
    <t>二等镍矿石</t>
  </si>
  <si>
    <t>101070633</t>
  </si>
  <si>
    <t>三等镍矿石</t>
  </si>
  <si>
    <t>101070634</t>
  </si>
  <si>
    <t>四等镍矿石</t>
  </si>
  <si>
    <t>101070635</t>
  </si>
  <si>
    <t>五等镍矿石</t>
  </si>
  <si>
    <t>101070636</t>
  </si>
  <si>
    <t>一等岩金矿石</t>
  </si>
  <si>
    <t>101070637</t>
  </si>
  <si>
    <t>二等岩金矿</t>
  </si>
  <si>
    <t>101070638</t>
  </si>
  <si>
    <t>三等岩金矿石</t>
  </si>
  <si>
    <t>101070639</t>
  </si>
  <si>
    <t>四等岩金矿石</t>
  </si>
  <si>
    <t>101070640</t>
  </si>
  <si>
    <t>五等岩金矿石</t>
  </si>
  <si>
    <t>101070641</t>
  </si>
  <si>
    <t>六等岩金矿石</t>
  </si>
  <si>
    <t>101070642</t>
  </si>
  <si>
    <t>七等岩金矿石</t>
  </si>
  <si>
    <t>101070643</t>
  </si>
  <si>
    <t>一等砂金矿</t>
  </si>
  <si>
    <t>101070644</t>
  </si>
  <si>
    <t>二等砂金矿</t>
  </si>
  <si>
    <t>101070645</t>
  </si>
  <si>
    <t>三等砂金矿</t>
  </si>
  <si>
    <t>101070646</t>
  </si>
  <si>
    <t>四等砂金矿</t>
  </si>
  <si>
    <t>101070647</t>
  </si>
  <si>
    <t>五等砂金矿</t>
  </si>
  <si>
    <t>101070648</t>
  </si>
  <si>
    <t>钒矿石</t>
  </si>
  <si>
    <t>101070649</t>
  </si>
  <si>
    <t>钨矿</t>
  </si>
  <si>
    <t>101070650</t>
  </si>
  <si>
    <t>钼矿</t>
  </si>
  <si>
    <t>101070699</t>
  </si>
  <si>
    <t>其他未列名有色金属矿原矿</t>
  </si>
  <si>
    <t>101070701</t>
  </si>
  <si>
    <t>北方海盐</t>
  </si>
  <si>
    <t>101070702</t>
  </si>
  <si>
    <t>南方海盐</t>
  </si>
  <si>
    <t>101070703</t>
  </si>
  <si>
    <t>井矿盐</t>
  </si>
  <si>
    <t>101070704</t>
  </si>
  <si>
    <t>湖盐</t>
  </si>
  <si>
    <t>101070705</t>
  </si>
  <si>
    <t>液体盐</t>
  </si>
  <si>
    <t>101071101</t>
  </si>
  <si>
    <t>煤炭</t>
  </si>
  <si>
    <t>101071102</t>
  </si>
  <si>
    <t>101071103</t>
  </si>
  <si>
    <t>101071104</t>
  </si>
  <si>
    <t>煤层（成）气</t>
  </si>
  <si>
    <t>101071201</t>
  </si>
  <si>
    <t>地热</t>
  </si>
  <si>
    <t>101071202</t>
  </si>
  <si>
    <t>铀矿</t>
  </si>
  <si>
    <t>101071203</t>
  </si>
  <si>
    <t>油页岩</t>
  </si>
  <si>
    <t>101071204</t>
  </si>
  <si>
    <t>石煤</t>
  </si>
  <si>
    <t>101071299</t>
  </si>
  <si>
    <t>其他未列名能源矿</t>
  </si>
  <si>
    <t>101072101</t>
  </si>
  <si>
    <t>铁矿</t>
  </si>
  <si>
    <t>101072102</t>
  </si>
  <si>
    <t>金矿</t>
  </si>
  <si>
    <t>101072103</t>
  </si>
  <si>
    <t>铜矿</t>
  </si>
  <si>
    <t>101072104</t>
  </si>
  <si>
    <t>铝土矿</t>
  </si>
  <si>
    <t>101072105</t>
  </si>
  <si>
    <t>铅锌矿</t>
  </si>
  <si>
    <t>101072106</t>
  </si>
  <si>
    <t>镍矿</t>
  </si>
  <si>
    <t>101072107</t>
  </si>
  <si>
    <t>锡矿</t>
  </si>
  <si>
    <t>101072108</t>
  </si>
  <si>
    <t>101072109</t>
  </si>
  <si>
    <t>101072110</t>
  </si>
  <si>
    <t>101072111</t>
  </si>
  <si>
    <t>101072201</t>
  </si>
  <si>
    <t>锰矿</t>
  </si>
  <si>
    <t>101072202</t>
  </si>
  <si>
    <t>银矿</t>
  </si>
  <si>
    <t>101072203</t>
  </si>
  <si>
    <t>锑矿</t>
  </si>
  <si>
    <t>101072204</t>
  </si>
  <si>
    <t>汞锑矿</t>
  </si>
  <si>
    <t>101072205</t>
  </si>
  <si>
    <t>铬矿</t>
  </si>
  <si>
    <t>101072206</t>
  </si>
  <si>
    <t>锂矿</t>
  </si>
  <si>
    <t>101072207</t>
  </si>
  <si>
    <t>钒矿</t>
  </si>
  <si>
    <t>101072208</t>
  </si>
  <si>
    <t>锶矿</t>
  </si>
  <si>
    <t>101072209</t>
  </si>
  <si>
    <t>钛矿</t>
  </si>
  <si>
    <t>101072210</t>
  </si>
  <si>
    <t>铂矿</t>
  </si>
  <si>
    <t>101072211</t>
  </si>
  <si>
    <t>钛锆矿</t>
  </si>
  <si>
    <t>101072212</t>
  </si>
  <si>
    <t>钽铌矿</t>
  </si>
  <si>
    <t>101072213</t>
  </si>
  <si>
    <t>锗矿</t>
  </si>
  <si>
    <t>101072214</t>
  </si>
  <si>
    <t>铍矿</t>
  </si>
  <si>
    <t>101072215</t>
  </si>
  <si>
    <t>铁铜矿</t>
  </si>
  <si>
    <t>101072299</t>
  </si>
  <si>
    <t>其他未列名金属矿</t>
  </si>
  <si>
    <t>101073101</t>
  </si>
  <si>
    <t>101073102</t>
  </si>
  <si>
    <t>101073103</t>
  </si>
  <si>
    <t>高岭土</t>
  </si>
  <si>
    <t>101073104</t>
  </si>
  <si>
    <t>101073105</t>
  </si>
  <si>
    <t>101073106</t>
  </si>
  <si>
    <t>101073107</t>
  </si>
  <si>
    <t>磷矿</t>
  </si>
  <si>
    <t>101073108</t>
  </si>
  <si>
    <t>氯化钾</t>
  </si>
  <si>
    <t>101073109</t>
  </si>
  <si>
    <t>硫酸钾</t>
  </si>
  <si>
    <t>101073110</t>
  </si>
  <si>
    <t>粘土</t>
  </si>
  <si>
    <t>101073111</t>
  </si>
  <si>
    <t>砂石</t>
  </si>
  <si>
    <t>101073112</t>
  </si>
  <si>
    <t>101073113</t>
  </si>
  <si>
    <t>101073114</t>
  </si>
  <si>
    <t>海盐</t>
  </si>
  <si>
    <t>101073115</t>
  </si>
  <si>
    <t>提取地下卤水晒制的盐</t>
  </si>
  <si>
    <t>101073201</t>
  </si>
  <si>
    <t>矿泉水</t>
  </si>
  <si>
    <t>101073202</t>
  </si>
  <si>
    <t>理岩</t>
  </si>
  <si>
    <t>101073203</t>
  </si>
  <si>
    <t>花岗岩</t>
  </si>
  <si>
    <t>101073204</t>
  </si>
  <si>
    <t>101073205</t>
  </si>
  <si>
    <t>石英岩</t>
  </si>
  <si>
    <t>101073206</t>
  </si>
  <si>
    <t>白云岩</t>
  </si>
  <si>
    <t>101073207</t>
  </si>
  <si>
    <t>101073208</t>
  </si>
  <si>
    <t>101073209</t>
  </si>
  <si>
    <t>101073210</t>
  </si>
  <si>
    <t>101073211</t>
  </si>
  <si>
    <t>玄武岩</t>
  </si>
  <si>
    <t>101073212</t>
  </si>
  <si>
    <t>101073213</t>
  </si>
  <si>
    <t>101073214</t>
  </si>
  <si>
    <t>101073215</t>
  </si>
  <si>
    <t>101073216</t>
  </si>
  <si>
    <t>页岩</t>
  </si>
  <si>
    <t>101073217</t>
  </si>
  <si>
    <t>方解石</t>
  </si>
  <si>
    <t>101073218</t>
  </si>
  <si>
    <t>101073219</t>
  </si>
  <si>
    <t>天然卤水</t>
  </si>
  <si>
    <t>101073220</t>
  </si>
  <si>
    <t>101073221</t>
  </si>
  <si>
    <t>辉绿岩</t>
  </si>
  <si>
    <t>101073222</t>
  </si>
  <si>
    <t>芒硝</t>
  </si>
  <si>
    <t>101073223</t>
  </si>
  <si>
    <t>101073224</t>
  </si>
  <si>
    <t>101073225</t>
  </si>
  <si>
    <t>陶瓷土</t>
  </si>
  <si>
    <t>101073226</t>
  </si>
  <si>
    <t>石棉</t>
  </si>
  <si>
    <t>101073227</t>
  </si>
  <si>
    <t>安山岩</t>
  </si>
  <si>
    <t>101073228</t>
  </si>
  <si>
    <t>101073229</t>
  </si>
  <si>
    <t>矽线石</t>
  </si>
  <si>
    <t>101073230</t>
  </si>
  <si>
    <t>凝灰岩</t>
  </si>
  <si>
    <t>101073231</t>
  </si>
  <si>
    <t>砂岩</t>
  </si>
  <si>
    <t>101073232</t>
  </si>
  <si>
    <t>叶腊石</t>
  </si>
  <si>
    <t>101073233</t>
  </si>
  <si>
    <t>板岩</t>
  </si>
  <si>
    <t>101073234</t>
  </si>
  <si>
    <t>101073235</t>
  </si>
  <si>
    <t>101073236</t>
  </si>
  <si>
    <t>角闪岩</t>
  </si>
  <si>
    <t>101073237</t>
  </si>
  <si>
    <t>脉石英</t>
  </si>
  <si>
    <t>101073238</t>
  </si>
  <si>
    <t>蛇纹岩</t>
  </si>
  <si>
    <t>101073239</t>
  </si>
  <si>
    <t>101073240</t>
  </si>
  <si>
    <t>透辉石</t>
  </si>
  <si>
    <t>101073241</t>
  </si>
  <si>
    <t>101073242</t>
  </si>
  <si>
    <t>硼矿</t>
  </si>
  <si>
    <t>101073243</t>
  </si>
  <si>
    <t>101073244</t>
  </si>
  <si>
    <t>浮石</t>
  </si>
  <si>
    <t>101073245</t>
  </si>
  <si>
    <t>片麻岩</t>
  </si>
  <si>
    <t>101073246</t>
  </si>
  <si>
    <t>101073247</t>
  </si>
  <si>
    <t>麦饭石</t>
  </si>
  <si>
    <t>101073248</t>
  </si>
  <si>
    <t>泥炭</t>
  </si>
  <si>
    <t>101073249</t>
  </si>
  <si>
    <t>闪长岩</t>
  </si>
  <si>
    <t>101073250</t>
  </si>
  <si>
    <t>明矾石</t>
  </si>
  <si>
    <t>101073251</t>
  </si>
  <si>
    <t>石英砂岩</t>
  </si>
  <si>
    <t>101073252</t>
  </si>
  <si>
    <t>橄榄岩</t>
  </si>
  <si>
    <t>101073253</t>
  </si>
  <si>
    <t>红柱石</t>
  </si>
  <si>
    <t>101073254</t>
  </si>
  <si>
    <t>蓝晶石</t>
  </si>
  <si>
    <t>101073255</t>
  </si>
  <si>
    <t>冰洲石</t>
  </si>
  <si>
    <t>101073256</t>
  </si>
  <si>
    <t>二氧化碳</t>
  </si>
  <si>
    <t>101073257</t>
  </si>
  <si>
    <t>海泡石</t>
  </si>
  <si>
    <t>101073258</t>
  </si>
  <si>
    <t>黑矅岩</t>
  </si>
  <si>
    <t>101073259</t>
  </si>
  <si>
    <t>红粒石</t>
  </si>
  <si>
    <t>101073260</t>
  </si>
  <si>
    <t>灰岩</t>
  </si>
  <si>
    <t>101073261</t>
  </si>
  <si>
    <t>辉长岩</t>
  </si>
  <si>
    <t>101073262</t>
  </si>
  <si>
    <t>火山灰</t>
  </si>
  <si>
    <t>101073263</t>
  </si>
  <si>
    <t>金刚石</t>
  </si>
  <si>
    <t>101073264</t>
  </si>
  <si>
    <t>绿泥石</t>
  </si>
  <si>
    <t>101073265</t>
  </si>
  <si>
    <t>玛瑙</t>
  </si>
  <si>
    <t>101073266</t>
  </si>
  <si>
    <t>矸石</t>
  </si>
  <si>
    <t>101073267</t>
  </si>
  <si>
    <t>木纹石</t>
  </si>
  <si>
    <t>101073268</t>
  </si>
  <si>
    <t>钠硝石</t>
  </si>
  <si>
    <t>101073269</t>
  </si>
  <si>
    <t>片岩</t>
  </si>
  <si>
    <t>101073270</t>
  </si>
  <si>
    <t>佘太玉</t>
  </si>
  <si>
    <t>101073271</t>
  </si>
  <si>
    <t>砷矿</t>
  </si>
  <si>
    <t>101073272</t>
  </si>
  <si>
    <t>石榴子石</t>
  </si>
  <si>
    <t>101073273</t>
  </si>
  <si>
    <t>水晶</t>
  </si>
  <si>
    <t>101073274</t>
  </si>
  <si>
    <t>天然沥青矿</t>
  </si>
  <si>
    <t>101073275</t>
  </si>
  <si>
    <t>霞石正长岩</t>
  </si>
  <si>
    <t>101073276</t>
  </si>
  <si>
    <t>皂石</t>
  </si>
  <si>
    <t>101073277</t>
  </si>
  <si>
    <t>黑滑石</t>
  </si>
  <si>
    <t>101073278</t>
  </si>
  <si>
    <t>贺兰石</t>
  </si>
  <si>
    <t>101073279</t>
  </si>
  <si>
    <t>绿松石</t>
  </si>
  <si>
    <t>101073280</t>
  </si>
  <si>
    <t>叶蜡石</t>
  </si>
  <si>
    <t>101073281</t>
  </si>
  <si>
    <t>巴林石</t>
  </si>
  <si>
    <t>101073282</t>
  </si>
  <si>
    <t>火山石</t>
  </si>
  <si>
    <t>101073283</t>
  </si>
  <si>
    <t>黄龙玉</t>
  </si>
  <si>
    <t>101073284</t>
  </si>
  <si>
    <t>水镁</t>
  </si>
  <si>
    <t>101073285</t>
  </si>
  <si>
    <t>天然泉水</t>
  </si>
  <si>
    <t>101073299</t>
  </si>
  <si>
    <t>其他未列名非金属矿</t>
  </si>
  <si>
    <t>101079601</t>
  </si>
  <si>
    <t>停征品目1</t>
  </si>
  <si>
    <t>101079602</t>
  </si>
  <si>
    <t>停征品目2</t>
  </si>
  <si>
    <t>101079603</t>
  </si>
  <si>
    <t>停征品目3</t>
  </si>
  <si>
    <t>101079800</t>
  </si>
  <si>
    <t>101079901</t>
  </si>
  <si>
    <t>101079902</t>
  </si>
  <si>
    <t>101089901</t>
  </si>
  <si>
    <t>101089902</t>
  </si>
  <si>
    <t>101089903</t>
  </si>
  <si>
    <t>固定资产投资方向调节税停征品目</t>
  </si>
  <si>
    <t>市区（增值税附征）</t>
  </si>
  <si>
    <t>101090102</t>
  </si>
  <si>
    <t>市区（营业税附征）</t>
  </si>
  <si>
    <t>101090103</t>
  </si>
  <si>
    <t>市区（消费税附征）</t>
  </si>
  <si>
    <t>101090201</t>
  </si>
  <si>
    <t>县城、镇（增值税附征）</t>
  </si>
  <si>
    <t>101090202</t>
  </si>
  <si>
    <t>县城、镇（营业税附征）</t>
  </si>
  <si>
    <t>101090203</t>
  </si>
  <si>
    <t>县城、镇（消费税附征）</t>
  </si>
  <si>
    <t>101090301</t>
  </si>
  <si>
    <t>非市区、县城、镇（增值税附征）</t>
  </si>
  <si>
    <t>101090302</t>
  </si>
  <si>
    <t>非市区、县城、镇（营业税附征）</t>
  </si>
  <si>
    <t>101090303</t>
  </si>
  <si>
    <t>非市区、县城、镇（消费税附征）</t>
  </si>
  <si>
    <t>101099901</t>
  </si>
  <si>
    <t>101099902</t>
  </si>
  <si>
    <t>101100700</t>
  </si>
  <si>
    <t>从价计征</t>
  </si>
  <si>
    <t>101100800</t>
  </si>
  <si>
    <t>从租计征</t>
  </si>
  <si>
    <t>101100900</t>
  </si>
  <si>
    <t>个人出租住房</t>
  </si>
  <si>
    <t>101109901</t>
  </si>
  <si>
    <t>101109902</t>
  </si>
  <si>
    <t>购销合同</t>
  </si>
  <si>
    <t>101110102</t>
  </si>
  <si>
    <t>加工承揽合同</t>
  </si>
  <si>
    <t>101110103</t>
  </si>
  <si>
    <t>建设工程勘察设计合同</t>
  </si>
  <si>
    <t>101110104</t>
  </si>
  <si>
    <t>建筑安装工程承包合同</t>
  </si>
  <si>
    <t>101110105</t>
  </si>
  <si>
    <t>财产租赁合同</t>
  </si>
  <si>
    <t>101110106</t>
  </si>
  <si>
    <t>货物运输合同(按运输费用万分之五贴花)</t>
  </si>
  <si>
    <t>101110107</t>
  </si>
  <si>
    <t>仓储保管合同</t>
  </si>
  <si>
    <t>101110108</t>
  </si>
  <si>
    <t>借款合同</t>
  </si>
  <si>
    <t>101110109</t>
  </si>
  <si>
    <t>财产保险合同</t>
  </si>
  <si>
    <t>101110110</t>
  </si>
  <si>
    <t>技术合同</t>
  </si>
  <si>
    <t>101110200</t>
  </si>
  <si>
    <t>产权转移书据</t>
  </si>
  <si>
    <t>101110301</t>
  </si>
  <si>
    <t>A种股票</t>
  </si>
  <si>
    <t>101110302</t>
  </si>
  <si>
    <t>B种股票</t>
  </si>
  <si>
    <t>101110303</t>
  </si>
  <si>
    <t>非交易转让股票A种股票</t>
  </si>
  <si>
    <t>101110304</t>
  </si>
  <si>
    <t>非交易转让股票B种股票</t>
  </si>
  <si>
    <t>101110305</t>
  </si>
  <si>
    <t>无偿划拨国有股权的股数</t>
  </si>
  <si>
    <t>101110306</t>
  </si>
  <si>
    <t>社保基金证券交易A种股票印花税</t>
  </si>
  <si>
    <t>101110307</t>
  </si>
  <si>
    <t>社保基金证券交易B种股票印花税</t>
  </si>
  <si>
    <t>101110400</t>
  </si>
  <si>
    <t>权利、许可证照</t>
  </si>
  <si>
    <t>101110501</t>
  </si>
  <si>
    <t>资金账簿</t>
  </si>
  <si>
    <t>101110599</t>
  </si>
  <si>
    <t>其他营业账簿</t>
  </si>
  <si>
    <t>101119800</t>
  </si>
  <si>
    <t>其他凭证</t>
  </si>
  <si>
    <t>101119901</t>
  </si>
  <si>
    <t>101119902</t>
  </si>
  <si>
    <t>101119903</t>
  </si>
  <si>
    <t>101120101</t>
  </si>
  <si>
    <t>城市土地使用税等级1</t>
  </si>
  <si>
    <t>101120102</t>
  </si>
  <si>
    <t>城市土地使用税等级2</t>
  </si>
  <si>
    <t>101120103</t>
  </si>
  <si>
    <t>城市土地使用税等级3</t>
  </si>
  <si>
    <t>101120104</t>
  </si>
  <si>
    <t>城市土地使用税等级4</t>
  </si>
  <si>
    <t>101120105</t>
  </si>
  <si>
    <t>城市土地使用税等级5</t>
  </si>
  <si>
    <t>101120106</t>
  </si>
  <si>
    <t>城市土地使用税等级6</t>
  </si>
  <si>
    <t>101120107</t>
  </si>
  <si>
    <t>城市土地使用税等级7</t>
  </si>
  <si>
    <t>101120108</t>
  </si>
  <si>
    <t>城市土地使用税等级8</t>
  </si>
  <si>
    <t>101120109</t>
  </si>
  <si>
    <t>城市土地使用税等级9</t>
  </si>
  <si>
    <t>101120110</t>
  </si>
  <si>
    <t>城市土地使用税等级10</t>
  </si>
  <si>
    <t>101120111</t>
  </si>
  <si>
    <t>城市土地使用税等级11</t>
  </si>
  <si>
    <t>101120112</t>
  </si>
  <si>
    <t>城市土地使用税等级12</t>
  </si>
  <si>
    <t>101120113</t>
  </si>
  <si>
    <t>城市土地使用税等级13</t>
  </si>
  <si>
    <t>101120114</t>
  </si>
  <si>
    <t>城市土地使用税等级14</t>
  </si>
  <si>
    <t>101120115</t>
  </si>
  <si>
    <t>城市土地使用税等级15</t>
  </si>
  <si>
    <t>101120199</t>
  </si>
  <si>
    <t>城市其他等级</t>
  </si>
  <si>
    <t>101120201</t>
  </si>
  <si>
    <t>县城土地使用税等级1</t>
  </si>
  <si>
    <t>101120202</t>
  </si>
  <si>
    <t>县城土地使用税等级2</t>
  </si>
  <si>
    <t>101120203</t>
  </si>
  <si>
    <t>县城土地使用税等级3</t>
  </si>
  <si>
    <t>101120204</t>
  </si>
  <si>
    <t>县城土地使用税等级4</t>
  </si>
  <si>
    <t>101120205</t>
  </si>
  <si>
    <t>县城土地使用税等级5</t>
  </si>
  <si>
    <t>101120206</t>
  </si>
  <si>
    <t>县城土地使用税等级6</t>
  </si>
  <si>
    <t>101120207</t>
  </si>
  <si>
    <t>县城土地使用税等级7</t>
  </si>
  <si>
    <t>101120208</t>
  </si>
  <si>
    <t>县城土地使用税等级8</t>
  </si>
  <si>
    <t>101120209</t>
  </si>
  <si>
    <t>县城土地使用税等级9</t>
  </si>
  <si>
    <t>101120210</t>
  </si>
  <si>
    <t>县城土地使用税等级10</t>
  </si>
  <si>
    <t>101120211</t>
  </si>
  <si>
    <t>县城土地使用税等级11</t>
  </si>
  <si>
    <t>101120212</t>
  </si>
  <si>
    <t>县城土地使用税等级12</t>
  </si>
  <si>
    <t>101120213</t>
  </si>
  <si>
    <t>县城土地使用税等级13</t>
  </si>
  <si>
    <t>101120214</t>
  </si>
  <si>
    <t>县城土地使用税等级14</t>
  </si>
  <si>
    <t>101120215</t>
  </si>
  <si>
    <t>县城土地使用税等级15</t>
  </si>
  <si>
    <t>101120299</t>
  </si>
  <si>
    <t>县城其他等级</t>
  </si>
  <si>
    <t>101120301</t>
  </si>
  <si>
    <t>建制镇土地使用税等级1</t>
  </si>
  <si>
    <t>101120302</t>
  </si>
  <si>
    <t>建制镇土地使用税等级2</t>
  </si>
  <si>
    <t>101120303</t>
  </si>
  <si>
    <t>建制镇土地使用税等级3</t>
  </si>
  <si>
    <t>101120304</t>
  </si>
  <si>
    <t>建制镇土地使用税等级4</t>
  </si>
  <si>
    <t>101120305</t>
  </si>
  <si>
    <t>建制镇土地使用税等级5</t>
  </si>
  <si>
    <t>101120306</t>
  </si>
  <si>
    <t>建制镇土地使用税等级6</t>
  </si>
  <si>
    <t>101120307</t>
  </si>
  <si>
    <t>建制镇土地使用税等级7</t>
  </si>
  <si>
    <t>101120308</t>
  </si>
  <si>
    <t>建制镇土地使用税等级8</t>
  </si>
  <si>
    <t>101120309</t>
  </si>
  <si>
    <t>建制镇土地使用税等级9</t>
  </si>
  <si>
    <t>101120310</t>
  </si>
  <si>
    <t>建制镇土地使用税等级10</t>
  </si>
  <si>
    <t>101120311</t>
  </si>
  <si>
    <t>建制镇土地使用税等级11</t>
  </si>
  <si>
    <t>101120312</t>
  </si>
  <si>
    <t>建制镇土地使用税等级12</t>
  </si>
  <si>
    <t>101120313</t>
  </si>
  <si>
    <t>建制镇土地使用税等级13</t>
  </si>
  <si>
    <t>101120314</t>
  </si>
  <si>
    <t>建制镇土地使用税等级14</t>
  </si>
  <si>
    <t>101120315</t>
  </si>
  <si>
    <t>建制镇土地使用税等级15</t>
  </si>
  <si>
    <t>101120399</t>
  </si>
  <si>
    <t>建制镇其他等级</t>
  </si>
  <si>
    <t>101120401</t>
  </si>
  <si>
    <t>工矿区土地使用税等级1</t>
  </si>
  <si>
    <t>101120402</t>
  </si>
  <si>
    <t>工矿区土地使用税等级2</t>
  </si>
  <si>
    <t>101120403</t>
  </si>
  <si>
    <t>工矿区土地使用税等级3</t>
  </si>
  <si>
    <t>101120404</t>
  </si>
  <si>
    <t>工矿区土地使用税等级4</t>
  </si>
  <si>
    <t>101120405</t>
  </si>
  <si>
    <t>工矿区土地使用税等级5</t>
  </si>
  <si>
    <t>101120406</t>
  </si>
  <si>
    <t>工矿区土地使用税等级6</t>
  </si>
  <si>
    <t>101120407</t>
  </si>
  <si>
    <t>工矿区土地使用税等级7</t>
  </si>
  <si>
    <t>101120408</t>
  </si>
  <si>
    <t>工矿区土地使用税等级8</t>
  </si>
  <si>
    <t>101120409</t>
  </si>
  <si>
    <t>工矿区土地使用税等级9</t>
  </si>
  <si>
    <t>101120410</t>
  </si>
  <si>
    <t>工矿区土地使用税等级10</t>
  </si>
  <si>
    <t>101120411</t>
  </si>
  <si>
    <t>工矿区土地使用税等级11</t>
  </si>
  <si>
    <t>101120412</t>
  </si>
  <si>
    <t>工矿区土地使用税等级12</t>
  </si>
  <si>
    <t>101120413</t>
  </si>
  <si>
    <t>工矿区土地使用税等级13</t>
  </si>
  <si>
    <t>101120414</t>
  </si>
  <si>
    <t>工矿区土地使用税等级14</t>
  </si>
  <si>
    <t>101120415</t>
  </si>
  <si>
    <t>工矿区土地使用税等级15</t>
  </si>
  <si>
    <t>101120499</t>
  </si>
  <si>
    <t>工矿区其他等级</t>
  </si>
  <si>
    <t>101129901</t>
  </si>
  <si>
    <t>101129902</t>
  </si>
  <si>
    <t>101130500</t>
  </si>
  <si>
    <t>普通住宅</t>
  </si>
  <si>
    <t>101130501</t>
  </si>
  <si>
    <t>普通住宅（预征）</t>
  </si>
  <si>
    <t>101130502</t>
  </si>
  <si>
    <t>非普通住宅（预征）</t>
  </si>
  <si>
    <t>101130503</t>
  </si>
  <si>
    <t>其他类型房地产（预征）</t>
  </si>
  <si>
    <t>101130600</t>
  </si>
  <si>
    <t>非普通住宅</t>
  </si>
  <si>
    <t>101130601</t>
  </si>
  <si>
    <t>普通住宅（清算）</t>
  </si>
  <si>
    <t>101130602</t>
  </si>
  <si>
    <t>非普通住宅（清算）</t>
  </si>
  <si>
    <t>101130603</t>
  </si>
  <si>
    <t>其他类型房地产（清算）</t>
  </si>
  <si>
    <t>101130700</t>
  </si>
  <si>
    <t>旧房转让（非核定方式）</t>
  </si>
  <si>
    <t>101130801</t>
  </si>
  <si>
    <t>普通住宅（尾盘）</t>
  </si>
  <si>
    <t>101130802</t>
  </si>
  <si>
    <t>非普通住宅（尾盘）</t>
  </si>
  <si>
    <t>101130803</t>
  </si>
  <si>
    <t>其他类型房地产（尾盘）</t>
  </si>
  <si>
    <t>101130901</t>
  </si>
  <si>
    <t>普通住宅（核定）</t>
  </si>
  <si>
    <t>101130902</t>
  </si>
  <si>
    <t>非普通住宅（核定）</t>
  </si>
  <si>
    <t>101130903</t>
  </si>
  <si>
    <t>其他类型房地产（核定）</t>
  </si>
  <si>
    <t>101131000</t>
  </si>
  <si>
    <t>整体转让在建工程</t>
  </si>
  <si>
    <t>101131100</t>
  </si>
  <si>
    <t>旧房转让（核定方式）</t>
  </si>
  <si>
    <t>101139901</t>
  </si>
  <si>
    <t>101139902</t>
  </si>
  <si>
    <t>101140101</t>
  </si>
  <si>
    <t>101140102</t>
  </si>
  <si>
    <t>1.0升以上至1.6升(含)的乘用车</t>
  </si>
  <si>
    <t>101140103</t>
  </si>
  <si>
    <t>1.6升以上至2.0升(含)的乘用车</t>
  </si>
  <si>
    <t>101140104</t>
  </si>
  <si>
    <t>101140105</t>
  </si>
  <si>
    <t>101140106</t>
  </si>
  <si>
    <t>101140107</t>
  </si>
  <si>
    <t>101140211</t>
  </si>
  <si>
    <t>核定载客人数20人以下客车</t>
  </si>
  <si>
    <t>101140212</t>
  </si>
  <si>
    <t>核定载客人数20人（含）以上客车</t>
  </si>
  <si>
    <t>101140220</t>
  </si>
  <si>
    <t>货车</t>
  </si>
  <si>
    <t>101140300</t>
  </si>
  <si>
    <t>挂车</t>
  </si>
  <si>
    <t>101140400</t>
  </si>
  <si>
    <t>101140501</t>
  </si>
  <si>
    <t>专用作业车</t>
  </si>
  <si>
    <t>101140502</t>
  </si>
  <si>
    <t>轮式专用机械车</t>
  </si>
  <si>
    <t>101140610</t>
  </si>
  <si>
    <t>101140611</t>
  </si>
  <si>
    <t>净吨位小于或者等于200吨的机动船舶</t>
  </si>
  <si>
    <t>101140612</t>
  </si>
  <si>
    <t>净吨位201吨至2000吨的机动船舶</t>
  </si>
  <si>
    <t>101140613</t>
  </si>
  <si>
    <t>净吨位2001吨至10000吨的机动船舶</t>
  </si>
  <si>
    <t>101140614</t>
  </si>
  <si>
    <t>净吨位10001吨及以上的机动船舶</t>
  </si>
  <si>
    <t>101140620</t>
  </si>
  <si>
    <t>拖船、非机动驳船</t>
  </si>
  <si>
    <t>101140621</t>
  </si>
  <si>
    <t>净吨位不超过200吨的拖船、非机动驳船</t>
  </si>
  <si>
    <t>101140622</t>
  </si>
  <si>
    <t>净吨位超过200吨但不超过2000吨的拖船、非机动驳船</t>
  </si>
  <si>
    <t>101140623</t>
  </si>
  <si>
    <t>净吨位超过2000吨但不超过10000吨的拖船、非机动驳船</t>
  </si>
  <si>
    <t>101140624</t>
  </si>
  <si>
    <t>净吨位超过10000吨的拖船、机动驳船</t>
  </si>
  <si>
    <t>101140630</t>
  </si>
  <si>
    <t>101140631</t>
  </si>
  <si>
    <t>艇身长度不超过10米的游艇</t>
  </si>
  <si>
    <t>101140632</t>
  </si>
  <si>
    <t>艇身长度超过10米但不超过18米的游艇</t>
  </si>
  <si>
    <t>101140633</t>
  </si>
  <si>
    <t>艇身长度超过18米但不超过30米的游艇</t>
  </si>
  <si>
    <t>101140634</t>
  </si>
  <si>
    <t>艇身长度超过30米的游艇</t>
  </si>
  <si>
    <t>101140635</t>
  </si>
  <si>
    <t>辅助动力帆艇</t>
  </si>
  <si>
    <t>101149601</t>
  </si>
  <si>
    <t>101149901</t>
  </si>
  <si>
    <t>101149902</t>
  </si>
  <si>
    <t>101159901</t>
  </si>
  <si>
    <t>101159902</t>
  </si>
  <si>
    <t>101160000</t>
  </si>
  <si>
    <t>101169901</t>
  </si>
  <si>
    <t>101169902</t>
  </si>
  <si>
    <t>101180101</t>
  </si>
  <si>
    <t>耕地（基本农田）</t>
  </si>
  <si>
    <t>101180102</t>
  </si>
  <si>
    <t>耕地（非基本农田）</t>
  </si>
  <si>
    <t>101180200</t>
  </si>
  <si>
    <t>林地</t>
  </si>
  <si>
    <t>101180300</t>
  </si>
  <si>
    <t>牧草地</t>
  </si>
  <si>
    <t>101180400</t>
  </si>
  <si>
    <t>农田水利用地</t>
  </si>
  <si>
    <t>101180501</t>
  </si>
  <si>
    <t>养殖水面</t>
  </si>
  <si>
    <t>101180502</t>
  </si>
  <si>
    <t>渔业水域滩涂</t>
  </si>
  <si>
    <t>101180600</t>
  </si>
  <si>
    <t>园地</t>
  </si>
  <si>
    <t>101180700</t>
  </si>
  <si>
    <t>草地</t>
  </si>
  <si>
    <t>101180800</t>
  </si>
  <si>
    <t>苇田</t>
  </si>
  <si>
    <t>101189800</t>
  </si>
  <si>
    <t>其他农业用地</t>
  </si>
  <si>
    <t>101189901</t>
  </si>
  <si>
    <t>101189902</t>
  </si>
  <si>
    <t>101190101</t>
  </si>
  <si>
    <t>国有土地使用权出让契税</t>
  </si>
  <si>
    <t>101190102</t>
  </si>
  <si>
    <t>居住用地</t>
  </si>
  <si>
    <t>101190103</t>
  </si>
  <si>
    <t>商业用地</t>
  </si>
  <si>
    <t>101190104</t>
  </si>
  <si>
    <t>工业用地</t>
  </si>
  <si>
    <t>101190105</t>
  </si>
  <si>
    <t>综合用地</t>
  </si>
  <si>
    <t>101190190</t>
  </si>
  <si>
    <t>其他用地</t>
  </si>
  <si>
    <t>101190201</t>
  </si>
  <si>
    <t>土地使用权转让(出售、赠与和交换)契税</t>
  </si>
  <si>
    <t>101190211</t>
  </si>
  <si>
    <t>土地使用权出售（居住用地）</t>
  </si>
  <si>
    <t>101190212</t>
  </si>
  <si>
    <t>土地使用权出售（商业用地）</t>
  </si>
  <si>
    <t>101190213</t>
  </si>
  <si>
    <t>土地使用权出售（工业用地）</t>
  </si>
  <si>
    <t>101190214</t>
  </si>
  <si>
    <t>土地使用权出售（综合用地）</t>
  </si>
  <si>
    <t>101190219</t>
  </si>
  <si>
    <t>土地使用权出售（其他用地）</t>
  </si>
  <si>
    <t>101190221</t>
  </si>
  <si>
    <t>土地使用权赠与（居住用地）</t>
  </si>
  <si>
    <t>101190222</t>
  </si>
  <si>
    <t>土地使用权赠与（商业用地）</t>
  </si>
  <si>
    <t>101190223</t>
  </si>
  <si>
    <t>土地使用权赠与（工业用地）</t>
  </si>
  <si>
    <t>101190224</t>
  </si>
  <si>
    <t>土地使用权赠与（综合用地）</t>
  </si>
  <si>
    <t>101190229</t>
  </si>
  <si>
    <t>土地使用权赠与（其他用地）</t>
  </si>
  <si>
    <t>101190231</t>
  </si>
  <si>
    <t>土地使用权交换（居住用地）</t>
  </si>
  <si>
    <t>101190232</t>
  </si>
  <si>
    <t>土地使用权交换（商业用地）</t>
  </si>
  <si>
    <t>101190233</t>
  </si>
  <si>
    <t>土地使用权交换（工业用地）</t>
  </si>
  <si>
    <t>101190234</t>
  </si>
  <si>
    <t>土地使用权交换（综合用地）</t>
  </si>
  <si>
    <t>101190239</t>
  </si>
  <si>
    <t>土地使用权交换（其他用地）</t>
  </si>
  <si>
    <t>101190241</t>
  </si>
  <si>
    <t>土地使用权作价投资、入股（居住用地）</t>
  </si>
  <si>
    <t>101190242</t>
  </si>
  <si>
    <t>土地使用权作价投资、入股（商业用地）</t>
  </si>
  <si>
    <t>101190243</t>
  </si>
  <si>
    <t>土地使用权作价投资、入股（工业用地）</t>
  </si>
  <si>
    <t>101190244</t>
  </si>
  <si>
    <t>土地使用权作价投资、入股（综合用地）</t>
  </si>
  <si>
    <t>101190249</t>
  </si>
  <si>
    <t>土地使用权作价投资、入股（其他用地）</t>
  </si>
  <si>
    <t>101190301</t>
  </si>
  <si>
    <t>住房买卖</t>
  </si>
  <si>
    <t>101190302</t>
  </si>
  <si>
    <t>他房屋买卖</t>
  </si>
  <si>
    <t>101190303</t>
  </si>
  <si>
    <t>其他买卖</t>
  </si>
  <si>
    <t>101190401</t>
  </si>
  <si>
    <t>住房赠与</t>
  </si>
  <si>
    <t>101190402</t>
  </si>
  <si>
    <t>其他房屋赠与</t>
  </si>
  <si>
    <t>101190403</t>
  </si>
  <si>
    <t>其他赠与</t>
  </si>
  <si>
    <t>101190501</t>
  </si>
  <si>
    <t>住房交换</t>
  </si>
  <si>
    <t>101190502</t>
  </si>
  <si>
    <t>其他房屋交换</t>
  </si>
  <si>
    <t>101190503</t>
  </si>
  <si>
    <t>其他交换</t>
  </si>
  <si>
    <t>101191111</t>
  </si>
  <si>
    <t>增量房（商品住房买卖）</t>
  </si>
  <si>
    <t>101191112</t>
  </si>
  <si>
    <t>增量房（保障性住房买卖）</t>
  </si>
  <si>
    <t>101191119</t>
  </si>
  <si>
    <t>增量房（其他住房买卖）</t>
  </si>
  <si>
    <t>101191121</t>
  </si>
  <si>
    <t>增量房非住房买卖（商业）</t>
  </si>
  <si>
    <t>101191122</t>
  </si>
  <si>
    <t>增量房非住房买卖（办公）</t>
  </si>
  <si>
    <t>101191123</t>
  </si>
  <si>
    <t>增量房非住房买卖（商住）</t>
  </si>
  <si>
    <t>101191124</t>
  </si>
  <si>
    <t>增量房非住房买卖（附属建筑）</t>
  </si>
  <si>
    <t>101191125</t>
  </si>
  <si>
    <t>增量房非住房买卖（工业）</t>
  </si>
  <si>
    <t>101191129</t>
  </si>
  <si>
    <t>增量房非住房买卖（其他）</t>
  </si>
  <si>
    <t>101191211</t>
  </si>
  <si>
    <t>存量房（商品住房买卖）</t>
  </si>
  <si>
    <t>101191212</t>
  </si>
  <si>
    <t>存量房（保障性住房买卖）</t>
  </si>
  <si>
    <t>101191219</t>
  </si>
  <si>
    <t>存量房（其他住房买卖）</t>
  </si>
  <si>
    <t>101191221</t>
  </si>
  <si>
    <t>存量房非住房买卖（商业）</t>
  </si>
  <si>
    <t>101191222</t>
  </si>
  <si>
    <t>存量房非住房买卖（办公）</t>
  </si>
  <si>
    <t>101191223</t>
  </si>
  <si>
    <t>存量房非住房买卖（商住）</t>
  </si>
  <si>
    <t>101191224</t>
  </si>
  <si>
    <t>存量房非住房买卖（附属建筑）</t>
  </si>
  <si>
    <t>101191225</t>
  </si>
  <si>
    <t>存量房非住房买卖（工业）</t>
  </si>
  <si>
    <t>101191229</t>
  </si>
  <si>
    <t>存量房非住房买卖（其他）</t>
  </si>
  <si>
    <t>101192111</t>
  </si>
  <si>
    <t>增量房（商品住房赠与）</t>
  </si>
  <si>
    <t>101192112</t>
  </si>
  <si>
    <t>增量房（保障性住房赠与）</t>
  </si>
  <si>
    <t>101192119</t>
  </si>
  <si>
    <t>增量房（其他住房赠与）</t>
  </si>
  <si>
    <t>101192121</t>
  </si>
  <si>
    <t>增量房非住房赠与（商业）</t>
  </si>
  <si>
    <t>101192122</t>
  </si>
  <si>
    <t>增量房非住房赠与（办公）</t>
  </si>
  <si>
    <t>101192123</t>
  </si>
  <si>
    <t>增量房非住房赠与（商住）</t>
  </si>
  <si>
    <t>101192124</t>
  </si>
  <si>
    <t>增量房非住房赠与（附属建筑）</t>
  </si>
  <si>
    <t>101192125</t>
  </si>
  <si>
    <t>增量房非住房赠与（工业）</t>
  </si>
  <si>
    <t>101192129</t>
  </si>
  <si>
    <t>增量房非住房赠与（其他）</t>
  </si>
  <si>
    <t>101192211</t>
  </si>
  <si>
    <t>存量房（商品住房赠与）</t>
  </si>
  <si>
    <t>101192212</t>
  </si>
  <si>
    <t>存量房（保障性住房赠与）</t>
  </si>
  <si>
    <t>101192219</t>
  </si>
  <si>
    <t>存量房（其他住房赠与）</t>
  </si>
  <si>
    <t>101192221</t>
  </si>
  <si>
    <t>存量房非住房赠与（商业）</t>
  </si>
  <si>
    <t>101192222</t>
  </si>
  <si>
    <t>存量房非住房赠与（办公）</t>
  </si>
  <si>
    <t>101192223</t>
  </si>
  <si>
    <t>存量房非住房赠与（商住）</t>
  </si>
  <si>
    <t>101192224</t>
  </si>
  <si>
    <t>存量房非住房赠与（附属建筑）</t>
  </si>
  <si>
    <t>101192225</t>
  </si>
  <si>
    <t>存量房非住房赠与（工业）</t>
  </si>
  <si>
    <t>101192229</t>
  </si>
  <si>
    <t>存量房非住房赠与（其他）</t>
  </si>
  <si>
    <t>101193000</t>
  </si>
  <si>
    <t>房屋交换</t>
  </si>
  <si>
    <t>101194100</t>
  </si>
  <si>
    <t>住房作价入股</t>
  </si>
  <si>
    <t>101194201</t>
  </si>
  <si>
    <t>非住房作价入股（商业）</t>
  </si>
  <si>
    <t>101194202</t>
  </si>
  <si>
    <t>非住房作价入股（办公）</t>
  </si>
  <si>
    <t>101194203</t>
  </si>
  <si>
    <t>非住房作价入股（商住）</t>
  </si>
  <si>
    <t>101194204</t>
  </si>
  <si>
    <t>非住房作价入股（附属建筑）</t>
  </si>
  <si>
    <t>101194205</t>
  </si>
  <si>
    <t>非住房作价入股（工业）</t>
  </si>
  <si>
    <t>101194290</t>
  </si>
  <si>
    <t>非住房作价入股（其他）</t>
  </si>
  <si>
    <t>101195000</t>
  </si>
  <si>
    <t>房屋其他权属转移方式</t>
  </si>
  <si>
    <t>101199901</t>
  </si>
  <si>
    <t>101199902</t>
  </si>
  <si>
    <t>101200100</t>
  </si>
  <si>
    <t>晾晒烟叶</t>
  </si>
  <si>
    <t>101200200</t>
  </si>
  <si>
    <t>烤烟叶</t>
  </si>
  <si>
    <t>101209901</t>
  </si>
  <si>
    <t>101209902</t>
  </si>
  <si>
    <t>101259601</t>
  </si>
  <si>
    <t>屠宰税废止品目</t>
  </si>
  <si>
    <t>101999901</t>
  </si>
  <si>
    <t>101999902</t>
  </si>
  <si>
    <t>102011101</t>
  </si>
  <si>
    <t>职工基本养老保险(单位缴纳)</t>
  </si>
  <si>
    <t>102011102</t>
  </si>
  <si>
    <t>职工基本养老保险(个人缴纳)</t>
  </si>
  <si>
    <t>102011103</t>
  </si>
  <si>
    <t>职工基本养老保险(单位缴纳)利息</t>
  </si>
  <si>
    <t>102011104</t>
  </si>
  <si>
    <t>职工基本养老保险(个人缴纳)利息</t>
  </si>
  <si>
    <t>102011105</t>
  </si>
  <si>
    <t>职工基本养老保险(单位缴纳)滞纳金</t>
  </si>
  <si>
    <t>102011106</t>
  </si>
  <si>
    <t>职工基本养老保险(个人缴纳)滞纳金</t>
  </si>
  <si>
    <t>102011107</t>
  </si>
  <si>
    <t>职工基本养老保险罚款</t>
  </si>
  <si>
    <t>102011201</t>
  </si>
  <si>
    <t>个人身份基本养老保险</t>
  </si>
  <si>
    <t>102011202</t>
  </si>
  <si>
    <t>个人身份基本养老保险利息</t>
  </si>
  <si>
    <t>102011301</t>
  </si>
  <si>
    <t>机关事业单位人员养老保险(单位缴纳)</t>
  </si>
  <si>
    <t>102011302</t>
  </si>
  <si>
    <t>机关事业单位人员养老保险(个人缴纳)</t>
  </si>
  <si>
    <t>102011303</t>
  </si>
  <si>
    <t>机关事业单位人员养老保险(单位缴纳)利息</t>
  </si>
  <si>
    <t>102011304</t>
  </si>
  <si>
    <t>机关事业单位人员养老保险(个人缴纳)利息</t>
  </si>
  <si>
    <t>102011305</t>
  </si>
  <si>
    <t>机关事业单位人员养老保险(单位缴纳)滞纳金</t>
  </si>
  <si>
    <t>102011306</t>
  </si>
  <si>
    <t>机关事业单位人员养老保险(个人缴纳)滞纳金</t>
  </si>
  <si>
    <t>102011307</t>
  </si>
  <si>
    <t>机关事业单位人员养老保险罚款</t>
  </si>
  <si>
    <t>102011401</t>
  </si>
  <si>
    <t>新型农村社会养老保险</t>
  </si>
  <si>
    <t>102011402</t>
  </si>
  <si>
    <t>新型农村社会养老保险利息</t>
  </si>
  <si>
    <t>102011403</t>
  </si>
  <si>
    <t>新型农村社会养老保险滞纳金</t>
  </si>
  <si>
    <t>102011501</t>
  </si>
  <si>
    <t>城镇居民社会养老保险</t>
  </si>
  <si>
    <t>102011502</t>
  </si>
  <si>
    <t>城镇居民社会养老保险利息</t>
  </si>
  <si>
    <t>102011601</t>
  </si>
  <si>
    <t>超龄人员养老保险</t>
  </si>
  <si>
    <t>102011602</t>
  </si>
  <si>
    <t>超龄人员养老保险利息</t>
  </si>
  <si>
    <t>102011603</t>
  </si>
  <si>
    <t>超龄人员养老保险滞纳金</t>
  </si>
  <si>
    <t>102011701</t>
  </si>
  <si>
    <t>被征地农转非人员基本养老保险（单位缴纳）</t>
  </si>
  <si>
    <t>102011702</t>
  </si>
  <si>
    <t>被征地农转非人员基本养老保险（个人缴纳）</t>
  </si>
  <si>
    <t>102011703</t>
  </si>
  <si>
    <t>被征地农转非人员基本养老保险（单位缴纳）利息</t>
  </si>
  <si>
    <t>102011704</t>
  </si>
  <si>
    <t>被征地农转非人员基本养老保险（个人缴纳）利息</t>
  </si>
  <si>
    <t>102011705</t>
  </si>
  <si>
    <t>被征地农转非人员基本养老保险（单位缴纳）滞纳金</t>
  </si>
  <si>
    <t>102011706</t>
  </si>
  <si>
    <t>被征地农转非人员基本养老保险（个人缴纳）滞纳金</t>
  </si>
  <si>
    <t>102011801</t>
  </si>
  <si>
    <t>行业统筹企业基本养老保险（单位缴纳）</t>
  </si>
  <si>
    <t>102011802</t>
  </si>
  <si>
    <t>行业统筹企业基本养老保险（个人缴纳）</t>
  </si>
  <si>
    <t>102011803</t>
  </si>
  <si>
    <t>行业统筹企业基本养老保险（单位缴纳）利息</t>
  </si>
  <si>
    <t>102011804</t>
  </si>
  <si>
    <t>行业统筹企业基本养老保险（个人缴纳）利息</t>
  </si>
  <si>
    <t>102011805</t>
  </si>
  <si>
    <t>行业统筹企业基本养老保险（单位缴纳）滞纳金</t>
  </si>
  <si>
    <t>102011806</t>
  </si>
  <si>
    <t>行业统筹企业基本养老保险（个人缴纳）滞纳金</t>
  </si>
  <si>
    <t>102011807</t>
  </si>
  <si>
    <t>行业统筹企业基本养老保险罚款</t>
  </si>
  <si>
    <t>102011901</t>
  </si>
  <si>
    <t>机关事业单位职业年金（单位缴费）</t>
  </si>
  <si>
    <t>102011902</t>
  </si>
  <si>
    <t>机关事业单位职业年金（个人缴费）</t>
  </si>
  <si>
    <t>102011903</t>
  </si>
  <si>
    <t>机关事业单位职业年金缴费利息（单位）</t>
  </si>
  <si>
    <t>102011904</t>
  </si>
  <si>
    <t>机关事业单位职业年金缴费利息（个人）</t>
  </si>
  <si>
    <t>102011905</t>
  </si>
  <si>
    <t>机关事业单位职业年金缴费滞纳金（单位）</t>
  </si>
  <si>
    <t>102011906</t>
  </si>
  <si>
    <t>机关事业单位职业年金缴费滞纳金（个人）</t>
  </si>
  <si>
    <t>102019901</t>
  </si>
  <si>
    <t>养老保险职业年金</t>
  </si>
  <si>
    <t>102019903</t>
  </si>
  <si>
    <t>养老保险职业年金利息</t>
  </si>
  <si>
    <t>102019905</t>
  </si>
  <si>
    <t>养老保险职业年金滞纳金</t>
  </si>
  <si>
    <t>102019907</t>
  </si>
  <si>
    <t>养老保险职业年金罚款</t>
  </si>
  <si>
    <t>其他养老保险</t>
  </si>
  <si>
    <t>102019973</t>
  </si>
  <si>
    <t>其他养老保险利息</t>
  </si>
  <si>
    <t>102019975</t>
  </si>
  <si>
    <t>其他养老保险滞纳金</t>
  </si>
  <si>
    <t>102019977</t>
  </si>
  <si>
    <t>其他养老保险罚款</t>
  </si>
  <si>
    <t>102020101</t>
  </si>
  <si>
    <t>失业保险(单位缴纳)</t>
  </si>
  <si>
    <t>102020102</t>
  </si>
  <si>
    <t>失业保险(个人缴纳)</t>
  </si>
  <si>
    <t>102020103</t>
  </si>
  <si>
    <t>失业保险(单位缴纳)利息</t>
  </si>
  <si>
    <t>102020104</t>
  </si>
  <si>
    <t>失业保险(个人缴纳)利息</t>
  </si>
  <si>
    <t>102020105</t>
  </si>
  <si>
    <t>失业保险(单位缴纳)滞纳金</t>
  </si>
  <si>
    <t>102020106</t>
  </si>
  <si>
    <t>失业保险(个人缴纳)滞纳金</t>
  </si>
  <si>
    <t>102020107</t>
  </si>
  <si>
    <t>失业保险罚款</t>
  </si>
  <si>
    <t>其他失业保险</t>
  </si>
  <si>
    <t>102029973</t>
  </si>
  <si>
    <t>其他失业保险利息</t>
  </si>
  <si>
    <t>102029975</t>
  </si>
  <si>
    <t>其他失业保险滞纳金</t>
  </si>
  <si>
    <t>102029977</t>
  </si>
  <si>
    <t>其他失业保险罚款</t>
  </si>
  <si>
    <t>102031101</t>
  </si>
  <si>
    <t>职工基本医疗保险(单位缴纳)</t>
  </si>
  <si>
    <t>102031102</t>
  </si>
  <si>
    <t>职工基本医疗保险(个人缴纳)</t>
  </si>
  <si>
    <t>102031103</t>
  </si>
  <si>
    <t>职工基本医疗保险(单位缴纳)利息</t>
  </si>
  <si>
    <t>102031104</t>
  </si>
  <si>
    <t>职工基本医疗保险(个人缴纳)利息</t>
  </si>
  <si>
    <t>102031105</t>
  </si>
  <si>
    <t>职工基本医疗保险(单位缴纳)滞纳金</t>
  </si>
  <si>
    <t>102031106</t>
  </si>
  <si>
    <t>职工基本医疗保险(个人缴纳)滞纳金</t>
  </si>
  <si>
    <t>102031107</t>
  </si>
  <si>
    <t>职工基本医疗保险罚款</t>
  </si>
  <si>
    <t>102031201</t>
  </si>
  <si>
    <t>个人身份基本医疗保险</t>
  </si>
  <si>
    <t>102031202</t>
  </si>
  <si>
    <t>个人身份基本医疗保险利息</t>
  </si>
  <si>
    <t>102031301</t>
  </si>
  <si>
    <t>新型农村合作医疗</t>
  </si>
  <si>
    <t>102031302</t>
  </si>
  <si>
    <t>新型农村合作医疗利息</t>
  </si>
  <si>
    <t>102031501</t>
  </si>
  <si>
    <t>住院医疗保险</t>
  </si>
  <si>
    <t>102031502</t>
  </si>
  <si>
    <t>住院医疗保险利息</t>
  </si>
  <si>
    <t>102031503</t>
  </si>
  <si>
    <t>住院医疗保险滞纳金</t>
  </si>
  <si>
    <t>102031601</t>
  </si>
  <si>
    <t>职工大额医疗互助保险(单位缴纳)</t>
  </si>
  <si>
    <t>102031602</t>
  </si>
  <si>
    <t>职工大额医疗互助保险(个人缴纳)</t>
  </si>
  <si>
    <t>102031605</t>
  </si>
  <si>
    <t>职工大额医疗互助保险利息（单位）</t>
  </si>
  <si>
    <t>102031606</t>
  </si>
  <si>
    <t>职工大额医疗互助保险利息（个人）</t>
  </si>
  <si>
    <t>102031607</t>
  </si>
  <si>
    <t>职工大额医疗互助保险滞纳金（单位）</t>
  </si>
  <si>
    <t>102031608</t>
  </si>
  <si>
    <t>职工大额医疗互助保险滞纳金（个人）</t>
  </si>
  <si>
    <t>102031701</t>
  </si>
  <si>
    <t>个人身份职工大额医疗互助保险</t>
  </si>
  <si>
    <t>102031702</t>
  </si>
  <si>
    <t>个人身份职工大额医疗互助保险利息</t>
  </si>
  <si>
    <t>102031801</t>
  </si>
  <si>
    <t>单建统筹医疗保险</t>
  </si>
  <si>
    <t>102031802</t>
  </si>
  <si>
    <t>单建统筹医疗保险滞纳金</t>
  </si>
  <si>
    <t>102031803</t>
  </si>
  <si>
    <t>单建统筹医疗保利息</t>
  </si>
  <si>
    <t>102039901</t>
  </si>
  <si>
    <t>公务员医疗补助</t>
  </si>
  <si>
    <t>102039903</t>
  </si>
  <si>
    <t>公务员医疗补助利息</t>
  </si>
  <si>
    <t>102039904</t>
  </si>
  <si>
    <t>其他医疗保险滞纳金</t>
  </si>
  <si>
    <t>102039905</t>
  </si>
  <si>
    <t>公务员医疗补助滞纳金</t>
  </si>
  <si>
    <t>102039907</t>
  </si>
  <si>
    <t>公务员医疗补助罚款</t>
  </si>
  <si>
    <t>其他医疗保险</t>
  </si>
  <si>
    <t>102039973</t>
  </si>
  <si>
    <t>其他医疗保险利息</t>
  </si>
  <si>
    <t>102039977</t>
  </si>
  <si>
    <t>其他医疗保险罚款</t>
  </si>
  <si>
    <t>工伤保险</t>
  </si>
  <si>
    <t>102040102</t>
  </si>
  <si>
    <t>工伤保险利息</t>
  </si>
  <si>
    <t>102040103</t>
  </si>
  <si>
    <t>工伤保险滞纳金</t>
  </si>
  <si>
    <t>102040104</t>
  </si>
  <si>
    <t>工伤保险罚款</t>
  </si>
  <si>
    <t>102049900</t>
  </si>
  <si>
    <t>其他工伤保险</t>
  </si>
  <si>
    <t>生育保险</t>
  </si>
  <si>
    <t>102050102</t>
  </si>
  <si>
    <t>生育保险利息</t>
  </si>
  <si>
    <t>102050103</t>
  </si>
  <si>
    <t>生育保险滞纳金</t>
  </si>
  <si>
    <t>102050104</t>
  </si>
  <si>
    <t>生育保险罚款</t>
  </si>
  <si>
    <t>102059900</t>
  </si>
  <si>
    <t>其他生育保险</t>
  </si>
  <si>
    <t>102070101</t>
  </si>
  <si>
    <t>城镇居民基本医疗保险</t>
  </si>
  <si>
    <t>102070102</t>
  </si>
  <si>
    <t>城镇居民基本医疗保险利息</t>
  </si>
  <si>
    <t>102100000</t>
  </si>
  <si>
    <t>102110101</t>
  </si>
  <si>
    <t>机关事业单位基本养老保险费收入（单位缴纳）</t>
  </si>
  <si>
    <t>102110102</t>
  </si>
  <si>
    <t>机关事业单位基本养老保险费收入（个人缴纳）</t>
  </si>
  <si>
    <t>102110103</t>
  </si>
  <si>
    <t>机关事业单位基本养老保险费收入（单位缴纳）利息</t>
  </si>
  <si>
    <t>102110104</t>
  </si>
  <si>
    <t>机关事业单位基本养老保险费收入（个人缴纳）利息</t>
  </si>
  <si>
    <t>102110105</t>
  </si>
  <si>
    <t>机关事业单位基本养老保险费收入（单位缴纳）滞纳金</t>
  </si>
  <si>
    <t>102110106</t>
  </si>
  <si>
    <t>机关事业单位基本养老保险费收入（个人缴纳）滞纳金</t>
  </si>
  <si>
    <t>102110107</t>
  </si>
  <si>
    <t>机关事业单位基本养老保险费收入罚款</t>
  </si>
  <si>
    <t>102112101</t>
  </si>
  <si>
    <t>102112102</t>
  </si>
  <si>
    <t>102112103</t>
  </si>
  <si>
    <t>102112104</t>
  </si>
  <si>
    <t>102112105</t>
  </si>
  <si>
    <t>102112106</t>
  </si>
  <si>
    <t>102119900</t>
  </si>
  <si>
    <t>其他机关事业单位基本养老保险基金收入</t>
  </si>
  <si>
    <t>102910001</t>
  </si>
  <si>
    <t>102910002</t>
  </si>
  <si>
    <t>102910003</t>
  </si>
  <si>
    <t>102910004</t>
  </si>
  <si>
    <t>102910005</t>
  </si>
  <si>
    <t>102910006</t>
  </si>
  <si>
    <t>102990501</t>
  </si>
  <si>
    <t>离休干部医药费统筹</t>
  </si>
  <si>
    <t>102990502</t>
  </si>
  <si>
    <t>离休干部医药费统筹滞纳金</t>
  </si>
  <si>
    <t>102990503</t>
  </si>
  <si>
    <t>离休干部医药费统筹罚款</t>
  </si>
  <si>
    <t>102990591</t>
  </si>
  <si>
    <t>地方性社会保险基金</t>
  </si>
  <si>
    <t>102990592</t>
  </si>
  <si>
    <t>102990593</t>
  </si>
  <si>
    <t>301440101</t>
  </si>
  <si>
    <t>301500100</t>
  </si>
  <si>
    <t>中央大中型水库库区基金</t>
  </si>
  <si>
    <t>301500200</t>
  </si>
  <si>
    <t>地方大中型水库库区基金</t>
  </si>
  <si>
    <t>301509800</t>
  </si>
  <si>
    <t>大中型水库库区基金滞纳金</t>
  </si>
  <si>
    <t>301580100</t>
  </si>
  <si>
    <t>南水北调工程建设资金</t>
  </si>
  <si>
    <t>301580200</t>
  </si>
  <si>
    <t>三峡工程后续工作资金</t>
  </si>
  <si>
    <t>301580300</t>
  </si>
  <si>
    <t>省级重大水利工程建设资金</t>
  </si>
  <si>
    <t>301589901</t>
  </si>
  <si>
    <t>301589902</t>
  </si>
  <si>
    <t>301750100</t>
  </si>
  <si>
    <t>电视机</t>
  </si>
  <si>
    <t>301750200</t>
  </si>
  <si>
    <t>电冰箱</t>
  </si>
  <si>
    <t>301750300</t>
  </si>
  <si>
    <t>洗衣机</t>
  </si>
  <si>
    <t>301750400</t>
  </si>
  <si>
    <t>空气调节器</t>
  </si>
  <si>
    <t>301750500</t>
  </si>
  <si>
    <t>微型计算机</t>
  </si>
  <si>
    <t>301759901</t>
  </si>
  <si>
    <t>基金滞纳金</t>
  </si>
  <si>
    <t>301759902</t>
  </si>
  <si>
    <t>基金罚款</t>
  </si>
  <si>
    <t>301760101</t>
  </si>
  <si>
    <t>301769901</t>
  </si>
  <si>
    <t>301769902</t>
  </si>
  <si>
    <t>301990100</t>
  </si>
  <si>
    <t>煤炭价格调节基金</t>
  </si>
  <si>
    <t>301990200</t>
  </si>
  <si>
    <t>价格调节基金</t>
  </si>
  <si>
    <t>301990300</t>
  </si>
  <si>
    <t>散装水泥专项资金</t>
  </si>
  <si>
    <t>301998101</t>
  </si>
  <si>
    <t>价格调节基金（增值税附征）</t>
  </si>
  <si>
    <t>301998102</t>
  </si>
  <si>
    <t>价格调节基金（营业税附征）</t>
  </si>
  <si>
    <t>301998103</t>
  </si>
  <si>
    <t>价格调节基金（消费税附征）</t>
  </si>
  <si>
    <t>301999800</t>
  </si>
  <si>
    <t>302010100</t>
  </si>
  <si>
    <t>污水排污费</t>
  </si>
  <si>
    <t>302010200</t>
  </si>
  <si>
    <t>污水超标准排污费</t>
  </si>
  <si>
    <t>302010300</t>
  </si>
  <si>
    <t>废气排污费</t>
  </si>
  <si>
    <t>302010400</t>
  </si>
  <si>
    <t>噪声超标准排污费</t>
  </si>
  <si>
    <t>302010500</t>
  </si>
  <si>
    <t>固体废物排污费</t>
  </si>
  <si>
    <t>302010600</t>
  </si>
  <si>
    <t>危险废物排污费</t>
  </si>
  <si>
    <t>302019901</t>
  </si>
  <si>
    <t>302019902</t>
  </si>
  <si>
    <t>302020100</t>
  </si>
  <si>
    <t>302020900</t>
  </si>
  <si>
    <t>增值税教育费附加</t>
  </si>
  <si>
    <t>302030200</t>
  </si>
  <si>
    <t>营业税教育费附加</t>
  </si>
  <si>
    <t>302030300</t>
  </si>
  <si>
    <t>消费税教育费附加</t>
  </si>
  <si>
    <t>302039900</t>
  </si>
  <si>
    <t>滞纳金、罚款</t>
  </si>
  <si>
    <t>302039901</t>
  </si>
  <si>
    <t>302039902</t>
  </si>
  <si>
    <t>增值税地方教育附加</t>
  </si>
  <si>
    <t>302160200</t>
  </si>
  <si>
    <t>营业税地方教育附加</t>
  </si>
  <si>
    <t>302160300</t>
  </si>
  <si>
    <t>消费税地方教育附加</t>
  </si>
  <si>
    <t>302169901</t>
  </si>
  <si>
    <t>302169902</t>
  </si>
  <si>
    <t>302170100</t>
  </si>
  <si>
    <t>娱乐业文化事业建设费</t>
  </si>
  <si>
    <t>302170200</t>
  </si>
  <si>
    <t>广告业文化事业建设费</t>
  </si>
  <si>
    <t>302179901</t>
  </si>
  <si>
    <t>302179902</t>
  </si>
  <si>
    <t>302189800</t>
  </si>
  <si>
    <t>残疾人就业保障金滞纳金</t>
  </si>
  <si>
    <t>302210100</t>
  </si>
  <si>
    <t>中央水利建设基金划转收入</t>
  </si>
  <si>
    <t>302210200</t>
  </si>
  <si>
    <t>中央其他水利建设基金</t>
  </si>
  <si>
    <t>302210300</t>
  </si>
  <si>
    <t>地方水利建设基金划转收入</t>
  </si>
  <si>
    <t>302210400</t>
  </si>
  <si>
    <t>地方水利建设基金</t>
  </si>
  <si>
    <t>302218101</t>
  </si>
  <si>
    <t>地方水利建设基金（增值税附征）</t>
  </si>
  <si>
    <t>302218102</t>
  </si>
  <si>
    <t>地方水利建设基金（营业税附征）</t>
  </si>
  <si>
    <t>302218103</t>
  </si>
  <si>
    <t>地方水利建设基金（消费税附征）</t>
  </si>
  <si>
    <t>302219901</t>
  </si>
  <si>
    <t>水建设专项收入滞纳金</t>
  </si>
  <si>
    <t>302219902</t>
  </si>
  <si>
    <t>水利建设专项收入罚款</t>
  </si>
  <si>
    <t>302990100</t>
  </si>
  <si>
    <t>广告收入</t>
  </si>
  <si>
    <t>302990200</t>
  </si>
  <si>
    <t>城市生活垃圾处置费</t>
  </si>
  <si>
    <t>302990300</t>
  </si>
  <si>
    <t>原生矿产品生态补偿费</t>
  </si>
  <si>
    <t>302999901</t>
  </si>
  <si>
    <t>其他专项收入滞纳金</t>
  </si>
  <si>
    <t>302999902</t>
  </si>
  <si>
    <t>其他专项收入罚款</t>
  </si>
  <si>
    <t>304075001</t>
  </si>
  <si>
    <t>车用天然气加价收入</t>
  </si>
  <si>
    <t>304080100</t>
  </si>
  <si>
    <t>增值税专用发票工本费收入</t>
  </si>
  <si>
    <t>304080200</t>
  </si>
  <si>
    <t>普通发票工本费收入</t>
  </si>
  <si>
    <t>304080300</t>
  </si>
  <si>
    <t>税务登记证工本费收入</t>
  </si>
  <si>
    <t>304320500</t>
  </si>
  <si>
    <t>土地闲置费</t>
  </si>
  <si>
    <t>304460201</t>
  </si>
  <si>
    <t>堤围防护费</t>
  </si>
  <si>
    <t>304460202</t>
  </si>
  <si>
    <t>河道工程修建维护费</t>
  </si>
  <si>
    <t>304468101</t>
  </si>
  <si>
    <t>河道工程修建维护管理费（增值税附征）</t>
  </si>
  <si>
    <t>304468102</t>
  </si>
  <si>
    <t>河道工程修建维护管理费（营业税附征）</t>
  </si>
  <si>
    <t>304468103</t>
  </si>
  <si>
    <t>河道工程修建维护管理费（消费税附征）</t>
  </si>
  <si>
    <t>304469901</t>
  </si>
  <si>
    <t>304469902</t>
  </si>
  <si>
    <t>304994901</t>
  </si>
  <si>
    <t>防洪工程维护费收入（增值税附征）</t>
  </si>
  <si>
    <t>304994902</t>
  </si>
  <si>
    <t>防洪工程维护费收入（消费税附征）</t>
  </si>
  <si>
    <t>304994903</t>
  </si>
  <si>
    <t>防洪工程维护费收入（营业税附征）</t>
  </si>
  <si>
    <t>305010100</t>
  </si>
  <si>
    <t>305010200</t>
  </si>
  <si>
    <t>加处罚款</t>
  </si>
  <si>
    <t>305010300</t>
  </si>
  <si>
    <t>没收违法所得</t>
  </si>
  <si>
    <t>305010400</t>
  </si>
  <si>
    <t>没收非法财物的拍卖款</t>
  </si>
  <si>
    <t>307010101</t>
  </si>
  <si>
    <t>海上原油级次一</t>
  </si>
  <si>
    <t>307010102</t>
  </si>
  <si>
    <t>海上原油级次二</t>
  </si>
  <si>
    <t>307010103</t>
  </si>
  <si>
    <t>海上原油级次三</t>
  </si>
  <si>
    <t>307010104</t>
  </si>
  <si>
    <t>海上原油级次四</t>
  </si>
  <si>
    <t>307010105</t>
  </si>
  <si>
    <t>海上原油级次五</t>
  </si>
  <si>
    <t>307010106</t>
  </si>
  <si>
    <t>海上原油级次六</t>
  </si>
  <si>
    <t>307010201</t>
  </si>
  <si>
    <t>海上天然气级次一</t>
  </si>
  <si>
    <t>307010202</t>
  </si>
  <si>
    <t>海上天然气级次二</t>
  </si>
  <si>
    <t>307010203</t>
  </si>
  <si>
    <t>海上天然气级次三</t>
  </si>
  <si>
    <t>307010204</t>
  </si>
  <si>
    <t>海上天然气级次四</t>
  </si>
  <si>
    <t>307019901</t>
  </si>
  <si>
    <t>307019902</t>
  </si>
  <si>
    <t>307020101</t>
  </si>
  <si>
    <t>陆上原油级次一</t>
  </si>
  <si>
    <t>307020102</t>
  </si>
  <si>
    <t>陆上原油级次二</t>
  </si>
  <si>
    <t>307020103</t>
  </si>
  <si>
    <t>陆上原油级次三</t>
  </si>
  <si>
    <t>307020104</t>
  </si>
  <si>
    <t>陆上原油级次四</t>
  </si>
  <si>
    <t>307020105</t>
  </si>
  <si>
    <t>陆上原油级次五</t>
  </si>
  <si>
    <t>307020106</t>
  </si>
  <si>
    <t>陆上原油级次六</t>
  </si>
  <si>
    <t>307020107</t>
  </si>
  <si>
    <t>陆上原油级次七</t>
  </si>
  <si>
    <t>307020108</t>
  </si>
  <si>
    <t>陆上原油级次八</t>
  </si>
  <si>
    <t>307020109</t>
  </si>
  <si>
    <t>陆上原油级次九</t>
  </si>
  <si>
    <t>307020201</t>
  </si>
  <si>
    <t>陆上天然气级次一</t>
  </si>
  <si>
    <t>307020202</t>
  </si>
  <si>
    <t>陆上天然气级次二</t>
  </si>
  <si>
    <t>307020203</t>
  </si>
  <si>
    <t>陆上天然气级次三</t>
  </si>
  <si>
    <t>307020204</t>
  </si>
  <si>
    <t>陆上天然气级次四</t>
  </si>
  <si>
    <t>307020205</t>
  </si>
  <si>
    <t>陆上天然气级次五</t>
  </si>
  <si>
    <t>307020206</t>
  </si>
  <si>
    <t>陆上天然气级次六</t>
  </si>
  <si>
    <t>307020207</t>
  </si>
  <si>
    <t>陆上天然气级次七</t>
  </si>
  <si>
    <t>307020208</t>
  </si>
  <si>
    <t>陆上天然气级次八</t>
  </si>
  <si>
    <t>307020209</t>
  </si>
  <si>
    <t>陆上天然气级次九</t>
  </si>
  <si>
    <t>307029901</t>
  </si>
  <si>
    <t>307029902</t>
  </si>
  <si>
    <t>307030100</t>
  </si>
  <si>
    <t>中央合资合作企业场地使用费收入</t>
  </si>
  <si>
    <t>307030200</t>
  </si>
  <si>
    <t>中央和地方合资合作企业场地使用费收入</t>
  </si>
  <si>
    <t>307030300</t>
  </si>
  <si>
    <t>地方合资合作企业场地使用费收入</t>
  </si>
  <si>
    <t>307030400</t>
  </si>
  <si>
    <t>港澳台和外商独资企业场地使用费收入</t>
  </si>
  <si>
    <t>307039901</t>
  </si>
  <si>
    <t>307039902</t>
  </si>
  <si>
    <t>307050200</t>
  </si>
  <si>
    <t>财政专户存款利息收入</t>
  </si>
  <si>
    <t>307059900</t>
  </si>
  <si>
    <t>其他利息收入</t>
  </si>
  <si>
    <t>307999901</t>
  </si>
  <si>
    <t>399001010</t>
  </si>
  <si>
    <t>工会筹备金</t>
  </si>
  <si>
    <t>399001910</t>
  </si>
  <si>
    <t>399001920</t>
  </si>
  <si>
    <t>399002000</t>
  </si>
  <si>
    <t>违约金</t>
  </si>
  <si>
    <t>399009900</t>
  </si>
  <si>
    <t>百邦税师</t>
    <phoneticPr fontId="51" type="noConversion"/>
  </si>
  <si>
    <t>明正税师</t>
    <phoneticPr fontId="51" type="noConversion"/>
  </si>
  <si>
    <t>说明：
1、复制时，请复制税款所属期为税审年度的数据（社保数据不引用）
2、操作单元格为A列到L列。（M列（含）及之后的区域请勿操作）
如：2013年度税审粘贴申报期为2013年2月至2014年1月数据。</t>
    <phoneticPr fontId="51" type="noConversion"/>
  </si>
  <si>
    <t>企业所得税年度纳税申报审核</t>
    <phoneticPr fontId="51" type="noConversion"/>
  </si>
  <si>
    <t>涉税审核业务约定书</t>
    <phoneticPr fontId="51" type="noConversion"/>
  </si>
  <si>
    <t>厦门明正税务师事务所有限公司</t>
  </si>
  <si>
    <t>厦中汇百邦税审（2017）第DS/DSX/GS/GSX   号</t>
    <phoneticPr fontId="51" type="noConversion"/>
  </si>
  <si>
    <t>厦中汇百邦专税（2017）第Z   号</t>
    <phoneticPr fontId="51" type="noConversion"/>
  </si>
  <si>
    <r>
      <t xml:space="preserve">    2、经协商，双方确定本项目的业务费用及付款时间为：本约定书成立时，委托方先付</t>
    </r>
    <r>
      <rPr>
        <u/>
        <sz val="10.5"/>
        <rFont val="宋体"/>
        <family val="3"/>
        <charset val="134"/>
      </rPr>
      <t xml:space="preserve">            </t>
    </r>
    <r>
      <rPr>
        <sz val="10.5"/>
        <rFont val="宋体"/>
        <family val="3"/>
        <charset val="134"/>
      </rPr>
      <t>%的费用，其余</t>
    </r>
    <r>
      <rPr>
        <u/>
        <sz val="10.5"/>
        <rFont val="宋体"/>
        <family val="3"/>
        <charset val="134"/>
      </rPr>
      <t xml:space="preserve">            </t>
    </r>
    <r>
      <rPr>
        <sz val="10.5"/>
        <rFont val="宋体"/>
        <family val="3"/>
        <charset val="134"/>
      </rPr>
      <t>%在业务完成后一次付清。</t>
    </r>
    <phoneticPr fontId="51" type="noConversion"/>
  </si>
  <si>
    <t>林志坚</t>
    <phoneticPr fontId="51" type="noConversion"/>
  </si>
  <si>
    <t>350203196211232037</t>
    <phoneticPr fontId="51" type="noConversion"/>
  </si>
  <si>
    <t>郭清洁</t>
    <phoneticPr fontId="51" type="noConversion"/>
  </si>
  <si>
    <t>申爱玲</t>
    <phoneticPr fontId="51" type="noConversion"/>
  </si>
  <si>
    <t>350322197203293816</t>
    <phoneticPr fontId="51" type="noConversion"/>
  </si>
  <si>
    <t>640202195406060042</t>
    <phoneticPr fontId="51" type="noConversion"/>
  </si>
  <si>
    <t>地址：廈門市湖滨南路388號国贸大廈41层</t>
  </si>
  <si>
    <t>ZhongHui BaiBang （XiaMen）Certified Tax Agents Co.,LTD.</t>
  </si>
  <si>
    <t>Guomao Building 41floor, South Hubin Road No.388,Xiamen,</t>
  </si>
  <si>
    <t>Tel：（0592）5881050 5166881</t>
  </si>
  <si>
    <t>Fax：（0592）5881033 5882033</t>
  </si>
  <si>
    <t>電話：（0592）5881050 5166881</t>
  </si>
  <si>
    <t>傳真：（0592）5881033 5882033</t>
  </si>
  <si>
    <t>地址：厦门思明区湖滨南路388号国贸大厦41B3单元</t>
  </si>
  <si>
    <t>邮编：361004</t>
  </si>
  <si>
    <t xml:space="preserve">電話：（0592）2988712   5881050  </t>
  </si>
  <si>
    <t>傳真：（0592）5881033   5882033</t>
  </si>
  <si>
    <t>厦门明正税务师事务所有限公司</t>
    <phoneticPr fontId="51" type="noConversion"/>
  </si>
  <si>
    <t>Xiamen Mingzheng  Certified Tax Agents Co.,LTD.</t>
  </si>
  <si>
    <t>Guomao Building 41 B3  room, South Hubin Road No.388,Xiamen,</t>
  </si>
  <si>
    <t xml:space="preserve">P.C：361004  </t>
  </si>
  <si>
    <t>Tel：（0592）2988712   5881050</t>
  </si>
  <si>
    <t>Fax：（0592）5881033   5882033</t>
  </si>
  <si>
    <t xml:space="preserve">    在审核过程中，我们考虑了与企业所得税相关的审核材料的证据资格和证明能力，对贵单位提供的会计资料及纳税资料等实施了审核、验证、计算和职业推断等必要的审核程序。</t>
    <phoneticPr fontId="51" type="noConversion"/>
  </si>
  <si>
    <t xml:space="preserve">   （一）贵单位与企业所得税有关的内部控制及其有效性。 </t>
    <phoneticPr fontId="51" type="noConversion"/>
  </si>
  <si>
    <t xml:space="preserve">   （二）贵单位与企业所得税有关的各项内部证据和外部证据的相关性和可靠性。 </t>
    <phoneticPr fontId="51" type="noConversion"/>
  </si>
  <si>
    <t xml:space="preserve">   （三）对贵单位提供的会计资料及纳税资料等进行审核、验证、计算和进行职业推断的情况。 </t>
    <phoneticPr fontId="51" type="noConversion"/>
  </si>
  <si>
    <t xml:space="preserve">        我们在审核过程中以职业怀疑态度、有计划地实施必要的审核程序，并根据重要性原则获取与代理对象相关的充分、适当的证据，并及时对制定的计划、实施的程序、获取的相关证据以及得出的结论作出记录。</t>
    <phoneticPr fontId="51" type="noConversion"/>
  </si>
  <si>
    <t>1.利润总额</t>
    <phoneticPr fontId="51" type="noConversion"/>
  </si>
  <si>
    <t>2.减：境外所得</t>
    <phoneticPr fontId="51" type="noConversion"/>
  </si>
  <si>
    <t>3.加：纳税调整增加额</t>
    <phoneticPr fontId="51" type="noConversion"/>
  </si>
  <si>
    <t>4.减：纳税调整减少额</t>
    <phoneticPr fontId="51" type="noConversion"/>
  </si>
  <si>
    <t>5.减：免税、减计收入及加计扣除</t>
    <phoneticPr fontId="51" type="noConversion"/>
  </si>
  <si>
    <t>6.加：境外应税所得抵减境内亏损</t>
    <phoneticPr fontId="51" type="noConversion"/>
  </si>
  <si>
    <t>7.纳税调整后所得</t>
    <phoneticPr fontId="51" type="noConversion"/>
  </si>
  <si>
    <t>8.减：所得减免</t>
    <phoneticPr fontId="51" type="noConversion"/>
  </si>
  <si>
    <t>9.减：抵扣应纳税所得额</t>
    <phoneticPr fontId="51" type="noConversion"/>
  </si>
  <si>
    <t>10.减：弥补以前年度亏损</t>
    <phoneticPr fontId="51" type="noConversion"/>
  </si>
  <si>
    <t>11.应纳税所得额</t>
    <phoneticPr fontId="51" type="noConversion"/>
  </si>
  <si>
    <t>12.税率（25%）</t>
    <phoneticPr fontId="51" type="noConversion"/>
  </si>
  <si>
    <t>13.应纳所得税额</t>
    <phoneticPr fontId="51" type="noConversion"/>
  </si>
  <si>
    <t>14.减：减免所得税额</t>
    <phoneticPr fontId="51" type="noConversion"/>
  </si>
  <si>
    <t>15.减：抵免所得税额</t>
    <phoneticPr fontId="51" type="noConversion"/>
  </si>
  <si>
    <r>
      <t>1</t>
    </r>
    <r>
      <rPr>
        <sz val="10"/>
        <rFont val="宋体"/>
        <family val="3"/>
        <charset val="134"/>
      </rPr>
      <t>6</t>
    </r>
    <r>
      <rPr>
        <sz val="10"/>
        <rFont val="宋体"/>
        <family val="3"/>
        <charset val="134"/>
      </rPr>
      <t>.应纳税额</t>
    </r>
    <phoneticPr fontId="51" type="noConversion"/>
  </si>
  <si>
    <t>17.加：境外所得应纳所得税额</t>
    <phoneticPr fontId="51" type="noConversion"/>
  </si>
  <si>
    <t>18.减：境外所得抵免所得税额</t>
    <phoneticPr fontId="51" type="noConversion"/>
  </si>
  <si>
    <t>19.实际应纳所得税额</t>
    <phoneticPr fontId="51" type="noConversion"/>
  </si>
  <si>
    <t>20.减：本年累计实际已预缴的所得税额</t>
    <phoneticPr fontId="51" type="noConversion"/>
  </si>
  <si>
    <t>21.本年应补（退）所得税额</t>
    <phoneticPr fontId="51" type="noConversion"/>
  </si>
  <si>
    <r>
      <t>22</t>
    </r>
    <r>
      <rPr>
        <sz val="10"/>
        <rFont val="宋体"/>
        <family val="3"/>
        <charset val="134"/>
      </rPr>
      <t>.</t>
    </r>
    <r>
      <rPr>
        <sz val="10"/>
        <rFont val="宋体"/>
        <family val="3"/>
        <charset val="134"/>
      </rPr>
      <t>其中：总机构分摊本年应补（退）所得税额</t>
    </r>
    <phoneticPr fontId="51" type="noConversion"/>
  </si>
  <si>
    <r>
      <t>23</t>
    </r>
    <r>
      <rPr>
        <sz val="10"/>
        <rFont val="宋体"/>
        <family val="3"/>
        <charset val="134"/>
      </rPr>
      <t>.</t>
    </r>
    <r>
      <rPr>
        <sz val="10"/>
        <rFont val="宋体"/>
        <family val="3"/>
        <charset val="134"/>
      </rPr>
      <t>财政集中分配本年应补（退）所得税额</t>
    </r>
    <phoneticPr fontId="51" type="noConversion"/>
  </si>
  <si>
    <r>
      <t>24</t>
    </r>
    <r>
      <rPr>
        <sz val="10"/>
        <rFont val="宋体"/>
        <family val="3"/>
        <charset val="134"/>
      </rPr>
      <t>.</t>
    </r>
    <r>
      <rPr>
        <sz val="10"/>
        <rFont val="宋体"/>
        <family val="3"/>
        <charset val="134"/>
      </rPr>
      <t>总机构主体生产经营部门分摊本年应补（退）所得税额</t>
    </r>
    <phoneticPr fontId="51" type="noConversion"/>
  </si>
  <si>
    <r>
      <t>25</t>
    </r>
    <r>
      <rPr>
        <sz val="10"/>
        <rFont val="宋体"/>
        <family val="3"/>
        <charset val="134"/>
      </rPr>
      <t>.</t>
    </r>
    <r>
      <rPr>
        <sz val="10"/>
        <rFont val="宋体"/>
        <family val="3"/>
        <charset val="134"/>
      </rPr>
      <t>以前年度多缴的所得税额在本年抵减额</t>
    </r>
    <phoneticPr fontId="51" type="noConversion"/>
  </si>
  <si>
    <r>
      <t>26</t>
    </r>
    <r>
      <rPr>
        <sz val="10"/>
        <rFont val="宋体"/>
        <family val="3"/>
        <charset val="134"/>
      </rPr>
      <t>.</t>
    </r>
    <r>
      <rPr>
        <sz val="10"/>
        <rFont val="宋体"/>
        <family val="3"/>
        <charset val="134"/>
      </rPr>
      <t>以前年度应缴未缴在本年入库所得税额</t>
    </r>
    <phoneticPr fontId="51" type="noConversion"/>
  </si>
  <si>
    <t>元；</t>
    <phoneticPr fontId="51" type="noConversion"/>
  </si>
  <si>
    <t xml:space="preserve">        本代理报告的结论和具体纳税调整项目及审核事项、有关优惠明细详见各附件。贵单位可以据此办理企业所得税汇算清缴纳税申报或审批事宜。</t>
    <phoneticPr fontId="51" type="noConversion"/>
  </si>
  <si>
    <t>税务师事务所所长（签名并盖章）：</t>
    <phoneticPr fontId="51" type="noConversion"/>
  </si>
  <si>
    <t xml:space="preserve">      声明：本代理报告电子数据已提交厦门税协网站，报告数据与文本内容一致。</t>
    <phoneticPr fontId="51" type="noConversion"/>
  </si>
  <si>
    <t xml:space="preserve">         声明：本公司未对本代理报告内容进行调整修改，报告内容真实有效。</t>
    <phoneticPr fontId="51" type="noConversion"/>
  </si>
  <si>
    <t>附件: 1.税务师事务所和注册税务师执业证书复印件</t>
    <phoneticPr fontId="51" type="noConversion"/>
  </si>
  <si>
    <t xml:space="preserve">      2.企业基本情况和企业所得税汇算清缴纳税申报审核事项说明</t>
    <phoneticPr fontId="51" type="noConversion"/>
  </si>
  <si>
    <t xml:space="preserve">      3.中华人民共和国企业所得税年度纳税申报表及其附表</t>
    <phoneticPr fontId="51" type="noConversion"/>
  </si>
  <si>
    <t xml:space="preserve">      4.无限期结转扣除项目情况表</t>
    <phoneticPr fontId="51" type="noConversion"/>
  </si>
  <si>
    <t xml:space="preserve">      5.跨年度确认所得情况表</t>
    <phoneticPr fontId="51" type="noConversion"/>
  </si>
  <si>
    <t xml:space="preserve">      6.企业各税（费）审核汇总表</t>
    <phoneticPr fontId="51" type="noConversion"/>
  </si>
  <si>
    <t xml:space="preserve">      7.社会保险费明细表</t>
    <phoneticPr fontId="51" type="noConversion"/>
  </si>
  <si>
    <t xml:space="preserve">税务师（签名并盖章）： </t>
    <phoneticPr fontId="51" type="noConversion"/>
  </si>
  <si>
    <t>企业所得税汇算清缴纳税申报税务审核报告</t>
    <phoneticPr fontId="51" type="noConversion"/>
  </si>
  <si>
    <t xml:space="preserve">    我们的责任是，本着独立、客观、公正的原则，依据《中华人民共和国企业所得税法》及其实施条例、《中华人民共和国税收征收管理法》及其实施细则和有关政策、规定，按照《注册税务师管理暂行办法》、《注册税务师涉税业务基本准则》和《企业所得税年度纳税调整业务规则》等行业规范要求，对贵单位企业所得税年度纳税申报的真实性、准确性、完整性和合法性实施审核，并发表审核意见。</t>
    <phoneticPr fontId="51" type="noConversion"/>
  </si>
  <si>
    <t xml:space="preserve">    企业所得税汇算清缴纳税申报的审核过程及主要实施情况：</t>
    <phoneticPr fontId="51" type="noConversion"/>
  </si>
  <si>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   </t>
    <phoneticPr fontId="51" type="noConversion"/>
  </si>
  <si>
    <t xml:space="preserve">     委托人纳税人名称（盖章）</t>
    <phoneticPr fontId="117" type="noConversion"/>
  </si>
  <si>
    <t>报告编号：</t>
    <phoneticPr fontId="51" type="noConversion"/>
  </si>
  <si>
    <t>税务登记号：</t>
    <phoneticPr fontId="51" type="noConversion"/>
  </si>
  <si>
    <t>事务所名称：</t>
    <phoneticPr fontId="51" type="noConversion"/>
  </si>
  <si>
    <t>报备日期：</t>
    <phoneticPr fontId="51" type="noConversion"/>
  </si>
  <si>
    <t>事务所电话：</t>
    <phoneticPr fontId="51" type="noConversion"/>
  </si>
  <si>
    <t>通信地址：</t>
    <phoneticPr fontId="51" type="noConversion"/>
  </si>
  <si>
    <t>电子邮件：</t>
    <phoneticPr fontId="51" type="noConversion"/>
  </si>
  <si>
    <t>事务所网址：</t>
    <phoneticPr fontId="51" type="noConversion"/>
  </si>
  <si>
    <t>委托人名称：</t>
    <phoneticPr fontId="51" type="noConversion"/>
  </si>
  <si>
    <t>执业证书号：</t>
    <phoneticPr fontId="51" type="noConversion"/>
  </si>
  <si>
    <t>签名税务师：</t>
    <phoneticPr fontId="51" type="noConversion"/>
  </si>
  <si>
    <t>国税登陆</t>
    <phoneticPr fontId="51" type="noConversion"/>
  </si>
  <si>
    <t>地税登陆</t>
    <phoneticPr fontId="51" type="noConversion"/>
  </si>
  <si>
    <t>执业证书号</t>
    <phoneticPr fontId="51" type="noConversion"/>
  </si>
  <si>
    <t>所长</t>
    <phoneticPr fontId="51" type="noConversion"/>
  </si>
  <si>
    <t>税务登记号</t>
    <phoneticPr fontId="51" type="noConversion"/>
  </si>
  <si>
    <t>电子邮件</t>
    <phoneticPr fontId="51" type="noConversion"/>
  </si>
  <si>
    <t>网站</t>
    <phoneticPr fontId="51" type="noConversion"/>
  </si>
  <si>
    <r>
      <rPr>
        <sz val="12"/>
        <rFont val="宋体"/>
        <family val="3"/>
        <charset val="134"/>
      </rPr>
      <t>16002</t>
    </r>
    <phoneticPr fontId="51" type="noConversion"/>
  </si>
  <si>
    <t>陈金盾</t>
    <phoneticPr fontId="51" type="noConversion"/>
  </si>
  <si>
    <t>91350200705439611X</t>
    <phoneticPr fontId="51" type="noConversion"/>
  </si>
  <si>
    <t>2981045@163.com</t>
    <phoneticPr fontId="51" type="noConversion"/>
  </si>
  <si>
    <t>www.mz-tax.com</t>
    <phoneticPr fontId="51" type="noConversion"/>
  </si>
  <si>
    <t>xm-baibang@163.com</t>
  </si>
  <si>
    <t>www.baibangcpa.com</t>
  </si>
  <si>
    <r>
      <t>0</t>
    </r>
    <r>
      <rPr>
        <sz val="12"/>
        <rFont val="宋体"/>
        <family val="3"/>
        <charset val="134"/>
      </rPr>
      <t>592-</t>
    </r>
    <r>
      <rPr>
        <sz val="12"/>
        <rFont val="宋体"/>
        <family val="3"/>
        <charset val="134"/>
      </rPr>
      <t>5881033</t>
    </r>
    <phoneticPr fontId="51" type="noConversion"/>
  </si>
  <si>
    <r>
      <t>0592-</t>
    </r>
    <r>
      <rPr>
        <sz val="12"/>
        <rFont val="宋体"/>
        <family val="3"/>
        <charset val="134"/>
      </rPr>
      <t>58810</t>
    </r>
    <r>
      <rPr>
        <sz val="12"/>
        <rFont val="宋体"/>
        <family val="3"/>
        <charset val="134"/>
      </rPr>
      <t>50</t>
    </r>
    <phoneticPr fontId="51" type="noConversion"/>
  </si>
  <si>
    <t>0592-2988712</t>
    <phoneticPr fontId="51" type="noConversion"/>
  </si>
  <si>
    <t>厦门市思明区湖滨南路388号国贸大厦41楼B、C单元</t>
    <phoneticPr fontId="51" type="noConversion"/>
  </si>
  <si>
    <t>厦门市思明区湖滨南路388号国贸大厦41B3单元</t>
    <phoneticPr fontId="51" type="noConversion"/>
  </si>
  <si>
    <t>传真：</t>
    <phoneticPr fontId="51" type="noConversion"/>
  </si>
  <si>
    <t>企业所得税年度纳税申报审核报告说明</t>
    <phoneticPr fontId="51" type="noConversion"/>
  </si>
  <si>
    <t>企业所得税汇算清缴纳税申报审核报告</t>
    <phoneticPr fontId="51" type="noConversion"/>
  </si>
  <si>
    <t>社会保障性缴款和住房公积金审核表</t>
    <phoneticPr fontId="51" type="noConversion"/>
  </si>
  <si>
    <t>审核报告意见</t>
  </si>
  <si>
    <t>审核报告意见</t>
    <phoneticPr fontId="51" type="noConversion"/>
  </si>
  <si>
    <t>1、本报告仅供贵单位向主管税务机关办理企业所得税年度纳税申报时使用，不作其他用途。因使用不当造成的后果，与执行本审核业务的税务师事务所及其注册税务师无关。</t>
    <phoneticPr fontId="51" type="noConversion"/>
  </si>
  <si>
    <t>审核调整额</t>
    <phoneticPr fontId="51" type="noConversion"/>
  </si>
  <si>
    <t>审核确认额</t>
    <phoneticPr fontId="51" type="noConversion"/>
  </si>
  <si>
    <t>本期审核后主营业务收入</t>
    <phoneticPr fontId="51" type="noConversion"/>
  </si>
  <si>
    <t>本期审核后其他业务收入</t>
    <phoneticPr fontId="51" type="noConversion"/>
  </si>
  <si>
    <t>本期审核后视同销售收入</t>
    <phoneticPr fontId="51" type="noConversion"/>
  </si>
  <si>
    <t>本期审核后销售（营业）收入</t>
    <phoneticPr fontId="51" type="noConversion"/>
  </si>
  <si>
    <r>
      <t>本期审核后销售（营业）收入</t>
    </r>
    <r>
      <rPr>
        <sz val="10"/>
        <rFont val="Times New Roman"/>
        <family val="1"/>
      </rPr>
      <t>×5‰</t>
    </r>
    <phoneticPr fontId="51" type="noConversion"/>
  </si>
  <si>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2、税收金额的数据整理情况，在审核说明中列示。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</si>
  <si>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审核金额</t>
  </si>
  <si>
    <t>涉税审核业务其他信息</t>
  </si>
  <si>
    <t>审核业务合同号</t>
  </si>
  <si>
    <t>本次审核收费金额（元）</t>
  </si>
  <si>
    <t>企业所得税汇算清缴纳税申报审核报告（其他企业）</t>
  </si>
  <si>
    <t>审核基本情况</t>
    <phoneticPr fontId="51" type="noConversion"/>
  </si>
  <si>
    <t>审核年度</t>
    <phoneticPr fontId="51" type="noConversion"/>
  </si>
  <si>
    <t>进行审核审核时间起</t>
  </si>
  <si>
    <t>进行审核审核时间止</t>
  </si>
  <si>
    <t>审核报告编号</t>
  </si>
  <si>
    <t>二、审核结论</t>
  </si>
  <si>
    <t>企业所得税汇算清缴纳税申报审核报告（保留意见）</t>
  </si>
  <si>
    <t xml:space="preserve">二、审核意见 </t>
  </si>
  <si>
    <t>企业所得税汇算清缴纳税申报审核报告（否定意见）</t>
  </si>
  <si>
    <t xml:space="preserve">    我们在审核过程中以职业怀疑态度、有计划地实施必要的审核程序，并根据重要性原则获取与审核对象相关的充分、适当的证据，并及时对制定的计划、实施的程序、获取的相关证据以及得出的结论作出记录。</t>
  </si>
  <si>
    <t xml:space="preserve">二、审核结论 </t>
  </si>
  <si>
    <t>企业所得税汇算清缴纳税申报审核报告（无保留意见）</t>
  </si>
  <si>
    <t>二、审核意见</t>
  </si>
  <si>
    <t>企业所得税汇算清缴纳税申报审核报告（无法表明意见）</t>
  </si>
  <si>
    <t>国税用户名</t>
    <phoneticPr fontId="51" type="noConversion"/>
  </si>
  <si>
    <t>地税用户名</t>
    <phoneticPr fontId="51" type="noConversion"/>
  </si>
  <si>
    <t>国税密码</t>
    <phoneticPr fontId="51" type="noConversion"/>
  </si>
  <si>
    <t>地税密码</t>
    <phoneticPr fontId="51" type="noConversion"/>
  </si>
  <si>
    <t>对外投资审核表</t>
    <phoneticPr fontId="51" type="noConversion"/>
  </si>
  <si>
    <t>短期投资</t>
    <phoneticPr fontId="51" type="noConversion"/>
  </si>
  <si>
    <t>长期投资</t>
    <phoneticPr fontId="51" type="noConversion"/>
  </si>
  <si>
    <t>股权比例</t>
    <phoneticPr fontId="51" type="noConversion"/>
  </si>
  <si>
    <t>对外投资</t>
    <phoneticPr fontId="51" type="noConversion"/>
  </si>
  <si>
    <t>借款审核表</t>
    <phoneticPr fontId="51" type="noConversion"/>
  </si>
  <si>
    <t>短期借款</t>
    <phoneticPr fontId="51" type="noConversion"/>
  </si>
  <si>
    <t>长期借款</t>
    <phoneticPr fontId="51" type="noConversion"/>
  </si>
  <si>
    <t>借款单位</t>
    <phoneticPr fontId="51" type="noConversion"/>
  </si>
  <si>
    <t>借款金额</t>
    <phoneticPr fontId="51" type="noConversion"/>
  </si>
  <si>
    <t>利率</t>
    <phoneticPr fontId="51" type="noConversion"/>
  </si>
  <si>
    <t>借款时间起</t>
    <phoneticPr fontId="51" type="noConversion"/>
  </si>
  <si>
    <t>借款时间止</t>
    <phoneticPr fontId="51" type="noConversion"/>
  </si>
  <si>
    <t>账载利息</t>
    <phoneticPr fontId="51" type="noConversion"/>
  </si>
  <si>
    <t>差异数</t>
    <phoneticPr fontId="51" type="noConversion"/>
  </si>
  <si>
    <t>本期应付利息</t>
    <phoneticPr fontId="51" type="noConversion"/>
  </si>
  <si>
    <t>期末存在</t>
    <phoneticPr fontId="51" type="noConversion"/>
  </si>
  <si>
    <t>借款</t>
    <phoneticPr fontId="51" type="noConversion"/>
  </si>
  <si>
    <t>长期投资</t>
  </si>
  <si>
    <t>35.序号10.1“其中：准予加计扣除的摊销额”：应当按照以前年度及本年度对应项目的资本化可加计扣除的研发费用率乘以当年度摊销额合计数填报。</t>
    <phoneticPr fontId="51" type="noConversion"/>
  </si>
  <si>
    <r>
      <t>34.序号10“十、研发项目形成无形资产当期摊销额</t>
    </r>
    <r>
      <rPr>
        <b/>
        <sz val="10"/>
        <rFont val="仿宋"/>
        <family val="3"/>
        <charset val="134"/>
      </rPr>
      <t>”：</t>
    </r>
    <r>
      <rPr>
        <sz val="10"/>
        <rFont val="仿宋"/>
        <family val="3"/>
        <charset val="134"/>
      </rPr>
      <t>应当按照以前年度及当期形成无形资产的研发项目当期摊销额填报；</t>
    </r>
    <r>
      <rPr>
        <sz val="11"/>
        <color indexed="8"/>
        <rFont val="宋体"/>
        <family val="3"/>
        <charset val="134"/>
      </rPr>
      <t/>
    </r>
    <phoneticPr fontId="51" type="noConversion"/>
  </si>
  <si>
    <t>33.序号9“九、当期费用化支出可加计扣除总额”：取自《“研发支出”辅助账汇总表》序号9第4行“结转管理费用”；</t>
    <phoneticPr fontId="150" type="noConversion"/>
  </si>
  <si>
    <t>32.序号8“八、允许加计扣除的研发费用中的第1至5类费用合计（1+2+3+4+5）”：取自《“研发支出”辅助账汇总表》序号8第4行“结转管理费用”；</t>
    <phoneticPr fontId="51" type="noConversion"/>
  </si>
  <si>
    <t>31.序号7.1“其中：委托境外进行研发活动所发生的费用（包括存在关联关系的委托研发）”：取自《“研发支出”辅助账汇总表》序号7.1第4行“结转管理费 用”；</t>
    <phoneticPr fontId="51" type="noConversion"/>
  </si>
  <si>
    <t>30.序号7“七、委托外部机构或个人进行研发活动所发生的费用”：取自《“研发支出”辅助账汇总表》序号7第4行“结转管理费 用”；</t>
    <phoneticPr fontId="51" type="noConversion"/>
  </si>
  <si>
    <t>29.序号6明细：取自《“研发支出”辅助账汇总表》序号6第4行“结转管理费用”明细，应当将明细名称一并填入；</t>
    <phoneticPr fontId="150" type="noConversion"/>
  </si>
  <si>
    <t>28.序号6“六、其他相关费用小计”：等于序号6明细的合计；</t>
    <phoneticPr fontId="51" type="noConversion"/>
  </si>
  <si>
    <t>27.序号5.4“勘探开发技术的现场试验费”：取自《“研发支出”辅助账汇总表》序号5.4第4行“结转管理费用”；</t>
    <phoneticPr fontId="150" type="noConversion"/>
  </si>
  <si>
    <t>26.序号5.3“新药研制的临床试验费”：取自《“研发支出”辅助账汇总表》序号5.3第4行“结转管理费用”；</t>
    <phoneticPr fontId="150" type="noConversion"/>
  </si>
  <si>
    <t>25.序号5.2“新工艺规程制定费”：取自《“研发支出”辅助账汇总表》序号5.2第4行“结转管理费用”；</t>
    <phoneticPr fontId="150" type="noConversion"/>
  </si>
  <si>
    <t>24.序号5.1“新产品设计费”：取自《“研发支出”辅助账汇总表》序号5.1第4行“结转管理费用”；</t>
    <phoneticPr fontId="150" type="noConversion"/>
  </si>
  <si>
    <t>23.序号5“五、新产品设计费等小计”：等于序号5.1至5.4的合计；</t>
    <phoneticPr fontId="51" type="noConversion"/>
  </si>
  <si>
    <t>22.序号4.3“用于研发活动的非专利技术（包括许可证、专有技术、设计和计算方法等）的摊销费用”：取自《“研发支出”辅助账汇总表》序号4.3第4行“结转管理费用”；</t>
    <phoneticPr fontId="150" type="noConversion"/>
  </si>
  <si>
    <t>21.序号4.2“用于研发活动的专利权的摊销费用”：取自《“研发支出”辅助账汇总表》序号4.2第4行“结转管理费用”；</t>
    <phoneticPr fontId="150" type="noConversion"/>
  </si>
  <si>
    <t>20.序号4.1“用于研发活动的软件的摊销费用”：取自《“研发支出”辅助账汇总表》序号4.1第4行“结转管理费用”；</t>
    <phoneticPr fontId="150" type="noConversion"/>
  </si>
  <si>
    <t>19.序号4“四、无形资产摊销小计”：等于序号4.1至4.3的合计；</t>
    <phoneticPr fontId="51" type="noConversion"/>
  </si>
  <si>
    <t>18.序号3.2“用于研发活动的设备的折旧费”：取自《“研发支出”辅助账汇总表》序号3.2第4行“结转管理费用”；</t>
    <phoneticPr fontId="150" type="noConversion"/>
  </si>
  <si>
    <t>17.序号3.1“用于研发活动的仪器的折旧费”：取自《“研发支出”辅助账汇总表》序号3.1第4行“结转管理费用”；</t>
    <phoneticPr fontId="150" type="noConversion"/>
  </si>
  <si>
    <t>16.序号3“三、折旧费用小计”：等于序号3.1加3.2；</t>
    <phoneticPr fontId="51" type="noConversion"/>
  </si>
  <si>
    <t>15.序号2.8“通过经营租赁方式租入的用于研发活动的仪器、设备租赁费”：取自《“研发支出”辅助账汇总表》序号2.8第4行“结转管理费用”；</t>
    <phoneticPr fontId="150" type="noConversion"/>
  </si>
  <si>
    <t>14.序号2.7“用于研发活动的仪器、设备的运行维护、调整、检验、维修等费用”：取自《“研发支出”辅助账汇总表》序号2.7第4行“结转管理费用”；</t>
    <phoneticPr fontId="150" type="noConversion"/>
  </si>
  <si>
    <t>13.序号2.6“用于试制产品的检验费”：取自《“研发支出”辅助账汇总表》序号2.6第4行“结转管理费用”；</t>
    <phoneticPr fontId="150" type="noConversion"/>
  </si>
  <si>
    <t>12.序号2.5“用于不构成固定资产的样品、样机及一般测试手段购置费”：取自《“研发支出”辅助账汇总表》序号2.5第4行“结转管理费用”；</t>
    <phoneticPr fontId="150" type="noConversion"/>
  </si>
  <si>
    <t>11.序号2.4“研发活动直接消耗材料用于中间试验和产品试制的模具、工艺装备开发及制造费”：取自《“研发支出”辅助账汇总 表》序号2.4第4行“结转管理费用”；</t>
    <phoneticPr fontId="150" type="noConversion"/>
  </si>
  <si>
    <t>10.序号2.3“研发活动直接消耗动力费用”：取自《“研发支出”辅助账汇总表》序号2.3第4行“结转管理费用”；</t>
    <phoneticPr fontId="150" type="noConversion"/>
  </si>
  <si>
    <t>9.序号2.2“研发活动直接消耗燃料”：取自《“研发支出”辅助账汇总表》序号2.2第4行“结转管理费用”；</t>
    <phoneticPr fontId="150" type="noConversion"/>
  </si>
  <si>
    <t>8.序号2.1“研发活动直接消耗材料”：取自《“研发支出”辅助账汇总表》序号2.1第4行“结转管理费用”；</t>
    <phoneticPr fontId="150" type="noConversion"/>
  </si>
  <si>
    <t>7.序号2“二、直接投入费用小计”：等于序号2.1至2.8的合计；</t>
    <phoneticPr fontId="51" type="noConversion"/>
  </si>
  <si>
    <t>6.序号1.3“2.外聘研发人员的劳务费用”：取自《“研发支出”辅助账汇总表》序号1.3第4行“结转管理费用”；</t>
    <phoneticPr fontId="150" type="noConversion"/>
  </si>
  <si>
    <t>5.序号1.2“1.直接从事研发活动人员五险一金”：取自《“研发支出”辅助账汇总表》序号1.2第4行“结转管理费用”；</t>
    <phoneticPr fontId="150" type="noConversion"/>
  </si>
  <si>
    <t>4.序号1.1“1.直接从事研发活动人员工资薪金”：取自《“研发支出”辅助账汇总表》序号1.1第4行“结转管理费用”；</t>
    <phoneticPr fontId="51" type="noConversion"/>
  </si>
  <si>
    <t>3.序号1“一、人员人工费用小计”：等于序号1.1至1.3的合计；</t>
    <phoneticPr fontId="51" type="noConversion"/>
  </si>
  <si>
    <t>2.本表应当按照“研发支出”辅助账汇总表填报；</t>
    <phoneticPr fontId="51" type="noConversion"/>
  </si>
  <si>
    <t>1.本表在企业所得税汇算清缴时随申报表一并报送；</t>
    <phoneticPr fontId="51" type="noConversion"/>
  </si>
  <si>
    <t>填表说明：</t>
    <phoneticPr fontId="51" type="noConversion"/>
  </si>
  <si>
    <t>十一、当期实际加计扣除总额（9+10.1）×50％</t>
    <phoneticPr fontId="51" type="noConversion"/>
  </si>
  <si>
    <t>其中：准予加计扣除的摊销额</t>
    <phoneticPr fontId="51" type="noConversion"/>
  </si>
  <si>
    <t>十、研发项目形成无形资产当期摊销额</t>
    <phoneticPr fontId="51" type="noConversion"/>
  </si>
  <si>
    <t>九、当期费用化支出可加计扣除总额</t>
    <phoneticPr fontId="51" type="noConversion"/>
  </si>
  <si>
    <t>其他相关费用限额=序号8×10％/(1-10％)</t>
    <phoneticPr fontId="51" type="noConversion"/>
  </si>
  <si>
    <t>八、允许加计扣除的研发费用中的第1至5类费用合计（1+2+3+4+5）</t>
    <phoneticPr fontId="51" type="noConversion"/>
  </si>
  <si>
    <t>其中：委托境外进行研发活动所发生的费用（包括存在关联关系的委托研发）</t>
    <phoneticPr fontId="51" type="noConversion"/>
  </si>
  <si>
    <t>七、委托外部机构或个人进行研发活动所发生的费用</t>
    <phoneticPr fontId="51" type="noConversion"/>
  </si>
  <si>
    <t>6.40</t>
  </si>
  <si>
    <t>6.39</t>
  </si>
  <si>
    <t>6.38</t>
  </si>
  <si>
    <t>6.37</t>
  </si>
  <si>
    <t>6.36</t>
  </si>
  <si>
    <t>6.35</t>
  </si>
  <si>
    <t>6.34</t>
  </si>
  <si>
    <t>6.33</t>
  </si>
  <si>
    <t>6.32</t>
  </si>
  <si>
    <t>6.31</t>
  </si>
  <si>
    <t>6.30</t>
  </si>
  <si>
    <t>6.29</t>
  </si>
  <si>
    <t>6.28</t>
  </si>
  <si>
    <t>6.27</t>
  </si>
  <si>
    <t>6.26</t>
  </si>
  <si>
    <t>6.25</t>
  </si>
  <si>
    <t>6.24</t>
  </si>
  <si>
    <t>6.23</t>
  </si>
  <si>
    <t>6.22</t>
  </si>
  <si>
    <t>6.21</t>
  </si>
  <si>
    <t>6.20</t>
  </si>
  <si>
    <t>6.19</t>
  </si>
  <si>
    <t>6.18</t>
  </si>
  <si>
    <t>6.17</t>
  </si>
  <si>
    <t>6.16</t>
  </si>
  <si>
    <t>6.15</t>
  </si>
  <si>
    <t>6.14</t>
  </si>
  <si>
    <t>6.13</t>
  </si>
  <si>
    <t>6.12</t>
  </si>
  <si>
    <t>6.11</t>
  </si>
  <si>
    <t>6.10</t>
  </si>
  <si>
    <t>6.9</t>
  </si>
  <si>
    <t>6.8</t>
  </si>
  <si>
    <t>6.7</t>
  </si>
  <si>
    <t>6.6</t>
  </si>
  <si>
    <t>6.5</t>
  </si>
  <si>
    <t>6.4</t>
  </si>
  <si>
    <t>6.3</t>
  </si>
  <si>
    <t>6.2</t>
  </si>
  <si>
    <t>6.1</t>
    <phoneticPr fontId="150" type="noConversion"/>
  </si>
  <si>
    <t>六、其他相关费用小计</t>
    <phoneticPr fontId="51" type="noConversion"/>
  </si>
  <si>
    <t>勘探开发技术的现场试验费</t>
    <phoneticPr fontId="51" type="noConversion"/>
  </si>
  <si>
    <t>新药研制的临床试验费</t>
    <phoneticPr fontId="51" type="noConversion"/>
  </si>
  <si>
    <t>新工艺规程制定费</t>
    <phoneticPr fontId="51" type="noConversion"/>
  </si>
  <si>
    <t>新产品设计费</t>
    <phoneticPr fontId="51" type="noConversion"/>
  </si>
  <si>
    <t>五、新产品设计费等小计</t>
    <phoneticPr fontId="51" type="noConversion"/>
  </si>
  <si>
    <t>用于研发活动的非专利技术（包括许可证、专有技术、设计和计算方法等）的摊销费用</t>
    <phoneticPr fontId="51" type="noConversion"/>
  </si>
  <si>
    <t>用于研发活动的专利权的摊销费用</t>
    <phoneticPr fontId="51" type="noConversion"/>
  </si>
  <si>
    <t>用于研发活动的软件的摊销费用</t>
    <phoneticPr fontId="51" type="noConversion"/>
  </si>
  <si>
    <t>四、无形资产摊销小计</t>
    <phoneticPr fontId="51" type="noConversion"/>
  </si>
  <si>
    <t>用于研发活动的设备的折旧费</t>
    <phoneticPr fontId="51" type="noConversion"/>
  </si>
  <si>
    <t>用于研发活动的仪器的折旧费</t>
    <phoneticPr fontId="51" type="noConversion"/>
  </si>
  <si>
    <t>三、折旧费用小计</t>
    <phoneticPr fontId="51" type="noConversion"/>
  </si>
  <si>
    <t>通过经营租赁方式租入的用于研发活动的仪器、设备租赁费</t>
    <phoneticPr fontId="51" type="noConversion"/>
  </si>
  <si>
    <t>用于研发活动的仪器、设备的运行维护、调整、检验、维修等费用</t>
    <phoneticPr fontId="51" type="noConversion"/>
  </si>
  <si>
    <t>用于试制产品的检验费</t>
    <phoneticPr fontId="51" type="noConversion"/>
  </si>
  <si>
    <t>用于不构成固定资产的样品、样机及一般测试手段购置费</t>
    <phoneticPr fontId="51" type="noConversion"/>
  </si>
  <si>
    <t>用于中间试验和产品试制的模具、工艺装备开发及制造费</t>
    <phoneticPr fontId="51" type="noConversion"/>
  </si>
  <si>
    <t>动力费用</t>
    <phoneticPr fontId="51" type="noConversion"/>
  </si>
  <si>
    <t>燃料</t>
    <phoneticPr fontId="51" type="noConversion"/>
  </si>
  <si>
    <t>材料</t>
    <phoneticPr fontId="51" type="noConversion"/>
  </si>
  <si>
    <t>研发活动直接消耗</t>
    <phoneticPr fontId="51" type="noConversion"/>
  </si>
  <si>
    <t>二、直接投入费用小计</t>
    <phoneticPr fontId="51" type="noConversion"/>
  </si>
  <si>
    <t>外聘研发人员的劳务费用</t>
    <phoneticPr fontId="51" type="noConversion"/>
  </si>
  <si>
    <t>五险一金</t>
    <phoneticPr fontId="51" type="noConversion"/>
  </si>
  <si>
    <t>工资薪金</t>
    <phoneticPr fontId="51" type="noConversion"/>
  </si>
  <si>
    <t>直接从事研发活动人员</t>
    <phoneticPr fontId="51" type="noConversion"/>
  </si>
  <si>
    <t>一、人员人工费用小计</t>
    <phoneticPr fontId="51" type="noConversion"/>
  </si>
  <si>
    <t>发生额</t>
    <phoneticPr fontId="51" type="noConversion"/>
  </si>
  <si>
    <t>项目</t>
    <phoneticPr fontId="51" type="noConversion"/>
  </si>
  <si>
    <t>序号</t>
    <phoneticPr fontId="51" type="noConversion"/>
  </si>
  <si>
    <t>金额单位：元(列至角分）</t>
    <phoneticPr fontId="51" type="noConversion"/>
  </si>
  <si>
    <t>研发项目可加计扣除研究开发费用情况归集表</t>
    <phoneticPr fontId="51" type="noConversion"/>
  </si>
  <si>
    <t>十一、当期实际加计扣除总额（9+10.1）×50％</t>
    <phoneticPr fontId="51" type="noConversion"/>
  </si>
  <si>
    <t>其中：准予加计扣除的摊销额</t>
    <phoneticPr fontId="51" type="noConversion"/>
  </si>
  <si>
    <t>十、研发项目形成无形资产当期摊销额</t>
    <phoneticPr fontId="51" type="noConversion"/>
  </si>
  <si>
    <t>九、当期费用化支出可加计扣除总额</t>
    <phoneticPr fontId="51" type="noConversion"/>
  </si>
  <si>
    <t>八、允许加计扣除的研发费用中的第1至5类费用合计（1+2+3+4+5）</t>
    <phoneticPr fontId="51" type="noConversion"/>
  </si>
  <si>
    <t>其中：委托境外进行研发活动所发生的费用（包括存在关联关系的委托研发）</t>
    <phoneticPr fontId="51" type="noConversion"/>
  </si>
  <si>
    <t>6.1</t>
    <phoneticPr fontId="150" type="noConversion"/>
  </si>
  <si>
    <t>六、其他相关费用小计</t>
    <phoneticPr fontId="51" type="noConversion"/>
  </si>
  <si>
    <t>勘探开发技术的现场试验费</t>
    <phoneticPr fontId="51" type="noConversion"/>
  </si>
  <si>
    <t>新药研制的临床试验费</t>
    <phoneticPr fontId="51" type="noConversion"/>
  </si>
  <si>
    <t>新工艺规程制定费</t>
    <phoneticPr fontId="51" type="noConversion"/>
  </si>
  <si>
    <t>新产品设计费</t>
    <phoneticPr fontId="51" type="noConversion"/>
  </si>
  <si>
    <t>五、新产品设计费等小计</t>
    <phoneticPr fontId="51" type="noConversion"/>
  </si>
  <si>
    <t>用于研发活动的非专利技术（包括许可证、专有技术、设计和计算方法等）的摊销费用</t>
    <phoneticPr fontId="51" type="noConversion"/>
  </si>
  <si>
    <t>用于研发活动的软件的摊销费用</t>
    <phoneticPr fontId="51" type="noConversion"/>
  </si>
  <si>
    <t>四、无形资产摊销小计</t>
    <phoneticPr fontId="51" type="noConversion"/>
  </si>
  <si>
    <t>用于研发活动的设备的折旧费</t>
    <phoneticPr fontId="51" type="noConversion"/>
  </si>
  <si>
    <t>用于研发活动的仪器的折旧费</t>
    <phoneticPr fontId="51" type="noConversion"/>
  </si>
  <si>
    <t>通过经营租赁方式租入的用于研发活动的仪器、设备租赁费</t>
    <phoneticPr fontId="51" type="noConversion"/>
  </si>
  <si>
    <t>用于研发活动的仪器、设备的运行维护、调整、检验、维修等费用</t>
    <phoneticPr fontId="51" type="noConversion"/>
  </si>
  <si>
    <t>用于试制产品的检验费</t>
    <phoneticPr fontId="51" type="noConversion"/>
  </si>
  <si>
    <t>用于不构成固定资产的样品、样机及一般测试手段购置费</t>
    <phoneticPr fontId="51" type="noConversion"/>
  </si>
  <si>
    <t>用于中间试验和产品试制的模具、工艺装备开发及制造费</t>
    <phoneticPr fontId="51" type="noConversion"/>
  </si>
  <si>
    <t>燃料</t>
    <phoneticPr fontId="51" type="noConversion"/>
  </si>
  <si>
    <t>材料</t>
    <phoneticPr fontId="51" type="noConversion"/>
  </si>
  <si>
    <t>研发活动直接消耗</t>
    <phoneticPr fontId="51" type="noConversion"/>
  </si>
  <si>
    <t>二、直接投入费用小计</t>
    <phoneticPr fontId="51" type="noConversion"/>
  </si>
  <si>
    <t>外聘研发人员的劳务费用</t>
    <phoneticPr fontId="51" type="noConversion"/>
  </si>
  <si>
    <t>五险一金</t>
    <phoneticPr fontId="51" type="noConversion"/>
  </si>
  <si>
    <t>工资薪金</t>
    <phoneticPr fontId="51" type="noConversion"/>
  </si>
  <si>
    <t>直接从事研发活动人员</t>
    <phoneticPr fontId="51" type="noConversion"/>
  </si>
  <si>
    <t>发生额</t>
    <phoneticPr fontId="51" type="noConversion"/>
  </si>
  <si>
    <t>项目</t>
    <phoneticPr fontId="51" type="noConversion"/>
  </si>
  <si>
    <t>金额单位：元(列至角分）</t>
    <phoneticPr fontId="51" type="noConversion"/>
  </si>
  <si>
    <t>研发项目可加计扣除研究开发费用情况归集表</t>
    <phoneticPr fontId="51" type="noConversion"/>
  </si>
  <si>
    <t>研发加计扣除归集审核表</t>
  </si>
  <si>
    <t>受控外国企业信息报告表</t>
  </si>
  <si>
    <t>非货币性资产投资递延纳税调整明细表</t>
  </si>
  <si>
    <t xml:space="preserve">企业重组所得税特殊性税务处理报告表 </t>
  </si>
  <si>
    <t>研发项目可加计扣除研究开发费用情况归集表</t>
  </si>
  <si>
    <t>企业重组所得税特殊性税务处理报告表</t>
  </si>
  <si>
    <t>研发加计扣除归集审核表</t>
    <phoneticPr fontId="51" type="noConversion"/>
  </si>
  <si>
    <t>V20170517</t>
    <phoneticPr fontId="51" type="noConversion"/>
  </si>
  <si>
    <t>01月01日</t>
    <phoneticPr fontId="5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</si>
</sst>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 #,##0.00_ ;_ * \-#,##0.00_ ;_ * &quot;-&quot;??_ ;_ @_ "/>
    <numFmt numFmtId="176" formatCode="_(* #,##0.00_);_(* \(#,##0.00\);_(* &quot;-&quot;??_);_(@_)"/>
    <numFmt numFmtId="177" formatCode="_-* #,##0.00_-;\-* #,##0.00_-;_-* &quot;-&quot;??_-;_-@_-"/>
    <numFmt numFmtId="178" formatCode="_-* #,##0_-;\-* #,##0_-;_-* \-_-;_-@_-"/>
    <numFmt numFmtId="179" formatCode="_-* #,##0.00_-;\-* #,##0.00_-;_-* \-??_-;_-@_-"/>
    <numFmt numFmtId="180" formatCode="_ * #,##0.00_ ;_ * \-#,##0.00_ ;_ * \-??_ ;_ @_ "/>
    <numFmt numFmtId="181" formatCode="_ * #,##0_ ;_ * \-#,##0_ ;_ * \-_ ;_ @_ "/>
    <numFmt numFmtId="182" formatCode="_ &quot;￥&quot;* #,##0.00_ ;_ &quot;￥&quot;* \-#,##0.00_ ;_ &quot;￥&quot;* \-??_ ;_ @_ "/>
    <numFmt numFmtId="183" formatCode="m/d;@"/>
    <numFmt numFmtId="184" formatCode="yyyy&quot;年&quot;m&quot;月&quot;;@"/>
    <numFmt numFmtId="185" formatCode="yyyy\-m\-d"/>
    <numFmt numFmtId="186" formatCode="#,##0.00_ "/>
    <numFmt numFmtId="187" formatCode="yyyy&quot;年&quot;m&quot;月&quot;d&quot;日&quot;;@"/>
    <numFmt numFmtId="188" formatCode="0.00_);[Red]\(0.00\)"/>
    <numFmt numFmtId="189" formatCode="0.00_ "/>
    <numFmt numFmtId="190" formatCode="_ * #,##0.00_ ;_ * \-#,##0.00_ ;_ * \-_ ;_ @_ "/>
    <numFmt numFmtId="191" formatCode="0_ "/>
    <numFmt numFmtId="192" formatCode="0_);[Red]\(0\)"/>
    <numFmt numFmtId="193" formatCode="0.0000_ "/>
    <numFmt numFmtId="194" formatCode="_ * #,##0.0000_ ;_ * \-#,##0.0000_ ;_ * \-??_ ;_ @_ "/>
    <numFmt numFmtId="195" formatCode="_-* #,##0_-;\-* #,##0_-;_-* &quot;-&quot;_-;_-@_-"/>
    <numFmt numFmtId="196" formatCode="yyyy/mm/dd"/>
    <numFmt numFmtId="197" formatCode="[$-F800]dddd\,\ mmmm\ dd\,\ yyyy"/>
  </numFmts>
  <fonts count="158">
    <font>
      <sz val="12"/>
      <name val="宋体"/>
      <charset val="134"/>
    </font>
    <font>
      <sz val="10"/>
      <name val="Arial"/>
      <family val="2"/>
    </font>
    <font>
      <sz val="10"/>
      <name val="宋体"/>
      <family val="3"/>
      <charset val="134"/>
    </font>
    <font>
      <sz val="10"/>
      <name val="Times New Roman"/>
      <family val="1"/>
    </font>
    <font>
      <sz val="12"/>
      <name val="바탕체"/>
      <family val="3"/>
    </font>
    <font>
      <u/>
      <sz val="12"/>
      <name val="宋体"/>
      <family val="3"/>
      <charset val="134"/>
    </font>
    <font>
      <b/>
      <sz val="22"/>
      <name val="宋体"/>
      <family val="3"/>
      <charset val="134"/>
    </font>
    <font>
      <b/>
      <sz val="18"/>
      <name val="宋体"/>
      <family val="3"/>
      <charset val="134"/>
    </font>
    <font>
      <sz val="18"/>
      <name val="宋体"/>
      <family val="3"/>
      <charset val="134"/>
    </font>
    <font>
      <b/>
      <sz val="18"/>
      <name val="楷体_GB2312"/>
      <family val="3"/>
      <charset val="134"/>
    </font>
    <font>
      <b/>
      <sz val="12"/>
      <name val="宋体"/>
      <family val="3"/>
      <charset val="134"/>
    </font>
    <font>
      <sz val="12"/>
      <color indexed="12"/>
      <name val="宋体"/>
      <family val="3"/>
      <charset val="134"/>
    </font>
    <font>
      <u/>
      <sz val="12"/>
      <color indexed="12"/>
      <name val="宋体"/>
      <family val="3"/>
      <charset val="134"/>
    </font>
    <font>
      <sz val="10"/>
      <color indexed="12"/>
      <name val="宋体"/>
      <family val="3"/>
      <charset val="134"/>
    </font>
    <font>
      <sz val="10"/>
      <name val="仿宋_GB2312"/>
      <family val="3"/>
      <charset val="134"/>
    </font>
    <font>
      <sz val="12"/>
      <name val="仿宋_GB2312"/>
      <family val="3"/>
      <charset val="134"/>
    </font>
    <font>
      <sz val="11"/>
      <name val="宋体"/>
      <family val="3"/>
      <charset val="134"/>
    </font>
    <font>
      <b/>
      <sz val="10"/>
      <color indexed="10"/>
      <name val="宋体"/>
      <family val="3"/>
      <charset val="134"/>
    </font>
    <font>
      <sz val="10"/>
      <color indexed="10"/>
      <name val="宋体"/>
      <family val="3"/>
      <charset val="134"/>
    </font>
    <font>
      <sz val="9"/>
      <color indexed="8"/>
      <name val="宋体"/>
      <family val="3"/>
      <charset val="134"/>
    </font>
    <font>
      <sz val="11"/>
      <color indexed="8"/>
      <name val="宋体"/>
      <family val="3"/>
      <charset val="134"/>
    </font>
    <font>
      <b/>
      <sz val="20"/>
      <name val="宋体"/>
      <family val="3"/>
      <charset val="134"/>
    </font>
    <font>
      <sz val="20"/>
      <name val="宋体"/>
      <family val="3"/>
      <charset val="134"/>
    </font>
    <font>
      <sz val="10.5"/>
      <name val="宋体"/>
      <family val="3"/>
      <charset val="134"/>
    </font>
    <font>
      <u/>
      <sz val="10.5"/>
      <name val="宋体"/>
      <family val="3"/>
      <charset val="134"/>
    </font>
    <font>
      <b/>
      <sz val="10"/>
      <name val="宋体"/>
      <family val="3"/>
      <charset val="134"/>
    </font>
    <font>
      <sz val="14"/>
      <name val="宋体"/>
      <family val="3"/>
      <charset val="134"/>
    </font>
    <font>
      <sz val="12"/>
      <name val="楷体_GB2312"/>
      <family val="3"/>
      <charset val="134"/>
    </font>
    <font>
      <sz val="11"/>
      <color indexed="59"/>
      <name val="宋体"/>
      <family val="3"/>
      <charset val="134"/>
    </font>
    <font>
      <sz val="9"/>
      <color indexed="63"/>
      <name val="宋体"/>
      <family val="3"/>
      <charset val="134"/>
    </font>
    <font>
      <sz val="12"/>
      <color indexed="63"/>
      <name val="宋体"/>
      <family val="3"/>
      <charset val="134"/>
    </font>
    <font>
      <b/>
      <sz val="24"/>
      <name val="宋体"/>
      <family val="3"/>
      <charset val="134"/>
    </font>
    <font>
      <sz val="12"/>
      <name val="Times New Roman"/>
      <family val="1"/>
    </font>
    <font>
      <sz val="16"/>
      <name val="宋体"/>
      <family val="3"/>
      <charset val="134"/>
    </font>
    <font>
      <u/>
      <sz val="16"/>
      <name val="宋体"/>
      <family val="3"/>
      <charset val="134"/>
    </font>
    <font>
      <u/>
      <sz val="11"/>
      <color indexed="8"/>
      <name val="Arial"/>
      <family val="2"/>
    </font>
    <font>
      <u/>
      <sz val="12"/>
      <name val="Arial Narrow"/>
      <family val="2"/>
    </font>
    <font>
      <u/>
      <sz val="14"/>
      <name val="宋体"/>
      <family val="3"/>
      <charset val="134"/>
    </font>
    <font>
      <u/>
      <sz val="11"/>
      <color indexed="8"/>
      <name val="宋体"/>
      <family val="3"/>
      <charset val="134"/>
    </font>
    <font>
      <sz val="12"/>
      <name val="Arial Narrow"/>
      <family val="2"/>
    </font>
    <font>
      <sz val="22"/>
      <name val="宋体"/>
      <family val="3"/>
      <charset val="134"/>
    </font>
    <font>
      <b/>
      <u/>
      <sz val="18"/>
      <name val="楷体_GB2312"/>
      <family val="3"/>
      <charset val="134"/>
    </font>
    <font>
      <sz val="10"/>
      <name val="Arial Narrow"/>
      <family val="2"/>
    </font>
    <font>
      <sz val="12"/>
      <color indexed="10"/>
      <name val="宋体"/>
      <family val="3"/>
      <charset val="134"/>
    </font>
    <font>
      <sz val="12"/>
      <color indexed="50"/>
      <name val="宋体"/>
      <family val="3"/>
      <charset val="134"/>
    </font>
    <font>
      <sz val="16"/>
      <color indexed="50"/>
      <name val="楷体_GB2312"/>
      <family val="3"/>
      <charset val="134"/>
    </font>
    <font>
      <sz val="12"/>
      <color indexed="8"/>
      <name val="宋体"/>
      <family val="3"/>
      <charset val="134"/>
    </font>
    <font>
      <u/>
      <sz val="12"/>
      <color indexed="50"/>
      <name val="宋体"/>
      <family val="3"/>
      <charset val="134"/>
    </font>
    <font>
      <sz val="10"/>
      <color indexed="10"/>
      <name val="Arial Narrow"/>
      <family val="2"/>
    </font>
    <font>
      <b/>
      <sz val="22"/>
      <name val="楷体_GB2312"/>
      <family val="3"/>
      <charset val="134"/>
    </font>
    <font>
      <u/>
      <sz val="10"/>
      <color indexed="12"/>
      <name val="宋体"/>
      <family val="3"/>
      <charset val="134"/>
    </font>
    <font>
      <sz val="9"/>
      <name val="宋体"/>
      <family val="3"/>
      <charset val="134"/>
    </font>
    <font>
      <sz val="10"/>
      <name val="Times New Roman"/>
      <family val="1"/>
    </font>
    <font>
      <sz val="10"/>
      <color indexed="8"/>
      <name val="宋体"/>
      <family val="3"/>
      <charset val="134"/>
    </font>
    <font>
      <sz val="10"/>
      <name val="楷体_GB2312"/>
      <family val="3"/>
      <charset val="134"/>
    </font>
    <font>
      <b/>
      <sz val="9"/>
      <name val="宋体"/>
      <family val="3"/>
      <charset val="134"/>
    </font>
    <font>
      <sz val="11"/>
      <name val="楷体_GB2312"/>
      <family val="3"/>
      <charset val="134"/>
    </font>
    <font>
      <sz val="10.5"/>
      <name val="仿宋_GB2312"/>
      <family val="3"/>
      <charset val="134"/>
    </font>
    <font>
      <b/>
      <sz val="18"/>
      <color indexed="10"/>
      <name val="微软雅黑"/>
      <family val="2"/>
      <charset val="134"/>
    </font>
    <font>
      <u/>
      <sz val="12"/>
      <color indexed="10"/>
      <name val="宋体"/>
      <family val="3"/>
      <charset val="134"/>
    </font>
    <font>
      <b/>
      <sz val="12"/>
      <color indexed="10"/>
      <name val="幼圆"/>
      <family val="3"/>
      <charset val="134"/>
    </font>
    <font>
      <sz val="10"/>
      <name val="幼圆"/>
      <family val="3"/>
      <charset val="134"/>
    </font>
    <font>
      <u/>
      <sz val="10"/>
      <color indexed="10"/>
      <name val="宋体"/>
      <family val="3"/>
      <charset val="134"/>
    </font>
    <font>
      <sz val="8"/>
      <name val="宋体"/>
      <family val="3"/>
      <charset val="134"/>
    </font>
    <font>
      <b/>
      <sz val="18"/>
      <color indexed="10"/>
      <name val="楷体_GB2312"/>
      <family val="3"/>
      <charset val="134"/>
    </font>
    <font>
      <sz val="18"/>
      <name val="楷体_GB2312"/>
      <family val="3"/>
      <charset val="134"/>
    </font>
    <font>
      <sz val="10"/>
      <color indexed="10"/>
      <name val="楷体_GB2312"/>
      <family val="3"/>
      <charset val="134"/>
    </font>
    <font>
      <b/>
      <sz val="16"/>
      <name val="宋体"/>
      <family val="3"/>
      <charset val="134"/>
    </font>
    <font>
      <b/>
      <sz val="14"/>
      <name val="宋体"/>
      <family val="3"/>
      <charset val="134"/>
    </font>
    <font>
      <b/>
      <sz val="12"/>
      <color indexed="8"/>
      <name val="宋体"/>
      <family val="3"/>
      <charset val="134"/>
    </font>
    <font>
      <b/>
      <sz val="10"/>
      <color indexed="8"/>
      <name val="宋体"/>
      <family val="3"/>
      <charset val="134"/>
    </font>
    <font>
      <sz val="9"/>
      <name val="Arial Narrow"/>
      <family val="2"/>
    </font>
    <font>
      <sz val="9"/>
      <color indexed="10"/>
      <name val="宋体"/>
      <family val="3"/>
      <charset val="134"/>
    </font>
    <font>
      <b/>
      <sz val="10"/>
      <name val="Arial Narrow"/>
      <family val="2"/>
    </font>
    <font>
      <sz val="12"/>
      <name val="宋体"/>
      <family val="3"/>
      <charset val="134"/>
    </font>
    <font>
      <sz val="10"/>
      <name val="宋体"/>
      <family val="3"/>
      <charset val="134"/>
    </font>
    <font>
      <u/>
      <sz val="10"/>
      <color indexed="12"/>
      <name val="Arial Narrow"/>
      <family val="2"/>
    </font>
    <font>
      <sz val="10"/>
      <name val="宋体"/>
      <family val="3"/>
      <charset val="134"/>
    </font>
    <font>
      <sz val="9"/>
      <name val="宋体"/>
      <family val="3"/>
      <charset val="134"/>
    </font>
    <font>
      <u/>
      <sz val="12"/>
      <color indexed="12"/>
      <name val="宋体"/>
      <family val="3"/>
      <charset val="134"/>
    </font>
    <font>
      <sz val="10.5"/>
      <name val="Times New Roman"/>
      <family val="1"/>
    </font>
    <font>
      <b/>
      <sz val="18"/>
      <name val="仿宋_GB2312"/>
      <family val="3"/>
      <charset val="134"/>
    </font>
    <font>
      <sz val="11"/>
      <color indexed="10"/>
      <name val="宋体"/>
      <family val="3"/>
      <charset val="134"/>
    </font>
    <font>
      <b/>
      <sz val="10"/>
      <color indexed="12"/>
      <name val="宋体"/>
      <family val="3"/>
      <charset val="134"/>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006100"/>
      <name val="宋体"/>
      <family val="3"/>
      <charset val="134"/>
      <scheme val="minor"/>
    </font>
    <font>
      <sz val="11"/>
      <color rgb="FF9C0006"/>
      <name val="宋体"/>
      <family val="3"/>
      <charset val="134"/>
      <scheme val="minor"/>
    </font>
    <font>
      <sz val="11"/>
      <color theme="1"/>
      <name val="宋体"/>
      <family val="3"/>
      <charset val="134"/>
      <scheme val="minor"/>
    </font>
    <font>
      <b/>
      <sz val="16"/>
      <color indexed="8"/>
      <name val="宋体"/>
      <family val="3"/>
      <charset val="134"/>
    </font>
    <font>
      <b/>
      <sz val="11"/>
      <color indexed="8"/>
      <name val="宋体"/>
      <family val="3"/>
      <charset val="134"/>
    </font>
    <font>
      <sz val="10"/>
      <color indexed="12"/>
      <name val="Times New Roman"/>
      <family val="1"/>
    </font>
    <font>
      <b/>
      <sz val="16"/>
      <color indexed="8"/>
      <name val="黑体"/>
      <family val="3"/>
      <charset val="134"/>
    </font>
    <font>
      <sz val="10.5"/>
      <color indexed="8"/>
      <name val="宋体"/>
      <family val="3"/>
      <charset val="134"/>
    </font>
    <font>
      <sz val="10.5"/>
      <color indexed="8"/>
      <name val="Times New Roman"/>
      <family val="1"/>
    </font>
    <font>
      <b/>
      <sz val="16"/>
      <name val="黑体"/>
      <family val="3"/>
      <charset val="134"/>
    </font>
    <font>
      <sz val="22"/>
      <name val="华文琥珀"/>
      <family val="3"/>
      <charset val="134"/>
    </font>
    <font>
      <sz val="12"/>
      <color rgb="FFFF0000"/>
      <name val="宋体"/>
      <family val="3"/>
      <charset val="134"/>
    </font>
    <font>
      <sz val="12"/>
      <color theme="8" tint="-0.499984740745262"/>
      <name val="宋体"/>
      <family val="3"/>
      <charset val="134"/>
    </font>
    <font>
      <sz val="12"/>
      <color theme="9" tint="-0.499984740745262"/>
      <name val="宋体"/>
      <family val="3"/>
      <charset val="134"/>
    </font>
    <font>
      <sz val="12"/>
      <color theme="9" tint="-0.249977111117893"/>
      <name val="宋体"/>
      <family val="3"/>
      <charset val="134"/>
    </font>
    <font>
      <sz val="12"/>
      <color theme="8" tint="-0.249977111117893"/>
      <name val="宋体"/>
      <family val="3"/>
      <charset val="134"/>
    </font>
    <font>
      <sz val="36"/>
      <color rgb="FF9C0006"/>
      <name val="宋体"/>
      <family val="2"/>
      <charset val="134"/>
      <scheme val="minor"/>
    </font>
    <font>
      <sz val="11"/>
      <name val="宋体"/>
      <family val="2"/>
      <charset val="134"/>
      <scheme val="minor"/>
    </font>
    <font>
      <sz val="11"/>
      <color rgb="FFFF0000"/>
      <name val="宋体"/>
      <family val="2"/>
      <charset val="134"/>
      <scheme val="minor"/>
    </font>
    <font>
      <b/>
      <sz val="12"/>
      <name val="Times New Roman"/>
      <family val="1"/>
    </font>
    <font>
      <sz val="14"/>
      <color indexed="8"/>
      <name val="宋体"/>
      <family val="3"/>
      <charset val="134"/>
    </font>
    <font>
      <sz val="14"/>
      <name val="Arial"/>
      <family val="2"/>
    </font>
    <font>
      <sz val="10"/>
      <color rgb="FFFF0000"/>
      <name val="宋体"/>
      <family val="3"/>
      <charset val="134"/>
    </font>
    <font>
      <sz val="12"/>
      <color theme="0"/>
      <name val="宋体"/>
      <family val="3"/>
      <charset val="134"/>
    </font>
    <font>
      <b/>
      <sz val="11"/>
      <name val="宋体"/>
      <family val="3"/>
      <charset val="134"/>
      <scheme val="minor"/>
    </font>
    <font>
      <sz val="10"/>
      <name val="宋体"/>
      <family val="3"/>
      <charset val="134"/>
      <scheme val="minor"/>
    </font>
    <font>
      <sz val="9"/>
      <color indexed="12"/>
      <name val="宋体"/>
      <family val="3"/>
      <charset val="134"/>
    </font>
    <font>
      <sz val="11"/>
      <color indexed="12"/>
      <name val="宋体"/>
      <family val="3"/>
      <charset val="134"/>
    </font>
    <font>
      <b/>
      <sz val="18"/>
      <color rgb="FFFF0000"/>
      <name val="Courier New"/>
      <family val="3"/>
    </font>
    <font>
      <b/>
      <sz val="18"/>
      <color rgb="FFFF0000"/>
      <name val="宋体"/>
      <family val="3"/>
      <charset val="134"/>
    </font>
    <font>
      <sz val="9"/>
      <name val="宋体"/>
      <family val="2"/>
      <charset val="134"/>
      <scheme val="minor"/>
    </font>
    <font>
      <b/>
      <sz val="18"/>
      <color indexed="8"/>
      <name val="方正小标宋简体"/>
      <family val="3"/>
      <charset val="134"/>
    </font>
    <font>
      <sz val="18"/>
      <color indexed="8"/>
      <name val="方正小标宋简体"/>
      <family val="3"/>
      <charset val="134"/>
    </font>
    <font>
      <b/>
      <sz val="10.5"/>
      <name val="宋体"/>
      <family val="3"/>
      <charset val="134"/>
    </font>
    <font>
      <sz val="12"/>
      <color theme="1"/>
      <name val="宋体"/>
      <family val="3"/>
      <charset val="134"/>
      <scheme val="minor"/>
    </font>
    <font>
      <sz val="10.5"/>
      <color indexed="8"/>
      <name val="仿宋_GB2312"/>
      <family val="3"/>
      <charset val="134"/>
    </font>
    <font>
      <sz val="14"/>
      <color indexed="8"/>
      <name val="仿宋_GB2312"/>
      <family val="3"/>
      <charset val="134"/>
    </font>
    <font>
      <b/>
      <sz val="14"/>
      <color indexed="8"/>
      <name val="仿宋_GB2312"/>
      <family val="3"/>
      <charset val="134"/>
    </font>
    <font>
      <sz val="14"/>
      <color indexed="8"/>
      <name val="Times New Roman"/>
      <family val="1"/>
    </font>
    <font>
      <vertAlign val="superscript"/>
      <sz val="10"/>
      <color indexed="12"/>
      <name val="宋体"/>
      <family val="3"/>
      <charset val="134"/>
    </font>
    <font>
      <b/>
      <sz val="14"/>
      <name val="楷体_GB2312"/>
      <family val="3"/>
      <charset val="134"/>
    </font>
    <font>
      <sz val="14"/>
      <name val="楷体_GB2312"/>
      <family val="3"/>
      <charset val="134"/>
    </font>
    <font>
      <u/>
      <sz val="12"/>
      <name val="仿宋_GB2312"/>
      <family val="3"/>
      <charset val="134"/>
    </font>
    <font>
      <sz val="14"/>
      <name val="仿宋_GB2312"/>
      <family val="3"/>
      <charset val="134"/>
    </font>
    <font>
      <b/>
      <sz val="12"/>
      <name val="楷体_GB2312"/>
      <family val="3"/>
      <charset val="134"/>
    </font>
    <font>
      <sz val="10"/>
      <color rgb="FFFF0000"/>
      <name val="Arial Narrow"/>
      <family val="2"/>
    </font>
    <font>
      <sz val="12"/>
      <color indexed="10"/>
      <name val="Buxton Sketch"/>
      <family val="4"/>
    </font>
    <font>
      <sz val="9"/>
      <color indexed="81"/>
      <name val="宋体"/>
      <family val="3"/>
      <charset val="134"/>
    </font>
    <font>
      <b/>
      <sz val="9"/>
      <color indexed="81"/>
      <name val="宋体"/>
      <family val="3"/>
      <charset val="134"/>
    </font>
    <font>
      <sz val="9"/>
      <name val="宋体"/>
      <family val="3"/>
      <charset val="134"/>
      <scheme val="minor"/>
    </font>
    <font>
      <sz val="8"/>
      <name val="宋体"/>
      <family val="3"/>
      <charset val="134"/>
      <scheme val="minor"/>
    </font>
    <font>
      <sz val="14"/>
      <color indexed="10"/>
      <name val="楷体_GB2312"/>
      <family val="3"/>
      <charset val="134"/>
    </font>
    <font>
      <b/>
      <sz val="13"/>
      <name val="宋体"/>
      <family val="3"/>
      <charset val="134"/>
    </font>
    <font>
      <sz val="12"/>
      <name val="新宋体"/>
      <family val="3"/>
      <charset val="134"/>
    </font>
    <font>
      <sz val="9"/>
      <name val="新宋体"/>
      <family val="3"/>
      <charset val="134"/>
    </font>
    <font>
      <b/>
      <sz val="18"/>
      <name val="新宋体"/>
      <family val="3"/>
      <charset val="134"/>
    </font>
    <font>
      <sz val="11"/>
      <name val="仿宋_GB2312"/>
      <family val="3"/>
      <charset val="134"/>
    </font>
    <font>
      <sz val="12"/>
      <color indexed="12"/>
      <name val="Times New Roman"/>
      <family val="1"/>
    </font>
    <font>
      <sz val="14"/>
      <name val="新宋体"/>
      <family val="3"/>
      <charset val="134"/>
    </font>
    <font>
      <sz val="11"/>
      <color indexed="8"/>
      <name val="Tahoma"/>
      <family val="2"/>
    </font>
    <font>
      <sz val="12"/>
      <name val="仿宋"/>
      <family val="3"/>
      <charset val="134"/>
    </font>
    <font>
      <sz val="10"/>
      <name val="仿宋"/>
      <family val="3"/>
      <charset val="134"/>
    </font>
    <font>
      <b/>
      <sz val="10"/>
      <name val="仿宋"/>
      <family val="3"/>
      <charset val="134"/>
    </font>
    <font>
      <sz val="9"/>
      <name val="Tahoma"/>
      <family val="2"/>
    </font>
    <font>
      <sz val="10"/>
      <color indexed="63"/>
      <name val="仿宋"/>
      <family val="3"/>
      <charset val="134"/>
    </font>
    <font>
      <b/>
      <sz val="10"/>
      <color indexed="8"/>
      <name val="仿宋"/>
      <family val="3"/>
      <charset val="134"/>
    </font>
    <font>
      <b/>
      <sz val="10"/>
      <color indexed="63"/>
      <name val="仿宋"/>
      <family val="3"/>
      <charset val="134"/>
    </font>
    <font>
      <sz val="10"/>
      <color indexed="8"/>
      <name val="仿宋"/>
      <family val="3"/>
      <charset val="134"/>
    </font>
    <font>
      <b/>
      <u/>
      <sz val="10"/>
      <name val="仿宋"/>
      <family val="3"/>
      <charset val="134"/>
    </font>
    <font>
      <b/>
      <sz val="16"/>
      <name val="仿宋"/>
      <family val="3"/>
      <charset val="134"/>
    </font>
    <font>
      <sz val="16"/>
      <name val="黑体"/>
      <family val="3"/>
      <charset val="134"/>
    </font>
  </fonts>
  <fills count="45">
    <fill>
      <patternFill patternType="none"/>
    </fill>
    <fill>
      <patternFill patternType="gray125"/>
    </fill>
    <fill>
      <patternFill patternType="solid">
        <fgColor indexed="42"/>
        <bgColor indexed="27"/>
      </patternFill>
    </fill>
    <fill>
      <patternFill patternType="solid">
        <fgColor indexed="22"/>
        <bgColor indexed="31"/>
      </patternFill>
    </fill>
    <fill>
      <patternFill patternType="solid">
        <fgColor indexed="9"/>
        <bgColor indexed="26"/>
      </patternFill>
    </fill>
    <fill>
      <patternFill patternType="solid">
        <fgColor indexed="44"/>
        <bgColor indexed="31"/>
      </patternFill>
    </fill>
    <fill>
      <patternFill patternType="solid">
        <fgColor indexed="47"/>
        <bgColor indexed="22"/>
      </patternFill>
    </fill>
    <fill>
      <patternFill patternType="solid">
        <fgColor indexed="19"/>
        <bgColor indexed="23"/>
      </patternFill>
    </fill>
    <fill>
      <patternFill patternType="solid">
        <fgColor indexed="8"/>
        <bgColor indexed="58"/>
      </patternFill>
    </fill>
    <fill>
      <patternFill patternType="solid">
        <fgColor indexed="55"/>
        <bgColor indexed="23"/>
      </patternFill>
    </fill>
    <fill>
      <patternFill patternType="solid">
        <fgColor indexed="45"/>
        <bgColor indexed="29"/>
      </patternFill>
    </fill>
    <fill>
      <patternFill patternType="solid">
        <fgColor indexed="10"/>
        <bgColor indexed="60"/>
      </patternFill>
    </fill>
    <fill>
      <patternFill patternType="solid">
        <fgColor indexed="44"/>
        <bgColor indexed="64"/>
      </patternFill>
    </fill>
    <fill>
      <patternFill patternType="solid">
        <fgColor indexed="22"/>
        <bgColor indexed="64"/>
      </patternFill>
    </fill>
    <fill>
      <patternFill patternType="solid">
        <fgColor indexed="42"/>
        <bgColor indexed="64"/>
      </patternFill>
    </fill>
    <fill>
      <patternFill patternType="solid">
        <fgColor indexed="9"/>
        <bgColor indexed="64"/>
      </patternFill>
    </fill>
    <fill>
      <patternFill patternType="solid">
        <fgColor theme="0" tint="-0.249977111117893"/>
        <bgColor indexed="64"/>
      </patternFill>
    </fill>
    <fill>
      <patternFill patternType="solid">
        <fgColor theme="0" tint="-0.249977111117893"/>
        <bgColor indexed="26"/>
      </patternFill>
    </fill>
    <fill>
      <patternFill patternType="solid">
        <fgColor rgb="FFC6EFCE"/>
      </patternFill>
    </fill>
    <fill>
      <patternFill patternType="solid">
        <fgColor rgb="FFFFC7CE"/>
      </patternFill>
    </fill>
    <fill>
      <patternFill patternType="solid">
        <fgColor rgb="FFFFEB9C"/>
      </patternFill>
    </fill>
    <fill>
      <patternFill patternType="solid">
        <fgColor indexed="29"/>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99CCFF"/>
        <bgColor indexed="26"/>
      </patternFill>
    </fill>
    <fill>
      <patternFill patternType="solid">
        <fgColor rgb="FFFF0000"/>
        <bgColor indexed="64"/>
      </patternFill>
    </fill>
    <fill>
      <patternFill patternType="solid">
        <fgColor indexed="13"/>
        <bgColor indexed="64"/>
      </patternFill>
    </fill>
    <fill>
      <patternFill patternType="solid">
        <fgColor theme="0"/>
        <bgColor indexed="31"/>
      </patternFill>
    </fill>
    <fill>
      <patternFill patternType="solid">
        <fgColor theme="1"/>
        <bgColor indexed="64"/>
      </patternFill>
    </fill>
    <fill>
      <patternFill patternType="solid">
        <fgColor rgb="FFC0C0C0"/>
        <bgColor indexed="64"/>
      </patternFill>
    </fill>
    <fill>
      <patternFill patternType="solid">
        <fgColor rgb="FFC0C0C0"/>
        <bgColor indexed="31"/>
      </patternFill>
    </fill>
    <fill>
      <patternFill patternType="solid">
        <fgColor rgb="FF99CCFF"/>
        <bgColor indexed="64"/>
      </patternFill>
    </fill>
    <fill>
      <patternFill patternType="solid">
        <fgColor rgb="FFCCFFCC"/>
        <bgColor indexed="64"/>
      </patternFill>
    </fill>
    <fill>
      <patternFill patternType="solid">
        <fgColor rgb="FF808000"/>
        <bgColor indexed="31"/>
      </patternFill>
    </fill>
    <fill>
      <patternFill patternType="solid">
        <fgColor rgb="FFFFCC99"/>
        <bgColor indexed="64"/>
      </patternFill>
    </fill>
    <fill>
      <patternFill patternType="solid">
        <fgColor theme="0"/>
        <bgColor indexed="64"/>
      </patternFill>
    </fill>
    <fill>
      <patternFill patternType="solid">
        <fgColor rgb="FF808000"/>
        <bgColor indexed="64"/>
      </patternFill>
    </fill>
    <fill>
      <patternFill patternType="solid">
        <fgColor rgb="FF99CCFF"/>
        <bgColor indexed="22"/>
      </patternFill>
    </fill>
    <fill>
      <patternFill patternType="solid">
        <fgColor rgb="FFCCFFCC"/>
        <bgColor indexed="27"/>
      </patternFill>
    </fill>
    <fill>
      <patternFill patternType="solid">
        <fgColor rgb="FFCCFFCC"/>
        <bgColor indexed="26"/>
      </patternFill>
    </fill>
    <fill>
      <patternFill patternType="solid">
        <fgColor rgb="FFCCFFCC"/>
        <bgColor indexed="31"/>
      </patternFill>
    </fill>
    <fill>
      <patternFill patternType="solid">
        <fgColor rgb="FF99CCFF"/>
        <bgColor indexed="31"/>
      </patternFill>
    </fill>
    <fill>
      <patternFill patternType="solid">
        <fgColor indexed="41"/>
        <bgColor indexed="64"/>
      </patternFill>
    </fill>
    <fill>
      <patternFill patternType="solid">
        <fgColor indexed="41"/>
        <bgColor indexed="31"/>
      </patternFill>
    </fill>
  </fills>
  <borders count="238">
    <border>
      <left/>
      <right/>
      <top/>
      <bottom/>
      <diagonal/>
    </border>
    <border>
      <left style="thin">
        <color indexed="8"/>
      </left>
      <right/>
      <top/>
      <bottom/>
      <diagonal/>
    </border>
    <border>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thin">
        <color indexed="8"/>
      </right>
      <top style="thin">
        <color indexed="8"/>
      </top>
      <bottom style="hair">
        <color indexed="8"/>
      </bottom>
      <diagonal/>
    </border>
    <border>
      <left style="hair">
        <color indexed="8"/>
      </left>
      <right style="hair">
        <color indexed="8"/>
      </right>
      <top style="hair">
        <color indexed="8"/>
      </top>
      <bottom style="thin">
        <color indexed="8"/>
      </bottom>
      <diagonal/>
    </border>
    <border>
      <left style="thin">
        <color indexed="8"/>
      </left>
      <right/>
      <top style="thin">
        <color indexed="8"/>
      </top>
      <bottom style="hair">
        <color indexed="8"/>
      </bottom>
      <diagonal/>
    </border>
    <border>
      <left style="thin">
        <color indexed="8"/>
      </left>
      <right/>
      <top style="hair">
        <color indexed="8"/>
      </top>
      <bottom style="thin">
        <color indexed="8"/>
      </bottom>
      <diagonal/>
    </border>
    <border>
      <left/>
      <right style="hair">
        <color indexed="8"/>
      </right>
      <top style="hair">
        <color indexed="8"/>
      </top>
      <bottom style="hair">
        <color indexed="8"/>
      </bottom>
      <diagonal/>
    </border>
    <border>
      <left/>
      <right style="hair">
        <color indexed="8"/>
      </right>
      <top style="hair">
        <color indexed="8"/>
      </top>
      <bottom style="thin">
        <color indexed="8"/>
      </bottom>
      <diagonal/>
    </border>
    <border>
      <left style="hair">
        <color indexed="8"/>
      </left>
      <right/>
      <top style="hair">
        <color indexed="8"/>
      </top>
      <bottom style="thin">
        <color indexed="8"/>
      </bottom>
      <diagonal/>
    </border>
    <border>
      <left/>
      <right/>
      <top style="hair">
        <color indexed="8"/>
      </top>
      <bottom style="thin">
        <color indexed="8"/>
      </bottom>
      <diagonal/>
    </border>
    <border>
      <left style="hair">
        <color indexed="8"/>
      </left>
      <right style="hair">
        <color indexed="8"/>
      </right>
      <top style="thin">
        <color indexed="8"/>
      </top>
      <bottom style="hair">
        <color indexed="8"/>
      </bottom>
      <diagonal/>
    </border>
    <border>
      <left/>
      <right/>
      <top/>
      <bottom style="thin">
        <color indexed="8"/>
      </bottom>
      <diagonal/>
    </border>
    <border>
      <left/>
      <right/>
      <top style="thin">
        <color indexed="8"/>
      </top>
      <bottom style="thin">
        <color indexed="8"/>
      </bottom>
      <diagonal/>
    </border>
    <border>
      <left style="hair">
        <color indexed="8"/>
      </left>
      <right style="thin">
        <color indexed="8"/>
      </right>
      <top style="hair">
        <color indexed="8"/>
      </top>
      <bottom style="thin">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right style="thin">
        <color indexed="8"/>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top style="hair">
        <color indexed="8"/>
      </top>
      <bottom style="hair">
        <color indexed="8"/>
      </bottom>
      <diagonal/>
    </border>
    <border>
      <left/>
      <right style="thin">
        <color indexed="8"/>
      </right>
      <top/>
      <bottom style="thin">
        <color indexed="8"/>
      </bottom>
      <diagonal/>
    </border>
    <border>
      <left/>
      <right/>
      <top/>
      <bottom style="medium">
        <color indexed="8"/>
      </bottom>
      <diagonal/>
    </border>
    <border>
      <left style="medium">
        <color indexed="8"/>
      </left>
      <right style="thin">
        <color indexed="8"/>
      </right>
      <top style="medium">
        <color indexed="8"/>
      </top>
      <bottom style="medium">
        <color indexed="8"/>
      </bottom>
      <diagonal/>
    </border>
    <border>
      <left/>
      <right style="medium">
        <color indexed="8"/>
      </right>
      <top/>
      <bottom/>
      <diagonal/>
    </border>
    <border>
      <left style="medium">
        <color indexed="8"/>
      </left>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top/>
      <bottom/>
      <diagonal/>
    </border>
    <border>
      <left style="medium">
        <color indexed="8"/>
      </left>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medium">
        <color indexed="8"/>
      </right>
      <top style="thin">
        <color indexed="8"/>
      </top>
      <bottom/>
      <diagonal/>
    </border>
    <border>
      <left style="thin">
        <color indexed="8"/>
      </left>
      <right style="medium">
        <color indexed="8"/>
      </right>
      <top/>
      <bottom/>
      <diagonal/>
    </border>
    <border>
      <left style="medium">
        <color indexed="8"/>
      </left>
      <right/>
      <top style="thin">
        <color indexed="8"/>
      </top>
      <bottom/>
      <diagonal/>
    </border>
    <border>
      <left/>
      <right style="thin">
        <color indexed="8"/>
      </right>
      <top style="medium">
        <color indexed="8"/>
      </top>
      <bottom style="thin">
        <color indexed="8"/>
      </bottom>
      <diagonal/>
    </border>
    <border>
      <left/>
      <right style="thin">
        <color indexed="8"/>
      </right>
      <top style="thin">
        <color indexed="8"/>
      </top>
      <bottom style="medium">
        <color indexed="8"/>
      </bottom>
      <diagonal/>
    </border>
    <border>
      <left style="hair">
        <color indexed="8"/>
      </left>
      <right style="hair">
        <color indexed="8"/>
      </right>
      <top style="thin">
        <color indexed="8"/>
      </top>
      <bottom/>
      <diagonal/>
    </border>
    <border>
      <left style="hair">
        <color indexed="8"/>
      </left>
      <right/>
      <top style="thin">
        <color indexed="8"/>
      </top>
      <bottom/>
      <diagonal/>
    </border>
    <border>
      <left style="hair">
        <color indexed="8"/>
      </left>
      <right/>
      <top style="thin">
        <color indexed="8"/>
      </top>
      <bottom style="hair">
        <color indexed="8"/>
      </bottom>
      <diagonal/>
    </border>
    <border>
      <left style="hair">
        <color indexed="8"/>
      </left>
      <right/>
      <top/>
      <bottom style="hair">
        <color indexed="8"/>
      </bottom>
      <diagonal/>
    </border>
    <border>
      <left style="hair">
        <color indexed="8"/>
      </left>
      <right style="hair">
        <color indexed="8"/>
      </right>
      <top/>
      <bottom style="hair">
        <color indexed="8"/>
      </bottom>
      <diagonal/>
    </border>
    <border>
      <left style="hair">
        <color indexed="8"/>
      </left>
      <right/>
      <top/>
      <bottom/>
      <diagonal/>
    </border>
    <border>
      <left style="hair">
        <color indexed="8"/>
      </left>
      <right/>
      <top/>
      <bottom style="thin">
        <color indexed="8"/>
      </bottom>
      <diagonal/>
    </border>
    <border>
      <left/>
      <right style="hair">
        <color indexed="8"/>
      </right>
      <top style="thin">
        <color indexed="8"/>
      </top>
      <bottom style="hair">
        <color indexed="8"/>
      </bottom>
      <diagonal/>
    </border>
    <border>
      <left style="hair">
        <color indexed="8"/>
      </left>
      <right style="hair">
        <color indexed="8"/>
      </right>
      <top/>
      <bottom/>
      <diagonal/>
    </border>
    <border>
      <left style="hair">
        <color indexed="8"/>
      </left>
      <right style="hair">
        <color indexed="8"/>
      </right>
      <top style="hair">
        <color indexed="8"/>
      </top>
      <bottom/>
      <diagonal/>
    </border>
    <border>
      <left style="thin">
        <color indexed="8"/>
      </left>
      <right style="hair">
        <color indexed="8"/>
      </right>
      <top style="thin">
        <color indexed="8"/>
      </top>
      <bottom/>
      <diagonal/>
    </border>
    <border>
      <left style="hair">
        <color indexed="8"/>
      </left>
      <right style="thin">
        <color indexed="8"/>
      </right>
      <top style="thin">
        <color indexed="8"/>
      </top>
      <bottom/>
      <diagonal/>
    </border>
    <border>
      <left style="thin">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style="hair">
        <color indexed="8"/>
      </right>
      <top style="hair">
        <color indexed="8"/>
      </top>
      <bottom/>
      <diagonal/>
    </border>
    <border>
      <left style="hair">
        <color indexed="8"/>
      </left>
      <right style="thin">
        <color indexed="8"/>
      </right>
      <top style="hair">
        <color indexed="8"/>
      </top>
      <bottom/>
      <diagonal/>
    </border>
    <border>
      <left/>
      <right/>
      <top style="thin">
        <color indexed="8"/>
      </top>
      <bottom style="hair">
        <color indexed="8"/>
      </bottom>
      <diagonal/>
    </border>
    <border>
      <left/>
      <right/>
      <top style="hair">
        <color indexed="8"/>
      </top>
      <bottom/>
      <diagonal/>
    </border>
    <border>
      <left style="hair">
        <color indexed="8"/>
      </left>
      <right/>
      <top style="thin">
        <color indexed="8"/>
      </top>
      <bottom style="thin">
        <color indexed="8"/>
      </bottom>
      <diagonal/>
    </border>
    <border>
      <left style="hair">
        <color indexed="8"/>
      </left>
      <right style="thin">
        <color indexed="8"/>
      </right>
      <top/>
      <bottom/>
      <diagonal/>
    </border>
    <border>
      <left style="hair">
        <color indexed="8"/>
      </left>
      <right/>
      <top style="hair">
        <color indexed="8"/>
      </top>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thin">
        <color indexed="8"/>
      </bottom>
      <diagonal/>
    </border>
    <border>
      <left style="medium">
        <color indexed="8"/>
      </left>
      <right style="hair">
        <color indexed="8"/>
      </right>
      <top style="hair">
        <color indexed="8"/>
      </top>
      <bottom style="hair">
        <color indexed="8"/>
      </bottom>
      <diagonal/>
    </border>
    <border>
      <left style="hair">
        <color indexed="8"/>
      </left>
      <right style="medium">
        <color indexed="8"/>
      </right>
      <top style="hair">
        <color indexed="8"/>
      </top>
      <bottom style="hair">
        <color indexed="8"/>
      </bottom>
      <diagonal/>
    </border>
    <border>
      <left style="medium">
        <color indexed="8"/>
      </left>
      <right/>
      <top style="hair">
        <color indexed="8"/>
      </top>
      <bottom style="hair">
        <color indexed="8"/>
      </bottom>
      <diagonal/>
    </border>
    <border>
      <left style="medium">
        <color indexed="8"/>
      </left>
      <right style="hair">
        <color indexed="8"/>
      </right>
      <top style="hair">
        <color indexed="8"/>
      </top>
      <bottom style="medium">
        <color indexed="8"/>
      </bottom>
      <diagonal/>
    </border>
    <border>
      <left style="hair">
        <color indexed="8"/>
      </left>
      <right style="hair">
        <color indexed="8"/>
      </right>
      <top style="hair">
        <color indexed="8"/>
      </top>
      <bottom style="medium">
        <color indexed="8"/>
      </bottom>
      <diagonal/>
    </border>
    <border>
      <left style="hair">
        <color indexed="8"/>
      </left>
      <right style="medium">
        <color indexed="8"/>
      </right>
      <top style="hair">
        <color indexed="8"/>
      </top>
      <bottom style="medium">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bottom/>
      <diagonal/>
    </border>
    <border>
      <left style="medium">
        <color indexed="8"/>
      </left>
      <right style="medium">
        <color indexed="8"/>
      </right>
      <top style="medium">
        <color indexed="8"/>
      </top>
      <bottom style="medium">
        <color indexed="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style="thin">
        <color indexed="8"/>
      </left>
      <right style="thin">
        <color indexed="8"/>
      </right>
      <top style="hair">
        <color indexed="8"/>
      </top>
      <bottom style="thin">
        <color indexed="8"/>
      </bottom>
      <diagonal/>
    </border>
    <border>
      <left style="thin">
        <color indexed="8"/>
      </left>
      <right/>
      <top/>
      <bottom style="hair">
        <color indexed="8"/>
      </bottom>
      <diagonal/>
    </border>
    <border>
      <left style="thin">
        <color indexed="8"/>
      </left>
      <right style="thin">
        <color indexed="8"/>
      </right>
      <top/>
      <bottom style="hair">
        <color indexed="8"/>
      </bottom>
      <diagonal/>
    </border>
    <border>
      <left style="medium">
        <color indexed="8"/>
      </left>
      <right/>
      <top style="medium">
        <color indexed="8"/>
      </top>
      <bottom/>
      <diagonal/>
    </border>
    <border>
      <left style="medium">
        <color indexed="8"/>
      </left>
      <right/>
      <top style="medium">
        <color indexed="8"/>
      </top>
      <bottom style="medium">
        <color indexed="8"/>
      </bottom>
      <diagonal/>
    </border>
    <border>
      <left style="medium">
        <color indexed="8"/>
      </left>
      <right style="thin">
        <color indexed="8"/>
      </right>
      <top style="thin">
        <color indexed="8"/>
      </top>
      <bottom/>
      <diagonal/>
    </border>
    <border>
      <left/>
      <right style="hair">
        <color indexed="8"/>
      </right>
      <top/>
      <bottom style="thin">
        <color indexed="8"/>
      </bottom>
      <diagonal/>
    </border>
    <border>
      <left/>
      <right style="hair">
        <color indexed="8"/>
      </right>
      <top/>
      <bottom/>
      <diagonal/>
    </border>
    <border>
      <left/>
      <right style="hair">
        <color indexed="8"/>
      </right>
      <top style="thin">
        <color indexed="8"/>
      </top>
      <bottom/>
      <diagonal/>
    </border>
    <border>
      <left style="thin">
        <color indexed="8"/>
      </left>
      <right style="hair">
        <color indexed="8"/>
      </right>
      <top/>
      <bottom style="thin">
        <color indexed="8"/>
      </bottom>
      <diagonal/>
    </border>
    <border>
      <left/>
      <right style="thin">
        <color indexed="8"/>
      </right>
      <top/>
      <bottom style="hair">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8"/>
      </left>
      <right style="hair">
        <color indexed="8"/>
      </right>
      <top style="medium">
        <color indexed="8"/>
      </top>
      <bottom style="hair">
        <color indexed="8"/>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hair">
        <color indexed="8"/>
      </right>
      <top style="hair">
        <color indexed="8"/>
      </top>
      <bottom/>
      <diagonal/>
    </border>
    <border>
      <left/>
      <right/>
      <top/>
      <bottom style="hair">
        <color indexed="8"/>
      </bottom>
      <diagonal/>
    </border>
    <border>
      <left/>
      <right style="hair">
        <color indexed="8"/>
      </right>
      <top/>
      <bottom style="hair">
        <color indexed="8"/>
      </bottom>
      <diagonal/>
    </border>
    <border>
      <left style="medium">
        <color indexed="8"/>
      </left>
      <right style="hair">
        <color indexed="8"/>
      </right>
      <top style="hair">
        <color indexed="8"/>
      </top>
      <bottom/>
      <diagonal/>
    </border>
    <border>
      <left style="hair">
        <color indexed="8"/>
      </left>
      <right style="medium">
        <color indexed="8"/>
      </right>
      <top style="hair">
        <color indexed="8"/>
      </top>
      <bottom/>
      <diagonal/>
    </border>
    <border>
      <left style="hair">
        <color indexed="8"/>
      </left>
      <right/>
      <top style="medium">
        <color indexed="8"/>
      </top>
      <bottom style="hair">
        <color indexed="8"/>
      </bottom>
      <diagonal/>
    </border>
    <border>
      <left style="hair">
        <color indexed="8"/>
      </left>
      <right/>
      <top style="hair">
        <color indexed="8"/>
      </top>
      <bottom style="medium">
        <color indexed="8"/>
      </bottom>
      <diagonal/>
    </border>
    <border>
      <left style="hair">
        <color indexed="8"/>
      </left>
      <right style="medium">
        <color indexed="8"/>
      </right>
      <top style="medium">
        <color indexed="8"/>
      </top>
      <bottom/>
      <diagonal/>
    </border>
    <border>
      <left style="hair">
        <color indexed="8"/>
      </left>
      <right style="medium">
        <color indexed="8"/>
      </right>
      <top/>
      <bottom style="hair">
        <color indexed="8"/>
      </bottom>
      <diagonal/>
    </border>
    <border>
      <left/>
      <right/>
      <top style="medium">
        <color indexed="8"/>
      </top>
      <bottom style="hair">
        <color indexed="8"/>
      </bottom>
      <diagonal/>
    </border>
    <border>
      <left/>
      <right style="hair">
        <color indexed="8"/>
      </right>
      <top style="medium">
        <color indexed="8"/>
      </top>
      <bottom style="hair">
        <color indexed="8"/>
      </bottom>
      <diagonal/>
    </border>
    <border>
      <left/>
      <right style="hair">
        <color indexed="8"/>
      </right>
      <top style="hair">
        <color indexed="8"/>
      </top>
      <bottom style="medium">
        <color indexed="8"/>
      </bottom>
      <diagonal/>
    </border>
    <border>
      <left style="hair">
        <color indexed="8"/>
      </left>
      <right/>
      <top style="medium">
        <color indexed="8"/>
      </top>
      <bottom/>
      <diagonal/>
    </border>
    <border>
      <left/>
      <right style="hair">
        <color indexed="8"/>
      </right>
      <top style="medium">
        <color indexed="8"/>
      </top>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thin">
        <color indexed="64"/>
      </top>
      <bottom style="hair">
        <color indexed="64"/>
      </bottom>
      <diagonal/>
    </border>
    <border>
      <left/>
      <right style="hair">
        <color indexed="64"/>
      </right>
      <top style="hair">
        <color indexed="64"/>
      </top>
      <bottom style="hair">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style="hair">
        <color indexed="64"/>
      </top>
      <bottom style="hair">
        <color indexed="64"/>
      </bottom>
      <diagonal/>
    </border>
    <border>
      <left style="thick">
        <color indexed="64"/>
      </left>
      <right style="thick">
        <color indexed="64"/>
      </right>
      <top style="thick">
        <color indexed="64"/>
      </top>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bottom style="medium">
        <color indexed="64"/>
      </bottom>
      <diagonal/>
    </border>
    <border>
      <left/>
      <right style="thick">
        <color indexed="64"/>
      </right>
      <top/>
      <bottom style="medium">
        <color indexed="64"/>
      </bottom>
      <diagonal/>
    </border>
    <border>
      <left style="thick">
        <color indexed="64"/>
      </left>
      <right style="thick">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right/>
      <top/>
      <bottom style="hair">
        <color auto="1"/>
      </bottom>
      <diagonal/>
    </border>
    <border>
      <left/>
      <right/>
      <top style="hair">
        <color auto="1"/>
      </top>
      <bottom style="hair">
        <color auto="1"/>
      </bottom>
      <diagonal/>
    </border>
    <border>
      <left style="hair">
        <color indexed="8"/>
      </left>
      <right/>
      <top style="thin">
        <color indexed="64"/>
      </top>
      <bottom/>
      <diagonal/>
    </border>
    <border>
      <left/>
      <right style="thin">
        <color indexed="8"/>
      </right>
      <top style="thin">
        <color indexed="64"/>
      </top>
      <bottom/>
      <diagonal/>
    </border>
    <border>
      <left style="thin">
        <color indexed="8"/>
      </left>
      <right/>
      <top/>
      <bottom style="thin">
        <color indexed="64"/>
      </bottom>
      <diagonal/>
    </border>
    <border>
      <left style="medium">
        <color indexed="64"/>
      </left>
      <right style="thin">
        <color indexed="64"/>
      </right>
      <top/>
      <bottom style="thin">
        <color indexed="64"/>
      </bottom>
      <diagonal/>
    </border>
    <border>
      <left/>
      <right style="thin">
        <color indexed="64"/>
      </right>
      <top/>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style="thin">
        <color indexed="64"/>
      </right>
      <top style="hair">
        <color indexed="64"/>
      </top>
      <bottom/>
      <diagonal/>
    </border>
    <border>
      <left style="thin">
        <color indexed="64"/>
      </left>
      <right style="hair">
        <color indexed="64"/>
      </right>
      <top style="hair">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hair">
        <color indexed="64"/>
      </left>
      <right/>
      <top style="thin">
        <color indexed="64"/>
      </top>
      <bottom/>
      <diagonal/>
    </border>
    <border>
      <left style="hair">
        <color indexed="64"/>
      </left>
      <right/>
      <top/>
      <bottom/>
      <diagonal/>
    </border>
    <border>
      <left style="hair">
        <color indexed="64"/>
      </left>
      <right/>
      <top/>
      <bottom style="thin">
        <color indexed="64"/>
      </bottom>
      <diagonal/>
    </border>
    <border>
      <left style="hair">
        <color indexed="8"/>
      </left>
      <right/>
      <top style="hair">
        <color indexed="8"/>
      </top>
      <bottom style="hair">
        <color indexed="8"/>
      </bottom>
      <diagonal/>
    </border>
    <border>
      <left/>
      <right style="thin">
        <color indexed="8"/>
      </right>
      <top style="hair">
        <color indexed="8"/>
      </top>
      <bottom style="hair">
        <color indexed="8"/>
      </bottom>
      <diagonal/>
    </border>
    <border>
      <left style="thin">
        <color indexed="8"/>
      </left>
      <right/>
      <top style="hair">
        <color indexed="8"/>
      </top>
      <bottom style="hair">
        <color indexed="8"/>
      </bottom>
      <diagonal/>
    </border>
    <border>
      <left/>
      <right/>
      <top style="hair">
        <color indexed="8"/>
      </top>
      <bottom style="hair">
        <color indexed="8"/>
      </bottom>
      <diagonal/>
    </border>
    <border>
      <left/>
      <right style="hair">
        <color indexed="64"/>
      </right>
      <top style="hair">
        <color indexed="8"/>
      </top>
      <bottom style="hair">
        <color indexed="8"/>
      </bottom>
      <diagonal/>
    </border>
    <border>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hair">
        <color indexed="8"/>
      </right>
      <top style="hair">
        <color indexed="8"/>
      </top>
      <bottom/>
      <diagonal/>
    </border>
    <border>
      <left style="hair">
        <color indexed="8"/>
      </left>
      <right style="hair">
        <color indexed="8"/>
      </right>
      <top style="hair">
        <color indexed="8"/>
      </top>
      <bottom style="thin">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thin">
        <color indexed="8"/>
      </bottom>
      <diagonal/>
    </border>
    <border>
      <left style="hair">
        <color indexed="8"/>
      </left>
      <right/>
      <top style="hair">
        <color indexed="8"/>
      </top>
      <bottom style="thin">
        <color indexed="8"/>
      </bottom>
      <diagonal/>
    </border>
    <border>
      <left/>
      <right style="hair">
        <color indexed="8"/>
      </right>
      <top style="hair">
        <color indexed="8"/>
      </top>
      <bottom style="thin">
        <color indexed="8"/>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1">
    <xf numFmtId="0" fontId="0" fillId="0" borderId="0">
      <alignment vertical="center"/>
    </xf>
    <xf numFmtId="9" fontId="74" fillId="0" borderId="0" applyFill="0" applyBorder="0" applyProtection="0">
      <alignment vertical="center"/>
    </xf>
    <xf numFmtId="0" fontId="12" fillId="0" borderId="0" applyNumberFormat="0" applyFill="0" applyBorder="0" applyProtection="0">
      <alignment vertical="center"/>
    </xf>
    <xf numFmtId="0" fontId="4" fillId="0" borderId="0"/>
    <xf numFmtId="180" fontId="74" fillId="0" borderId="0" applyFill="0" applyBorder="0" applyProtection="0">
      <alignment vertical="center"/>
    </xf>
    <xf numFmtId="181" fontId="74" fillId="0" borderId="0" applyFill="0" applyBorder="0" applyProtection="0">
      <alignment vertical="center"/>
    </xf>
    <xf numFmtId="0" fontId="84" fillId="18" borderId="0" applyNumberFormat="0" applyBorder="0" applyAlignment="0" applyProtection="0">
      <alignment vertical="center"/>
    </xf>
    <xf numFmtId="0" fontId="85" fillId="19" borderId="0" applyNumberFormat="0" applyBorder="0" applyAlignment="0" applyProtection="0">
      <alignment vertical="center"/>
    </xf>
    <xf numFmtId="0" fontId="86" fillId="20" borderId="0" applyNumberFormat="0" applyBorder="0" applyAlignment="0" applyProtection="0">
      <alignment vertical="center"/>
    </xf>
    <xf numFmtId="0" fontId="146" fillId="0" borderId="0">
      <alignment vertical="center"/>
    </xf>
    <xf numFmtId="43" fontId="146" fillId="0" borderId="0" applyFont="0" applyFill="0" applyBorder="0" applyAlignment="0" applyProtection="0">
      <alignment vertical="center"/>
    </xf>
  </cellStyleXfs>
  <cellXfs count="4119">
    <xf numFmtId="0" fontId="0" fillId="0" borderId="0" xfId="0">
      <alignment vertical="center"/>
    </xf>
    <xf numFmtId="0" fontId="13" fillId="0" borderId="8" xfId="2" applyFont="1" applyBorder="1" applyAlignment="1">
      <alignment horizontal="center" vertical="center"/>
    </xf>
    <xf numFmtId="0" fontId="0" fillId="0" borderId="1" xfId="0" applyBorder="1">
      <alignment vertical="center"/>
    </xf>
    <xf numFmtId="0" fontId="0" fillId="0" borderId="0" xfId="0">
      <alignment vertical="center"/>
    </xf>
    <xf numFmtId="0" fontId="0" fillId="0" borderId="0" xfId="0" applyBorder="1" applyAlignment="1" applyProtection="1">
      <protection locked="0"/>
    </xf>
    <xf numFmtId="0" fontId="0" fillId="0" borderId="0" xfId="0" applyFont="1" applyBorder="1" applyAlignment="1" applyProtection="1">
      <alignment horizontal="right"/>
      <protection locked="0"/>
    </xf>
    <xf numFmtId="0" fontId="0" fillId="0" borderId="0" xfId="0" applyBorder="1" applyProtection="1">
      <alignment vertical="center"/>
      <protection locked="0"/>
    </xf>
    <xf numFmtId="0" fontId="0" fillId="0" borderId="0" xfId="0" applyFont="1" applyBorder="1" applyAlignment="1" applyProtection="1">
      <protection locked="0"/>
    </xf>
    <xf numFmtId="0" fontId="0" fillId="0" borderId="0" xfId="0" applyBorder="1" applyAlignment="1" applyProtection="1">
      <alignment horizontal="center"/>
      <protection locked="0"/>
    </xf>
    <xf numFmtId="0" fontId="8" fillId="0" borderId="0" xfId="0" applyFont="1" applyBorder="1" applyAlignment="1" applyProtection="1">
      <alignment horizontal="left"/>
      <protection locked="0"/>
    </xf>
    <xf numFmtId="0" fontId="0" fillId="0" borderId="2" xfId="0" applyBorder="1" applyAlignment="1" applyProtection="1">
      <protection locked="0"/>
    </xf>
    <xf numFmtId="0" fontId="0" fillId="0" borderId="1" xfId="0" applyBorder="1" applyAlignment="1" applyProtection="1">
      <protection locked="0"/>
    </xf>
    <xf numFmtId="0" fontId="0" fillId="0" borderId="0" xfId="0" applyBorder="1">
      <alignment vertical="center"/>
    </xf>
    <xf numFmtId="0" fontId="0" fillId="0" borderId="0" xfId="0">
      <alignment vertical="center"/>
    </xf>
    <xf numFmtId="0" fontId="0" fillId="0" borderId="0" xfId="0" applyProtection="1">
      <alignment vertical="center"/>
      <protection locked="0"/>
    </xf>
    <xf numFmtId="0" fontId="0" fillId="2" borderId="3" xfId="0" applyFont="1" applyFill="1" applyBorder="1" applyAlignment="1" applyProtection="1">
      <alignment horizontal="center" vertical="center"/>
      <protection locked="0"/>
    </xf>
    <xf numFmtId="0" fontId="10" fillId="2" borderId="3" xfId="0" applyFont="1" applyFill="1" applyBorder="1" applyProtection="1">
      <alignment vertical="center"/>
      <protection locked="0"/>
    </xf>
    <xf numFmtId="0" fontId="0" fillId="2" borderId="3" xfId="0" applyFont="1" applyFill="1" applyBorder="1" applyProtection="1">
      <alignment vertical="center"/>
      <protection locked="0"/>
    </xf>
    <xf numFmtId="183" fontId="0" fillId="0" borderId="3" xfId="0" applyNumberFormat="1" applyFont="1" applyBorder="1" applyProtection="1">
      <alignment vertical="center"/>
      <protection locked="0"/>
    </xf>
    <xf numFmtId="183" fontId="0" fillId="2" borderId="3" xfId="0" applyNumberFormat="1" applyFont="1" applyFill="1" applyBorder="1" applyProtection="1">
      <alignment vertical="center"/>
      <protection locked="0"/>
    </xf>
    <xf numFmtId="49" fontId="0" fillId="0" borderId="3" xfId="0" applyNumberFormat="1" applyFont="1" applyBorder="1" applyAlignment="1" applyProtection="1">
      <alignment horizontal="center" vertical="center"/>
      <protection locked="0"/>
    </xf>
    <xf numFmtId="49" fontId="0" fillId="2" borderId="3" xfId="0" applyNumberFormat="1" applyFont="1" applyFill="1" applyBorder="1" applyAlignment="1" applyProtection="1">
      <alignment horizontal="center" vertical="center"/>
      <protection locked="0"/>
    </xf>
    <xf numFmtId="0" fontId="11" fillId="2" borderId="3" xfId="2" applyNumberFormat="1" applyFont="1" applyFill="1" applyBorder="1" applyProtection="1">
      <alignment vertical="center"/>
      <protection locked="0"/>
    </xf>
    <xf numFmtId="183" fontId="0" fillId="0" borderId="3" xfId="0" applyNumberFormat="1" applyFont="1" applyBorder="1" applyAlignment="1" applyProtection="1">
      <alignment horizontal="center" vertical="center"/>
      <protection locked="0"/>
    </xf>
    <xf numFmtId="0" fontId="0" fillId="0" borderId="3" xfId="0" applyFont="1" applyBorder="1" applyProtection="1">
      <alignment vertical="center"/>
      <protection locked="0"/>
    </xf>
    <xf numFmtId="183" fontId="10" fillId="2" borderId="3" xfId="0" applyNumberFormat="1" applyFont="1" applyFill="1" applyBorder="1" applyProtection="1">
      <alignment vertical="center"/>
      <protection locked="0"/>
    </xf>
    <xf numFmtId="49" fontId="10" fillId="0" borderId="3" xfId="0" applyNumberFormat="1" applyFont="1" applyBorder="1" applyProtection="1">
      <alignment vertical="center"/>
      <protection locked="0"/>
    </xf>
    <xf numFmtId="0" fontId="10" fillId="2" borderId="3" xfId="0" applyFont="1" applyFill="1" applyBorder="1" applyAlignment="1" applyProtection="1">
      <alignment vertical="center"/>
      <protection locked="0"/>
    </xf>
    <xf numFmtId="0" fontId="13" fillId="2" borderId="3" xfId="2" applyNumberFormat="1" applyFont="1" applyFill="1" applyBorder="1" applyProtection="1">
      <alignment vertical="center"/>
      <protection locked="0"/>
    </xf>
    <xf numFmtId="49" fontId="0" fillId="0" borderId="3" xfId="0" applyNumberFormat="1" applyFont="1" applyFill="1" applyBorder="1" applyAlignment="1" applyProtection="1">
      <alignment horizontal="center" vertical="center"/>
      <protection locked="0"/>
    </xf>
    <xf numFmtId="0" fontId="0" fillId="0" borderId="3" xfId="0" applyFont="1" applyFill="1" applyBorder="1" applyProtection="1">
      <alignment vertical="center"/>
      <protection locked="0"/>
    </xf>
    <xf numFmtId="0" fontId="11" fillId="2" borderId="4" xfId="2" applyNumberFormat="1" applyFont="1" applyFill="1" applyBorder="1" applyProtection="1">
      <alignment vertical="center"/>
      <protection locked="0"/>
    </xf>
    <xf numFmtId="49" fontId="0" fillId="0" borderId="4" xfId="0" applyNumberFormat="1" applyFont="1" applyBorder="1" applyAlignment="1" applyProtection="1">
      <alignment horizontal="center" vertical="center"/>
      <protection locked="0"/>
    </xf>
    <xf numFmtId="0" fontId="10" fillId="0" borderId="4" xfId="0" applyFont="1" applyFill="1" applyBorder="1" applyAlignment="1" applyProtection="1">
      <alignment vertical="center"/>
      <protection locked="0"/>
    </xf>
    <xf numFmtId="0" fontId="0" fillId="0" borderId="4" xfId="0" applyFont="1" applyFill="1" applyBorder="1" applyProtection="1">
      <alignment vertical="center"/>
      <protection locked="0"/>
    </xf>
    <xf numFmtId="0" fontId="14" fillId="0" borderId="3" xfId="0" applyFont="1" applyFill="1" applyBorder="1" applyProtection="1">
      <alignment vertical="center"/>
      <protection locked="0"/>
    </xf>
    <xf numFmtId="0" fontId="10" fillId="2" borderId="4" xfId="0" applyFont="1" applyFill="1" applyBorder="1" applyAlignment="1" applyProtection="1">
      <alignment vertical="center"/>
      <protection locked="0"/>
    </xf>
    <xf numFmtId="0" fontId="15" fillId="2" borderId="3" xfId="0" applyFont="1" applyFill="1" applyBorder="1">
      <alignment vertical="center"/>
    </xf>
    <xf numFmtId="0" fontId="14" fillId="0" borderId="5" xfId="0" applyFont="1" applyBorder="1" applyProtection="1">
      <alignment vertical="center"/>
      <protection locked="0"/>
    </xf>
    <xf numFmtId="0" fontId="15" fillId="0" borderId="3" xfId="0" applyFont="1" applyBorder="1">
      <alignment vertical="center"/>
    </xf>
    <xf numFmtId="0" fontId="10" fillId="0" borderId="3" xfId="0" applyFont="1" applyFill="1" applyBorder="1" applyAlignment="1" applyProtection="1">
      <alignment vertical="center"/>
      <protection locked="0"/>
    </xf>
    <xf numFmtId="0" fontId="15" fillId="0" borderId="3" xfId="0" applyFont="1" applyFill="1" applyBorder="1">
      <alignment vertical="center"/>
    </xf>
    <xf numFmtId="183" fontId="15" fillId="0" borderId="0" xfId="0" applyNumberFormat="1" applyFont="1">
      <alignment vertical="center"/>
    </xf>
    <xf numFmtId="0" fontId="15" fillId="0" borderId="0" xfId="0" applyFont="1">
      <alignment vertical="center"/>
    </xf>
    <xf numFmtId="183" fontId="0" fillId="0" borderId="0" xfId="0" applyNumberFormat="1">
      <alignment vertical="center"/>
    </xf>
    <xf numFmtId="0" fontId="0" fillId="0" borderId="0" xfId="0" applyFont="1">
      <alignment vertical="center"/>
    </xf>
    <xf numFmtId="0" fontId="16" fillId="0" borderId="0" xfId="0" applyFont="1">
      <alignment vertical="center"/>
    </xf>
    <xf numFmtId="10" fontId="16" fillId="0" borderId="0" xfId="0" applyNumberFormat="1" applyFont="1">
      <alignment vertical="center"/>
    </xf>
    <xf numFmtId="0" fontId="2" fillId="0" borderId="0" xfId="0" applyFont="1">
      <alignment vertical="center"/>
    </xf>
    <xf numFmtId="0" fontId="2" fillId="0" borderId="0" xfId="0" applyFont="1" applyProtection="1">
      <alignment vertical="center"/>
      <protection locked="0"/>
    </xf>
    <xf numFmtId="0" fontId="16" fillId="0" borderId="0" xfId="0" applyFont="1" applyProtection="1">
      <alignment vertical="center"/>
      <protection locked="0"/>
    </xf>
    <xf numFmtId="0" fontId="16" fillId="3" borderId="6" xfId="0" applyFont="1" applyFill="1" applyBorder="1" applyAlignment="1" applyProtection="1">
      <alignment horizontal="left" vertical="center"/>
    </xf>
    <xf numFmtId="0" fontId="16" fillId="3" borderId="7" xfId="0" applyFont="1" applyFill="1" applyBorder="1" applyAlignment="1" applyProtection="1">
      <alignment horizontal="left" vertical="center"/>
    </xf>
    <xf numFmtId="0" fontId="2" fillId="4" borderId="0" xfId="0" applyFont="1" applyFill="1" applyProtection="1">
      <alignment vertical="center"/>
      <protection locked="0"/>
    </xf>
    <xf numFmtId="0" fontId="16" fillId="4" borderId="0" xfId="0" applyFont="1" applyFill="1" applyProtection="1">
      <alignment vertical="center"/>
      <protection locked="0"/>
    </xf>
    <xf numFmtId="0" fontId="16" fillId="4" borderId="0" xfId="0" applyFont="1" applyFill="1">
      <alignment vertical="center"/>
    </xf>
    <xf numFmtId="0" fontId="2" fillId="3" borderId="0" xfId="0" applyFont="1" applyFill="1" applyProtection="1">
      <alignment vertical="center"/>
      <protection locked="0"/>
    </xf>
    <xf numFmtId="0" fontId="16" fillId="3" borderId="0" xfId="0" applyFont="1" applyFill="1" applyProtection="1">
      <alignment vertical="center"/>
      <protection locked="0"/>
    </xf>
    <xf numFmtId="0" fontId="0" fillId="0" borderId="0" xfId="0" applyFont="1" applyProtection="1">
      <alignment vertical="center"/>
      <protection locked="0"/>
    </xf>
    <xf numFmtId="49" fontId="12" fillId="4" borderId="0" xfId="2" applyNumberFormat="1" applyFont="1" applyFill="1" applyBorder="1" applyProtection="1">
      <alignment vertical="center"/>
      <protection locked="0"/>
    </xf>
    <xf numFmtId="0" fontId="12" fillId="4" borderId="0" xfId="2" applyNumberFormat="1" applyFont="1" applyFill="1" applyBorder="1" applyProtection="1">
      <alignment vertical="center"/>
      <protection locked="0"/>
    </xf>
    <xf numFmtId="0" fontId="17" fillId="4" borderId="0" xfId="0" applyFont="1" applyFill="1" applyProtection="1">
      <alignment vertical="center"/>
      <protection locked="0"/>
    </xf>
    <xf numFmtId="184" fontId="17" fillId="4" borderId="0" xfId="0" applyNumberFormat="1" applyFont="1" applyFill="1" applyProtection="1">
      <alignment vertical="center"/>
      <protection locked="0"/>
    </xf>
    <xf numFmtId="0" fontId="17" fillId="4" borderId="0" xfId="0" applyNumberFormat="1" applyFont="1" applyFill="1" applyProtection="1">
      <alignment vertical="center"/>
      <protection locked="0"/>
    </xf>
    <xf numFmtId="0" fontId="16" fillId="3" borderId="7" xfId="0" applyFont="1" applyFill="1" applyBorder="1" applyAlignment="1" applyProtection="1">
      <alignment horizontal="left"/>
    </xf>
    <xf numFmtId="0" fontId="2" fillId="0" borderId="0" xfId="0" applyNumberFormat="1" applyFont="1" applyProtection="1">
      <alignment vertical="center"/>
      <protection locked="0"/>
    </xf>
    <xf numFmtId="10" fontId="16" fillId="2" borderId="7" xfId="0" applyNumberFormat="1" applyFont="1" applyFill="1" applyBorder="1" applyAlignment="1" applyProtection="1">
      <alignment horizontal="left" vertical="center"/>
      <protection locked="0"/>
    </xf>
    <xf numFmtId="10" fontId="16" fillId="3" borderId="7" xfId="0" applyNumberFormat="1" applyFont="1" applyFill="1" applyBorder="1" applyAlignment="1" applyProtection="1">
      <alignment horizontal="left" vertical="center"/>
    </xf>
    <xf numFmtId="0" fontId="18" fillId="0" borderId="0" xfId="0" applyFont="1" applyProtection="1">
      <alignment vertical="center"/>
      <protection locked="0"/>
    </xf>
    <xf numFmtId="0" fontId="17" fillId="0" borderId="0" xfId="0" applyFont="1" applyProtection="1">
      <alignment vertical="center"/>
      <protection locked="0"/>
    </xf>
    <xf numFmtId="0" fontId="16" fillId="3" borderId="7" xfId="0" applyFont="1" applyFill="1" applyBorder="1" applyAlignment="1" applyProtection="1">
      <alignment horizontal="left" vertical="center"/>
    </xf>
    <xf numFmtId="0" fontId="16" fillId="3" borderId="7" xfId="0" applyFont="1" applyFill="1" applyBorder="1" applyProtection="1">
      <alignment vertical="center"/>
    </xf>
    <xf numFmtId="0" fontId="16" fillId="3" borderId="7" xfId="0" applyFont="1" applyFill="1" applyBorder="1" applyAlignment="1" applyProtection="1">
      <alignment horizontal="left" vertical="center"/>
    </xf>
    <xf numFmtId="0" fontId="20" fillId="3" borderId="7" xfId="0" applyFont="1" applyFill="1" applyBorder="1" applyAlignment="1" applyProtection="1">
      <alignment horizontal="center" vertical="center"/>
    </xf>
    <xf numFmtId="0" fontId="20" fillId="4" borderId="8" xfId="0" applyFont="1" applyFill="1" applyBorder="1" applyAlignment="1" applyProtection="1">
      <alignment horizontal="center" vertical="center"/>
      <protection locked="0"/>
    </xf>
    <xf numFmtId="0" fontId="20" fillId="4" borderId="9" xfId="0" applyFont="1" applyFill="1" applyBorder="1" applyAlignment="1" applyProtection="1">
      <alignment horizontal="center" vertical="center" shrinkToFit="1"/>
      <protection locked="0"/>
    </xf>
    <xf numFmtId="0" fontId="2" fillId="0" borderId="0" xfId="0" applyFont="1" applyAlignment="1" applyProtection="1">
      <alignment vertical="center"/>
      <protection locked="0"/>
    </xf>
    <xf numFmtId="0" fontId="16" fillId="0" borderId="0" xfId="0" applyFont="1" applyAlignment="1" applyProtection="1">
      <alignment vertical="center"/>
      <protection locked="0"/>
    </xf>
    <xf numFmtId="0" fontId="16" fillId="0" borderId="0" xfId="0" applyFont="1" applyAlignment="1">
      <alignment vertical="center"/>
    </xf>
    <xf numFmtId="10" fontId="20" fillId="3" borderId="8" xfId="0" applyNumberFormat="1" applyFont="1" applyFill="1" applyBorder="1" applyProtection="1">
      <alignment vertical="center"/>
    </xf>
    <xf numFmtId="10" fontId="20" fillId="3" borderId="9" xfId="0" applyNumberFormat="1" applyFont="1" applyFill="1" applyBorder="1" applyProtection="1">
      <alignment vertical="center"/>
    </xf>
    <xf numFmtId="0" fontId="20" fillId="3" borderId="7" xfId="0" applyFont="1" applyFill="1" applyBorder="1" applyAlignment="1" applyProtection="1">
      <alignment horizontal="center"/>
    </xf>
    <xf numFmtId="0" fontId="20" fillId="3" borderId="7" xfId="0" applyFont="1" applyFill="1" applyBorder="1" applyAlignment="1" applyProtection="1">
      <alignment horizontal="left" vertical="center"/>
    </xf>
    <xf numFmtId="0" fontId="20" fillId="3" borderId="10" xfId="0" applyFont="1" applyFill="1" applyBorder="1" applyAlignment="1" applyProtection="1">
      <alignment horizontal="left" vertical="center"/>
    </xf>
    <xf numFmtId="0" fontId="0" fillId="0" borderId="0" xfId="0" applyProtection="1">
      <alignment vertical="center"/>
      <protection locked="0"/>
    </xf>
    <xf numFmtId="0" fontId="0" fillId="2" borderId="0" xfId="0" applyFont="1" applyFill="1" applyProtection="1">
      <alignment vertical="center"/>
      <protection locked="0"/>
    </xf>
    <xf numFmtId="49" fontId="0" fillId="2" borderId="11" xfId="0" applyNumberFormat="1" applyFont="1" applyFill="1" applyBorder="1" applyAlignment="1" applyProtection="1">
      <alignment horizontal="center" vertical="center"/>
      <protection locked="0"/>
    </xf>
    <xf numFmtId="0" fontId="0" fillId="2" borderId="10" xfId="0" applyFont="1" applyFill="1" applyBorder="1" applyAlignment="1" applyProtection="1">
      <alignment horizontal="center" vertical="center"/>
      <protection locked="0"/>
    </xf>
    <xf numFmtId="31" fontId="0" fillId="5" borderId="12" xfId="0" applyNumberFormat="1" applyFont="1" applyFill="1" applyBorder="1" applyAlignment="1" applyProtection="1">
      <alignment vertical="center"/>
    </xf>
    <xf numFmtId="0" fontId="0" fillId="2" borderId="12" xfId="0" applyFont="1" applyFill="1" applyBorder="1" applyAlignment="1" applyProtection="1">
      <alignment horizontal="center" vertical="center"/>
      <protection locked="0"/>
    </xf>
    <xf numFmtId="0" fontId="0" fillId="0" borderId="0" xfId="0" applyFont="1" applyProtection="1">
      <alignment vertical="center"/>
      <protection locked="0"/>
    </xf>
    <xf numFmtId="0" fontId="0" fillId="0" borderId="0" xfId="0" applyFont="1" applyAlignment="1">
      <alignment horizontal="center"/>
    </xf>
    <xf numFmtId="0" fontId="0" fillId="0" borderId="0" xfId="0" applyFont="1">
      <alignment vertical="center"/>
    </xf>
    <xf numFmtId="0" fontId="22" fillId="4" borderId="0" xfId="0" applyFont="1" applyFill="1" applyProtection="1">
      <alignment vertical="center"/>
      <protection locked="0"/>
    </xf>
    <xf numFmtId="0" fontId="22" fillId="0" borderId="0" xfId="0" applyFont="1" applyProtection="1">
      <alignment vertical="center"/>
      <protection locked="0"/>
    </xf>
    <xf numFmtId="0" fontId="22" fillId="0" borderId="0" xfId="0" applyFont="1">
      <alignment vertical="center"/>
    </xf>
    <xf numFmtId="0" fontId="2" fillId="5" borderId="0" xfId="0" applyFont="1" applyFill="1" applyAlignment="1" applyProtection="1"/>
    <xf numFmtId="0" fontId="0" fillId="4" borderId="0" xfId="0" applyFont="1" applyFill="1" applyProtection="1">
      <alignment vertical="center"/>
      <protection locked="0"/>
    </xf>
    <xf numFmtId="0" fontId="0" fillId="0" borderId="0" xfId="0" applyFont="1" applyProtection="1">
      <alignment vertical="center"/>
      <protection locked="0"/>
    </xf>
    <xf numFmtId="0" fontId="0" fillId="2" borderId="3" xfId="0" applyFont="1" applyFill="1" applyBorder="1" applyAlignment="1" applyProtection="1">
      <alignment horizontal="center" vertical="center" wrapText="1"/>
      <protection locked="0"/>
    </xf>
    <xf numFmtId="31" fontId="0" fillId="5" borderId="3" xfId="0" applyNumberFormat="1" applyFont="1" applyFill="1" applyBorder="1" applyAlignment="1" applyProtection="1">
      <alignment vertical="center" wrapText="1"/>
    </xf>
    <xf numFmtId="0" fontId="16" fillId="0" borderId="13" xfId="0" applyFont="1" applyFill="1" applyBorder="1" applyAlignment="1" applyProtection="1">
      <alignment wrapText="1"/>
      <protection locked="0"/>
    </xf>
    <xf numFmtId="0" fontId="16" fillId="0" borderId="14" xfId="0" applyFont="1" applyFill="1" applyBorder="1" applyAlignment="1" applyProtection="1">
      <alignment wrapText="1"/>
      <protection locked="0"/>
    </xf>
    <xf numFmtId="0" fontId="0" fillId="0" borderId="0" xfId="0" applyFont="1">
      <alignment vertical="center"/>
    </xf>
    <xf numFmtId="0" fontId="0" fillId="0" borderId="0" xfId="0" applyFont="1" applyProtection="1">
      <alignment vertical="center"/>
      <protection locked="0"/>
    </xf>
    <xf numFmtId="0" fontId="16" fillId="2" borderId="11" xfId="0" applyFont="1" applyFill="1" applyBorder="1" applyAlignment="1" applyProtection="1">
      <alignment horizontal="center" vertical="center"/>
      <protection locked="0"/>
    </xf>
    <xf numFmtId="0" fontId="16" fillId="6" borderId="8" xfId="0" applyFont="1" applyFill="1" applyBorder="1" applyAlignment="1" applyProtection="1">
      <alignment vertical="center"/>
      <protection locked="0"/>
    </xf>
    <xf numFmtId="0" fontId="16" fillId="6" borderId="15" xfId="0" applyFont="1" applyFill="1" applyBorder="1" applyAlignment="1" applyProtection="1">
      <alignment vertical="center"/>
      <protection locked="0"/>
    </xf>
    <xf numFmtId="0" fontId="16" fillId="5" borderId="10" xfId="0" applyFont="1" applyFill="1" applyBorder="1" applyAlignment="1" applyProtection="1">
      <alignment vertical="center"/>
    </xf>
    <xf numFmtId="0" fontId="16" fillId="5" borderId="16" xfId="0" applyFont="1" applyFill="1" applyBorder="1" applyAlignment="1" applyProtection="1">
      <alignment vertical="center"/>
    </xf>
    <xf numFmtId="0" fontId="0" fillId="5" borderId="12" xfId="0" applyFont="1" applyFill="1" applyBorder="1" applyAlignment="1" applyProtection="1">
      <alignment vertical="center"/>
    </xf>
    <xf numFmtId="0" fontId="0" fillId="5" borderId="17" xfId="0" applyFont="1" applyFill="1" applyBorder="1" applyAlignment="1" applyProtection="1">
      <alignment vertical="center"/>
    </xf>
    <xf numFmtId="0" fontId="0" fillId="5" borderId="18" xfId="0" applyFont="1" applyFill="1" applyBorder="1" applyAlignment="1" applyProtection="1">
      <alignment vertical="center"/>
    </xf>
    <xf numFmtId="0" fontId="16" fillId="2" borderId="6" xfId="0" applyFont="1" applyFill="1" applyBorder="1" applyAlignment="1" applyProtection="1">
      <alignment horizontal="center" vertical="center" wrapText="1"/>
      <protection locked="0"/>
    </xf>
    <xf numFmtId="0" fontId="16" fillId="2" borderId="19" xfId="0" applyFont="1" applyFill="1" applyBorder="1" applyAlignment="1" applyProtection="1">
      <alignment horizontal="center" vertical="center" wrapText="1"/>
      <protection locked="0"/>
    </xf>
    <xf numFmtId="0" fontId="16" fillId="2" borderId="11" xfId="0" applyFont="1" applyFill="1" applyBorder="1" applyAlignment="1" applyProtection="1">
      <alignment horizontal="center" vertical="center" wrapText="1"/>
      <protection locked="0"/>
    </xf>
    <xf numFmtId="0" fontId="23" fillId="0" borderId="0" xfId="0" applyFont="1" applyBorder="1" applyAlignment="1" applyProtection="1">
      <protection locked="0"/>
    </xf>
    <xf numFmtId="0" fontId="0" fillId="0" borderId="20" xfId="0" applyFont="1" applyBorder="1" applyProtection="1">
      <alignment vertical="center"/>
      <protection locked="0"/>
    </xf>
    <xf numFmtId="0" fontId="0" fillId="0" borderId="21" xfId="0" applyFont="1" applyBorder="1" applyProtection="1">
      <alignment vertical="center"/>
      <protection locked="0"/>
    </xf>
    <xf numFmtId="0" fontId="23" fillId="0" borderId="0" xfId="0" applyFont="1" applyAlignment="1" applyProtection="1">
      <alignment horizontal="justify"/>
      <protection locked="0"/>
    </xf>
    <xf numFmtId="0" fontId="0" fillId="0" borderId="0" xfId="0" applyFont="1" applyAlignment="1">
      <alignment vertical="center"/>
    </xf>
    <xf numFmtId="0" fontId="9" fillId="0" borderId="0" xfId="0" applyFont="1" applyBorder="1" applyAlignment="1">
      <alignment vertical="center"/>
    </xf>
    <xf numFmtId="0" fontId="0" fillId="0" borderId="0" xfId="0" applyFont="1" applyAlignment="1" applyProtection="1">
      <alignment vertical="center"/>
      <protection locked="0"/>
    </xf>
    <xf numFmtId="0" fontId="23" fillId="0" borderId="0" xfId="0" applyFont="1" applyAlignment="1" applyProtection="1">
      <alignment horizontal="center" vertical="center"/>
      <protection locked="0"/>
    </xf>
    <xf numFmtId="49" fontId="23" fillId="5" borderId="0" xfId="0" applyNumberFormat="1" applyFont="1" applyFill="1" applyAlignment="1" applyProtection="1">
      <alignment horizontal="center" vertical="center"/>
    </xf>
    <xf numFmtId="49" fontId="25" fillId="0" borderId="0" xfId="0" applyNumberFormat="1" applyFont="1" applyAlignment="1">
      <alignment vertical="center"/>
    </xf>
    <xf numFmtId="0" fontId="26" fillId="0" borderId="0" xfId="0" applyFont="1" applyAlignment="1" applyProtection="1">
      <alignment vertical="center"/>
      <protection locked="0"/>
    </xf>
    <xf numFmtId="0" fontId="0" fillId="0" borderId="0" xfId="0" applyFont="1" applyBorder="1" applyAlignment="1">
      <alignment vertical="center"/>
    </xf>
    <xf numFmtId="0" fontId="0" fillId="0" borderId="0" xfId="0" applyFont="1" applyFill="1" applyAlignment="1" applyProtection="1">
      <alignment vertical="center"/>
      <protection locked="0"/>
    </xf>
    <xf numFmtId="49" fontId="0" fillId="5" borderId="0" xfId="0" applyNumberFormat="1" applyFont="1" applyFill="1" applyAlignment="1" applyProtection="1">
      <alignment horizontal="center" vertical="center"/>
    </xf>
    <xf numFmtId="0" fontId="27" fillId="0" borderId="0" xfId="0" applyFont="1">
      <alignment vertical="center"/>
    </xf>
    <xf numFmtId="0" fontId="0" fillId="0" borderId="0" xfId="0" applyBorder="1">
      <alignment vertical="center"/>
    </xf>
    <xf numFmtId="0" fontId="9" fillId="2" borderId="0" xfId="0" applyFont="1" applyFill="1" applyBorder="1" applyAlignment="1" applyProtection="1">
      <alignment horizontal="center" vertical="top"/>
      <protection locked="0"/>
    </xf>
    <xf numFmtId="0" fontId="2" fillId="2" borderId="0" xfId="0" applyFont="1" applyFill="1" applyAlignment="1" applyProtection="1">
      <alignment horizontal="right"/>
      <protection locked="0"/>
    </xf>
    <xf numFmtId="49" fontId="2" fillId="5" borderId="0" xfId="0" applyNumberFormat="1" applyFont="1" applyFill="1" applyBorder="1" applyAlignment="1" applyProtection="1">
      <alignment horizontal="center" vertical="top"/>
    </xf>
    <xf numFmtId="0" fontId="2" fillId="2" borderId="6" xfId="0" applyFont="1" applyFill="1" applyBorder="1" applyAlignment="1" applyProtection="1">
      <alignment horizontal="center" vertical="center"/>
      <protection locked="0"/>
    </xf>
    <xf numFmtId="0" fontId="2" fillId="2" borderId="19" xfId="0" applyFont="1" applyFill="1" applyBorder="1" applyAlignment="1" applyProtection="1">
      <alignment horizontal="center" vertical="center"/>
      <protection locked="0"/>
    </xf>
    <xf numFmtId="0" fontId="2" fillId="7" borderId="11" xfId="0" applyNumberFormat="1"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31" fontId="2" fillId="5" borderId="12" xfId="0" applyNumberFormat="1" applyFont="1" applyFill="1" applyBorder="1" applyAlignment="1" applyProtection="1">
      <alignment vertical="center"/>
    </xf>
    <xf numFmtId="0" fontId="2" fillId="2" borderId="12" xfId="0" applyFont="1" applyFill="1" applyBorder="1" applyAlignment="1" applyProtection="1">
      <alignment horizontal="center" vertical="center"/>
      <protection locked="0"/>
    </xf>
    <xf numFmtId="187" fontId="2" fillId="5" borderId="22" xfId="0" applyNumberFormat="1" applyFont="1" applyFill="1" applyBorder="1" applyAlignment="1" applyProtection="1">
      <alignment horizontal="center" vertical="center"/>
      <protection locked="0"/>
    </xf>
    <xf numFmtId="0" fontId="10" fillId="0" borderId="0" xfId="0" applyFont="1" applyBorder="1">
      <alignment vertical="center"/>
    </xf>
    <xf numFmtId="0" fontId="2" fillId="2" borderId="7" xfId="0" applyFont="1" applyFill="1" applyBorder="1" applyAlignment="1" applyProtection="1">
      <alignment horizontal="center" vertical="center"/>
      <protection locked="0"/>
    </xf>
    <xf numFmtId="0" fontId="2" fillId="0" borderId="0" xfId="0" applyFont="1" applyProtection="1">
      <alignment vertical="center"/>
      <protection locked="0"/>
    </xf>
    <xf numFmtId="187" fontId="2" fillId="3" borderId="23" xfId="0" applyNumberFormat="1" applyFont="1" applyFill="1" applyBorder="1" applyAlignment="1" applyProtection="1">
      <alignment vertical="center"/>
      <protection locked="0"/>
    </xf>
    <xf numFmtId="187" fontId="2" fillId="2" borderId="15" xfId="0" applyNumberFormat="1" applyFont="1" applyFill="1" applyBorder="1" applyAlignment="1" applyProtection="1">
      <alignment horizontal="center" vertical="center"/>
      <protection locked="0"/>
    </xf>
    <xf numFmtId="187" fontId="2" fillId="3" borderId="8" xfId="0" applyNumberFormat="1" applyFont="1" applyFill="1" applyBorder="1" applyAlignment="1" applyProtection="1">
      <alignment horizontal="center" vertical="center"/>
      <protection locked="0"/>
    </xf>
    <xf numFmtId="187" fontId="2" fillId="2" borderId="23" xfId="0" applyNumberFormat="1" applyFont="1" applyFill="1" applyBorder="1" applyAlignment="1" applyProtection="1">
      <alignment horizontal="center" vertical="center"/>
      <protection locked="0"/>
    </xf>
    <xf numFmtId="0" fontId="2" fillId="0" borderId="24" xfId="0" applyNumberFormat="1" applyFont="1" applyFill="1" applyBorder="1" applyAlignment="1" applyProtection="1">
      <alignment horizontal="center" vertical="center"/>
      <protection locked="0"/>
    </xf>
    <xf numFmtId="187" fontId="2" fillId="2" borderId="24" xfId="0" applyNumberFormat="1" applyFont="1" applyFill="1" applyBorder="1" applyAlignment="1" applyProtection="1">
      <alignment vertical="center"/>
      <protection locked="0"/>
    </xf>
    <xf numFmtId="0" fontId="2" fillId="3" borderId="24" xfId="0" applyNumberFormat="1" applyFont="1" applyFill="1" applyBorder="1" applyAlignment="1" applyProtection="1">
      <alignment horizontal="center" vertical="center"/>
      <protection locked="0"/>
    </xf>
    <xf numFmtId="187" fontId="2" fillId="2" borderId="25" xfId="0" applyNumberFormat="1" applyFont="1" applyFill="1" applyBorder="1" applyAlignment="1" applyProtection="1">
      <alignment vertical="center"/>
      <protection locked="0"/>
    </xf>
    <xf numFmtId="49" fontId="2" fillId="5" borderId="8" xfId="0" applyNumberFormat="1" applyFont="1" applyFill="1" applyBorder="1" applyAlignment="1" applyProtection="1">
      <alignment horizontal="center" vertical="center"/>
      <protection locked="0"/>
    </xf>
    <xf numFmtId="49" fontId="2" fillId="2" borderId="23" xfId="0" applyNumberFormat="1" applyFont="1" applyFill="1" applyBorder="1" applyAlignment="1" applyProtection="1">
      <alignment vertical="center"/>
      <protection locked="0"/>
    </xf>
    <xf numFmtId="49" fontId="2" fillId="2" borderId="24" xfId="0" applyNumberFormat="1" applyFont="1" applyFill="1" applyBorder="1" applyAlignment="1" applyProtection="1">
      <alignment vertical="center"/>
      <protection locked="0"/>
    </xf>
    <xf numFmtId="49" fontId="2" fillId="2" borderId="25" xfId="0" applyNumberFormat="1" applyFont="1" applyFill="1" applyBorder="1" applyAlignment="1" applyProtection="1">
      <alignment vertical="center"/>
      <protection locked="0"/>
    </xf>
    <xf numFmtId="0" fontId="0" fillId="0" borderId="0" xfId="0" applyAlignment="1">
      <alignment horizontal="center"/>
    </xf>
    <xf numFmtId="0" fontId="2" fillId="2" borderId="8"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0" fillId="0" borderId="0" xfId="0" applyAlignment="1" applyProtection="1">
      <alignment horizontal="center"/>
      <protection locked="0"/>
    </xf>
    <xf numFmtId="0" fontId="2" fillId="6" borderId="7" xfId="0" applyFont="1" applyFill="1" applyBorder="1" applyAlignment="1" applyProtection="1">
      <alignment horizontal="center" vertical="center"/>
      <protection locked="0"/>
    </xf>
    <xf numFmtId="0" fontId="2" fillId="6" borderId="8" xfId="0" applyFont="1" applyFill="1" applyBorder="1" applyAlignment="1" applyProtection="1">
      <alignment horizontal="center" vertical="center"/>
      <protection locked="0"/>
    </xf>
    <xf numFmtId="0" fontId="2" fillId="0" borderId="8" xfId="0" applyFont="1" applyFill="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2" fillId="6" borderId="10" xfId="0" applyFont="1" applyFill="1" applyBorder="1" applyAlignment="1" applyProtection="1">
      <alignment horizontal="center" vertical="center"/>
      <protection locked="0"/>
    </xf>
    <xf numFmtId="0" fontId="2" fillId="6" borderId="12" xfId="0" applyFont="1" applyFill="1" applyBorder="1" applyAlignment="1" applyProtection="1">
      <alignment horizontal="center" vertical="center"/>
      <protection locked="0"/>
    </xf>
    <xf numFmtId="0" fontId="2" fillId="0" borderId="22" xfId="0" applyFont="1" applyBorder="1" applyAlignment="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0" borderId="0" xfId="0" applyAlignment="1" applyProtection="1">
      <alignment vertical="center"/>
      <protection locked="0"/>
    </xf>
    <xf numFmtId="0" fontId="0" fillId="0" borderId="0" xfId="0" applyAlignment="1">
      <alignment vertical="center"/>
    </xf>
    <xf numFmtId="0" fontId="0" fillId="2" borderId="22" xfId="0" applyFont="1" applyFill="1" applyBorder="1" applyAlignment="1" applyProtection="1">
      <alignment horizontal="center" vertical="center"/>
      <protection locked="0"/>
    </xf>
    <xf numFmtId="0" fontId="0" fillId="6" borderId="19" xfId="0" applyFill="1" applyBorder="1" applyAlignment="1" applyProtection="1">
      <alignment vertical="center"/>
      <protection locked="0"/>
    </xf>
    <xf numFmtId="0" fontId="0" fillId="6" borderId="11" xfId="0" applyFill="1" applyBorder="1" applyAlignment="1" applyProtection="1">
      <alignment vertical="center"/>
      <protection locked="0"/>
    </xf>
    <xf numFmtId="0" fontId="0" fillId="6" borderId="8" xfId="0" applyFill="1" applyBorder="1" applyAlignment="1" applyProtection="1">
      <alignment vertical="center"/>
      <protection locked="0"/>
    </xf>
    <xf numFmtId="0" fontId="0" fillId="6" borderId="9" xfId="0" applyFill="1" applyBorder="1" applyAlignment="1" applyProtection="1">
      <alignment vertical="center"/>
      <protection locked="0"/>
    </xf>
    <xf numFmtId="0" fontId="28" fillId="0" borderId="0" xfId="0" applyFont="1" applyAlignment="1">
      <alignment horizontal="left" vertical="center"/>
    </xf>
    <xf numFmtId="0" fontId="0" fillId="6" borderId="12" xfId="0" applyFill="1" applyBorder="1" applyAlignment="1" applyProtection="1">
      <alignment vertical="center"/>
      <protection locked="0"/>
    </xf>
    <xf numFmtId="0" fontId="0" fillId="6" borderId="22" xfId="0" applyFill="1" applyBorder="1" applyAlignment="1" applyProtection="1">
      <alignment vertical="center"/>
      <protection locked="0"/>
    </xf>
    <xf numFmtId="0" fontId="0" fillId="2" borderId="0" xfId="0" applyFont="1" applyFill="1" applyBorder="1" applyAlignment="1" applyProtection="1">
      <alignment horizontal="left"/>
      <protection locked="0"/>
    </xf>
    <xf numFmtId="0" fontId="2" fillId="0" borderId="26" xfId="0" applyFont="1" applyBorder="1" applyAlignment="1" applyProtection="1">
      <protection locked="0"/>
    </xf>
    <xf numFmtId="0" fontId="2" fillId="6" borderId="27" xfId="0" applyFont="1" applyFill="1" applyBorder="1" applyAlignment="1" applyProtection="1">
      <protection locked="0"/>
    </xf>
    <xf numFmtId="0" fontId="2" fillId="0" borderId="28" xfId="0" applyFont="1" applyBorder="1" applyAlignment="1" applyProtection="1">
      <protection locked="0"/>
    </xf>
    <xf numFmtId="0" fontId="2" fillId="0" borderId="3" xfId="0" applyFont="1" applyBorder="1" applyAlignment="1" applyProtection="1">
      <protection locked="0"/>
    </xf>
    <xf numFmtId="0" fontId="2" fillId="0" borderId="29" xfId="0" applyFont="1" applyBorder="1" applyAlignment="1" applyProtection="1">
      <protection locked="0"/>
    </xf>
    <xf numFmtId="0" fontId="2" fillId="0" borderId="20" xfId="0" applyFont="1" applyBorder="1" applyAlignment="1" applyProtection="1">
      <protection locked="0"/>
    </xf>
    <xf numFmtId="0" fontId="2" fillId="6" borderId="20" xfId="0" applyFont="1" applyFill="1" applyBorder="1" applyAlignment="1" applyProtection="1">
      <protection locked="0"/>
    </xf>
    <xf numFmtId="0" fontId="2" fillId="0" borderId="30" xfId="0" applyFont="1" applyBorder="1" applyAlignment="1" applyProtection="1">
      <protection locked="0"/>
    </xf>
    <xf numFmtId="0" fontId="2" fillId="6" borderId="21" xfId="0" applyFont="1" applyFill="1" applyBorder="1" applyAlignment="1" applyProtection="1">
      <protection locked="0"/>
    </xf>
    <xf numFmtId="0" fontId="2" fillId="0" borderId="21" xfId="0" applyFont="1" applyBorder="1" applyAlignment="1" applyProtection="1">
      <protection locked="0"/>
    </xf>
    <xf numFmtId="0" fontId="2" fillId="0" borderId="1" xfId="0" applyFont="1" applyBorder="1" applyAlignment="1" applyProtection="1">
      <protection locked="0"/>
    </xf>
    <xf numFmtId="0" fontId="2" fillId="6" borderId="0" xfId="0" applyFont="1" applyFill="1" applyBorder="1" applyAlignment="1" applyProtection="1">
      <protection locked="0"/>
    </xf>
    <xf numFmtId="0" fontId="2" fillId="0" borderId="27" xfId="0" applyFont="1" applyBorder="1" applyAlignment="1" applyProtection="1">
      <protection locked="0"/>
    </xf>
    <xf numFmtId="0" fontId="2" fillId="0" borderId="0" xfId="0" applyFont="1" applyBorder="1" applyAlignment="1" applyProtection="1">
      <protection locked="0"/>
    </xf>
    <xf numFmtId="0" fontId="2" fillId="0" borderId="2" xfId="0" applyFont="1" applyBorder="1" applyAlignment="1" applyProtection="1">
      <protection locked="0"/>
    </xf>
    <xf numFmtId="0" fontId="2" fillId="0" borderId="26" xfId="0" applyFont="1" applyBorder="1" applyAlignment="1" applyProtection="1">
      <alignment vertical="top"/>
      <protection locked="0"/>
    </xf>
    <xf numFmtId="0" fontId="2" fillId="0" borderId="27" xfId="0" applyFont="1" applyBorder="1" applyAlignment="1" applyProtection="1">
      <alignment vertical="top"/>
      <protection locked="0"/>
    </xf>
    <xf numFmtId="0" fontId="2" fillId="6" borderId="27" xfId="0" applyFont="1" applyFill="1" applyBorder="1" applyAlignment="1" applyProtection="1">
      <alignment vertical="top"/>
      <protection locked="0"/>
    </xf>
    <xf numFmtId="0" fontId="2" fillId="0" borderId="28" xfId="0" applyFont="1" applyBorder="1" applyAlignment="1" applyProtection="1">
      <alignment vertical="top"/>
      <protection locked="0"/>
    </xf>
    <xf numFmtId="0" fontId="2" fillId="0" borderId="3" xfId="0" applyFont="1" applyBorder="1" applyAlignment="1" applyProtection="1">
      <alignment vertical="top"/>
      <protection locked="0"/>
    </xf>
    <xf numFmtId="0" fontId="2" fillId="0" borderId="1" xfId="0" applyFont="1" applyBorder="1" applyAlignment="1" applyProtection="1">
      <alignment vertical="top"/>
      <protection locked="0"/>
    </xf>
    <xf numFmtId="0" fontId="2" fillId="0" borderId="0" xfId="0" applyFont="1" applyBorder="1" applyAlignment="1" applyProtection="1">
      <alignment vertical="top"/>
      <protection locked="0"/>
    </xf>
    <xf numFmtId="0" fontId="2" fillId="6" borderId="0" xfId="0" applyFont="1" applyFill="1" applyBorder="1" applyAlignment="1" applyProtection="1">
      <alignment vertical="top"/>
      <protection locked="0"/>
    </xf>
    <xf numFmtId="0" fontId="2" fillId="0" borderId="30" xfId="0" applyFont="1" applyBorder="1" applyAlignment="1" applyProtection="1">
      <alignment vertical="center"/>
      <protection locked="0"/>
    </xf>
    <xf numFmtId="0" fontId="2" fillId="6" borderId="21" xfId="0" applyFont="1" applyFill="1" applyBorder="1" applyAlignment="1" applyProtection="1">
      <alignment vertical="center"/>
      <protection locked="0"/>
    </xf>
    <xf numFmtId="0" fontId="2" fillId="0" borderId="21" xfId="0" applyFont="1" applyBorder="1" applyAlignment="1" applyProtection="1">
      <alignment vertical="center"/>
      <protection locked="0"/>
    </xf>
    <xf numFmtId="0" fontId="2" fillId="0" borderId="28" xfId="0" applyFont="1" applyBorder="1" applyAlignment="1" applyProtection="1">
      <alignment vertical="center"/>
      <protection locked="0"/>
    </xf>
    <xf numFmtId="0" fontId="2" fillId="0" borderId="30" xfId="0" applyFont="1" applyBorder="1" applyAlignment="1" applyProtection="1">
      <alignment vertical="top"/>
      <protection locked="0"/>
    </xf>
    <xf numFmtId="0" fontId="2" fillId="0" borderId="21" xfId="0" applyFont="1" applyBorder="1" applyAlignment="1" applyProtection="1">
      <alignment vertical="top"/>
      <protection locked="0"/>
    </xf>
    <xf numFmtId="0" fontId="2" fillId="6" borderId="20" xfId="0" applyFont="1" applyFill="1" applyBorder="1" applyAlignment="1" applyProtection="1">
      <alignment vertical="center"/>
      <protection locked="0"/>
    </xf>
    <xf numFmtId="0" fontId="2" fillId="0" borderId="1" xfId="0" applyFont="1" applyBorder="1" applyAlignment="1" applyProtection="1">
      <alignment vertical="center"/>
      <protection locked="0"/>
    </xf>
    <xf numFmtId="0" fontId="2" fillId="0" borderId="0" xfId="0" applyFont="1" applyBorder="1" applyAlignment="1" applyProtection="1">
      <alignment vertical="center" wrapText="1"/>
      <protection locked="0"/>
    </xf>
    <xf numFmtId="0" fontId="2" fillId="0" borderId="31" xfId="0" applyFont="1" applyBorder="1" applyAlignment="1" applyProtection="1">
      <alignment vertical="center" wrapText="1"/>
      <protection locked="0"/>
    </xf>
    <xf numFmtId="0" fontId="2" fillId="0" borderId="0" xfId="0" applyFont="1" applyBorder="1" applyAlignment="1" applyProtection="1">
      <alignment vertical="center"/>
      <protection locked="0"/>
    </xf>
    <xf numFmtId="0" fontId="2" fillId="0" borderId="2"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0" fontId="2" fillId="0" borderId="29" xfId="0" applyFont="1" applyBorder="1" applyAlignment="1" applyProtection="1">
      <alignment vertical="center"/>
      <protection locked="0"/>
    </xf>
    <xf numFmtId="0" fontId="2" fillId="0" borderId="20" xfId="0" applyFont="1" applyBorder="1" applyAlignment="1" applyProtection="1">
      <alignment vertical="center"/>
      <protection locked="0"/>
    </xf>
    <xf numFmtId="0" fontId="2" fillId="0" borderId="5" xfId="0" applyFont="1" applyBorder="1" applyAlignment="1" applyProtection="1">
      <protection locked="0"/>
    </xf>
    <xf numFmtId="0" fontId="2" fillId="2" borderId="0" xfId="0" applyFont="1" applyFill="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2" borderId="3" xfId="0" applyFont="1" applyFill="1" applyBorder="1" applyAlignment="1" applyProtection="1">
      <alignment horizontal="center" vertical="center"/>
      <protection locked="0"/>
    </xf>
    <xf numFmtId="49" fontId="0" fillId="5" borderId="5" xfId="0" applyNumberFormat="1" applyFont="1" applyFill="1" applyBorder="1" applyAlignment="1" applyProtection="1">
      <alignment horizontal="center" vertical="center"/>
    </xf>
    <xf numFmtId="0" fontId="0" fillId="5" borderId="5" xfId="0" applyFont="1" applyFill="1" applyBorder="1" applyAlignment="1" applyProtection="1">
      <alignment horizontal="center" vertical="center" wrapText="1"/>
    </xf>
    <xf numFmtId="0" fontId="0" fillId="0" borderId="3" xfId="0" applyFont="1" applyFill="1" applyBorder="1" applyAlignment="1" applyProtection="1">
      <alignment vertical="center"/>
      <protection locked="0"/>
    </xf>
    <xf numFmtId="0" fontId="0" fillId="5" borderId="4" xfId="0" applyNumberFormat="1" applyFont="1" applyFill="1" applyBorder="1" applyAlignment="1" applyProtection="1">
      <alignment horizontal="center" vertical="center"/>
    </xf>
    <xf numFmtId="0" fontId="0" fillId="2" borderId="32" xfId="0" applyFont="1" applyFill="1" applyBorder="1" applyAlignment="1" applyProtection="1">
      <alignment horizontal="center" vertical="center"/>
      <protection locked="0"/>
    </xf>
    <xf numFmtId="31" fontId="0" fillId="5" borderId="3" xfId="0" applyNumberFormat="1" applyFont="1" applyFill="1" applyBorder="1" applyAlignment="1" applyProtection="1">
      <alignment horizontal="center" vertical="center" wrapText="1"/>
    </xf>
    <xf numFmtId="0" fontId="12" fillId="0" borderId="0" xfId="2" applyNumberFormat="1" applyFont="1" applyFill="1" applyBorder="1" applyProtection="1">
      <alignment vertical="center"/>
      <protection locked="0"/>
    </xf>
    <xf numFmtId="0" fontId="29" fillId="0" borderId="0" xfId="0" applyFont="1" applyProtection="1">
      <alignment vertical="center"/>
      <protection locked="0"/>
    </xf>
    <xf numFmtId="0" fontId="30" fillId="0" borderId="0" xfId="0" applyFont="1" applyProtection="1">
      <alignment vertical="center"/>
      <protection locked="0"/>
    </xf>
    <xf numFmtId="0" fontId="2" fillId="0" borderId="0" xfId="0" applyFont="1">
      <alignment vertical="center"/>
    </xf>
    <xf numFmtId="0" fontId="25" fillId="0" borderId="0" xfId="0" applyFont="1" applyProtection="1">
      <alignment vertical="center"/>
      <protection locked="0"/>
    </xf>
    <xf numFmtId="0" fontId="21" fillId="0" borderId="0" xfId="0" applyFont="1" applyAlignment="1" applyProtection="1">
      <alignment horizontal="center"/>
      <protection locked="0"/>
    </xf>
    <xf numFmtId="0" fontId="25" fillId="0" borderId="0" xfId="0" applyFont="1">
      <alignment vertical="center"/>
    </xf>
    <xf numFmtId="0" fontId="16" fillId="2" borderId="33" xfId="0" applyFont="1" applyFill="1" applyBorder="1" applyAlignment="1" applyProtection="1">
      <alignment horizontal="center" vertical="center"/>
      <protection locked="0"/>
    </xf>
    <xf numFmtId="0" fontId="16" fillId="2" borderId="34" xfId="0" applyFont="1" applyFill="1" applyBorder="1" applyAlignment="1" applyProtection="1">
      <alignment horizontal="center" vertical="center"/>
      <protection locked="0"/>
    </xf>
    <xf numFmtId="49" fontId="16" fillId="5" borderId="35" xfId="0" applyNumberFormat="1" applyFont="1" applyFill="1" applyBorder="1" applyAlignment="1" applyProtection="1">
      <alignment horizontal="center" vertical="center"/>
    </xf>
    <xf numFmtId="0" fontId="16" fillId="0" borderId="0" xfId="0" applyFont="1" applyBorder="1" applyAlignment="1" applyProtection="1">
      <alignment horizontal="center" vertical="center"/>
      <protection locked="0"/>
    </xf>
    <xf numFmtId="0" fontId="16" fillId="0" borderId="0" xfId="0" applyFont="1" applyBorder="1" applyAlignment="1" applyProtection="1">
      <alignment vertical="center"/>
      <protection locked="0"/>
    </xf>
    <xf numFmtId="0" fontId="16" fillId="0" borderId="0" xfId="0" applyFont="1" applyBorder="1" applyAlignment="1">
      <alignment vertical="center"/>
    </xf>
    <xf numFmtId="0" fontId="16" fillId="0" borderId="0" xfId="0" applyFont="1" applyAlignment="1" applyProtection="1">
      <alignment vertical="center"/>
      <protection locked="0"/>
    </xf>
    <xf numFmtId="0" fontId="16" fillId="0" borderId="0" xfId="0" applyFont="1" applyAlignment="1">
      <alignment vertical="center"/>
    </xf>
    <xf numFmtId="0" fontId="16" fillId="5" borderId="36" xfId="0" applyFont="1" applyFill="1" applyBorder="1" applyAlignment="1" applyProtection="1">
      <alignment vertical="center"/>
    </xf>
    <xf numFmtId="0" fontId="16" fillId="0" borderId="1" xfId="0" applyFont="1" applyBorder="1" applyAlignment="1" applyProtection="1">
      <alignment vertical="center"/>
      <protection locked="0"/>
    </xf>
    <xf numFmtId="0" fontId="16" fillId="0" borderId="2" xfId="0" applyFont="1" applyBorder="1" applyAlignment="1" applyProtection="1">
      <alignment vertical="center"/>
      <protection locked="0"/>
    </xf>
    <xf numFmtId="0" fontId="16" fillId="0" borderId="1" xfId="0" applyFont="1" applyBorder="1" applyAlignment="1" applyProtection="1">
      <alignment horizontal="center" vertical="center"/>
      <protection locked="0"/>
    </xf>
    <xf numFmtId="0" fontId="16" fillId="0" borderId="29" xfId="0" applyFont="1" applyBorder="1" applyAlignment="1" applyProtection="1">
      <alignment vertical="center"/>
      <protection locked="0"/>
    </xf>
    <xf numFmtId="0" fontId="16" fillId="0" borderId="20" xfId="0" applyFont="1" applyBorder="1" applyAlignment="1" applyProtection="1">
      <alignment vertical="center"/>
      <protection locked="0"/>
    </xf>
    <xf numFmtId="0" fontId="16" fillId="0" borderId="37" xfId="0" applyFont="1" applyBorder="1" applyAlignment="1" applyProtection="1">
      <alignment vertical="center"/>
      <protection locked="0"/>
    </xf>
    <xf numFmtId="0" fontId="0" fillId="0" borderId="0" xfId="0" applyAlignment="1">
      <alignment vertical="center"/>
    </xf>
    <xf numFmtId="0" fontId="0" fillId="0" borderId="0" xfId="0">
      <alignment vertical="center"/>
    </xf>
    <xf numFmtId="0" fontId="0" fillId="0" borderId="0" xfId="0" applyProtection="1">
      <alignment vertical="center"/>
      <protection locked="0"/>
    </xf>
    <xf numFmtId="0" fontId="0" fillId="0" borderId="0" xfId="0" applyBorder="1" applyAlignment="1" applyProtection="1">
      <alignment vertical="center"/>
      <protection locked="0"/>
    </xf>
    <xf numFmtId="0" fontId="0" fillId="0" borderId="0" xfId="0" applyBorder="1" applyAlignment="1" applyProtection="1">
      <alignment horizontal="center" vertical="center"/>
      <protection locked="0"/>
    </xf>
    <xf numFmtId="0" fontId="0" fillId="0" borderId="0" xfId="0" applyBorder="1" applyProtection="1">
      <alignment vertical="center"/>
      <protection locked="0"/>
    </xf>
    <xf numFmtId="49" fontId="0" fillId="5" borderId="38" xfId="0" applyNumberFormat="1" applyFont="1" applyFill="1" applyBorder="1" applyAlignment="1" applyProtection="1">
      <alignment horizontal="center" wrapText="1" shrinkToFit="1"/>
    </xf>
    <xf numFmtId="0" fontId="0" fillId="0" borderId="0" xfId="0" applyAlignment="1" applyProtection="1">
      <protection locked="0"/>
    </xf>
    <xf numFmtId="0" fontId="0" fillId="0" borderId="0" xfId="0" applyAlignment="1"/>
    <xf numFmtId="0" fontId="2" fillId="2" borderId="39" xfId="0" applyFont="1" applyFill="1" applyBorder="1" applyAlignment="1" applyProtection="1">
      <alignment horizontal="center" vertical="center"/>
      <protection locked="0"/>
    </xf>
    <xf numFmtId="0" fontId="2" fillId="2" borderId="40" xfId="0" applyFont="1" applyFill="1" applyBorder="1" applyAlignment="1" applyProtection="1">
      <alignment horizontal="center" vertical="center"/>
      <protection locked="0"/>
    </xf>
    <xf numFmtId="0" fontId="16" fillId="2" borderId="41" xfId="0" applyFont="1" applyFill="1" applyBorder="1" applyAlignment="1" applyProtection="1">
      <alignment vertical="center"/>
      <protection locked="0"/>
    </xf>
    <xf numFmtId="0" fontId="0" fillId="6" borderId="42" xfId="0" applyFill="1" applyBorder="1" applyProtection="1">
      <alignment vertical="center"/>
      <protection locked="0"/>
    </xf>
    <xf numFmtId="0" fontId="0" fillId="6" borderId="43" xfId="0" applyFill="1" applyBorder="1" applyProtection="1">
      <alignment vertical="center"/>
      <protection locked="0"/>
    </xf>
    <xf numFmtId="0" fontId="0" fillId="6" borderId="44" xfId="0" applyFill="1" applyBorder="1" applyProtection="1">
      <alignment vertical="center"/>
      <protection locked="0"/>
    </xf>
    <xf numFmtId="0" fontId="16" fillId="2" borderId="45" xfId="0" applyFont="1" applyFill="1" applyBorder="1" applyAlignment="1" applyProtection="1">
      <alignment vertical="center"/>
      <protection locked="0"/>
    </xf>
    <xf numFmtId="0" fontId="0" fillId="6" borderId="3" xfId="0" applyFill="1" applyBorder="1" applyProtection="1">
      <alignment vertical="center"/>
      <protection locked="0"/>
    </xf>
    <xf numFmtId="0" fontId="0" fillId="6" borderId="30" xfId="0" applyFill="1" applyBorder="1" applyProtection="1">
      <alignment vertical="center"/>
      <protection locked="0"/>
    </xf>
    <xf numFmtId="0" fontId="0" fillId="6" borderId="46" xfId="0" applyFill="1" applyBorder="1" applyProtection="1">
      <alignment vertical="center"/>
      <protection locked="0"/>
    </xf>
    <xf numFmtId="0" fontId="0" fillId="2" borderId="47" xfId="0" applyFill="1" applyBorder="1" applyAlignment="1" applyProtection="1">
      <alignment vertical="center"/>
      <protection locked="0"/>
    </xf>
    <xf numFmtId="0" fontId="16" fillId="2" borderId="48" xfId="0" applyFont="1" applyFill="1" applyBorder="1" applyAlignment="1" applyProtection="1">
      <alignment vertical="center"/>
      <protection locked="0"/>
    </xf>
    <xf numFmtId="0" fontId="0" fillId="6" borderId="31" xfId="0" applyFill="1" applyBorder="1" applyProtection="1">
      <alignment vertical="center"/>
      <protection locked="0"/>
    </xf>
    <xf numFmtId="0" fontId="0" fillId="6" borderId="29" xfId="0" applyFill="1" applyBorder="1" applyProtection="1">
      <alignment vertical="center"/>
      <protection locked="0"/>
    </xf>
    <xf numFmtId="0" fontId="0" fillId="6" borderId="49" xfId="0" applyFill="1" applyBorder="1" applyProtection="1">
      <alignment vertical="center"/>
      <protection locked="0"/>
    </xf>
    <xf numFmtId="0" fontId="16" fillId="2" borderId="50" xfId="0" applyFont="1" applyFill="1" applyBorder="1" applyAlignment="1" applyProtection="1">
      <alignment vertical="center"/>
      <protection locked="0"/>
    </xf>
    <xf numFmtId="0" fontId="0" fillId="6" borderId="51" xfId="0" applyFill="1" applyBorder="1" applyProtection="1">
      <alignment vertical="center"/>
      <protection locked="0"/>
    </xf>
    <xf numFmtId="0" fontId="0" fillId="6" borderId="52" xfId="0" applyFill="1" applyBorder="1" applyProtection="1">
      <alignment vertical="center"/>
      <protection locked="0"/>
    </xf>
    <xf numFmtId="0" fontId="0" fillId="6" borderId="53" xfId="0" applyFill="1" applyBorder="1" applyProtection="1">
      <alignment vertical="center"/>
      <protection locked="0"/>
    </xf>
    <xf numFmtId="0" fontId="0" fillId="6" borderId="4" xfId="0" applyFill="1" applyBorder="1" applyProtection="1">
      <alignment vertical="center"/>
      <protection locked="0"/>
    </xf>
    <xf numFmtId="0" fontId="0" fillId="6" borderId="26" xfId="0" applyFill="1" applyBorder="1" applyProtection="1">
      <alignment vertical="center"/>
      <protection locked="0"/>
    </xf>
    <xf numFmtId="0" fontId="0" fillId="6" borderId="54" xfId="0" applyFill="1" applyBorder="1" applyProtection="1">
      <alignment vertical="center"/>
      <protection locked="0"/>
    </xf>
    <xf numFmtId="0" fontId="0" fillId="6" borderId="32" xfId="0" applyFill="1" applyBorder="1" applyProtection="1">
      <alignment vertical="center"/>
      <protection locked="0"/>
    </xf>
    <xf numFmtId="0" fontId="0" fillId="6" borderId="1" xfId="0" applyFill="1" applyBorder="1" applyProtection="1">
      <alignment vertical="center"/>
      <protection locked="0"/>
    </xf>
    <xf numFmtId="0" fontId="0" fillId="6" borderId="55" xfId="0" applyFill="1" applyBorder="1" applyProtection="1">
      <alignment vertical="center"/>
      <protection locked="0"/>
    </xf>
    <xf numFmtId="0" fontId="16" fillId="2" borderId="56" xfId="0" applyFont="1" applyFill="1" applyBorder="1" applyAlignment="1" applyProtection="1">
      <alignment vertical="center"/>
      <protection locked="0"/>
    </xf>
    <xf numFmtId="0" fontId="16" fillId="0" borderId="57" xfId="0" applyFont="1" applyBorder="1" applyProtection="1">
      <alignment vertical="center"/>
      <protection locked="0"/>
    </xf>
    <xf numFmtId="0" fontId="0" fillId="0" borderId="42" xfId="0" applyBorder="1" applyProtection="1">
      <alignment vertical="center"/>
      <protection locked="0"/>
    </xf>
    <xf numFmtId="0" fontId="0" fillId="0" borderId="43" xfId="0" applyBorder="1" applyProtection="1">
      <alignment vertical="center"/>
      <protection locked="0"/>
    </xf>
    <xf numFmtId="0" fontId="0" fillId="0" borderId="44" xfId="0" applyBorder="1" applyProtection="1">
      <alignment vertical="center"/>
      <protection locked="0"/>
    </xf>
    <xf numFmtId="0" fontId="16" fillId="0" borderId="5" xfId="0" applyFont="1" applyBorder="1" applyProtection="1">
      <alignment vertical="center"/>
      <protection locked="0"/>
    </xf>
    <xf numFmtId="0" fontId="0" fillId="0" borderId="3" xfId="0" applyBorder="1" applyProtection="1">
      <alignment vertical="center"/>
      <protection locked="0"/>
    </xf>
    <xf numFmtId="0" fontId="0" fillId="0" borderId="30" xfId="0" applyBorder="1" applyProtection="1">
      <alignment vertical="center"/>
      <protection locked="0"/>
    </xf>
    <xf numFmtId="0" fontId="0" fillId="0" borderId="46" xfId="0" applyBorder="1" applyProtection="1">
      <alignment vertical="center"/>
      <protection locked="0"/>
    </xf>
    <xf numFmtId="0" fontId="16" fillId="0" borderId="58" xfId="0" applyFont="1" applyBorder="1" applyProtection="1">
      <alignment vertical="center"/>
      <protection locked="0"/>
    </xf>
    <xf numFmtId="0" fontId="0" fillId="0" borderId="51" xfId="0" applyBorder="1" applyProtection="1">
      <alignment vertical="center"/>
      <protection locked="0"/>
    </xf>
    <xf numFmtId="0" fontId="0" fillId="0" borderId="52" xfId="0" applyBorder="1" applyProtection="1">
      <alignment vertical="center"/>
      <protection locked="0"/>
    </xf>
    <xf numFmtId="0" fontId="0" fillId="0" borderId="53" xfId="0" applyBorder="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2" borderId="0" xfId="0" applyFill="1" applyAlignment="1" applyProtection="1">
      <alignment vertical="center"/>
      <protection locked="0"/>
    </xf>
    <xf numFmtId="0" fontId="2" fillId="2" borderId="0" xfId="0" applyFont="1" applyFill="1" applyAlignment="1" applyProtection="1">
      <alignment horizontal="center" vertical="center"/>
      <protection locked="0"/>
    </xf>
    <xf numFmtId="49" fontId="2" fillId="5" borderId="0" xfId="0" applyNumberFormat="1" applyFont="1" applyFill="1" applyAlignment="1" applyProtection="1">
      <alignment horizontal="center" vertical="center"/>
    </xf>
    <xf numFmtId="0" fontId="0" fillId="2" borderId="3" xfId="0" applyFont="1" applyFill="1" applyBorder="1" applyAlignment="1" applyProtection="1">
      <alignment horizontal="center" vertical="center"/>
      <protection locked="0"/>
    </xf>
    <xf numFmtId="0" fontId="0" fillId="7" borderId="3" xfId="0" applyFont="1" applyFill="1" applyBorder="1" applyAlignment="1" applyProtection="1">
      <alignment horizontal="center" vertical="center"/>
    </xf>
    <xf numFmtId="0" fontId="0" fillId="7" borderId="3" xfId="0" applyFont="1" applyFill="1" applyBorder="1" applyAlignment="1" applyProtection="1">
      <alignment vertical="center"/>
    </xf>
    <xf numFmtId="0" fontId="32" fillId="7" borderId="3" xfId="0" applyFont="1" applyFill="1" applyBorder="1" applyAlignment="1" applyProtection="1">
      <alignment horizontal="center" vertical="center"/>
    </xf>
    <xf numFmtId="0" fontId="0" fillId="0" borderId="3" xfId="0" applyFont="1" applyFill="1" applyBorder="1" applyAlignment="1" applyProtection="1">
      <alignment horizontal="center" vertical="center"/>
      <protection locked="0"/>
    </xf>
    <xf numFmtId="0" fontId="0" fillId="0" borderId="3" xfId="0" applyFont="1" applyFill="1" applyBorder="1" applyAlignment="1" applyProtection="1">
      <alignment vertical="center"/>
      <protection locked="0"/>
    </xf>
    <xf numFmtId="0" fontId="0" fillId="0" borderId="3" xfId="0" applyFont="1" applyBorder="1" applyAlignment="1" applyProtection="1">
      <alignment horizontal="center" vertical="center"/>
      <protection locked="0"/>
    </xf>
    <xf numFmtId="0" fontId="0" fillId="0" borderId="3" xfId="0" applyFont="1" applyBorder="1" applyAlignment="1" applyProtection="1">
      <alignment vertical="center"/>
      <protection locked="0"/>
    </xf>
    <xf numFmtId="0" fontId="0" fillId="2" borderId="0" xfId="0" applyFont="1" applyFill="1" applyAlignment="1" applyProtection="1">
      <alignment vertical="center"/>
      <protection locked="0"/>
    </xf>
    <xf numFmtId="0" fontId="0" fillId="0" borderId="0" xfId="0" applyFont="1" applyAlignment="1" applyProtection="1">
      <alignment vertical="center"/>
      <protection locked="0"/>
    </xf>
    <xf numFmtId="0" fontId="0" fillId="0" borderId="0" xfId="0" applyFont="1" applyAlignment="1">
      <alignment vertical="center"/>
    </xf>
    <xf numFmtId="0" fontId="0" fillId="2" borderId="0" xfId="0" applyFont="1" applyFill="1" applyProtection="1">
      <alignment vertical="center"/>
      <protection locked="0"/>
    </xf>
    <xf numFmtId="0" fontId="33" fillId="2" borderId="0" xfId="0" applyFont="1" applyFill="1" applyAlignment="1" applyProtection="1">
      <protection locked="0"/>
    </xf>
    <xf numFmtId="0" fontId="33" fillId="2" borderId="0" xfId="0" applyFont="1" applyFill="1" applyAlignment="1" applyProtection="1">
      <alignment horizontal="left"/>
      <protection locked="0"/>
    </xf>
    <xf numFmtId="0" fontId="20" fillId="0" borderId="0" xfId="0" applyFont="1" applyProtection="1">
      <alignment vertical="center"/>
      <protection locked="0"/>
    </xf>
    <xf numFmtId="0" fontId="35" fillId="3" borderId="0" xfId="0" applyFont="1" applyFill="1" applyAlignment="1" applyProtection="1">
      <alignment horizontal="right" wrapText="1"/>
    </xf>
    <xf numFmtId="179" fontId="36" fillId="7" borderId="0" xfId="0" applyNumberFormat="1" applyFont="1" applyFill="1" applyAlignment="1" applyProtection="1">
      <alignment horizontal="right"/>
      <protection locked="0"/>
    </xf>
    <xf numFmtId="0" fontId="37" fillId="2" borderId="0" xfId="0" applyFont="1" applyFill="1" applyAlignment="1" applyProtection="1">
      <alignment horizontal="justify"/>
      <protection locked="0"/>
    </xf>
    <xf numFmtId="0" fontId="38" fillId="3" borderId="0" xfId="0" applyFont="1" applyFill="1" applyAlignment="1" applyProtection="1">
      <alignment wrapText="1"/>
    </xf>
    <xf numFmtId="0" fontId="26" fillId="2" borderId="0" xfId="0" applyFont="1" applyFill="1" applyProtection="1">
      <alignment vertical="center"/>
      <protection locked="0"/>
    </xf>
    <xf numFmtId="0" fontId="26" fillId="2" borderId="0" xfId="0" applyFont="1" applyFill="1" applyAlignment="1" applyProtection="1">
      <alignment horizontal="right"/>
      <protection locked="0"/>
    </xf>
    <xf numFmtId="0" fontId="26" fillId="0" borderId="0" xfId="0" applyFont="1" applyProtection="1">
      <alignment vertical="center"/>
      <protection locked="0"/>
    </xf>
    <xf numFmtId="0" fontId="26" fillId="0" borderId="0" xfId="0" applyFont="1">
      <alignment vertical="center"/>
    </xf>
    <xf numFmtId="0" fontId="0" fillId="0" borderId="0" xfId="0" applyFont="1" applyAlignment="1">
      <alignment horizontal="right" indent="1"/>
    </xf>
    <xf numFmtId="0" fontId="0" fillId="0" borderId="6" xfId="0" applyFont="1" applyBorder="1" applyAlignment="1" applyProtection="1">
      <alignment horizontal="center" wrapText="1"/>
      <protection locked="0"/>
    </xf>
    <xf numFmtId="0" fontId="0" fillId="0" borderId="19" xfId="0" applyFont="1" applyBorder="1" applyAlignment="1" applyProtection="1">
      <alignment horizontal="center" wrapText="1"/>
      <protection locked="0"/>
    </xf>
    <xf numFmtId="179" fontId="0" fillId="0" borderId="19" xfId="0" applyNumberFormat="1" applyFont="1" applyBorder="1" applyAlignment="1" applyProtection="1">
      <alignment horizontal="center" wrapText="1"/>
      <protection locked="0"/>
    </xf>
    <xf numFmtId="0" fontId="0" fillId="0" borderId="11" xfId="0" applyFont="1" applyBorder="1" applyAlignment="1" applyProtection="1">
      <alignment horizontal="center" wrapText="1"/>
      <protection locked="0"/>
    </xf>
    <xf numFmtId="0" fontId="0" fillId="0" borderId="7" xfId="0" applyFont="1" applyBorder="1" applyAlignment="1" applyProtection="1">
      <alignment horizontal="center" wrapText="1"/>
      <protection locked="0"/>
    </xf>
    <xf numFmtId="0" fontId="0" fillId="0" borderId="8" xfId="0" applyFont="1" applyBorder="1" applyAlignment="1" applyProtection="1">
      <alignment horizontal="center" wrapText="1"/>
      <protection locked="0"/>
    </xf>
    <xf numFmtId="179" fontId="0" fillId="0" borderId="8" xfId="0" applyNumberFormat="1" applyFont="1" applyBorder="1" applyAlignment="1" applyProtection="1">
      <alignment horizontal="center" wrapText="1"/>
      <protection locked="0"/>
    </xf>
    <xf numFmtId="0" fontId="0" fillId="0" borderId="9" xfId="0" applyFont="1" applyBorder="1" applyAlignment="1" applyProtection="1">
      <alignment horizontal="center" wrapText="1"/>
      <protection locked="0"/>
    </xf>
    <xf numFmtId="0" fontId="0" fillId="0" borderId="10" xfId="0" applyFont="1" applyBorder="1" applyAlignment="1" applyProtection="1">
      <alignment horizontal="center" wrapText="1"/>
      <protection locked="0"/>
    </xf>
    <xf numFmtId="0" fontId="0" fillId="0" borderId="12" xfId="0" applyFont="1" applyBorder="1" applyAlignment="1" applyProtection="1">
      <alignment horizontal="center" wrapText="1"/>
      <protection locked="0"/>
    </xf>
    <xf numFmtId="179" fontId="0" fillId="0" borderId="12" xfId="0" applyNumberFormat="1" applyFont="1" applyBorder="1" applyAlignment="1" applyProtection="1">
      <alignment horizontal="center" wrapText="1"/>
      <protection locked="0"/>
    </xf>
    <xf numFmtId="0" fontId="0" fillId="0" borderId="22" xfId="0" applyFont="1" applyBorder="1" applyAlignment="1" applyProtection="1">
      <alignment horizontal="center" wrapText="1"/>
      <protection locked="0"/>
    </xf>
    <xf numFmtId="0" fontId="0" fillId="2" borderId="3" xfId="0" applyFont="1" applyFill="1" applyBorder="1" applyAlignment="1" applyProtection="1">
      <alignment horizontal="center" wrapText="1"/>
      <protection locked="0"/>
    </xf>
    <xf numFmtId="179" fontId="39" fillId="3" borderId="3" xfId="0" applyNumberFormat="1" applyFont="1" applyFill="1" applyBorder="1" applyAlignment="1" applyProtection="1">
      <alignment horizontal="center" wrapText="1"/>
      <protection locked="0"/>
    </xf>
    <xf numFmtId="179" fontId="0" fillId="2" borderId="3" xfId="0" applyNumberFormat="1" applyFont="1" applyFill="1" applyBorder="1" applyAlignment="1" applyProtection="1">
      <alignment horizontal="center" wrapText="1"/>
      <protection locked="0"/>
    </xf>
    <xf numFmtId="0" fontId="0" fillId="0" borderId="0" xfId="0" applyFont="1" applyBorder="1" applyAlignment="1" applyProtection="1">
      <alignment horizontal="center" wrapText="1"/>
      <protection locked="0"/>
    </xf>
    <xf numFmtId="0" fontId="0" fillId="0" borderId="0" xfId="0" applyFont="1" applyBorder="1">
      <alignment vertical="center"/>
    </xf>
    <xf numFmtId="0" fontId="0" fillId="2" borderId="0" xfId="0" applyFont="1" applyFill="1" applyAlignment="1" applyProtection="1">
      <protection locked="0"/>
    </xf>
    <xf numFmtId="0" fontId="40" fillId="2" borderId="0" xfId="0" applyFont="1" applyFill="1" applyAlignment="1" applyProtection="1">
      <alignment horizontal="center"/>
      <protection locked="0"/>
    </xf>
    <xf numFmtId="0" fontId="16" fillId="2" borderId="6" xfId="0" applyFont="1" applyFill="1" applyBorder="1" applyAlignment="1" applyProtection="1">
      <alignment horizontal="center" vertical="center"/>
      <protection locked="0"/>
    </xf>
    <xf numFmtId="0" fontId="16" fillId="2" borderId="19" xfId="0" applyFont="1" applyFill="1" applyBorder="1" applyAlignment="1" applyProtection="1">
      <alignment horizontal="center" vertical="center"/>
      <protection locked="0"/>
    </xf>
    <xf numFmtId="0" fontId="16" fillId="2" borderId="10" xfId="0" applyFont="1" applyFill="1" applyBorder="1" applyAlignment="1" applyProtection="1">
      <alignment horizontal="center" vertical="center"/>
      <protection locked="0"/>
    </xf>
    <xf numFmtId="0" fontId="16" fillId="2" borderId="12" xfId="0" applyFont="1" applyFill="1" applyBorder="1" applyAlignment="1" applyProtection="1">
      <alignment horizontal="center" vertical="center"/>
      <protection locked="0"/>
    </xf>
    <xf numFmtId="0" fontId="16" fillId="0" borderId="26" xfId="0" applyFont="1" applyBorder="1" applyAlignment="1" applyProtection="1">
      <protection locked="0"/>
    </xf>
    <xf numFmtId="0" fontId="16" fillId="0" borderId="27" xfId="0" applyFont="1" applyBorder="1" applyAlignment="1" applyProtection="1">
      <protection locked="0"/>
    </xf>
    <xf numFmtId="0" fontId="16" fillId="0" borderId="28" xfId="0" applyFont="1" applyBorder="1" applyAlignment="1" applyProtection="1">
      <protection locked="0"/>
    </xf>
    <xf numFmtId="0" fontId="16" fillId="0" borderId="1" xfId="0" applyFont="1" applyBorder="1" applyAlignment="1" applyProtection="1">
      <protection locked="0"/>
    </xf>
    <xf numFmtId="0" fontId="16" fillId="0" borderId="0" xfId="0" applyFont="1" applyBorder="1" applyAlignment="1" applyProtection="1">
      <protection locked="0"/>
    </xf>
    <xf numFmtId="0" fontId="16" fillId="0" borderId="2" xfId="0" applyFont="1" applyBorder="1" applyAlignment="1" applyProtection="1">
      <protection locked="0"/>
    </xf>
    <xf numFmtId="0" fontId="16" fillId="0" borderId="29" xfId="0" applyFont="1" applyBorder="1" applyAlignment="1" applyProtection="1">
      <protection locked="0"/>
    </xf>
    <xf numFmtId="0" fontId="16" fillId="0" borderId="20" xfId="0" applyFont="1" applyBorder="1" applyAlignment="1" applyProtection="1">
      <protection locked="0"/>
    </xf>
    <xf numFmtId="0" fontId="16" fillId="0" borderId="37" xfId="0" applyFont="1" applyBorder="1" applyAlignment="1" applyProtection="1">
      <protection locked="0"/>
    </xf>
    <xf numFmtId="0" fontId="16" fillId="6" borderId="37" xfId="0" applyFont="1" applyFill="1" applyBorder="1" applyAlignment="1" applyProtection="1">
      <alignment horizontal="center"/>
      <protection locked="0"/>
    </xf>
    <xf numFmtId="0" fontId="16" fillId="2" borderId="10" xfId="0" applyFont="1" applyFill="1" applyBorder="1" applyAlignment="1" applyProtection="1">
      <alignment vertical="center"/>
      <protection locked="0"/>
    </xf>
    <xf numFmtId="0" fontId="16" fillId="5" borderId="22" xfId="0" applyNumberFormat="1" applyFont="1" applyFill="1" applyBorder="1" applyAlignment="1" applyProtection="1">
      <alignment horizontal="center"/>
    </xf>
    <xf numFmtId="0" fontId="16" fillId="0" borderId="0" xfId="0" applyFont="1">
      <alignment vertical="center"/>
    </xf>
    <xf numFmtId="0" fontId="9" fillId="0" borderId="0" xfId="0" applyFont="1" applyFill="1" applyBorder="1" applyAlignment="1" applyProtection="1">
      <protection locked="0"/>
    </xf>
    <xf numFmtId="0" fontId="2" fillId="2" borderId="6" xfId="0" applyFont="1" applyFill="1" applyBorder="1" applyAlignment="1" applyProtection="1">
      <alignment horizontal="center" vertical="center"/>
      <protection locked="0"/>
    </xf>
    <xf numFmtId="0" fontId="2" fillId="2" borderId="19" xfId="0" applyFont="1" applyFill="1" applyBorder="1" applyAlignment="1" applyProtection="1">
      <alignment horizontal="center" vertical="center"/>
      <protection locked="0"/>
    </xf>
    <xf numFmtId="0" fontId="2" fillId="7" borderId="19" xfId="0" applyNumberFormat="1" applyFont="1" applyFill="1" applyBorder="1" applyAlignment="1" applyProtection="1">
      <alignment horizontal="center" vertical="center"/>
      <protection locked="0"/>
    </xf>
    <xf numFmtId="185" fontId="2" fillId="2" borderId="59" xfId="0" applyNumberFormat="1"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0" fontId="2" fillId="2" borderId="12" xfId="0" applyFont="1" applyFill="1" applyBorder="1" applyAlignment="1" applyProtection="1">
      <alignment horizontal="center" vertical="center"/>
      <protection locked="0"/>
    </xf>
    <xf numFmtId="0" fontId="2" fillId="5" borderId="12" xfId="0" applyNumberFormat="1" applyFont="1" applyFill="1" applyBorder="1" applyAlignment="1" applyProtection="1">
      <alignment horizontal="center" vertical="center"/>
    </xf>
    <xf numFmtId="185" fontId="2" fillId="2" borderId="12" xfId="0" applyNumberFormat="1"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wrapText="1"/>
      <protection locked="0"/>
    </xf>
    <xf numFmtId="0" fontId="2" fillId="2" borderId="17" xfId="0" applyFont="1" applyFill="1" applyBorder="1" applyAlignment="1" applyProtection="1">
      <alignment horizontal="center" vertical="center"/>
      <protection locked="0"/>
    </xf>
    <xf numFmtId="0" fontId="2" fillId="0" borderId="6" xfId="0" applyFont="1" applyBorder="1" applyAlignment="1" applyProtection="1">
      <alignment vertical="center"/>
      <protection locked="0"/>
    </xf>
    <xf numFmtId="0" fontId="2" fillId="0" borderId="19" xfId="0" applyFont="1" applyBorder="1" applyAlignment="1" applyProtection="1">
      <alignment vertical="center"/>
      <protection locked="0"/>
    </xf>
    <xf numFmtId="0" fontId="2" fillId="0" borderId="60" xfId="0" applyFont="1" applyBorder="1" applyAlignment="1" applyProtection="1">
      <alignment vertical="center"/>
      <protection locked="0"/>
    </xf>
    <xf numFmtId="0" fontId="2" fillId="0" borderId="59" xfId="0" applyFont="1" applyBorder="1" applyAlignment="1" applyProtection="1">
      <alignment vertical="center"/>
      <protection locked="0"/>
    </xf>
    <xf numFmtId="0" fontId="42" fillId="0" borderId="61" xfId="0" applyNumberFormat="1" applyFont="1" applyBorder="1" applyAlignment="1" applyProtection="1">
      <alignment horizontal="center" vertical="center"/>
      <protection locked="0"/>
    </xf>
    <xf numFmtId="0" fontId="2" fillId="0" borderId="11" xfId="0" applyFont="1" applyBorder="1" applyAlignment="1" applyProtection="1">
      <alignment vertical="center"/>
      <protection locked="0"/>
    </xf>
    <xf numFmtId="0" fontId="2" fillId="0" borderId="7" xfId="0" applyFont="1" applyBorder="1" applyAlignment="1" applyProtection="1">
      <alignment vertical="center"/>
      <protection locked="0"/>
    </xf>
    <xf numFmtId="0" fontId="2" fillId="0" borderId="8" xfId="0" applyFont="1" applyBorder="1" applyAlignment="1" applyProtection="1">
      <alignment vertical="center"/>
      <protection locked="0"/>
    </xf>
    <xf numFmtId="0" fontId="2" fillId="0" borderId="23" xfId="0" applyFont="1" applyBorder="1" applyAlignment="1" applyProtection="1">
      <alignment vertical="center"/>
      <protection locked="0"/>
    </xf>
    <xf numFmtId="0" fontId="42" fillId="0" borderId="23" xfId="0" applyNumberFormat="1" applyFont="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0" fillId="0" borderId="0" xfId="0" applyFont="1" applyFill="1" applyProtection="1">
      <alignment vertical="center"/>
      <protection locked="0"/>
    </xf>
    <xf numFmtId="0" fontId="0" fillId="0" borderId="0" xfId="0" applyFill="1" applyProtection="1">
      <alignment vertical="center"/>
      <protection locked="0"/>
    </xf>
    <xf numFmtId="0" fontId="0" fillId="3" borderId="0" xfId="0" applyFill="1" applyProtection="1">
      <alignment vertical="center"/>
    </xf>
    <xf numFmtId="0" fontId="0" fillId="3" borderId="0" xfId="0" applyFont="1" applyFill="1" applyProtection="1">
      <alignment vertical="center"/>
    </xf>
    <xf numFmtId="0" fontId="0" fillId="3" borderId="0" xfId="0" applyFill="1" applyProtection="1">
      <alignment vertical="center"/>
      <protection locked="0"/>
    </xf>
    <xf numFmtId="0" fontId="0" fillId="3" borderId="0" xfId="0" applyFont="1" applyFill="1" applyProtection="1">
      <alignment vertical="center"/>
      <protection locked="0"/>
    </xf>
    <xf numFmtId="0" fontId="2" fillId="0" borderId="62" xfId="0" applyFont="1" applyBorder="1" applyAlignment="1" applyProtection="1">
      <alignment vertical="center"/>
      <protection locked="0"/>
    </xf>
    <xf numFmtId="0" fontId="2" fillId="0" borderId="63" xfId="0" applyFont="1" applyBorder="1" applyAlignment="1" applyProtection="1">
      <alignment vertical="center"/>
      <protection locked="0"/>
    </xf>
    <xf numFmtId="0" fontId="0" fillId="0" borderId="0" xfId="0" applyFont="1" applyFill="1" applyBorder="1" applyAlignment="1" applyProtection="1">
      <alignment vertical="center"/>
      <protection locked="0"/>
    </xf>
    <xf numFmtId="0" fontId="2" fillId="0" borderId="22" xfId="0" applyFont="1" applyBorder="1" applyAlignment="1" applyProtection="1">
      <alignment vertical="center"/>
      <protection locked="0"/>
    </xf>
    <xf numFmtId="0" fontId="2" fillId="0" borderId="60" xfId="0" applyFont="1" applyFill="1" applyBorder="1" applyAlignment="1" applyProtection="1">
      <alignment horizontal="center" vertical="center"/>
      <protection locked="0"/>
    </xf>
    <xf numFmtId="0" fontId="2" fillId="0" borderId="64" xfId="0" applyFont="1" applyFill="1" applyBorder="1" applyAlignment="1" applyProtection="1">
      <alignment horizontal="center" vertical="center"/>
      <protection locked="0"/>
    </xf>
    <xf numFmtId="0" fontId="2" fillId="3" borderId="2" xfId="0" applyFont="1" applyFill="1" applyBorder="1" applyAlignment="1" applyProtection="1">
      <alignment vertical="center"/>
    </xf>
    <xf numFmtId="0" fontId="2" fillId="0" borderId="65" xfId="0" applyFont="1" applyFill="1" applyBorder="1" applyAlignment="1" applyProtection="1">
      <alignment horizontal="center" vertical="center"/>
      <protection locked="0"/>
    </xf>
    <xf numFmtId="0" fontId="0" fillId="0" borderId="0" xfId="0" applyFont="1">
      <alignment vertical="center"/>
    </xf>
    <xf numFmtId="0" fontId="0" fillId="0" borderId="27" xfId="0" applyBorder="1">
      <alignment vertical="center"/>
    </xf>
    <xf numFmtId="0" fontId="0" fillId="0" borderId="0" xfId="0" applyBorder="1">
      <alignment vertical="center"/>
    </xf>
    <xf numFmtId="0" fontId="0" fillId="0" borderId="0" xfId="0" applyFont="1" applyAlignment="1" applyProtection="1">
      <alignment wrapText="1"/>
      <protection locked="0"/>
    </xf>
    <xf numFmtId="0" fontId="0" fillId="8" borderId="0" xfId="0" applyFill="1">
      <alignment vertical="center"/>
    </xf>
    <xf numFmtId="0" fontId="44" fillId="8" borderId="0" xfId="0" applyFont="1" applyFill="1" applyAlignment="1">
      <alignment horizontal="left" vertical="top" wrapText="1"/>
    </xf>
    <xf numFmtId="0" fontId="0" fillId="8" borderId="0" xfId="0" applyFill="1" applyProtection="1">
      <alignment vertical="center"/>
      <protection locked="0"/>
    </xf>
    <xf numFmtId="0" fontId="45" fillId="8" borderId="0" xfId="0" applyFont="1" applyFill="1">
      <alignment vertical="center"/>
    </xf>
    <xf numFmtId="0" fontId="0" fillId="8" borderId="0" xfId="0" applyFill="1" applyProtection="1">
      <alignment vertical="center"/>
    </xf>
    <xf numFmtId="0" fontId="45" fillId="8" borderId="0" xfId="0" applyFont="1" applyFill="1" applyAlignment="1">
      <alignment horizontal="left" vertical="top" wrapText="1"/>
    </xf>
    <xf numFmtId="0" fontId="46" fillId="4" borderId="0" xfId="0" applyFont="1" applyFill="1" applyAlignment="1">
      <alignment horizontal="left" vertical="top" wrapText="1"/>
    </xf>
    <xf numFmtId="0" fontId="46" fillId="6" borderId="0" xfId="0" applyFont="1" applyFill="1" applyAlignment="1">
      <alignment horizontal="left" vertical="top" wrapText="1"/>
    </xf>
    <xf numFmtId="0" fontId="46" fillId="9" borderId="0" xfId="0" applyFont="1" applyFill="1" applyAlignment="1">
      <alignment horizontal="left" vertical="top" wrapText="1"/>
    </xf>
    <xf numFmtId="0" fontId="46" fillId="7" borderId="0" xfId="0" applyFont="1" applyFill="1" applyAlignment="1">
      <alignment horizontal="left" vertical="top" wrapText="1"/>
    </xf>
    <xf numFmtId="0" fontId="46" fillId="5" borderId="0" xfId="0" applyFont="1" applyFill="1" applyAlignment="1">
      <alignment horizontal="left" vertical="top" wrapText="1"/>
    </xf>
    <xf numFmtId="0" fontId="46" fillId="10" borderId="0" xfId="0" applyFont="1" applyFill="1" applyAlignment="1">
      <alignment horizontal="left" vertical="top" wrapText="1"/>
    </xf>
    <xf numFmtId="0" fontId="46" fillId="2" borderId="0" xfId="0" applyFont="1" applyFill="1" applyAlignment="1">
      <alignment horizontal="left" vertical="top" wrapText="1"/>
    </xf>
    <xf numFmtId="0" fontId="46" fillId="8" borderId="0" xfId="0" applyFont="1" applyFill="1" applyAlignment="1">
      <alignment horizontal="left" vertical="top" wrapText="1"/>
    </xf>
    <xf numFmtId="0" fontId="47" fillId="8" borderId="0" xfId="2" applyNumberFormat="1" applyFont="1" applyFill="1" applyBorder="1" applyProtection="1">
      <alignment vertical="center"/>
    </xf>
    <xf numFmtId="0" fontId="0" fillId="0" borderId="0" xfId="0" applyFont="1" applyFill="1">
      <alignment vertical="center"/>
    </xf>
    <xf numFmtId="186" fontId="0" fillId="0" borderId="0" xfId="0" applyNumberFormat="1" applyFont="1">
      <alignment vertical="center"/>
    </xf>
    <xf numFmtId="0" fontId="0" fillId="0" borderId="0" xfId="0" applyFont="1">
      <alignment vertical="center"/>
    </xf>
    <xf numFmtId="0" fontId="2" fillId="2" borderId="0" xfId="0" applyFont="1" applyFill="1" applyAlignment="1">
      <alignment horizontal="left"/>
    </xf>
    <xf numFmtId="186" fontId="2" fillId="2" borderId="0" xfId="0" applyNumberFormat="1" applyFont="1" applyFill="1" applyAlignment="1">
      <alignment horizontal="left"/>
    </xf>
    <xf numFmtId="0" fontId="0" fillId="0" borderId="0" xfId="0" applyFont="1" applyBorder="1" applyAlignment="1" applyProtection="1">
      <protection locked="0"/>
    </xf>
    <xf numFmtId="4" fontId="2" fillId="2" borderId="0" xfId="0" applyNumberFormat="1" applyFont="1" applyFill="1" applyBorder="1" applyAlignment="1" applyProtection="1">
      <alignment horizontal="left" vertical="center"/>
    </xf>
    <xf numFmtId="186" fontId="2" fillId="2" borderId="0" xfId="0" applyNumberFormat="1" applyFont="1" applyFill="1" applyBorder="1" applyAlignment="1" applyProtection="1">
      <alignment horizontal="right" vertical="center"/>
    </xf>
    <xf numFmtId="0" fontId="2" fillId="2" borderId="66" xfId="0" applyFont="1" applyFill="1" applyBorder="1" applyAlignment="1">
      <alignment horizontal="center" vertical="center"/>
    </xf>
    <xf numFmtId="0" fontId="2" fillId="2" borderId="19" xfId="0" applyFont="1" applyFill="1" applyBorder="1" applyAlignment="1" applyProtection="1">
      <alignment horizontal="center" vertical="center"/>
    </xf>
    <xf numFmtId="186" fontId="2" fillId="2" borderId="19" xfId="0" applyNumberFormat="1" applyFont="1" applyFill="1" applyBorder="1" applyAlignment="1" applyProtection="1">
      <alignment horizontal="center" vertical="center"/>
    </xf>
    <xf numFmtId="186" fontId="2" fillId="2" borderId="61" xfId="0" applyNumberFormat="1" applyFont="1" applyFill="1" applyBorder="1" applyAlignment="1" applyProtection="1">
      <alignment horizontal="center" vertical="center"/>
    </xf>
    <xf numFmtId="0" fontId="2" fillId="0" borderId="0" xfId="0" applyFont="1" applyProtection="1">
      <alignment vertical="center"/>
      <protection locked="0"/>
    </xf>
    <xf numFmtId="0" fontId="2" fillId="0" borderId="0" xfId="0" applyFont="1">
      <alignment vertical="center"/>
    </xf>
    <xf numFmtId="0" fontId="2" fillId="2" borderId="15" xfId="0" applyFont="1" applyFill="1" applyBorder="1" applyAlignment="1" applyProtection="1">
      <alignment horizontal="left" vertical="center"/>
    </xf>
    <xf numFmtId="0" fontId="2" fillId="2" borderId="8" xfId="0" applyFont="1" applyFill="1" applyBorder="1" applyAlignment="1" applyProtection="1">
      <alignment horizontal="center" vertical="center"/>
    </xf>
    <xf numFmtId="179" fontId="2" fillId="2" borderId="8" xfId="0" applyNumberFormat="1" applyFont="1" applyFill="1" applyBorder="1" applyAlignment="1" applyProtection="1">
      <alignment vertical="center"/>
    </xf>
    <xf numFmtId="179" fontId="2" fillId="2" borderId="23" xfId="0" applyNumberFormat="1" applyFont="1" applyFill="1" applyBorder="1" applyAlignment="1" applyProtection="1">
      <alignment vertical="center"/>
    </xf>
    <xf numFmtId="0" fontId="13" fillId="2" borderId="15" xfId="2" applyNumberFormat="1" applyFont="1" applyFill="1" applyBorder="1" applyAlignment="1" applyProtection="1">
      <alignment horizontal="left" vertical="center"/>
    </xf>
    <xf numFmtId="0" fontId="2" fillId="2" borderId="8" xfId="0" applyFont="1" applyFill="1" applyBorder="1" applyAlignment="1" applyProtection="1">
      <alignment horizontal="left" vertical="center"/>
    </xf>
    <xf numFmtId="0" fontId="12" fillId="0" borderId="0" xfId="2" applyNumberFormat="1" applyFont="1" applyFill="1" applyBorder="1" applyAlignment="1" applyProtection="1">
      <protection locked="0"/>
    </xf>
    <xf numFmtId="0" fontId="13" fillId="2" borderId="8" xfId="2" applyNumberFormat="1" applyFont="1" applyFill="1" applyBorder="1" applyAlignment="1" applyProtection="1">
      <alignment horizontal="left" vertical="center"/>
    </xf>
    <xf numFmtId="0" fontId="2" fillId="2" borderId="0" xfId="0" applyFont="1" applyFill="1">
      <alignment vertical="center"/>
    </xf>
    <xf numFmtId="0" fontId="2" fillId="2" borderId="15" xfId="0" applyFont="1" applyFill="1" applyBorder="1" applyAlignment="1" applyProtection="1">
      <alignment horizontal="center" vertical="center"/>
    </xf>
    <xf numFmtId="180" fontId="42" fillId="3" borderId="8" xfId="4" applyNumberFormat="1" applyFont="1" applyFill="1" applyBorder="1" applyAlignment="1" applyProtection="1">
      <alignment vertical="center"/>
    </xf>
    <xf numFmtId="180" fontId="42" fillId="3" borderId="23" xfId="4" applyNumberFormat="1" applyFont="1" applyFill="1" applyBorder="1" applyAlignment="1" applyProtection="1">
      <alignment vertical="center"/>
    </xf>
    <xf numFmtId="0" fontId="2" fillId="2" borderId="16" xfId="0" applyFont="1" applyFill="1" applyBorder="1" applyAlignment="1" applyProtection="1">
      <alignment horizontal="center" vertical="center"/>
    </xf>
    <xf numFmtId="0" fontId="2" fillId="2" borderId="12" xfId="0" applyFont="1" applyFill="1" applyBorder="1" applyAlignment="1" applyProtection="1">
      <alignment horizontal="center" vertical="center"/>
    </xf>
    <xf numFmtId="180" fontId="42" fillId="3" borderId="12" xfId="4" applyNumberFormat="1" applyFont="1" applyFill="1" applyBorder="1" applyAlignment="1" applyProtection="1">
      <alignment vertical="center"/>
    </xf>
    <xf numFmtId="180" fontId="48" fillId="3" borderId="31" xfId="0" applyNumberFormat="1" applyFont="1" applyFill="1" applyBorder="1" applyAlignment="1" applyProtection="1"/>
    <xf numFmtId="180" fontId="48" fillId="3" borderId="3" xfId="0" applyNumberFormat="1" applyFont="1" applyFill="1" applyBorder="1" applyAlignment="1" applyProtection="1"/>
    <xf numFmtId="180" fontId="2" fillId="0" borderId="0" xfId="0" applyNumberFormat="1" applyFont="1">
      <alignment vertical="center"/>
    </xf>
    <xf numFmtId="0" fontId="49" fillId="2" borderId="0" xfId="0" applyFont="1" applyFill="1" applyAlignment="1" applyProtection="1">
      <alignment horizontal="center"/>
      <protection locked="0"/>
    </xf>
    <xf numFmtId="0" fontId="2" fillId="2" borderId="0" xfId="0" applyFont="1" applyFill="1" applyAlignment="1" applyProtection="1">
      <alignment horizontal="left"/>
      <protection locked="0"/>
    </xf>
    <xf numFmtId="0" fontId="2" fillId="2" borderId="0" xfId="0" applyFont="1" applyFill="1" applyAlignment="1" applyProtection="1">
      <protection locked="0"/>
    </xf>
    <xf numFmtId="186" fontId="2" fillId="2" borderId="0" xfId="0" applyNumberFormat="1" applyFont="1" applyFill="1" applyBorder="1" applyAlignment="1" applyProtection="1">
      <alignment horizontal="right"/>
      <protection locked="0"/>
    </xf>
    <xf numFmtId="0" fontId="2" fillId="2" borderId="66" xfId="0" applyFont="1" applyFill="1" applyBorder="1" applyAlignment="1" applyProtection="1">
      <alignment horizontal="left" vertical="center"/>
      <protection locked="0"/>
    </xf>
    <xf numFmtId="0" fontId="2" fillId="2" borderId="19" xfId="0" applyFont="1" applyFill="1" applyBorder="1" applyAlignment="1" applyProtection="1">
      <alignment horizontal="center" vertical="center"/>
      <protection locked="0"/>
    </xf>
    <xf numFmtId="186" fontId="2" fillId="2" borderId="19" xfId="0" applyNumberFormat="1" applyFont="1" applyFill="1" applyBorder="1" applyAlignment="1" applyProtection="1">
      <alignment horizontal="center" vertical="center"/>
      <protection locked="0"/>
    </xf>
    <xf numFmtId="186" fontId="2" fillId="2" borderId="61" xfId="0" applyNumberFormat="1" applyFont="1" applyFill="1" applyBorder="1" applyAlignment="1" applyProtection="1">
      <alignment horizontal="center" vertical="center"/>
      <protection locked="0"/>
    </xf>
    <xf numFmtId="0" fontId="0" fillId="0" borderId="0" xfId="0" applyFont="1" applyAlignment="1" applyProtection="1">
      <alignment horizontal="left"/>
      <protection locked="0"/>
    </xf>
    <xf numFmtId="0" fontId="0" fillId="0" borderId="0" xfId="0" applyFont="1" applyAlignment="1" applyProtection="1">
      <alignment horizontal="center"/>
      <protection locked="0"/>
    </xf>
    <xf numFmtId="0" fontId="0" fillId="0" borderId="0" xfId="0" applyFont="1" applyAlignment="1">
      <alignment horizontal="center"/>
    </xf>
    <xf numFmtId="0" fontId="13" fillId="2" borderId="15" xfId="2" applyNumberFormat="1" applyFont="1" applyFill="1" applyBorder="1" applyAlignment="1" applyProtection="1">
      <alignment horizontal="left" vertical="center"/>
      <protection locked="0"/>
    </xf>
    <xf numFmtId="0" fontId="2" fillId="2" borderId="8" xfId="0" applyFont="1" applyFill="1" applyBorder="1" applyAlignment="1" applyProtection="1">
      <alignment horizontal="center" vertical="center"/>
      <protection locked="0"/>
    </xf>
    <xf numFmtId="0" fontId="2" fillId="2" borderId="8" xfId="0" applyFont="1" applyFill="1" applyBorder="1" applyAlignment="1" applyProtection="1">
      <alignment horizontal="left" vertical="center"/>
      <protection locked="0"/>
    </xf>
    <xf numFmtId="0" fontId="2" fillId="2" borderId="15" xfId="0" applyFont="1" applyFill="1" applyBorder="1" applyAlignment="1" applyProtection="1">
      <alignment horizontal="left" vertical="center"/>
      <protection locked="0"/>
    </xf>
    <xf numFmtId="0" fontId="2" fillId="2" borderId="15" xfId="2" applyNumberFormat="1" applyFont="1" applyFill="1" applyBorder="1" applyAlignment="1" applyProtection="1">
      <alignment horizontal="left" vertical="center"/>
      <protection locked="0"/>
    </xf>
    <xf numFmtId="0" fontId="2" fillId="2" borderId="0" xfId="0" applyFont="1" applyFill="1" applyProtection="1">
      <alignment vertical="center"/>
      <protection locked="0"/>
    </xf>
    <xf numFmtId="186" fontId="0" fillId="0" borderId="0" xfId="0" applyNumberFormat="1" applyFont="1" applyProtection="1">
      <alignment vertical="center"/>
      <protection locked="0"/>
    </xf>
    <xf numFmtId="0" fontId="2" fillId="2" borderId="16" xfId="0" applyFont="1" applyFill="1" applyBorder="1" applyAlignment="1" applyProtection="1">
      <alignment horizontal="left" vertical="center"/>
      <protection locked="0"/>
    </xf>
    <xf numFmtId="0" fontId="2" fillId="2" borderId="12" xfId="0" applyFont="1" applyFill="1" applyBorder="1" applyAlignment="1" applyProtection="1">
      <alignment horizontal="center" vertical="center"/>
      <protection locked="0"/>
    </xf>
    <xf numFmtId="0" fontId="50" fillId="2" borderId="12" xfId="2" applyNumberFormat="1" applyFont="1" applyFill="1" applyBorder="1" applyProtection="1">
      <alignment vertical="center"/>
      <protection locked="0"/>
    </xf>
    <xf numFmtId="0" fontId="2" fillId="0" borderId="0" xfId="0" applyFont="1" applyProtection="1">
      <alignment vertical="center"/>
    </xf>
    <xf numFmtId="0" fontId="2" fillId="4" borderId="0" xfId="0" applyFont="1" applyFill="1" applyAlignment="1">
      <alignment horizontal="left"/>
    </xf>
    <xf numFmtId="0" fontId="0" fillId="4" borderId="0" xfId="0" applyFont="1" applyFill="1">
      <alignment vertical="center"/>
    </xf>
    <xf numFmtId="179" fontId="0" fillId="4" borderId="0" xfId="0" applyNumberFormat="1" applyFont="1" applyFill="1">
      <alignment vertical="center"/>
    </xf>
    <xf numFmtId="0" fontId="0" fillId="0" borderId="0" xfId="0" applyFont="1" applyAlignment="1">
      <alignment horizontal="left"/>
    </xf>
    <xf numFmtId="0" fontId="0" fillId="0" borderId="0" xfId="0" applyAlignment="1" applyProtection="1">
      <alignment vertical="center"/>
      <protection locked="0"/>
    </xf>
    <xf numFmtId="0" fontId="2" fillId="2" borderId="0" xfId="0" applyFont="1" applyFill="1" applyBorder="1" applyAlignment="1" applyProtection="1">
      <alignment horizontal="center" vertical="center"/>
      <protection locked="0"/>
    </xf>
    <xf numFmtId="0" fontId="25" fillId="2" borderId="0" xfId="0" applyFont="1" applyFill="1" applyBorder="1" applyAlignment="1" applyProtection="1">
      <alignment horizontal="center" vertical="center"/>
      <protection locked="0"/>
    </xf>
    <xf numFmtId="0" fontId="0" fillId="2" borderId="0" xfId="0" applyFill="1" applyProtection="1">
      <alignment vertical="center"/>
      <protection locked="0"/>
    </xf>
    <xf numFmtId="0" fontId="2" fillId="0" borderId="0" xfId="0" applyFont="1" applyFill="1" applyProtection="1">
      <alignment vertical="center"/>
      <protection locked="0"/>
    </xf>
    <xf numFmtId="0" fontId="2" fillId="2" borderId="11"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textRotation="255"/>
      <protection locked="0"/>
    </xf>
    <xf numFmtId="0" fontId="2" fillId="2" borderId="8" xfId="0" applyFont="1" applyFill="1" applyBorder="1" applyAlignment="1" applyProtection="1">
      <alignment horizontal="left" vertical="center"/>
      <protection locked="0"/>
    </xf>
    <xf numFmtId="180" fontId="2" fillId="2" borderId="8" xfId="0" applyNumberFormat="1" applyFont="1" applyFill="1" applyBorder="1" applyAlignment="1" applyProtection="1">
      <alignment horizontal="center" vertical="center" shrinkToFit="1"/>
      <protection locked="0"/>
    </xf>
    <xf numFmtId="180" fontId="42" fillId="7" borderId="8" xfId="0" applyNumberFormat="1" applyFont="1" applyFill="1" applyBorder="1" applyAlignment="1" applyProtection="1">
      <alignment vertical="center" shrinkToFit="1"/>
      <protection locked="0"/>
    </xf>
    <xf numFmtId="0" fontId="2" fillId="3" borderId="8" xfId="0" applyFont="1" applyFill="1" applyBorder="1" applyAlignment="1" applyProtection="1">
      <alignment horizontal="left" vertical="center"/>
    </xf>
    <xf numFmtId="0" fontId="12" fillId="0" borderId="0" xfId="2" applyNumberFormat="1" applyFont="1" applyFill="1" applyBorder="1" applyAlignment="1" applyProtection="1">
      <alignment vertical="center"/>
      <protection locked="0"/>
    </xf>
    <xf numFmtId="0" fontId="2" fillId="3" borderId="8" xfId="0" applyFont="1" applyFill="1" applyBorder="1" applyAlignment="1" applyProtection="1">
      <alignment vertical="center"/>
    </xf>
    <xf numFmtId="180" fontId="42" fillId="3" borderId="8" xfId="0" applyNumberFormat="1" applyFont="1" applyFill="1" applyBorder="1" applyAlignment="1" applyProtection="1">
      <alignment horizontal="center" vertical="center" shrinkToFit="1"/>
    </xf>
    <xf numFmtId="180" fontId="42" fillId="3" borderId="9" xfId="0" applyNumberFormat="1" applyFont="1" applyFill="1" applyBorder="1" applyProtection="1">
      <alignment vertical="center"/>
    </xf>
    <xf numFmtId="0" fontId="51" fillId="0" borderId="0" xfId="0" applyFont="1" applyProtection="1">
      <alignment vertical="center"/>
      <protection locked="0"/>
    </xf>
    <xf numFmtId="180" fontId="42" fillId="3" borderId="8" xfId="0" applyNumberFormat="1" applyFont="1" applyFill="1" applyBorder="1" applyAlignment="1" applyProtection="1">
      <alignment vertical="center" shrinkToFit="1"/>
    </xf>
    <xf numFmtId="0" fontId="2" fillId="2" borderId="8" xfId="0" applyFont="1" applyFill="1" applyBorder="1" applyAlignment="1" applyProtection="1">
      <alignment horizontal="center" vertical="center" shrinkToFit="1"/>
      <protection locked="0"/>
    </xf>
    <xf numFmtId="0" fontId="0" fillId="2" borderId="0" xfId="0" applyFill="1">
      <alignment vertical="center"/>
    </xf>
    <xf numFmtId="0" fontId="0" fillId="0" borderId="0" xfId="0" applyAlignment="1">
      <alignment vertical="center"/>
    </xf>
    <xf numFmtId="0" fontId="2" fillId="0" borderId="0" xfId="0" applyFont="1">
      <alignment vertical="center"/>
    </xf>
    <xf numFmtId="0" fontId="2" fillId="2" borderId="6" xfId="0" applyFont="1" applyFill="1" applyBorder="1" applyAlignment="1" applyProtection="1">
      <alignment vertical="center" wrapText="1"/>
      <protection locked="0"/>
    </xf>
    <xf numFmtId="0" fontId="2" fillId="2" borderId="19" xfId="0" applyFont="1" applyFill="1" applyBorder="1" applyAlignment="1" applyProtection="1">
      <alignment horizontal="center" vertical="center" wrapText="1"/>
      <protection locked="0"/>
    </xf>
    <xf numFmtId="0" fontId="2" fillId="2" borderId="11" xfId="0" applyFont="1" applyFill="1" applyBorder="1" applyAlignment="1" applyProtection="1">
      <alignment horizontal="center" vertical="center" wrapText="1"/>
      <protection locked="0"/>
    </xf>
    <xf numFmtId="0" fontId="2" fillId="2" borderId="7" xfId="0" applyFont="1" applyFill="1" applyBorder="1" applyAlignment="1" applyProtection="1">
      <alignment horizontal="center" vertical="center" wrapText="1"/>
      <protection locked="0"/>
    </xf>
    <xf numFmtId="0" fontId="2" fillId="2" borderId="8" xfId="0" applyFont="1" applyFill="1" applyBorder="1" applyAlignment="1" applyProtection="1">
      <alignment horizontal="center" vertical="center" wrapText="1"/>
      <protection locked="0"/>
    </xf>
    <xf numFmtId="0" fontId="2" fillId="2" borderId="0" xfId="0" applyFont="1" applyFill="1" applyAlignment="1">
      <alignment horizontal="left" vertical="top" wrapText="1"/>
    </xf>
    <xf numFmtId="0" fontId="2" fillId="2" borderId="19" xfId="0" applyFont="1" applyFill="1" applyBorder="1" applyProtection="1">
      <alignment vertical="center"/>
      <protection locked="0"/>
    </xf>
    <xf numFmtId="0" fontId="2" fillId="7" borderId="8" xfId="0" applyNumberFormat="1" applyFont="1" applyFill="1" applyBorder="1" applyAlignment="1" applyProtection="1">
      <alignment horizontal="center" vertical="center"/>
      <protection locked="0"/>
    </xf>
    <xf numFmtId="0" fontId="2" fillId="5" borderId="8" xfId="0" applyNumberFormat="1" applyFont="1" applyFill="1" applyBorder="1" applyAlignment="1" applyProtection="1">
      <alignment horizontal="center" vertical="center" shrinkToFit="1"/>
    </xf>
    <xf numFmtId="49" fontId="2" fillId="5" borderId="22" xfId="0" applyNumberFormat="1" applyFont="1" applyFill="1" applyBorder="1" applyAlignment="1" applyProtection="1">
      <alignment horizontal="center" vertical="center"/>
    </xf>
    <xf numFmtId="0" fontId="2" fillId="5" borderId="12" xfId="0" applyNumberFormat="1" applyFont="1" applyFill="1" applyBorder="1" applyAlignment="1" applyProtection="1">
      <alignment horizontal="center" vertical="center"/>
    </xf>
    <xf numFmtId="0" fontId="2" fillId="5" borderId="12" xfId="0" applyNumberFormat="1" applyFont="1" applyFill="1" applyBorder="1" applyAlignment="1" applyProtection="1">
      <alignment horizontal="center" vertical="center" shrinkToFit="1"/>
    </xf>
    <xf numFmtId="3" fontId="2" fillId="2" borderId="19" xfId="0" applyNumberFormat="1" applyFont="1" applyFill="1" applyBorder="1" applyAlignment="1" applyProtection="1">
      <alignment horizontal="center" vertical="center"/>
      <protection locked="0"/>
    </xf>
    <xf numFmtId="180" fontId="42" fillId="5" borderId="8" xfId="0" applyNumberFormat="1" applyFont="1" applyFill="1" applyBorder="1" applyAlignment="1" applyProtection="1">
      <alignment horizontal="center" vertical="center"/>
    </xf>
    <xf numFmtId="0" fontId="2" fillId="0" borderId="9" xfId="0" applyFont="1" applyFill="1" applyBorder="1" applyAlignment="1" applyProtection="1">
      <alignment vertical="center"/>
      <protection locked="0"/>
    </xf>
    <xf numFmtId="180" fontId="42" fillId="5" borderId="8" xfId="0" applyNumberFormat="1" applyFont="1" applyFill="1" applyBorder="1" applyAlignment="1" applyProtection="1">
      <alignment vertical="center"/>
    </xf>
    <xf numFmtId="0" fontId="2" fillId="0" borderId="9" xfId="0" applyFont="1" applyBorder="1" applyAlignment="1" applyProtection="1">
      <alignment vertical="top" wrapText="1"/>
      <protection locked="0"/>
    </xf>
    <xf numFmtId="180" fontId="42" fillId="5" borderId="8" xfId="0" applyNumberFormat="1" applyFont="1" applyFill="1" applyBorder="1" applyAlignment="1" applyProtection="1">
      <alignment vertical="center" wrapText="1"/>
    </xf>
    <xf numFmtId="179" fontId="42" fillId="3" borderId="8" xfId="0" applyNumberFormat="1" applyFont="1" applyFill="1" applyBorder="1" applyAlignment="1" applyProtection="1">
      <alignment horizontal="center" vertical="center"/>
    </xf>
    <xf numFmtId="179" fontId="42" fillId="3" borderId="8" xfId="0" applyNumberFormat="1" applyFont="1" applyFill="1" applyBorder="1" applyAlignment="1" applyProtection="1">
      <alignment vertical="center"/>
    </xf>
    <xf numFmtId="0" fontId="2" fillId="0" borderId="1" xfId="0" applyFont="1" applyBorder="1" applyAlignment="1" applyProtection="1">
      <alignment vertical="center" wrapText="1"/>
      <protection locked="0"/>
    </xf>
    <xf numFmtId="180" fontId="42" fillId="3" borderId="8" xfId="0" applyNumberFormat="1" applyFont="1" applyFill="1" applyBorder="1" applyAlignment="1" applyProtection="1">
      <alignment horizontal="center" vertical="center"/>
    </xf>
    <xf numFmtId="180" fontId="42" fillId="3" borderId="8" xfId="0" applyNumberFormat="1" applyFont="1" applyFill="1" applyBorder="1" applyAlignment="1" applyProtection="1">
      <alignment vertical="center"/>
    </xf>
    <xf numFmtId="180" fontId="2" fillId="2" borderId="8" xfId="0" applyNumberFormat="1" applyFont="1" applyFill="1" applyBorder="1" applyAlignment="1" applyProtection="1">
      <alignment horizontal="center" vertical="center"/>
    </xf>
    <xf numFmtId="180" fontId="42" fillId="3" borderId="67" xfId="0" applyNumberFormat="1" applyFont="1" applyFill="1" applyBorder="1" applyAlignment="1" applyProtection="1">
      <alignment horizontal="center" vertical="center"/>
    </xf>
    <xf numFmtId="0" fontId="2" fillId="2" borderId="10" xfId="0" applyFont="1" applyFill="1" applyBorder="1" applyAlignment="1" applyProtection="1">
      <alignment horizontal="center" vertical="center" wrapText="1"/>
      <protection locked="0"/>
    </xf>
    <xf numFmtId="180" fontId="42" fillId="3" borderId="12" xfId="0" applyNumberFormat="1" applyFont="1" applyFill="1" applyBorder="1" applyAlignment="1" applyProtection="1">
      <alignment horizontal="center" vertical="center"/>
    </xf>
    <xf numFmtId="180" fontId="2" fillId="0" borderId="9"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vertical="center" shrinkToFit="1"/>
    </xf>
    <xf numFmtId="0" fontId="2" fillId="2" borderId="33" xfId="0" applyFont="1" applyFill="1" applyBorder="1" applyAlignment="1" applyProtection="1">
      <alignment horizontal="center" vertical="center"/>
      <protection locked="0"/>
    </xf>
    <xf numFmtId="180" fontId="42" fillId="3" borderId="35" xfId="0" applyNumberFormat="1" applyFont="1" applyFill="1" applyBorder="1" applyAlignment="1" applyProtection="1">
      <alignment vertical="center"/>
    </xf>
    <xf numFmtId="0" fontId="19" fillId="0" borderId="0" xfId="0" applyFont="1" applyAlignment="1" applyProtection="1">
      <alignment horizontal="left" vertical="center"/>
      <protection locked="0"/>
    </xf>
    <xf numFmtId="0" fontId="19" fillId="0" borderId="0" xfId="0" applyFont="1" applyAlignment="1">
      <alignment horizontal="left" vertical="center"/>
    </xf>
    <xf numFmtId="0" fontId="0" fillId="0" borderId="0" xfId="0" applyFont="1" applyAlignment="1" applyProtection="1">
      <alignment vertical="center"/>
      <protection locked="0"/>
    </xf>
    <xf numFmtId="0" fontId="0" fillId="2" borderId="19" xfId="0" applyFill="1" applyBorder="1" applyProtection="1">
      <alignment vertical="center"/>
      <protection locked="0"/>
    </xf>
    <xf numFmtId="0" fontId="2" fillId="2" borderId="8" xfId="0" applyFont="1" applyFill="1" applyBorder="1" applyAlignment="1" applyProtection="1">
      <alignment horizontal="center" vertical="center"/>
      <protection locked="0"/>
    </xf>
    <xf numFmtId="0" fontId="2" fillId="7" borderId="8" xfId="0" applyNumberFormat="1" applyFont="1" applyFill="1" applyBorder="1" applyAlignment="1" applyProtection="1">
      <alignment horizontal="center" vertical="center"/>
      <protection locked="0"/>
    </xf>
    <xf numFmtId="0" fontId="2" fillId="3" borderId="8" xfId="0" applyFont="1" applyFill="1" applyBorder="1" applyAlignment="1" applyProtection="1">
      <alignment vertical="center"/>
      <protection locked="0"/>
    </xf>
    <xf numFmtId="49" fontId="2" fillId="5" borderId="22" xfId="0" applyNumberFormat="1" applyFont="1" applyFill="1" applyBorder="1" applyAlignment="1" applyProtection="1">
      <alignment horizontal="center" vertical="center"/>
    </xf>
    <xf numFmtId="0" fontId="2" fillId="3" borderId="12" xfId="0" applyFont="1" applyFill="1" applyBorder="1" applyAlignment="1" applyProtection="1">
      <alignment vertical="center"/>
      <protection locked="0"/>
    </xf>
    <xf numFmtId="0" fontId="54" fillId="0" borderId="0" xfId="0" applyFont="1" applyBorder="1" applyProtection="1">
      <alignment vertical="center"/>
      <protection locked="0"/>
    </xf>
    <xf numFmtId="0" fontId="2" fillId="2" borderId="35" xfId="0" applyFont="1" applyFill="1" applyBorder="1" applyAlignment="1" applyProtection="1">
      <alignment horizontal="center" vertical="center" wrapText="1"/>
      <protection locked="0"/>
    </xf>
    <xf numFmtId="180" fontId="42" fillId="3" borderId="8" xfId="0" applyNumberFormat="1" applyFont="1" applyFill="1" applyBorder="1" applyAlignment="1" applyProtection="1">
      <alignment vertical="center"/>
    </xf>
    <xf numFmtId="0" fontId="0" fillId="0" borderId="0" xfId="0" applyAlignment="1">
      <alignment vertical="center" wrapText="1"/>
    </xf>
    <xf numFmtId="0" fontId="2" fillId="0" borderId="1" xfId="0" applyFont="1" applyBorder="1" applyAlignment="1" applyProtection="1">
      <alignment vertical="center" wrapText="1"/>
      <protection locked="0"/>
    </xf>
    <xf numFmtId="180" fontId="2" fillId="2" borderId="68" xfId="0" applyNumberFormat="1" applyFont="1" applyFill="1" applyBorder="1" applyAlignment="1" applyProtection="1">
      <alignment horizontal="center" vertical="center"/>
    </xf>
    <xf numFmtId="180" fontId="2" fillId="2" borderId="12" xfId="0" applyNumberFormat="1" applyFont="1" applyFill="1" applyBorder="1" applyAlignment="1" applyProtection="1">
      <alignment horizontal="center" vertical="center"/>
    </xf>
    <xf numFmtId="0" fontId="2" fillId="7" borderId="60" xfId="0" applyFont="1" applyFill="1" applyBorder="1" applyAlignment="1" applyProtection="1">
      <alignment horizontal="right" vertical="center"/>
      <protection locked="0"/>
    </xf>
    <xf numFmtId="0" fontId="2" fillId="0" borderId="0" xfId="0" applyFont="1" applyBorder="1" applyAlignment="1" applyProtection="1">
      <alignment vertical="center" wrapText="1"/>
      <protection locked="0"/>
    </xf>
    <xf numFmtId="0" fontId="0" fillId="0" borderId="27" xfId="0" applyBorder="1" applyProtection="1">
      <alignment vertical="center"/>
      <protection locked="0"/>
    </xf>
    <xf numFmtId="0" fontId="0" fillId="0" borderId="0" xfId="0" applyBorder="1" applyProtection="1">
      <alignment vertical="center"/>
      <protection locked="0"/>
    </xf>
    <xf numFmtId="0" fontId="0" fillId="0" borderId="0" xfId="0" applyFont="1">
      <alignment vertical="center"/>
    </xf>
    <xf numFmtId="0" fontId="0" fillId="0" borderId="0" xfId="0" applyFont="1" applyBorder="1" applyAlignment="1" applyProtection="1">
      <alignment horizontal="center" vertical="center"/>
      <protection locked="0"/>
    </xf>
    <xf numFmtId="0" fontId="2" fillId="2" borderId="19" xfId="0" applyFont="1" applyFill="1" applyBorder="1" applyAlignment="1" applyProtection="1">
      <alignment horizontal="right" vertical="center"/>
      <protection locked="0"/>
    </xf>
    <xf numFmtId="0" fontId="54" fillId="0" borderId="0" xfId="0" applyFont="1" applyProtection="1">
      <alignment vertical="center"/>
      <protection locked="0"/>
    </xf>
    <xf numFmtId="0" fontId="54" fillId="0" borderId="0" xfId="0" applyFont="1">
      <alignment vertical="center"/>
    </xf>
    <xf numFmtId="0" fontId="2" fillId="5" borderId="8" xfId="0" applyNumberFormat="1" applyFont="1" applyFill="1" applyBorder="1" applyAlignment="1" applyProtection="1">
      <alignment horizontal="center" vertical="center"/>
    </xf>
    <xf numFmtId="0" fontId="2" fillId="2" borderId="30" xfId="0" applyFont="1" applyFill="1" applyBorder="1" applyAlignment="1" applyProtection="1">
      <alignment horizontal="left" vertical="center"/>
      <protection locked="0"/>
    </xf>
    <xf numFmtId="0" fontId="2" fillId="2" borderId="21" xfId="0" applyFont="1" applyFill="1" applyBorder="1" applyAlignment="1" applyProtection="1">
      <alignment horizontal="left" vertical="center"/>
      <protection locked="0"/>
    </xf>
    <xf numFmtId="0" fontId="2" fillId="2" borderId="21" xfId="0" applyFont="1" applyFill="1" applyBorder="1" applyAlignment="1" applyProtection="1">
      <alignment vertical="center"/>
      <protection locked="0"/>
    </xf>
    <xf numFmtId="0" fontId="2" fillId="2" borderId="21" xfId="0" applyFont="1" applyFill="1" applyBorder="1" applyAlignment="1" applyProtection="1">
      <alignment horizontal="center" vertical="center"/>
      <protection locked="0"/>
    </xf>
    <xf numFmtId="0" fontId="2" fillId="2" borderId="5" xfId="0" applyFont="1" applyFill="1" applyBorder="1" applyAlignment="1" applyProtection="1">
      <alignment horizontal="center" vertical="center"/>
      <protection locked="0"/>
    </xf>
    <xf numFmtId="0" fontId="54" fillId="0" borderId="0" xfId="0" applyFont="1" applyBorder="1">
      <alignment vertical="center"/>
    </xf>
    <xf numFmtId="0" fontId="2" fillId="2" borderId="6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protection locked="0"/>
    </xf>
    <xf numFmtId="0" fontId="2" fillId="2" borderId="70" xfId="0" applyFont="1" applyFill="1" applyBorder="1" applyAlignment="1" applyProtection="1">
      <alignment horizontal="center" vertical="center"/>
      <protection locked="0"/>
    </xf>
    <xf numFmtId="0" fontId="2" fillId="2" borderId="19" xfId="0" applyFont="1" applyFill="1" applyBorder="1" applyAlignment="1" applyProtection="1">
      <alignment vertical="center"/>
      <protection locked="0"/>
    </xf>
    <xf numFmtId="0" fontId="2" fillId="2" borderId="11" xfId="0" applyFont="1" applyFill="1" applyBorder="1" applyProtection="1">
      <alignment vertical="center"/>
      <protection locked="0"/>
    </xf>
    <xf numFmtId="0" fontId="2" fillId="3" borderId="63" xfId="0" applyFont="1" applyFill="1" applyBorder="1" applyAlignment="1" applyProtection="1">
      <alignment horizontal="center" vertical="center"/>
    </xf>
    <xf numFmtId="180" fontId="42" fillId="5" borderId="63" xfId="0" applyNumberFormat="1" applyFont="1" applyFill="1" applyBorder="1" applyProtection="1">
      <alignment vertical="center"/>
    </xf>
    <xf numFmtId="180" fontId="42" fillId="5" borderId="8" xfId="0" applyNumberFormat="1" applyFont="1" applyFill="1" applyBorder="1" applyProtection="1">
      <alignment vertical="center"/>
    </xf>
    <xf numFmtId="180" fontId="42" fillId="3" borderId="72" xfId="0" applyNumberFormat="1" applyFont="1" applyFill="1" applyBorder="1" applyProtection="1">
      <alignment vertical="center"/>
    </xf>
    <xf numFmtId="0" fontId="12" fillId="0" borderId="0" xfId="2" applyNumberFormat="1" applyFont="1" applyFill="1" applyBorder="1" applyAlignment="1" applyProtection="1">
      <alignment horizontal="left" vertical="center"/>
      <protection locked="0"/>
    </xf>
    <xf numFmtId="0" fontId="2" fillId="2" borderId="7" xfId="0" applyFont="1" applyFill="1" applyBorder="1" applyProtection="1">
      <alignment vertical="center"/>
      <protection locked="0"/>
    </xf>
    <xf numFmtId="0" fontId="2" fillId="3" borderId="8" xfId="0" applyFont="1" applyFill="1" applyBorder="1" applyAlignment="1" applyProtection="1">
      <alignment horizontal="center" vertical="center"/>
    </xf>
    <xf numFmtId="0" fontId="2" fillId="3" borderId="68" xfId="0" applyFont="1" applyFill="1" applyBorder="1" applyAlignment="1" applyProtection="1">
      <alignment horizontal="center" vertical="center"/>
    </xf>
    <xf numFmtId="180" fontId="42" fillId="5" borderId="68" xfId="0" applyNumberFormat="1" applyFont="1" applyFill="1" applyBorder="1" applyProtection="1">
      <alignment vertical="center"/>
    </xf>
    <xf numFmtId="180" fontId="42" fillId="5" borderId="67" xfId="0" applyNumberFormat="1" applyFont="1" applyFill="1" applyBorder="1" applyProtection="1">
      <alignment vertical="center"/>
    </xf>
    <xf numFmtId="0" fontId="2" fillId="2" borderId="33" xfId="0" applyFont="1" applyFill="1" applyBorder="1" applyProtection="1">
      <alignment vertical="center"/>
      <protection locked="0"/>
    </xf>
    <xf numFmtId="0" fontId="2" fillId="2" borderId="34" xfId="0" applyFont="1" applyFill="1" applyBorder="1" applyAlignment="1" applyProtection="1">
      <alignment horizontal="center" vertical="center"/>
      <protection locked="0"/>
    </xf>
    <xf numFmtId="180" fontId="42" fillId="3" borderId="34" xfId="0" applyNumberFormat="1" applyFont="1" applyFill="1" applyBorder="1" applyAlignment="1" applyProtection="1">
      <alignment horizontal="center" vertical="center"/>
    </xf>
    <xf numFmtId="180" fontId="42" fillId="3" borderId="35" xfId="0" applyNumberFormat="1" applyFont="1" applyFill="1" applyBorder="1" applyAlignment="1" applyProtection="1">
      <alignment horizontal="center" vertical="center"/>
    </xf>
    <xf numFmtId="180" fontId="42" fillId="3" borderId="63" xfId="0" applyNumberFormat="1" applyFont="1" applyFill="1" applyBorder="1" applyProtection="1">
      <alignment vertical="center"/>
    </xf>
    <xf numFmtId="180" fontId="42" fillId="5" borderId="72" xfId="0" applyNumberFormat="1" applyFont="1" applyFill="1" applyBorder="1" applyProtection="1">
      <alignment vertical="center"/>
    </xf>
    <xf numFmtId="0" fontId="2" fillId="0" borderId="0" xfId="0" applyFont="1" applyBorder="1" applyAlignment="1">
      <alignment vertical="center" wrapText="1"/>
    </xf>
    <xf numFmtId="180" fontId="42" fillId="3" borderId="8" xfId="0" applyNumberFormat="1" applyFont="1" applyFill="1" applyBorder="1" applyProtection="1">
      <alignment vertical="center"/>
    </xf>
    <xf numFmtId="180" fontId="42" fillId="3" borderId="68" xfId="0" applyNumberFormat="1" applyFont="1" applyFill="1" applyBorder="1" applyProtection="1">
      <alignment vertical="center"/>
    </xf>
    <xf numFmtId="180" fontId="42" fillId="3" borderId="34" xfId="0" applyNumberFormat="1" applyFont="1" applyFill="1" applyBorder="1" applyAlignment="1" applyProtection="1">
      <alignment vertical="center"/>
    </xf>
    <xf numFmtId="0" fontId="2" fillId="11" borderId="0" xfId="0" applyFont="1" applyFill="1" applyProtection="1">
      <alignment vertical="center"/>
      <protection locked="0"/>
    </xf>
    <xf numFmtId="0" fontId="2" fillId="0" borderId="0" xfId="0" applyFont="1" applyAlignment="1" applyProtection="1">
      <alignment vertical="center" wrapText="1"/>
      <protection locked="0"/>
    </xf>
    <xf numFmtId="0" fontId="2" fillId="2" borderId="63" xfId="0" applyFont="1" applyFill="1" applyBorder="1" applyAlignment="1" applyProtection="1">
      <alignment horizontal="center" vertical="center"/>
      <protection locked="0"/>
    </xf>
    <xf numFmtId="0" fontId="2" fillId="2" borderId="72" xfId="0" applyFont="1" applyFill="1" applyBorder="1" applyAlignment="1" applyProtection="1">
      <alignment horizontal="center" vertical="center"/>
      <protection locked="0"/>
    </xf>
    <xf numFmtId="180" fontId="42" fillId="5" borderId="12" xfId="0" applyNumberFormat="1" applyFont="1" applyFill="1" applyBorder="1" applyAlignment="1" applyProtection="1">
      <alignment vertical="center"/>
    </xf>
    <xf numFmtId="180" fontId="42" fillId="3" borderId="22" xfId="0" applyNumberFormat="1" applyFont="1" applyFill="1" applyBorder="1" applyAlignment="1" applyProtection="1">
      <alignment vertical="center"/>
    </xf>
    <xf numFmtId="0" fontId="2" fillId="2" borderId="6" xfId="0" applyFont="1" applyFill="1" applyBorder="1" applyAlignment="1" applyProtection="1">
      <alignment horizontal="center" vertical="center" wrapText="1"/>
      <protection locked="0"/>
    </xf>
    <xf numFmtId="0" fontId="27" fillId="0" borderId="0" xfId="0" applyFont="1" applyProtection="1">
      <alignment vertical="center"/>
      <protection locked="0"/>
    </xf>
    <xf numFmtId="0" fontId="2" fillId="0" borderId="27" xfId="0" applyFont="1" applyBorder="1" applyAlignment="1">
      <alignment horizontal="right" vertical="center"/>
    </xf>
    <xf numFmtId="180" fontId="2" fillId="0" borderId="0" xfId="0" applyNumberFormat="1" applyFont="1">
      <alignment vertical="center"/>
    </xf>
    <xf numFmtId="185" fontId="2" fillId="0" borderId="0" xfId="0" applyNumberFormat="1" applyFont="1">
      <alignment vertical="center"/>
    </xf>
    <xf numFmtId="0" fontId="2" fillId="2" borderId="75" xfId="0" applyFont="1" applyFill="1" applyBorder="1" applyAlignment="1" applyProtection="1">
      <alignment horizontal="center" vertical="center"/>
      <protection locked="0"/>
    </xf>
    <xf numFmtId="0" fontId="2" fillId="7" borderId="19" xfId="0" applyFont="1" applyFill="1" applyBorder="1" applyAlignment="1" applyProtection="1">
      <alignment horizontal="center" vertical="center"/>
      <protection locked="0"/>
    </xf>
    <xf numFmtId="0" fontId="2" fillId="2" borderId="76" xfId="0" applyFont="1" applyFill="1" applyBorder="1" applyAlignment="1" applyProtection="1">
      <alignment horizontal="center" vertical="center"/>
      <protection locked="0"/>
    </xf>
    <xf numFmtId="0" fontId="2" fillId="2" borderId="68" xfId="0" applyFont="1" applyFill="1" applyBorder="1" applyAlignment="1" applyProtection="1">
      <alignment horizontal="center" vertical="center"/>
      <protection locked="0"/>
    </xf>
    <xf numFmtId="0" fontId="2" fillId="0" borderId="0" xfId="0" applyFont="1" applyAlignment="1" applyProtection="1">
      <alignment vertical="center"/>
      <protection locked="0"/>
    </xf>
    <xf numFmtId="0" fontId="2" fillId="0" borderId="0" xfId="0" applyFont="1" applyAlignment="1">
      <alignment vertical="center"/>
    </xf>
    <xf numFmtId="180" fontId="2" fillId="2" borderId="19" xfId="0" applyNumberFormat="1" applyFont="1" applyFill="1" applyBorder="1" applyAlignment="1" applyProtection="1">
      <alignment horizontal="center" vertical="center" wrapText="1"/>
      <protection locked="0"/>
    </xf>
    <xf numFmtId="185" fontId="2" fillId="2" borderId="63" xfId="0" applyNumberFormat="1" applyFont="1" applyFill="1" applyBorder="1" applyAlignment="1" applyProtection="1">
      <alignment horizontal="center" vertical="center" wrapText="1"/>
      <protection locked="0"/>
    </xf>
    <xf numFmtId="0" fontId="2" fillId="2" borderId="73" xfId="0" applyFont="1" applyFill="1" applyBorder="1" applyAlignment="1" applyProtection="1">
      <alignment horizontal="center" vertical="center" wrapText="1"/>
      <protection locked="0"/>
    </xf>
    <xf numFmtId="0" fontId="2" fillId="2" borderId="68" xfId="0" applyFont="1" applyFill="1" applyBorder="1" applyAlignment="1" applyProtection="1">
      <alignment horizontal="center" vertical="center" wrapText="1"/>
      <protection locked="0"/>
    </xf>
    <xf numFmtId="49" fontId="2" fillId="2" borderId="68" xfId="0" applyNumberFormat="1" applyFont="1" applyFill="1" applyBorder="1" applyAlignment="1" applyProtection="1">
      <alignment horizontal="center" vertical="center" wrapText="1"/>
      <protection locked="0"/>
    </xf>
    <xf numFmtId="185" fontId="2" fillId="2" borderId="67" xfId="0" applyNumberFormat="1" applyFont="1" applyFill="1" applyBorder="1" applyAlignment="1" applyProtection="1">
      <alignment horizontal="center" vertical="center" wrapText="1"/>
      <protection locked="0"/>
    </xf>
    <xf numFmtId="49" fontId="2" fillId="2" borderId="67" xfId="0" applyNumberFormat="1" applyFont="1" applyFill="1" applyBorder="1" applyAlignment="1" applyProtection="1">
      <alignment horizontal="center" vertical="center" wrapText="1"/>
      <protection locked="0"/>
    </xf>
    <xf numFmtId="0" fontId="2" fillId="2" borderId="67" xfId="0" applyFont="1" applyFill="1" applyBorder="1" applyAlignment="1" applyProtection="1">
      <alignment horizontal="center" vertical="center" wrapText="1"/>
      <protection locked="0"/>
    </xf>
    <xf numFmtId="49" fontId="2" fillId="2" borderId="12" xfId="0" applyNumberFormat="1" applyFont="1" applyFill="1" applyBorder="1" applyAlignment="1" applyProtection="1">
      <alignment horizontal="center" vertical="center" wrapText="1"/>
      <protection locked="0"/>
    </xf>
    <xf numFmtId="0" fontId="2" fillId="2" borderId="12" xfId="0" applyFont="1" applyFill="1" applyBorder="1" applyAlignment="1" applyProtection="1">
      <alignment horizontal="center" vertical="center" wrapText="1"/>
      <protection locked="0"/>
    </xf>
    <xf numFmtId="0" fontId="2" fillId="2" borderId="22" xfId="0" applyFont="1" applyFill="1" applyBorder="1" applyAlignment="1" applyProtection="1">
      <alignment horizontal="center" vertical="center" wrapText="1"/>
      <protection locked="0"/>
    </xf>
    <xf numFmtId="180" fontId="42" fillId="3" borderId="34" xfId="0" applyNumberFormat="1" applyFont="1" applyFill="1" applyBorder="1" applyAlignment="1" applyProtection="1">
      <alignment vertical="center" shrinkToFit="1"/>
    </xf>
    <xf numFmtId="185" fontId="2" fillId="2" borderId="34" xfId="0" applyNumberFormat="1" applyFont="1" applyFill="1" applyBorder="1" applyAlignment="1" applyProtection="1">
      <alignment horizontal="center" vertical="center" shrinkToFit="1"/>
      <protection locked="0"/>
    </xf>
    <xf numFmtId="179" fontId="42" fillId="3" borderId="34" xfId="0" applyNumberFormat="1" applyFont="1" applyFill="1" applyBorder="1" applyAlignment="1" applyProtection="1">
      <alignment vertical="center" shrinkToFit="1"/>
    </xf>
    <xf numFmtId="179" fontId="42" fillId="3" borderId="77" xfId="0" applyNumberFormat="1" applyFont="1" applyFill="1" applyBorder="1" applyAlignment="1" applyProtection="1">
      <alignment horizontal="center" vertical="center" shrinkToFit="1"/>
    </xf>
    <xf numFmtId="179" fontId="42" fillId="3" borderId="35" xfId="0" applyNumberFormat="1" applyFont="1" applyFill="1" applyBorder="1" applyAlignment="1" applyProtection="1">
      <alignment horizontal="center" vertical="center" shrinkToFit="1"/>
    </xf>
    <xf numFmtId="0" fontId="2" fillId="6" borderId="6" xfId="0" applyFont="1" applyFill="1" applyBorder="1" applyProtection="1">
      <alignment vertical="center"/>
      <protection locked="0"/>
    </xf>
    <xf numFmtId="10" fontId="2" fillId="0" borderId="19" xfId="0" applyNumberFormat="1" applyFont="1" applyBorder="1" applyProtection="1">
      <alignment vertical="center"/>
      <protection locked="0"/>
    </xf>
    <xf numFmtId="185" fontId="2" fillId="0" borderId="19" xfId="0" applyNumberFormat="1" applyFont="1" applyBorder="1" applyAlignment="1" applyProtection="1">
      <alignment vertical="center" shrinkToFit="1"/>
      <protection locked="0"/>
    </xf>
    <xf numFmtId="179" fontId="42" fillId="3" borderId="19" xfId="0" applyNumberFormat="1" applyFont="1" applyFill="1" applyBorder="1" applyAlignment="1" applyProtection="1">
      <alignment vertical="center" shrinkToFit="1"/>
    </xf>
    <xf numFmtId="185" fontId="2" fillId="0" borderId="59" xfId="0" applyNumberFormat="1" applyFont="1" applyBorder="1" applyAlignment="1" applyProtection="1">
      <alignment vertical="center" shrinkToFit="1"/>
      <protection locked="0"/>
    </xf>
    <xf numFmtId="179" fontId="42" fillId="3" borderId="59" xfId="0" applyNumberFormat="1" applyFont="1" applyFill="1" applyBorder="1" applyAlignment="1" applyProtection="1">
      <alignment vertical="center" shrinkToFit="1"/>
    </xf>
    <xf numFmtId="0" fontId="2" fillId="6" borderId="7" xfId="0" applyFont="1" applyFill="1" applyBorder="1" applyProtection="1">
      <alignment vertical="center"/>
      <protection locked="0"/>
    </xf>
    <xf numFmtId="10" fontId="2" fillId="0" borderId="8" xfId="0" applyNumberFormat="1" applyFont="1" applyBorder="1" applyProtection="1">
      <alignment vertical="center"/>
      <protection locked="0"/>
    </xf>
    <xf numFmtId="185" fontId="2" fillId="0" borderId="8" xfId="0" applyNumberFormat="1" applyFont="1" applyBorder="1" applyAlignment="1" applyProtection="1">
      <alignment vertical="center" shrinkToFit="1"/>
      <protection locked="0"/>
    </xf>
    <xf numFmtId="179" fontId="42" fillId="3" borderId="8" xfId="0" applyNumberFormat="1" applyFont="1" applyFill="1" applyBorder="1" applyAlignment="1" applyProtection="1">
      <alignment vertical="center" shrinkToFit="1"/>
    </xf>
    <xf numFmtId="179" fontId="42" fillId="3" borderId="9" xfId="0" applyNumberFormat="1" applyFont="1" applyFill="1" applyBorder="1" applyAlignment="1" applyProtection="1">
      <alignment vertical="center" shrinkToFit="1"/>
    </xf>
    <xf numFmtId="0" fontId="0" fillId="0" borderId="0" xfId="2" applyNumberFormat="1" applyFont="1" applyFill="1" applyBorder="1" applyAlignment="1" applyProtection="1">
      <alignment horizontal="left" vertical="center"/>
      <protection locked="0"/>
    </xf>
    <xf numFmtId="0" fontId="17"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2" fillId="6" borderId="10" xfId="0" applyFont="1" applyFill="1" applyBorder="1" applyProtection="1">
      <alignment vertical="center"/>
      <protection locked="0"/>
    </xf>
    <xf numFmtId="10" fontId="2" fillId="0" borderId="12" xfId="0" applyNumberFormat="1" applyFont="1" applyBorder="1" applyProtection="1">
      <alignment vertical="center"/>
      <protection locked="0"/>
    </xf>
    <xf numFmtId="185" fontId="2" fillId="0" borderId="12" xfId="0" applyNumberFormat="1" applyFont="1" applyBorder="1" applyAlignment="1" applyProtection="1">
      <alignment vertical="center" shrinkToFit="1"/>
      <protection locked="0"/>
    </xf>
    <xf numFmtId="179" fontId="42" fillId="3" borderId="12" xfId="0" applyNumberFormat="1" applyFont="1" applyFill="1" applyBorder="1" applyAlignment="1" applyProtection="1">
      <alignment vertical="center" shrinkToFit="1"/>
    </xf>
    <xf numFmtId="180" fontId="2" fillId="0" borderId="0" xfId="0" applyNumberFormat="1" applyFont="1" applyFill="1" applyBorder="1" applyAlignment="1">
      <alignment vertical="center" shrinkToFit="1"/>
    </xf>
    <xf numFmtId="0" fontId="27" fillId="0" borderId="0" xfId="0" applyFont="1" applyAlignment="1">
      <alignment horizontal="center" vertical="center"/>
    </xf>
    <xf numFmtId="0" fontId="2" fillId="5" borderId="61" xfId="0" applyNumberFormat="1" applyFont="1" applyFill="1" applyBorder="1" applyAlignment="1" applyProtection="1">
      <alignment horizontal="center" vertical="center"/>
    </xf>
    <xf numFmtId="0" fontId="2" fillId="5" borderId="17" xfId="0" applyNumberFormat="1" applyFont="1" applyFill="1" applyBorder="1" applyAlignment="1" applyProtection="1">
      <alignment horizontal="center" vertical="center"/>
    </xf>
    <xf numFmtId="49" fontId="52" fillId="5" borderId="22" xfId="0" applyNumberFormat="1" applyFont="1" applyFill="1" applyBorder="1" applyAlignment="1" applyProtection="1">
      <alignment horizontal="center" vertical="center"/>
    </xf>
    <xf numFmtId="0" fontId="2" fillId="2" borderId="35" xfId="0" applyFont="1" applyFill="1" applyBorder="1" applyAlignment="1" applyProtection="1">
      <alignment horizontal="center" vertical="center" wrapText="1"/>
      <protection locked="0"/>
    </xf>
    <xf numFmtId="0" fontId="54" fillId="0" borderId="0" xfId="0" applyFont="1" applyAlignment="1" applyProtection="1">
      <alignment vertical="center"/>
      <protection locked="0"/>
    </xf>
    <xf numFmtId="0" fontId="54" fillId="0" borderId="0" xfId="0" applyFont="1" applyAlignment="1">
      <alignment vertical="center"/>
    </xf>
    <xf numFmtId="0" fontId="2" fillId="2" borderId="79" xfId="0" applyFont="1" applyFill="1" applyBorder="1" applyAlignment="1" applyProtection="1">
      <alignment horizontal="center" vertical="center" wrapText="1"/>
      <protection locked="0"/>
    </xf>
    <xf numFmtId="0" fontId="2" fillId="3" borderId="6" xfId="0" applyFont="1" applyFill="1" applyBorder="1" applyProtection="1">
      <alignment vertical="center"/>
    </xf>
    <xf numFmtId="185" fontId="2" fillId="0" borderId="19" xfId="0" applyNumberFormat="1" applyFont="1" applyFill="1" applyBorder="1" applyAlignment="1" applyProtection="1">
      <alignment vertical="center" shrinkToFit="1"/>
      <protection locked="0"/>
    </xf>
    <xf numFmtId="180" fontId="42" fillId="3" borderId="19" xfId="0" applyNumberFormat="1" applyFont="1" applyFill="1" applyBorder="1" applyAlignment="1" applyProtection="1">
      <alignment vertical="center" shrinkToFit="1"/>
    </xf>
    <xf numFmtId="0" fontId="2" fillId="0" borderId="19" xfId="0" applyNumberFormat="1" applyFont="1" applyFill="1" applyBorder="1" applyAlignment="1" applyProtection="1">
      <alignment vertical="center" shrinkToFit="1"/>
      <protection locked="0"/>
    </xf>
    <xf numFmtId="180" fontId="42" fillId="3" borderId="11" xfId="0" applyNumberFormat="1" applyFont="1" applyFill="1" applyBorder="1" applyAlignment="1" applyProtection="1">
      <alignment vertical="center" shrinkToFit="1"/>
    </xf>
    <xf numFmtId="0" fontId="2" fillId="3" borderId="71" xfId="0" applyFont="1" applyFill="1" applyBorder="1" applyAlignment="1" applyProtection="1">
      <alignment vertical="center" wrapText="1"/>
    </xf>
    <xf numFmtId="185" fontId="2" fillId="0" borderId="63" xfId="0" applyNumberFormat="1" applyFont="1" applyFill="1" applyBorder="1" applyAlignment="1" applyProtection="1">
      <alignment vertical="center" shrinkToFit="1"/>
      <protection locked="0"/>
    </xf>
    <xf numFmtId="180" fontId="2" fillId="0" borderId="63" xfId="0" applyNumberFormat="1" applyFont="1" applyBorder="1" applyAlignment="1" applyProtection="1">
      <alignment vertical="center" shrinkToFit="1"/>
      <protection locked="0"/>
    </xf>
    <xf numFmtId="180" fontId="42" fillId="3" borderId="63" xfId="0" applyNumberFormat="1" applyFont="1" applyFill="1" applyBorder="1" applyAlignment="1" applyProtection="1">
      <alignment vertical="center" shrinkToFit="1"/>
    </xf>
    <xf numFmtId="0" fontId="2" fillId="0" borderId="63" xfId="0" applyNumberFormat="1" applyFont="1" applyFill="1" applyBorder="1" applyAlignment="1" applyProtection="1">
      <alignment vertical="center" shrinkToFit="1"/>
      <protection locked="0"/>
    </xf>
    <xf numFmtId="0" fontId="2" fillId="0" borderId="63" xfId="0" applyNumberFormat="1" applyFont="1" applyBorder="1" applyAlignment="1" applyProtection="1">
      <alignment vertical="center" shrinkToFit="1"/>
      <protection locked="0"/>
    </xf>
    <xf numFmtId="180" fontId="42" fillId="3" borderId="72" xfId="0" applyNumberFormat="1" applyFont="1" applyFill="1" applyBorder="1" applyAlignment="1" applyProtection="1">
      <alignment vertical="center" shrinkToFit="1"/>
    </xf>
    <xf numFmtId="0" fontId="2" fillId="3" borderId="7" xfId="0" applyFont="1" applyFill="1" applyBorder="1" applyAlignment="1" applyProtection="1">
      <alignment vertical="center" wrapText="1"/>
    </xf>
    <xf numFmtId="185" fontId="2" fillId="0" borderId="8" xfId="0" applyNumberFormat="1" applyFont="1" applyFill="1" applyBorder="1" applyAlignment="1" applyProtection="1">
      <alignment vertical="center" shrinkToFit="1"/>
      <protection locked="0"/>
    </xf>
    <xf numFmtId="180" fontId="2" fillId="0" borderId="8" xfId="0" applyNumberFormat="1" applyFont="1" applyBorder="1" applyAlignment="1" applyProtection="1">
      <alignment vertical="center" shrinkToFit="1"/>
      <protection locked="0"/>
    </xf>
    <xf numFmtId="180" fontId="42" fillId="3" borderId="8" xfId="0" applyNumberFormat="1" applyFont="1" applyFill="1" applyBorder="1" applyAlignment="1" applyProtection="1">
      <alignment vertical="center" shrinkToFit="1"/>
    </xf>
    <xf numFmtId="0" fontId="2" fillId="0" borderId="8" xfId="0" applyNumberFormat="1" applyFont="1" applyFill="1" applyBorder="1" applyAlignment="1" applyProtection="1">
      <alignment vertical="center" shrinkToFit="1"/>
      <protection locked="0"/>
    </xf>
    <xf numFmtId="0" fontId="2" fillId="0" borderId="8" xfId="0" applyNumberFormat="1" applyFont="1" applyBorder="1" applyAlignment="1" applyProtection="1">
      <alignment vertical="center" shrinkToFit="1"/>
      <protection locked="0"/>
    </xf>
    <xf numFmtId="180" fontId="42" fillId="3" borderId="8" xfId="0" applyNumberFormat="1" applyFont="1" applyFill="1" applyBorder="1" applyAlignment="1" applyProtection="1">
      <alignment horizontal="center" vertical="center" shrinkToFit="1"/>
    </xf>
    <xf numFmtId="180" fontId="42" fillId="3" borderId="23" xfId="0" applyNumberFormat="1" applyFont="1" applyFill="1" applyBorder="1" applyAlignment="1" applyProtection="1">
      <alignment vertical="center" shrinkToFit="1"/>
    </xf>
    <xf numFmtId="0" fontId="18" fillId="0" borderId="0" xfId="0" applyFont="1" applyBorder="1" applyProtection="1">
      <alignment vertical="center"/>
      <protection locked="0"/>
    </xf>
    <xf numFmtId="0" fontId="2" fillId="0" borderId="7" xfId="0" applyFont="1" applyBorder="1" applyAlignment="1" applyProtection="1">
      <alignment vertical="center" wrapText="1"/>
      <protection locked="0"/>
    </xf>
    <xf numFmtId="0" fontId="2" fillId="0" borderId="0" xfId="0" applyFont="1" applyAlignment="1">
      <alignment vertical="center" wrapText="1"/>
    </xf>
    <xf numFmtId="0" fontId="2" fillId="0" borderId="73" xfId="0" applyFont="1" applyBorder="1" applyAlignment="1" applyProtection="1">
      <alignment vertical="center" wrapText="1"/>
      <protection locked="0"/>
    </xf>
    <xf numFmtId="185" fontId="2" fillId="0" borderId="68" xfId="0" applyNumberFormat="1" applyFont="1" applyFill="1" applyBorder="1" applyAlignment="1" applyProtection="1">
      <alignment vertical="center" shrinkToFit="1"/>
      <protection locked="0"/>
    </xf>
    <xf numFmtId="180" fontId="42" fillId="3" borderId="68" xfId="0" applyNumberFormat="1" applyFont="1" applyFill="1" applyBorder="1" applyAlignment="1" applyProtection="1">
      <alignment vertical="center" shrinkToFit="1"/>
    </xf>
    <xf numFmtId="0" fontId="2" fillId="0" borderId="68" xfId="0" applyNumberFormat="1" applyFont="1" applyFill="1" applyBorder="1" applyAlignment="1" applyProtection="1">
      <alignment vertical="center" shrinkToFit="1"/>
      <protection locked="0"/>
    </xf>
    <xf numFmtId="0" fontId="2" fillId="0" borderId="68" xfId="0" applyNumberFormat="1" applyFont="1" applyBorder="1" applyAlignment="1" applyProtection="1">
      <alignment vertical="center" shrinkToFit="1"/>
      <protection locked="0"/>
    </xf>
    <xf numFmtId="180" fontId="42" fillId="3" borderId="61" xfId="0" applyNumberFormat="1" applyFont="1" applyFill="1" applyBorder="1" applyAlignment="1" applyProtection="1">
      <alignment vertical="center" shrinkToFit="1"/>
    </xf>
    <xf numFmtId="0" fontId="2" fillId="0" borderId="7" xfId="0" applyFont="1" applyBorder="1" applyAlignment="1" applyProtection="1">
      <alignment vertical="center"/>
      <protection locked="0"/>
    </xf>
    <xf numFmtId="185" fontId="2" fillId="4" borderId="8" xfId="0" applyNumberFormat="1" applyFont="1" applyFill="1" applyBorder="1" applyAlignment="1" applyProtection="1">
      <alignment vertical="center" shrinkToFit="1"/>
      <protection locked="0"/>
    </xf>
    <xf numFmtId="0" fontId="2" fillId="0" borderId="10" xfId="0" applyFont="1" applyBorder="1" applyAlignment="1" applyProtection="1">
      <alignment vertical="center"/>
      <protection locked="0"/>
    </xf>
    <xf numFmtId="185" fontId="2" fillId="4" borderId="12" xfId="0" applyNumberFormat="1" applyFont="1" applyFill="1" applyBorder="1" applyAlignment="1" applyProtection="1">
      <alignment vertical="center" shrinkToFit="1"/>
      <protection locked="0"/>
    </xf>
    <xf numFmtId="180" fontId="42" fillId="3" borderId="12" xfId="0" applyNumberFormat="1" applyFont="1" applyFill="1" applyBorder="1" applyAlignment="1" applyProtection="1">
      <alignment vertical="center" shrinkToFit="1"/>
    </xf>
    <xf numFmtId="0" fontId="2" fillId="0" borderId="12" xfId="0" applyNumberFormat="1" applyFont="1" applyBorder="1" applyAlignment="1" applyProtection="1">
      <alignment vertical="center" shrinkToFit="1"/>
      <protection locked="0"/>
    </xf>
    <xf numFmtId="0" fontId="18" fillId="0" borderId="0" xfId="0" applyFont="1" applyBorder="1">
      <alignment vertical="center"/>
    </xf>
    <xf numFmtId="0" fontId="2" fillId="0" borderId="0" xfId="0" applyFont="1" applyBorder="1">
      <alignment vertical="center"/>
    </xf>
    <xf numFmtId="0" fontId="2" fillId="0" borderId="0" xfId="0" applyFont="1" applyBorder="1" applyAlignment="1">
      <alignment horizontal="center" vertical="center"/>
    </xf>
    <xf numFmtId="185" fontId="2" fillId="0" borderId="0" xfId="0" applyNumberFormat="1" applyFont="1" applyBorder="1">
      <alignment vertical="center"/>
    </xf>
    <xf numFmtId="185" fontId="0" fillId="0" borderId="0" xfId="0" applyNumberFormat="1" applyFont="1" applyBorder="1">
      <alignment vertical="center"/>
    </xf>
    <xf numFmtId="0" fontId="54" fillId="0" borderId="0" xfId="0" applyFont="1" applyBorder="1" applyAlignment="1">
      <alignment horizontal="center" vertical="center"/>
    </xf>
    <xf numFmtId="0" fontId="54" fillId="0" borderId="0" xfId="0" applyFont="1" applyAlignment="1">
      <alignment horizontal="center" vertical="center"/>
    </xf>
    <xf numFmtId="0" fontId="9" fillId="0" borderId="0" xfId="0" applyFont="1" applyAlignment="1" applyProtection="1">
      <alignment vertical="center"/>
      <protection locked="0"/>
    </xf>
    <xf numFmtId="180" fontId="2" fillId="2" borderId="9" xfId="0" applyNumberFormat="1" applyFont="1" applyFill="1" applyBorder="1" applyAlignment="1" applyProtection="1">
      <alignment horizontal="center" vertical="center"/>
    </xf>
    <xf numFmtId="0" fontId="2" fillId="2" borderId="73" xfId="0" applyFont="1" applyFill="1" applyBorder="1" applyAlignment="1" applyProtection="1">
      <alignment horizontal="center" vertical="center"/>
      <protection locked="0"/>
    </xf>
    <xf numFmtId="0" fontId="2" fillId="2" borderId="12" xfId="0" applyFont="1" applyFill="1" applyBorder="1" applyAlignment="1" applyProtection="1">
      <alignment vertical="center"/>
      <protection locked="0"/>
    </xf>
    <xf numFmtId="180" fontId="42" fillId="3" borderId="34" xfId="0" applyNumberFormat="1" applyFont="1" applyFill="1" applyBorder="1" applyAlignment="1" applyProtection="1"/>
    <xf numFmtId="180" fontId="2" fillId="2" borderId="35" xfId="0" applyNumberFormat="1" applyFont="1" applyFill="1" applyBorder="1" applyAlignment="1" applyProtection="1"/>
    <xf numFmtId="180" fontId="42" fillId="3" borderId="9" xfId="0" applyNumberFormat="1" applyFont="1" applyFill="1" applyBorder="1" applyAlignment="1" applyProtection="1">
      <alignment vertical="center"/>
    </xf>
    <xf numFmtId="49" fontId="54" fillId="0" borderId="0" xfId="0" applyNumberFormat="1" applyFont="1" applyProtection="1">
      <alignment vertical="center"/>
      <protection locked="0"/>
    </xf>
    <xf numFmtId="180" fontId="42" fillId="5" borderId="68" xfId="0" applyNumberFormat="1" applyFont="1" applyFill="1" applyBorder="1" applyAlignment="1" applyProtection="1">
      <alignment vertical="center"/>
    </xf>
    <xf numFmtId="180" fontId="42" fillId="3" borderId="74" xfId="0" applyNumberFormat="1" applyFont="1" applyFill="1" applyBorder="1" applyAlignment="1" applyProtection="1">
      <alignment vertical="center"/>
    </xf>
    <xf numFmtId="0" fontId="2" fillId="0" borderId="72" xfId="0" applyFont="1" applyBorder="1" applyAlignment="1" applyProtection="1">
      <alignment vertical="center"/>
      <protection locked="0"/>
    </xf>
    <xf numFmtId="0" fontId="2" fillId="0" borderId="0" xfId="0" applyFont="1" applyAlignment="1">
      <alignment horizontal="justify" vertical="center"/>
    </xf>
    <xf numFmtId="0" fontId="0" fillId="4" borderId="0" xfId="0" applyFill="1">
      <alignment vertical="center"/>
    </xf>
    <xf numFmtId="0" fontId="0" fillId="4" borderId="0" xfId="0" applyFont="1" applyFill="1" applyProtection="1">
      <alignment vertical="center"/>
      <protection locked="0"/>
    </xf>
    <xf numFmtId="0" fontId="0" fillId="2" borderId="7" xfId="0" applyFill="1" applyBorder="1">
      <alignment vertical="center"/>
    </xf>
    <xf numFmtId="0" fontId="12" fillId="4" borderId="0" xfId="2" applyNumberFormat="1" applyFont="1" applyFill="1" applyBorder="1" applyProtection="1">
      <alignment vertical="center"/>
    </xf>
    <xf numFmtId="0" fontId="0" fillId="2" borderId="10" xfId="0" applyFont="1" applyFill="1" applyBorder="1">
      <alignment vertical="center"/>
    </xf>
    <xf numFmtId="49" fontId="2" fillId="2" borderId="19" xfId="0" applyNumberFormat="1" applyFont="1" applyFill="1" applyBorder="1" applyAlignment="1" applyProtection="1">
      <alignment horizontal="center" vertical="center"/>
      <protection locked="0"/>
    </xf>
    <xf numFmtId="0" fontId="2" fillId="5" borderId="19" xfId="0" applyNumberFormat="1" applyFont="1" applyFill="1" applyBorder="1" applyAlignment="1" applyProtection="1">
      <alignment horizontal="center" vertical="center"/>
    </xf>
    <xf numFmtId="49" fontId="2" fillId="2" borderId="11" xfId="0" applyNumberFormat="1" applyFont="1" applyFill="1" applyBorder="1" applyAlignment="1" applyProtection="1">
      <alignment horizontal="center" vertical="center"/>
      <protection locked="0"/>
    </xf>
    <xf numFmtId="49" fontId="2" fillId="2" borderId="12" xfId="0" applyNumberFormat="1"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9" xfId="0" applyNumberFormat="1" applyFont="1" applyFill="1" applyBorder="1" applyAlignment="1" applyProtection="1">
      <alignment vertical="center"/>
    </xf>
    <xf numFmtId="180" fontId="42" fillId="3" borderId="12" xfId="0" applyNumberFormat="1" applyFont="1" applyFill="1" applyBorder="1" applyAlignment="1" applyProtection="1">
      <alignment vertical="center"/>
    </xf>
    <xf numFmtId="0" fontId="2" fillId="0" borderId="0" xfId="0" applyFont="1" applyAlignment="1"/>
    <xf numFmtId="180" fontId="42" fillId="3" borderId="12" xfId="0" applyNumberFormat="1" applyFont="1" applyFill="1" applyBorder="1" applyAlignment="1" applyProtection="1">
      <alignment vertical="center"/>
    </xf>
    <xf numFmtId="0" fontId="2" fillId="0" borderId="80" xfId="0" applyFont="1" applyFill="1" applyBorder="1" applyAlignment="1" applyProtection="1">
      <alignment vertical="center"/>
      <protection locked="0"/>
    </xf>
    <xf numFmtId="0" fontId="2" fillId="0" borderId="25" xfId="0" applyFont="1" applyFill="1" applyBorder="1" applyAlignment="1" applyProtection="1">
      <alignment vertical="center"/>
      <protection locked="0"/>
    </xf>
    <xf numFmtId="180" fontId="42" fillId="3" borderId="68" xfId="0" applyNumberFormat="1" applyFont="1" applyFill="1" applyBorder="1" applyAlignment="1" applyProtection="1">
      <alignment vertical="center"/>
    </xf>
    <xf numFmtId="180" fontId="2" fillId="0" borderId="81" xfId="0" applyNumberFormat="1" applyFont="1" applyFill="1" applyBorder="1" applyAlignment="1" applyProtection="1">
      <alignment vertical="center"/>
      <protection locked="0"/>
    </xf>
    <xf numFmtId="180" fontId="2" fillId="0" borderId="35" xfId="0" applyNumberFormat="1" applyFont="1" applyFill="1" applyBorder="1" applyAlignment="1" applyProtection="1">
      <alignment vertical="center"/>
      <protection locked="0"/>
    </xf>
    <xf numFmtId="180" fontId="42" fillId="5" borderId="19" xfId="0" applyNumberFormat="1" applyFont="1" applyFill="1" applyBorder="1" applyAlignment="1" applyProtection="1">
      <alignment vertical="center"/>
    </xf>
    <xf numFmtId="0" fontId="2" fillId="2" borderId="8" xfId="0" applyFont="1" applyFill="1" applyBorder="1" applyAlignment="1" applyProtection="1">
      <alignment horizontal="center" vertical="center"/>
    </xf>
    <xf numFmtId="9" fontId="52" fillId="6" borderId="8" xfId="0" applyNumberFormat="1" applyFont="1" applyFill="1" applyBorder="1" applyAlignment="1" applyProtection="1">
      <alignment horizontal="center" vertical="center"/>
      <protection locked="0"/>
    </xf>
    <xf numFmtId="180" fontId="42" fillId="3" borderId="8" xfId="0" applyNumberFormat="1" applyFont="1" applyFill="1" applyBorder="1" applyAlignment="1" applyProtection="1">
      <alignment vertical="center"/>
    </xf>
    <xf numFmtId="0" fontId="2" fillId="0" borderId="9" xfId="0" applyFont="1" applyBorder="1" applyAlignment="1" applyProtection="1">
      <alignment horizontal="center" vertical="center"/>
      <protection locked="0"/>
    </xf>
    <xf numFmtId="0" fontId="0" fillId="0" borderId="0" xfId="0" applyFont="1" applyProtection="1">
      <alignment vertical="center"/>
      <protection locked="0"/>
    </xf>
    <xf numFmtId="180" fontId="0" fillId="0" borderId="0" xfId="0" applyNumberFormat="1" applyProtection="1">
      <alignment vertical="center"/>
      <protection locked="0"/>
    </xf>
    <xf numFmtId="0" fontId="2" fillId="0" borderId="0" xfId="0" applyFont="1">
      <alignment vertical="center"/>
    </xf>
    <xf numFmtId="0" fontId="2" fillId="0" borderId="7" xfId="0" applyFont="1" applyFill="1" applyBorder="1" applyAlignment="1" applyProtection="1">
      <alignment vertical="center"/>
      <protection locked="0"/>
    </xf>
    <xf numFmtId="0" fontId="2" fillId="4" borderId="8" xfId="0" applyFont="1" applyFill="1" applyBorder="1" applyAlignment="1" applyProtection="1">
      <alignment vertical="center"/>
      <protection locked="0"/>
    </xf>
    <xf numFmtId="180" fontId="2" fillId="4" borderId="8" xfId="0" applyNumberFormat="1" applyFont="1" applyFill="1" applyBorder="1" applyAlignment="1" applyProtection="1">
      <alignment vertical="center"/>
      <protection locked="0"/>
    </xf>
    <xf numFmtId="180" fontId="2" fillId="6" borderId="8"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horizontal="center" vertical="center"/>
    </xf>
    <xf numFmtId="0" fontId="2" fillId="0" borderId="73" xfId="0" applyFont="1" applyFill="1" applyBorder="1" applyAlignment="1" applyProtection="1">
      <alignment vertical="center"/>
      <protection locked="0"/>
    </xf>
    <xf numFmtId="0" fontId="2" fillId="4" borderId="68" xfId="0" applyFont="1" applyFill="1" applyBorder="1" applyAlignment="1" applyProtection="1">
      <alignment vertical="center"/>
      <protection locked="0"/>
    </xf>
    <xf numFmtId="180" fontId="2" fillId="4" borderId="68" xfId="0" applyNumberFormat="1" applyFont="1" applyFill="1" applyBorder="1" applyAlignment="1" applyProtection="1">
      <alignment vertical="center"/>
      <protection locked="0"/>
    </xf>
    <xf numFmtId="180" fontId="2" fillId="6" borderId="68" xfId="0" applyNumberFormat="1" applyFont="1" applyFill="1" applyBorder="1" applyAlignment="1" applyProtection="1">
      <alignment vertical="center"/>
      <protection locked="0"/>
    </xf>
    <xf numFmtId="180" fontId="42" fillId="3" borderId="74" xfId="0" applyNumberFormat="1" applyFont="1" applyFill="1" applyBorder="1" applyAlignment="1" applyProtection="1">
      <alignment horizontal="center" vertical="center"/>
    </xf>
    <xf numFmtId="180" fontId="2" fillId="2" borderId="34" xfId="0" applyNumberFormat="1" applyFont="1" applyFill="1" applyBorder="1" applyAlignment="1" applyProtection="1">
      <alignment vertical="center"/>
      <protection locked="0"/>
    </xf>
    <xf numFmtId="0" fontId="27" fillId="0" borderId="0" xfId="0" applyFont="1" applyAlignment="1" applyProtection="1">
      <alignment vertical="center"/>
      <protection locked="0"/>
    </xf>
    <xf numFmtId="0" fontId="27" fillId="0" borderId="0" xfId="0" applyFont="1" applyAlignment="1">
      <alignment vertical="center"/>
    </xf>
    <xf numFmtId="180" fontId="2" fillId="2" borderId="34" xfId="0" applyNumberFormat="1" applyFont="1" applyFill="1" applyBorder="1" applyAlignment="1" applyProtection="1">
      <alignment horizontal="center" vertical="center"/>
    </xf>
    <xf numFmtId="180" fontId="42" fillId="3" borderId="5" xfId="0" applyNumberFormat="1" applyFont="1" applyFill="1" applyBorder="1" applyAlignment="1" applyProtection="1">
      <alignment vertical="center"/>
    </xf>
    <xf numFmtId="0" fontId="27" fillId="2" borderId="0" xfId="0" applyFont="1" applyFill="1" applyAlignment="1" applyProtection="1">
      <alignment vertical="center"/>
      <protection locked="0"/>
    </xf>
    <xf numFmtId="0" fontId="2" fillId="0" borderId="0" xfId="0" applyFont="1" applyBorder="1" applyAlignment="1" applyProtection="1">
      <alignment vertical="center" wrapText="1"/>
      <protection locked="0"/>
    </xf>
    <xf numFmtId="0" fontId="51" fillId="0" borderId="0" xfId="0" applyFont="1" applyAlignment="1">
      <alignment vertical="center"/>
    </xf>
    <xf numFmtId="0" fontId="27" fillId="2" borderId="0" xfId="0" applyFont="1" applyFill="1" applyAlignment="1">
      <alignment horizontal="left" vertical="top" wrapText="1"/>
    </xf>
    <xf numFmtId="0" fontId="27" fillId="2" borderId="0" xfId="0" applyFont="1" applyFill="1" applyAlignment="1">
      <alignment vertical="center"/>
    </xf>
    <xf numFmtId="0" fontId="54" fillId="2" borderId="0" xfId="0" applyFont="1" applyFill="1" applyAlignment="1">
      <alignment vertical="center"/>
    </xf>
    <xf numFmtId="0" fontId="0" fillId="2" borderId="0" xfId="0" applyFill="1">
      <alignment vertical="center"/>
    </xf>
    <xf numFmtId="0" fontId="2" fillId="2" borderId="6" xfId="0" applyFont="1" applyFill="1" applyBorder="1" applyAlignment="1">
      <alignment horizontal="center" vertical="center"/>
    </xf>
    <xf numFmtId="0" fontId="2" fillId="2" borderId="19" xfId="0" applyFont="1" applyFill="1" applyBorder="1" applyAlignment="1">
      <alignment horizontal="center" vertical="center"/>
    </xf>
    <xf numFmtId="0" fontId="2" fillId="7" borderId="19" xfId="0" applyNumberFormat="1" applyFont="1" applyFill="1" applyBorder="1" applyAlignment="1">
      <alignment horizontal="center" vertical="center"/>
    </xf>
    <xf numFmtId="0" fontId="2" fillId="5" borderId="19" xfId="0" applyNumberFormat="1" applyFont="1" applyFill="1" applyBorder="1" applyAlignment="1">
      <alignment horizontal="center" vertical="center"/>
    </xf>
    <xf numFmtId="0" fontId="2" fillId="2" borderId="10" xfId="0" applyFont="1" applyFill="1" applyBorder="1" applyAlignment="1">
      <alignment horizontal="center" vertical="center"/>
    </xf>
    <xf numFmtId="0" fontId="2" fillId="2" borderId="12" xfId="0" applyFont="1" applyFill="1" applyBorder="1" applyAlignment="1">
      <alignment horizontal="center" vertical="center"/>
    </xf>
    <xf numFmtId="0" fontId="2" fillId="5" borderId="12" xfId="0" applyNumberFormat="1" applyFont="1" applyFill="1" applyBorder="1" applyAlignment="1">
      <alignment horizontal="center" vertical="center"/>
    </xf>
    <xf numFmtId="0" fontId="2" fillId="2" borderId="7" xfId="0" applyFont="1" applyFill="1" applyBorder="1" applyAlignment="1">
      <alignment horizontal="center" vertical="center"/>
    </xf>
    <xf numFmtId="178" fontId="2" fillId="0" borderId="34" xfId="0" applyNumberFormat="1" applyFont="1" applyFill="1" applyBorder="1" applyAlignment="1" applyProtection="1">
      <alignment vertical="center"/>
    </xf>
    <xf numFmtId="0" fontId="2" fillId="2" borderId="8" xfId="0" applyFont="1" applyFill="1" applyBorder="1" applyAlignment="1">
      <alignment horizontal="center" vertical="center"/>
    </xf>
    <xf numFmtId="0" fontId="2" fillId="7" borderId="60" xfId="0" applyFont="1" applyFill="1" applyBorder="1" applyAlignment="1">
      <alignment horizontal="right" vertical="center"/>
    </xf>
    <xf numFmtId="0" fontId="2" fillId="0" borderId="12" xfId="0" applyFont="1" applyFill="1" applyBorder="1" applyAlignment="1" applyProtection="1">
      <alignment horizontal="center" vertical="center"/>
      <protection locked="0"/>
    </xf>
    <xf numFmtId="0" fontId="0" fillId="0" borderId="12" xfId="0" applyFill="1" applyBorder="1" applyAlignment="1" applyProtection="1">
      <alignment horizontal="center" vertical="center"/>
      <protection locked="0"/>
    </xf>
    <xf numFmtId="0" fontId="0" fillId="0" borderId="22" xfId="0" applyFill="1" applyBorder="1" applyAlignment="1" applyProtection="1">
      <alignment horizontal="center" vertical="center"/>
      <protection locked="0"/>
    </xf>
    <xf numFmtId="0" fontId="2" fillId="2" borderId="8" xfId="0" applyNumberFormat="1" applyFont="1" applyFill="1" applyBorder="1" applyAlignment="1" applyProtection="1">
      <alignment horizontal="center" vertical="center"/>
      <protection locked="0"/>
    </xf>
    <xf numFmtId="0" fontId="2" fillId="3" borderId="64" xfId="0" applyFont="1" applyFill="1" applyBorder="1" applyAlignment="1" applyProtection="1">
      <alignment vertical="center"/>
    </xf>
    <xf numFmtId="0" fontId="2" fillId="3" borderId="0" xfId="0" applyFont="1" applyFill="1" applyBorder="1" applyAlignment="1" applyProtection="1">
      <alignment vertical="center"/>
    </xf>
    <xf numFmtId="0" fontId="56" fillId="0" borderId="0" xfId="0" applyFont="1">
      <alignment vertical="center"/>
    </xf>
    <xf numFmtId="0" fontId="2" fillId="2" borderId="35"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1" xfId="0" applyNumberFormat="1" applyFont="1" applyFill="1" applyBorder="1" applyAlignment="1" applyProtection="1">
      <alignment vertical="center"/>
    </xf>
    <xf numFmtId="0" fontId="2" fillId="0" borderId="7" xfId="0" applyFont="1" applyFill="1" applyBorder="1" applyAlignment="1" applyProtection="1">
      <alignment vertical="center" wrapText="1"/>
      <protection locked="0"/>
    </xf>
    <xf numFmtId="180" fontId="2" fillId="0" borderId="74" xfId="0" applyNumberFormat="1" applyFont="1" applyFill="1" applyBorder="1" applyAlignment="1" applyProtection="1">
      <alignment vertical="center"/>
      <protection locked="0"/>
    </xf>
    <xf numFmtId="0" fontId="2" fillId="7" borderId="8" xfId="0" applyFont="1" applyFill="1" applyBorder="1" applyAlignment="1" applyProtection="1">
      <alignment horizontal="center" vertical="center"/>
      <protection locked="0"/>
    </xf>
    <xf numFmtId="0" fontId="2" fillId="5" borderId="12" xfId="0" applyFont="1" applyFill="1" applyBorder="1" applyAlignment="1" applyProtection="1">
      <alignment horizontal="center" vertical="center"/>
      <protection locked="0"/>
    </xf>
    <xf numFmtId="0" fontId="2" fillId="2" borderId="77" xfId="0" applyFont="1" applyFill="1" applyBorder="1" applyAlignment="1" applyProtection="1">
      <alignment horizontal="center" vertical="center"/>
      <protection locked="0"/>
    </xf>
    <xf numFmtId="0" fontId="2" fillId="2" borderId="82" xfId="0" applyFont="1" applyFill="1" applyBorder="1" applyAlignment="1" applyProtection="1">
      <alignment horizontal="center" vertical="center" wrapText="1"/>
      <protection locked="0"/>
    </xf>
    <xf numFmtId="0" fontId="0" fillId="2" borderId="6" xfId="0" applyFill="1" applyBorder="1" applyAlignment="1">
      <alignment horizontal="center" vertical="center"/>
    </xf>
    <xf numFmtId="0" fontId="0" fillId="6" borderId="11" xfId="0" applyFont="1" applyFill="1" applyBorder="1" applyAlignment="1">
      <alignment horizontal="center" vertical="center"/>
    </xf>
    <xf numFmtId="0" fontId="0" fillId="2" borderId="7" xfId="0" applyFill="1" applyBorder="1" applyAlignment="1">
      <alignment horizontal="center" vertical="center"/>
    </xf>
    <xf numFmtId="0" fontId="0" fillId="6" borderId="9" xfId="0" applyFont="1" applyFill="1" applyBorder="1" applyAlignment="1">
      <alignment horizontal="center" vertical="center"/>
    </xf>
    <xf numFmtId="0" fontId="2" fillId="2" borderId="13" xfId="0" applyFont="1" applyFill="1" applyBorder="1" applyAlignment="1" applyProtection="1">
      <alignment horizontal="center" vertical="center" wrapText="1"/>
      <protection locked="0"/>
    </xf>
    <xf numFmtId="0" fontId="2" fillId="2" borderId="8" xfId="0" applyNumberFormat="1" applyFont="1" applyFill="1" applyBorder="1" applyAlignment="1" applyProtection="1">
      <alignment horizontal="center" vertical="center"/>
    </xf>
    <xf numFmtId="0" fontId="0" fillId="0" borderId="0" xfId="0" applyFill="1" applyProtection="1">
      <alignment vertical="center"/>
      <protection locked="0"/>
    </xf>
    <xf numFmtId="0" fontId="2" fillId="2" borderId="63" xfId="0" applyNumberFormat="1" applyFont="1" applyFill="1" applyBorder="1" applyAlignment="1" applyProtection="1">
      <alignment horizontal="center" vertical="center"/>
    </xf>
    <xf numFmtId="0" fontId="43" fillId="0" borderId="0" xfId="0" applyFont="1" applyFill="1" applyProtection="1">
      <alignment vertical="center"/>
      <protection locked="0"/>
    </xf>
    <xf numFmtId="0" fontId="2" fillId="3" borderId="8" xfId="0" applyFont="1" applyFill="1" applyBorder="1" applyAlignment="1" applyProtection="1">
      <alignment vertical="center" shrinkToFit="1"/>
    </xf>
    <xf numFmtId="180" fontId="48" fillId="3" borderId="9" xfId="0" applyNumberFormat="1" applyFont="1" applyFill="1" applyBorder="1" applyAlignment="1" applyProtection="1">
      <alignment vertical="center"/>
    </xf>
    <xf numFmtId="179" fontId="0" fillId="0" borderId="0" xfId="0" applyNumberFormat="1" applyProtection="1">
      <alignment vertical="center"/>
      <protection locked="0"/>
    </xf>
    <xf numFmtId="0" fontId="43" fillId="0" borderId="0" xfId="0" applyFont="1" applyProtection="1">
      <alignment vertical="center"/>
      <protection locked="0"/>
    </xf>
    <xf numFmtId="0" fontId="2" fillId="2" borderId="3" xfId="0" applyFont="1" applyFill="1" applyBorder="1" applyProtection="1">
      <alignment vertical="center"/>
      <protection locked="0"/>
    </xf>
    <xf numFmtId="180" fontId="42" fillId="3" borderId="3" xfId="0" applyNumberFormat="1" applyFont="1" applyFill="1" applyBorder="1" applyAlignment="1" applyProtection="1">
      <alignment vertical="center"/>
    </xf>
    <xf numFmtId="0" fontId="43" fillId="4" borderId="0" xfId="0" applyFont="1" applyFill="1">
      <alignment vertical="center"/>
    </xf>
    <xf numFmtId="0" fontId="43" fillId="4" borderId="0" xfId="0" applyFont="1" applyFill="1" applyAlignment="1">
      <alignment horizontal="center" vertical="center"/>
    </xf>
    <xf numFmtId="0" fontId="58" fillId="4" borderId="0" xfId="0" applyFont="1" applyFill="1" applyBorder="1" applyAlignment="1">
      <alignment vertical="center"/>
    </xf>
    <xf numFmtId="0" fontId="58" fillId="4" borderId="0" xfId="0" applyFont="1" applyFill="1" applyAlignment="1">
      <alignment horizontal="center" vertical="center"/>
    </xf>
    <xf numFmtId="0" fontId="17" fillId="4" borderId="0" xfId="0" applyFont="1" applyFill="1" applyBorder="1" applyAlignment="1">
      <alignment horizontal="center" vertical="center"/>
    </xf>
    <xf numFmtId="0" fontId="59" fillId="4" borderId="0" xfId="2" applyNumberFormat="1" applyFont="1" applyFill="1" applyBorder="1" applyAlignment="1" applyProtection="1">
      <alignment horizontal="center" vertical="center"/>
    </xf>
    <xf numFmtId="0" fontId="43" fillId="4" borderId="0" xfId="0" applyFont="1" applyFill="1" applyBorder="1">
      <alignment vertical="center"/>
    </xf>
    <xf numFmtId="0" fontId="59" fillId="4" borderId="0" xfId="2" applyNumberFormat="1" applyFont="1" applyFill="1" applyBorder="1" applyAlignment="1" applyProtection="1">
      <alignment horizontal="left" vertical="center"/>
    </xf>
    <xf numFmtId="0" fontId="18" fillId="4" borderId="0" xfId="0" applyFont="1" applyFill="1">
      <alignment vertical="center"/>
    </xf>
    <xf numFmtId="0" fontId="18" fillId="4" borderId="0" xfId="0" applyFont="1" applyFill="1" applyBorder="1">
      <alignment vertical="center"/>
    </xf>
    <xf numFmtId="0" fontId="62" fillId="4" borderId="0" xfId="2" applyNumberFormat="1" applyFont="1" applyFill="1" applyBorder="1" applyAlignment="1" applyProtection="1">
      <alignment horizontal="left" vertical="center"/>
    </xf>
    <xf numFmtId="0" fontId="60" fillId="0" borderId="8" xfId="0" applyFont="1" applyBorder="1" applyAlignment="1">
      <alignment horizontal="center" vertical="center"/>
    </xf>
    <xf numFmtId="0" fontId="60" fillId="4" borderId="8" xfId="2" applyNumberFormat="1" applyFont="1" applyFill="1" applyBorder="1" applyAlignment="1" applyProtection="1">
      <alignment horizontal="center" vertical="center"/>
    </xf>
    <xf numFmtId="0" fontId="2" fillId="4" borderId="0" xfId="0" applyFont="1" applyFill="1">
      <alignment vertical="center"/>
    </xf>
    <xf numFmtId="0" fontId="13" fillId="0" borderId="8" xfId="0" applyFont="1" applyBorder="1" applyAlignment="1">
      <alignment horizontal="center" vertical="center"/>
    </xf>
    <xf numFmtId="0" fontId="13" fillId="4" borderId="8" xfId="0" applyFont="1" applyFill="1" applyBorder="1" applyAlignment="1">
      <alignment horizontal="center" vertical="center"/>
    </xf>
    <xf numFmtId="0" fontId="0" fillId="0" borderId="0" xfId="0" applyBorder="1" applyProtection="1">
      <alignment vertical="center"/>
      <protection locked="0"/>
    </xf>
    <xf numFmtId="0" fontId="25" fillId="2" borderId="0" xfId="0" applyFont="1" applyFill="1" applyAlignment="1" applyProtection="1">
      <alignment horizontal="center" vertical="center"/>
      <protection locked="0"/>
    </xf>
    <xf numFmtId="49" fontId="2" fillId="5" borderId="0" xfId="0" applyNumberFormat="1" applyFont="1" applyFill="1" applyAlignment="1" applyProtection="1">
      <alignment horizontal="center"/>
    </xf>
    <xf numFmtId="0" fontId="2" fillId="0" borderId="0" xfId="0" applyFont="1" applyBorder="1" applyProtection="1">
      <alignment vertical="center"/>
      <protection locked="0"/>
    </xf>
    <xf numFmtId="0" fontId="2" fillId="5" borderId="9" xfId="0" applyNumberFormat="1" applyFont="1" applyFill="1" applyBorder="1" applyAlignment="1" applyProtection="1">
      <alignment horizontal="center" vertical="center"/>
    </xf>
    <xf numFmtId="0" fontId="0" fillId="0" borderId="0" xfId="0" applyFont="1" applyBorder="1" applyProtection="1">
      <alignment vertical="center"/>
      <protection locked="0"/>
    </xf>
    <xf numFmtId="186" fontId="2" fillId="3" borderId="34" xfId="0" applyNumberFormat="1" applyFont="1" applyFill="1" applyBorder="1" applyAlignment="1" applyProtection="1">
      <alignment horizontal="center" vertical="center"/>
    </xf>
    <xf numFmtId="186" fontId="2" fillId="2" borderId="34" xfId="0" applyNumberFormat="1" applyFont="1" applyFill="1" applyBorder="1" applyAlignment="1" applyProtection="1">
      <alignment horizontal="center" vertical="center"/>
      <protection locked="0"/>
    </xf>
    <xf numFmtId="0" fontId="2" fillId="0" borderId="1" xfId="2" applyNumberFormat="1" applyFont="1" applyFill="1" applyBorder="1" applyAlignment="1" applyProtection="1">
      <alignment vertical="center" wrapText="1"/>
      <protection locked="0"/>
    </xf>
    <xf numFmtId="58" fontId="52" fillId="2" borderId="8" xfId="0" applyNumberFormat="1" applyFont="1" applyFill="1" applyBorder="1" applyAlignment="1" applyProtection="1">
      <alignment horizontal="center" vertical="center"/>
      <protection locked="0"/>
    </xf>
    <xf numFmtId="0" fontId="52" fillId="2" borderId="8" xfId="0" applyFont="1" applyFill="1" applyBorder="1" applyAlignment="1" applyProtection="1">
      <alignment horizontal="center" vertical="center"/>
      <protection locked="0"/>
    </xf>
    <xf numFmtId="180" fontId="42" fillId="3" borderId="12" xfId="0" applyNumberFormat="1" applyFont="1" applyFill="1" applyBorder="1" applyAlignment="1" applyProtection="1">
      <alignment vertical="center"/>
    </xf>
    <xf numFmtId="0" fontId="52" fillId="2" borderId="19" xfId="0" applyFont="1" applyFill="1" applyBorder="1" applyAlignment="1" applyProtection="1">
      <alignment horizontal="center" vertical="center"/>
      <protection locked="0"/>
    </xf>
    <xf numFmtId="0" fontId="2" fillId="2" borderId="19" xfId="0" applyFont="1" applyFill="1" applyBorder="1" applyAlignment="1" applyProtection="1">
      <alignment horizontal="left" vertical="center"/>
      <protection locked="0"/>
    </xf>
    <xf numFmtId="0" fontId="2" fillId="3" borderId="12" xfId="0" applyFont="1" applyFill="1" applyBorder="1" applyAlignment="1" applyProtection="1">
      <alignment horizontal="center" vertical="center"/>
    </xf>
    <xf numFmtId="180" fontId="42" fillId="3" borderId="19" xfId="0" applyNumberFormat="1" applyFont="1" applyFill="1" applyBorder="1" applyProtection="1">
      <alignment vertical="center"/>
    </xf>
    <xf numFmtId="0" fontId="2" fillId="2" borderId="8" xfId="0" applyFont="1" applyFill="1" applyBorder="1" applyProtection="1">
      <alignment vertical="center"/>
      <protection locked="0"/>
    </xf>
    <xf numFmtId="180" fontId="42" fillId="7" borderId="8" xfId="0" applyNumberFormat="1" applyFont="1" applyFill="1" applyBorder="1" applyProtection="1">
      <alignment vertical="center"/>
      <protection locked="0"/>
    </xf>
    <xf numFmtId="0" fontId="2" fillId="2" borderId="68" xfId="0" applyFont="1" applyFill="1" applyBorder="1" applyProtection="1">
      <alignment vertical="center"/>
      <protection locked="0"/>
    </xf>
    <xf numFmtId="0" fontId="2" fillId="2" borderId="12" xfId="0" applyFont="1" applyFill="1" applyBorder="1" applyProtection="1">
      <alignment vertical="center"/>
      <protection locked="0"/>
    </xf>
    <xf numFmtId="0" fontId="2" fillId="2" borderId="59" xfId="0" applyFont="1" applyFill="1" applyBorder="1" applyProtection="1">
      <alignment vertical="center"/>
      <protection locked="0"/>
    </xf>
    <xf numFmtId="180" fontId="42" fillId="3" borderId="59" xfId="0" applyNumberFormat="1" applyFont="1" applyFill="1" applyBorder="1" applyProtection="1">
      <alignment vertical="center"/>
    </xf>
    <xf numFmtId="0" fontId="2" fillId="2" borderId="63" xfId="0" applyFont="1" applyFill="1" applyBorder="1" applyProtection="1">
      <alignment vertical="center"/>
      <protection locked="0"/>
    </xf>
    <xf numFmtId="0" fontId="2" fillId="0" borderId="0" xfId="2" applyNumberFormat="1" applyFont="1" applyFill="1" applyBorder="1" applyAlignment="1" applyProtection="1">
      <alignment vertical="center"/>
      <protection locked="0"/>
    </xf>
    <xf numFmtId="0" fontId="0" fillId="0" borderId="0" xfId="2" applyNumberFormat="1" applyFont="1" applyFill="1" applyBorder="1" applyAlignment="1" applyProtection="1">
      <alignment vertical="center"/>
      <protection locked="0"/>
    </xf>
    <xf numFmtId="0" fontId="2" fillId="2" borderId="33" xfId="0" applyFont="1" applyFill="1" applyBorder="1" applyAlignment="1" applyProtection="1">
      <alignment vertical="center" wrapText="1"/>
      <protection locked="0"/>
    </xf>
    <xf numFmtId="49" fontId="2" fillId="0" borderId="0" xfId="0" applyNumberFormat="1" applyFont="1" applyFill="1" applyAlignment="1" applyProtection="1">
      <alignment horizontal="center"/>
      <protection locked="0"/>
    </xf>
    <xf numFmtId="0" fontId="0" fillId="4" borderId="0" xfId="0" applyFont="1" applyFill="1" applyBorder="1" applyProtection="1">
      <alignment vertical="center"/>
      <protection locked="0"/>
    </xf>
    <xf numFmtId="186" fontId="2" fillId="3" borderId="59" xfId="0" applyNumberFormat="1" applyFont="1" applyFill="1" applyBorder="1" applyAlignment="1" applyProtection="1">
      <alignment horizontal="center" vertical="center"/>
    </xf>
    <xf numFmtId="186" fontId="2" fillId="2" borderId="59" xfId="0" applyNumberFormat="1" applyFont="1" applyFill="1" applyBorder="1" applyAlignment="1" applyProtection="1">
      <alignment horizontal="center" vertical="center"/>
      <protection locked="0"/>
    </xf>
    <xf numFmtId="180" fontId="2" fillId="0" borderId="11" xfId="0" applyNumberFormat="1" applyFont="1" applyFill="1" applyBorder="1" applyAlignment="1" applyProtection="1">
      <alignment vertical="center"/>
      <protection locked="0"/>
    </xf>
    <xf numFmtId="180" fontId="2" fillId="0" borderId="72" xfId="0" applyNumberFormat="1" applyFont="1" applyFill="1" applyBorder="1" applyAlignment="1" applyProtection="1">
      <alignment vertical="center"/>
      <protection locked="0"/>
    </xf>
    <xf numFmtId="180" fontId="2" fillId="0" borderId="22" xfId="0" applyNumberFormat="1" applyFont="1" applyFill="1" applyBorder="1" applyAlignment="1" applyProtection="1">
      <alignment vertical="center"/>
      <protection locked="0"/>
    </xf>
    <xf numFmtId="0" fontId="0" fillId="2" borderId="0" xfId="0" applyFont="1" applyFill="1" applyAlignment="1" applyProtection="1">
      <alignment horizontal="right" vertical="center"/>
      <protection locked="0"/>
    </xf>
    <xf numFmtId="49" fontId="0" fillId="5" borderId="0" xfId="0" applyNumberFormat="1" applyFill="1" applyAlignment="1" applyProtection="1">
      <alignment horizontal="center" vertical="center"/>
    </xf>
    <xf numFmtId="0" fontId="2" fillId="5" borderId="22" xfId="0" applyNumberFormat="1" applyFont="1" applyFill="1" applyBorder="1" applyAlignment="1" applyProtection="1">
      <alignment horizontal="center" vertical="center"/>
    </xf>
    <xf numFmtId="0" fontId="2" fillId="2" borderId="7" xfId="0" applyFont="1" applyFill="1" applyBorder="1" applyAlignment="1" applyProtection="1">
      <alignment vertical="center" wrapText="1"/>
      <protection locked="0"/>
    </xf>
    <xf numFmtId="0" fontId="30" fillId="4" borderId="0" xfId="0" applyFont="1" applyFill="1" applyProtection="1">
      <alignment vertical="center"/>
      <protection locked="0"/>
    </xf>
    <xf numFmtId="0" fontId="2" fillId="0" borderId="10" xfId="0" applyFont="1" applyFill="1" applyBorder="1" applyAlignment="1" applyProtection="1">
      <alignment horizontal="center" vertical="center"/>
      <protection locked="0"/>
    </xf>
    <xf numFmtId="0" fontId="2" fillId="4" borderId="0" xfId="0" applyFont="1" applyFill="1" applyProtection="1">
      <alignment vertical="center"/>
      <protection locked="0"/>
    </xf>
    <xf numFmtId="0" fontId="2" fillId="3" borderId="7" xfId="0" applyFont="1" applyFill="1" applyBorder="1" applyProtection="1">
      <alignment vertical="center"/>
    </xf>
    <xf numFmtId="0" fontId="2" fillId="3" borderId="7" xfId="0" applyFont="1" applyFill="1" applyBorder="1" applyProtection="1">
      <alignment vertical="center"/>
      <protection locked="0"/>
    </xf>
    <xf numFmtId="0" fontId="0" fillId="4" borderId="0" xfId="0" applyFill="1" applyBorder="1" applyProtection="1">
      <alignment vertical="center"/>
      <protection locked="0"/>
    </xf>
    <xf numFmtId="0" fontId="2" fillId="4" borderId="0" xfId="0" applyFont="1" applyFill="1" applyBorder="1" applyProtection="1">
      <alignment vertical="center"/>
      <protection locked="0"/>
    </xf>
    <xf numFmtId="0" fontId="63" fillId="2" borderId="7" xfId="0" applyFont="1" applyFill="1" applyBorder="1" applyProtection="1">
      <alignment vertical="center"/>
      <protection locked="0"/>
    </xf>
    <xf numFmtId="0" fontId="2" fillId="0" borderId="10" xfId="0" applyFont="1" applyFill="1" applyBorder="1" applyAlignment="1" applyProtection="1">
      <alignment vertical="center" wrapText="1"/>
      <protection locked="0"/>
    </xf>
    <xf numFmtId="0" fontId="2" fillId="2" borderId="19" xfId="0" applyFont="1" applyFill="1" applyBorder="1" applyAlignment="1" applyProtection="1">
      <alignment vertical="center"/>
    </xf>
    <xf numFmtId="0" fontId="2" fillId="2" borderId="11"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xf>
    <xf numFmtId="31" fontId="2" fillId="2" borderId="12"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protection locked="0"/>
    </xf>
    <xf numFmtId="0" fontId="2" fillId="2" borderId="35" xfId="0" applyFont="1" applyFill="1" applyBorder="1" applyAlignment="1" applyProtection="1">
      <alignment horizontal="center" vertical="center"/>
      <protection locked="0"/>
    </xf>
    <xf numFmtId="0" fontId="2" fillId="0" borderId="11" xfId="0" applyFont="1" applyFill="1" applyBorder="1" applyAlignment="1" applyProtection="1">
      <alignment vertical="center"/>
      <protection locked="0"/>
    </xf>
    <xf numFmtId="0" fontId="2" fillId="0" borderId="9" xfId="0" applyFont="1" applyFill="1" applyBorder="1" applyAlignment="1" applyProtection="1">
      <alignment vertical="center"/>
      <protection locked="0"/>
    </xf>
    <xf numFmtId="0" fontId="2" fillId="0" borderId="9" xfId="0" applyFont="1" applyFill="1" applyBorder="1" applyAlignment="1" applyProtection="1">
      <alignment vertical="center" wrapText="1"/>
      <protection locked="0"/>
    </xf>
    <xf numFmtId="180" fontId="42" fillId="3" borderId="19" xfId="0" applyNumberFormat="1" applyFont="1" applyFill="1" applyBorder="1" applyProtection="1">
      <alignment vertical="center"/>
      <protection locked="0"/>
    </xf>
    <xf numFmtId="0" fontId="2" fillId="0" borderId="11" xfId="0" applyFont="1" applyFill="1" applyBorder="1" applyAlignment="1" applyProtection="1">
      <alignment vertical="center" wrapText="1"/>
      <protection locked="0"/>
    </xf>
    <xf numFmtId="0" fontId="2" fillId="0" borderId="22" xfId="0" applyFont="1" applyFill="1" applyBorder="1" applyAlignment="1" applyProtection="1">
      <alignment vertical="center" wrapText="1"/>
      <protection locked="0"/>
    </xf>
    <xf numFmtId="0" fontId="2" fillId="0" borderId="72" xfId="0" applyFont="1" applyFill="1" applyBorder="1" applyAlignment="1" applyProtection="1">
      <alignment vertical="center" wrapText="1"/>
      <protection locked="0"/>
    </xf>
    <xf numFmtId="0" fontId="2" fillId="0" borderId="22" xfId="0" applyFont="1" applyFill="1" applyBorder="1" applyAlignment="1" applyProtection="1">
      <alignment vertical="center"/>
      <protection locked="0"/>
    </xf>
    <xf numFmtId="180" fontId="42" fillId="3" borderId="34" xfId="0" applyNumberFormat="1" applyFont="1" applyFill="1" applyBorder="1" applyAlignment="1" applyProtection="1">
      <alignment vertical="center"/>
    </xf>
    <xf numFmtId="0" fontId="2" fillId="0" borderId="35" xfId="0" applyFont="1" applyFill="1" applyBorder="1" applyAlignment="1" applyProtection="1">
      <alignment horizontal="center" vertical="center"/>
      <protection locked="0"/>
    </xf>
    <xf numFmtId="0" fontId="2" fillId="0" borderId="0" xfId="0" applyFont="1" applyProtection="1">
      <alignment vertical="center"/>
      <protection locked="0"/>
    </xf>
    <xf numFmtId="0" fontId="2" fillId="0" borderId="0" xfId="0" applyFont="1">
      <alignment vertical="center"/>
    </xf>
    <xf numFmtId="0" fontId="0" fillId="0" borderId="0" xfId="0">
      <alignment vertical="center"/>
    </xf>
    <xf numFmtId="0" fontId="0" fillId="0" borderId="0" xfId="0" applyProtection="1">
      <alignment vertical="center"/>
      <protection locked="0"/>
    </xf>
    <xf numFmtId="0" fontId="16" fillId="2" borderId="0" xfId="0" applyFont="1" applyFill="1" applyProtection="1">
      <alignment vertical="center"/>
      <protection locked="0"/>
    </xf>
    <xf numFmtId="0" fontId="0" fillId="2" borderId="0" xfId="0" applyFill="1" applyProtection="1">
      <alignment vertical="center"/>
      <protection locked="0"/>
    </xf>
    <xf numFmtId="0" fontId="2" fillId="2" borderId="19" xfId="0" applyFont="1" applyFill="1" applyBorder="1" applyAlignment="1" applyProtection="1">
      <alignment horizontal="center" vertical="center" wrapText="1"/>
      <protection locked="0"/>
    </xf>
    <xf numFmtId="0" fontId="2" fillId="7" borderId="19" xfId="0" applyNumberFormat="1" applyFont="1" applyFill="1" applyBorder="1" applyAlignment="1" applyProtection="1">
      <alignment horizontal="center" vertical="center"/>
      <protection locked="0"/>
    </xf>
    <xf numFmtId="0" fontId="2" fillId="2" borderId="11" xfId="0" applyFont="1" applyFill="1" applyBorder="1" applyAlignment="1" applyProtection="1">
      <alignment horizontal="center" vertical="center"/>
      <protection locked="0"/>
    </xf>
    <xf numFmtId="0" fontId="2" fillId="2" borderId="12" xfId="0" applyFont="1" applyFill="1" applyBorder="1" applyAlignment="1" applyProtection="1">
      <alignment horizontal="center" vertical="center" wrapText="1"/>
      <protection locked="0"/>
    </xf>
    <xf numFmtId="0" fontId="2" fillId="5" borderId="12" xfId="0" applyNumberFormat="1" applyFont="1" applyFill="1" applyBorder="1" applyAlignment="1" applyProtection="1">
      <alignment horizontal="center" vertical="center"/>
    </xf>
    <xf numFmtId="0" fontId="2" fillId="0" borderId="22" xfId="0" applyFont="1" applyFill="1" applyBorder="1" applyAlignment="1" applyProtection="1">
      <alignment horizontal="center"/>
      <protection locked="0"/>
    </xf>
    <xf numFmtId="0" fontId="2" fillId="2" borderId="6"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1" xfId="0" applyNumberFormat="1" applyFont="1" applyFill="1" applyBorder="1" applyAlignment="1" applyProtection="1">
      <alignment vertical="center"/>
    </xf>
    <xf numFmtId="0" fontId="2" fillId="2" borderId="7" xfId="0" applyFont="1" applyFill="1" applyBorder="1" applyAlignment="1" applyProtection="1">
      <alignment horizontal="center" vertical="center"/>
      <protection locked="0"/>
    </xf>
    <xf numFmtId="180" fontId="42" fillId="3" borderId="8" xfId="0" applyNumberFormat="1" applyFont="1" applyFill="1" applyBorder="1" applyAlignment="1" applyProtection="1">
      <alignment vertical="center"/>
    </xf>
    <xf numFmtId="180" fontId="42" fillId="7" borderId="8"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vertical="center"/>
    </xf>
    <xf numFmtId="0" fontId="2" fillId="2" borderId="10" xfId="0" applyFont="1" applyFill="1" applyBorder="1" applyAlignment="1" applyProtection="1">
      <alignment horizontal="center" vertical="center"/>
      <protection locked="0"/>
    </xf>
    <xf numFmtId="180" fontId="42" fillId="3" borderId="12" xfId="0" applyNumberFormat="1" applyFont="1" applyFill="1" applyBorder="1" applyAlignment="1" applyProtection="1">
      <alignment vertical="center"/>
    </xf>
    <xf numFmtId="180" fontId="42" fillId="3" borderId="22" xfId="0" applyNumberFormat="1" applyFont="1" applyFill="1" applyBorder="1" applyAlignment="1" applyProtection="1">
      <alignment vertical="center"/>
    </xf>
    <xf numFmtId="0" fontId="25" fillId="2" borderId="33" xfId="0" applyFont="1" applyFill="1" applyBorder="1" applyAlignment="1" applyProtection="1">
      <alignment horizontal="center" vertical="center"/>
      <protection locked="0"/>
    </xf>
    <xf numFmtId="180" fontId="42" fillId="3" borderId="34" xfId="0" applyNumberFormat="1" applyFont="1" applyFill="1" applyBorder="1" applyAlignment="1" applyProtection="1">
      <alignment vertical="center"/>
    </xf>
    <xf numFmtId="180" fontId="42" fillId="3" borderId="35" xfId="0" applyNumberFormat="1" applyFont="1" applyFill="1" applyBorder="1" applyAlignment="1" applyProtection="1">
      <alignment vertical="center"/>
    </xf>
    <xf numFmtId="0" fontId="0" fillId="0" borderId="0" xfId="0" applyFont="1" applyProtection="1">
      <alignment vertical="center"/>
      <protection locked="0"/>
    </xf>
    <xf numFmtId="0" fontId="2" fillId="3" borderId="63" xfId="0" applyFont="1" applyFill="1" applyBorder="1" applyAlignment="1" applyProtection="1">
      <alignment horizontal="center" vertical="center"/>
      <protection locked="0"/>
    </xf>
    <xf numFmtId="180" fontId="42" fillId="5" borderId="63" xfId="0" applyNumberFormat="1" applyFont="1" applyFill="1" applyBorder="1" applyAlignment="1" applyProtection="1">
      <alignment vertical="center"/>
    </xf>
    <xf numFmtId="9" fontId="2" fillId="6" borderId="63" xfId="0" applyNumberFormat="1" applyFont="1" applyFill="1" applyBorder="1" applyAlignment="1" applyProtection="1">
      <alignment horizontal="center" vertical="center"/>
      <protection locked="0"/>
    </xf>
    <xf numFmtId="180" fontId="42" fillId="3" borderId="63" xfId="0" applyNumberFormat="1" applyFont="1" applyFill="1" applyBorder="1" applyAlignment="1" applyProtection="1">
      <alignment vertical="center"/>
    </xf>
    <xf numFmtId="0" fontId="2" fillId="3" borderId="8" xfId="0" applyFont="1" applyFill="1" applyBorder="1" applyAlignment="1" applyProtection="1">
      <alignment horizontal="center" vertical="center"/>
      <protection locked="0"/>
    </xf>
    <xf numFmtId="9" fontId="2" fillId="6" borderId="8" xfId="0" applyNumberFormat="1" applyFont="1" applyFill="1" applyBorder="1" applyAlignment="1" applyProtection="1">
      <alignment horizontal="center" vertical="center"/>
      <protection locked="0"/>
    </xf>
    <xf numFmtId="0" fontId="63" fillId="0" borderId="72" xfId="0" applyFont="1" applyBorder="1" applyAlignment="1" applyProtection="1">
      <alignment vertical="center" wrapText="1"/>
      <protection locked="0"/>
    </xf>
    <xf numFmtId="0" fontId="43" fillId="0" borderId="0" xfId="2" applyNumberFormat="1" applyFont="1" applyFill="1" applyBorder="1" applyAlignment="1" applyProtection="1">
      <alignment vertical="center"/>
      <protection locked="0"/>
    </xf>
    <xf numFmtId="0" fontId="2" fillId="0" borderId="0" xfId="2" applyNumberFormat="1" applyFont="1" applyFill="1" applyBorder="1" applyAlignment="1" applyProtection="1">
      <alignment vertical="center" wrapText="1"/>
      <protection locked="0"/>
    </xf>
    <xf numFmtId="0" fontId="2" fillId="0" borderId="68" xfId="0" applyFont="1" applyFill="1" applyBorder="1" applyAlignment="1" applyProtection="1">
      <alignment horizontal="center" vertical="center"/>
      <protection locked="0"/>
    </xf>
    <xf numFmtId="9" fontId="2" fillId="0" borderId="68" xfId="0" applyNumberFormat="1" applyFont="1" applyFill="1" applyBorder="1" applyAlignment="1" applyProtection="1">
      <alignment horizontal="center" vertical="center"/>
      <protection locked="0"/>
    </xf>
    <xf numFmtId="0" fontId="2" fillId="0" borderId="74" xfId="0" applyFont="1" applyBorder="1" applyAlignment="1" applyProtection="1">
      <alignment vertical="center"/>
      <protection locked="0"/>
    </xf>
    <xf numFmtId="0" fontId="2" fillId="2" borderId="22" xfId="0" applyFont="1" applyFill="1" applyBorder="1" applyAlignment="1" applyProtection="1">
      <alignment vertical="center"/>
      <protection locked="0"/>
    </xf>
    <xf numFmtId="0" fontId="2" fillId="2" borderId="6" xfId="0" applyFont="1" applyFill="1" applyBorder="1" applyAlignment="1" applyProtection="1">
      <alignment horizontal="center" vertical="center" wrapText="1"/>
      <protection hidden="1"/>
    </xf>
    <xf numFmtId="0" fontId="2" fillId="2" borderId="19" xfId="0" applyFont="1" applyFill="1" applyBorder="1" applyAlignment="1" applyProtection="1">
      <alignment horizontal="center" vertical="center" wrapText="1"/>
      <protection hidden="1"/>
    </xf>
    <xf numFmtId="189" fontId="2" fillId="2" borderId="19" xfId="4" applyNumberFormat="1" applyFont="1" applyFill="1" applyBorder="1" applyAlignment="1" applyProtection="1">
      <alignment horizontal="center" vertical="center" wrapText="1"/>
      <protection hidden="1"/>
    </xf>
    <xf numFmtId="0" fontId="2" fillId="2" borderId="8" xfId="0" applyFont="1" applyFill="1" applyBorder="1" applyAlignment="1" applyProtection="1">
      <alignment horizontal="center" vertical="center" wrapText="1"/>
      <protection hidden="1"/>
    </xf>
    <xf numFmtId="0" fontId="2" fillId="2" borderId="10" xfId="0" applyFont="1" applyFill="1" applyBorder="1" applyAlignment="1" applyProtection="1">
      <alignment vertical="center" wrapText="1"/>
      <protection hidden="1"/>
    </xf>
    <xf numFmtId="0" fontId="2" fillId="2" borderId="12" xfId="0" applyFont="1" applyFill="1" applyBorder="1" applyAlignment="1" applyProtection="1">
      <alignment horizontal="center" vertical="center" wrapText="1"/>
      <protection hidden="1"/>
    </xf>
    <xf numFmtId="0" fontId="2" fillId="2" borderId="11" xfId="0" applyFont="1" applyFill="1" applyBorder="1" applyAlignment="1" applyProtection="1">
      <alignment vertical="center"/>
      <protection hidden="1"/>
    </xf>
    <xf numFmtId="189" fontId="2" fillId="2" borderId="8" xfId="0" applyNumberFormat="1" applyFont="1" applyFill="1" applyBorder="1" applyAlignment="1" applyProtection="1">
      <alignment horizontal="center" vertical="center"/>
      <protection hidden="1"/>
    </xf>
    <xf numFmtId="0" fontId="2" fillId="2" borderId="8" xfId="0" applyFont="1" applyFill="1" applyBorder="1" applyAlignment="1" applyProtection="1">
      <alignment horizontal="center" vertical="center"/>
      <protection hidden="1"/>
    </xf>
    <xf numFmtId="0" fontId="2" fillId="2" borderId="9" xfId="0" applyFont="1" applyFill="1" applyBorder="1" applyAlignment="1" applyProtection="1">
      <alignment horizontal="center" vertical="center"/>
      <protection hidden="1"/>
    </xf>
    <xf numFmtId="49" fontId="2" fillId="2" borderId="19" xfId="0" applyNumberFormat="1" applyFont="1" applyFill="1" applyBorder="1" applyAlignment="1" applyProtection="1">
      <alignment vertical="center"/>
      <protection hidden="1"/>
    </xf>
    <xf numFmtId="0" fontId="2" fillId="0" borderId="19" xfId="0" applyFont="1" applyBorder="1" applyAlignment="1" applyProtection="1">
      <alignment horizontal="center" vertical="center"/>
      <protection hidden="1"/>
    </xf>
    <xf numFmtId="190" fontId="2" fillId="4" borderId="11" xfId="5" applyNumberFormat="1" applyFont="1" applyFill="1" applyBorder="1" applyAlignment="1" applyProtection="1">
      <alignment horizontal="center" vertical="center"/>
      <protection locked="0"/>
    </xf>
    <xf numFmtId="0" fontId="2" fillId="2" borderId="8" xfId="0" applyFont="1" applyFill="1" applyBorder="1" applyAlignment="1" applyProtection="1">
      <alignment vertical="center"/>
      <protection hidden="1"/>
    </xf>
    <xf numFmtId="0" fontId="2" fillId="2" borderId="8" xfId="0" applyFont="1" applyFill="1" applyBorder="1" applyAlignment="1" applyProtection="1">
      <alignment vertical="center" wrapText="1"/>
      <protection hidden="1"/>
    </xf>
    <xf numFmtId="0" fontId="2" fillId="0" borderId="8" xfId="0" applyFont="1" applyBorder="1" applyAlignment="1" applyProtection="1">
      <alignment horizontal="center" vertical="center"/>
      <protection hidden="1"/>
    </xf>
    <xf numFmtId="10" fontId="2" fillId="2" borderId="8" xfId="0" applyNumberFormat="1" applyFont="1" applyFill="1" applyBorder="1" applyAlignment="1" applyProtection="1">
      <alignment horizontal="center" vertical="center"/>
      <protection hidden="1"/>
    </xf>
    <xf numFmtId="0" fontId="2" fillId="0" borderId="8" xfId="0" applyFont="1" applyFill="1" applyBorder="1" applyAlignment="1" applyProtection="1">
      <alignment horizontal="center" vertical="center"/>
      <protection hidden="1"/>
    </xf>
    <xf numFmtId="0" fontId="2" fillId="0" borderId="8" xfId="0" applyFont="1" applyFill="1" applyBorder="1" applyAlignment="1" applyProtection="1">
      <alignment vertical="center"/>
      <protection hidden="1"/>
    </xf>
    <xf numFmtId="190" fontId="2" fillId="0" borderId="8" xfId="5" applyNumberFormat="1" applyFont="1" applyFill="1" applyBorder="1" applyAlignment="1" applyProtection="1">
      <alignment vertical="center"/>
      <protection hidden="1"/>
    </xf>
    <xf numFmtId="9" fontId="2" fillId="0" borderId="8" xfId="1" applyFont="1" applyFill="1" applyBorder="1" applyAlignment="1" applyProtection="1">
      <alignment horizontal="center" vertical="center"/>
      <protection hidden="1"/>
    </xf>
    <xf numFmtId="0" fontId="2" fillId="0" borderId="12" xfId="0" applyFont="1" applyFill="1" applyBorder="1" applyAlignment="1" applyProtection="1">
      <alignment vertical="center"/>
      <protection locked="0"/>
    </xf>
    <xf numFmtId="190" fontId="2" fillId="0" borderId="12" xfId="5" applyNumberFormat="1" applyFont="1" applyFill="1" applyBorder="1" applyAlignment="1" applyProtection="1">
      <alignment vertical="center"/>
      <protection locked="0"/>
    </xf>
    <xf numFmtId="0" fontId="2" fillId="0" borderId="34" xfId="0" applyFont="1" applyBorder="1" applyAlignment="1" applyProtection="1">
      <alignment vertical="center"/>
      <protection hidden="1"/>
    </xf>
    <xf numFmtId="0" fontId="15" fillId="0" borderId="0" xfId="0" applyFont="1" applyBorder="1" applyAlignment="1" applyProtection="1">
      <alignment vertical="center"/>
      <protection locked="0"/>
    </xf>
    <xf numFmtId="0" fontId="0" fillId="0" borderId="0" xfId="0" applyBorder="1" applyAlignment="1" applyProtection="1">
      <alignment vertical="center"/>
      <protection locked="0"/>
    </xf>
    <xf numFmtId="0" fontId="57" fillId="0" borderId="0" xfId="0" applyFont="1" applyBorder="1" applyAlignment="1" applyProtection="1">
      <alignment vertical="top" wrapText="1"/>
      <protection locked="0"/>
    </xf>
    <xf numFmtId="9" fontId="57" fillId="0" borderId="0" xfId="0" applyNumberFormat="1" applyFont="1" applyBorder="1" applyAlignment="1" applyProtection="1">
      <alignment vertical="top" wrapText="1"/>
      <protection locked="0"/>
    </xf>
    <xf numFmtId="0" fontId="23" fillId="0" borderId="0" xfId="0" applyFont="1" applyBorder="1" applyAlignment="1" applyProtection="1">
      <alignment vertical="center"/>
      <protection locked="0"/>
    </xf>
    <xf numFmtId="0" fontId="56" fillId="0" borderId="0" xfId="0" applyFont="1" applyAlignment="1">
      <alignment vertical="center"/>
    </xf>
    <xf numFmtId="0" fontId="0" fillId="0" borderId="0" xfId="0" applyFont="1" applyAlignment="1" applyProtection="1">
      <alignment vertical="top"/>
      <protection locked="0"/>
    </xf>
    <xf numFmtId="0" fontId="0" fillId="0" borderId="0" xfId="0" applyFont="1" applyAlignment="1">
      <alignment vertical="top"/>
    </xf>
    <xf numFmtId="0" fontId="27" fillId="0" borderId="0" xfId="0" applyFont="1" applyBorder="1" applyAlignment="1" applyProtection="1">
      <alignment vertical="center"/>
      <protection locked="0"/>
    </xf>
    <xf numFmtId="0" fontId="27" fillId="0" borderId="0" xfId="0" applyFont="1" applyBorder="1" applyAlignment="1">
      <alignment vertical="center"/>
    </xf>
    <xf numFmtId="0" fontId="2" fillId="2" borderId="22" xfId="0" applyFont="1" applyFill="1" applyBorder="1" applyAlignment="1" applyProtection="1">
      <alignment horizontal="center" vertical="center"/>
      <protection locked="0"/>
    </xf>
    <xf numFmtId="180" fontId="42" fillId="7" borderId="19" xfId="0" applyNumberFormat="1" applyFont="1" applyFill="1" applyBorder="1" applyAlignment="1" applyProtection="1">
      <alignment vertical="center"/>
      <protection locked="0"/>
    </xf>
    <xf numFmtId="0" fontId="2" fillId="0" borderId="8" xfId="0" applyFont="1" applyFill="1" applyBorder="1" applyAlignment="1" applyProtection="1">
      <alignment vertical="center"/>
    </xf>
    <xf numFmtId="0" fontId="66" fillId="0" borderId="0" xfId="0" applyFont="1" applyProtection="1">
      <alignment vertical="center"/>
    </xf>
    <xf numFmtId="0" fontId="27" fillId="0" borderId="0" xfId="0" applyFont="1" applyProtection="1">
      <alignment vertical="center"/>
    </xf>
    <xf numFmtId="0" fontId="2" fillId="2" borderId="0" xfId="0" applyFont="1" applyFill="1" applyBorder="1" applyAlignment="1" applyProtection="1">
      <alignment horizontal="left" vertical="top" wrapText="1"/>
      <protection locked="0"/>
    </xf>
    <xf numFmtId="0" fontId="0" fillId="2" borderId="0" xfId="0" applyFont="1" applyFill="1">
      <alignment vertical="center"/>
    </xf>
    <xf numFmtId="0" fontId="56" fillId="0" borderId="0" xfId="0" applyFont="1" applyAlignment="1">
      <alignment horizontal="center"/>
    </xf>
    <xf numFmtId="0" fontId="2" fillId="5" borderId="19" xfId="0" applyFont="1" applyFill="1" applyBorder="1" applyAlignment="1" applyProtection="1">
      <alignment vertical="center" shrinkToFit="1"/>
    </xf>
    <xf numFmtId="0" fontId="2" fillId="2" borderId="19" xfId="0" applyFont="1" applyFill="1" applyBorder="1" applyAlignment="1" applyProtection="1">
      <alignment horizontal="center" vertical="center" shrinkToFit="1"/>
      <protection locked="0"/>
    </xf>
    <xf numFmtId="0" fontId="2" fillId="5" borderId="19" xfId="0" applyNumberFormat="1" applyFont="1" applyFill="1" applyBorder="1" applyAlignment="1" applyProtection="1">
      <alignment horizontal="center" vertical="center"/>
    </xf>
    <xf numFmtId="31" fontId="2" fillId="5" borderId="68" xfId="0" applyNumberFormat="1" applyFont="1" applyFill="1" applyBorder="1" applyAlignment="1" applyProtection="1">
      <alignment vertical="center"/>
    </xf>
    <xf numFmtId="0" fontId="2" fillId="5" borderId="12" xfId="0" applyFont="1" applyFill="1" applyBorder="1" applyAlignment="1" applyProtection="1">
      <alignment horizontal="center" vertical="center"/>
    </xf>
    <xf numFmtId="0" fontId="2" fillId="5" borderId="63" xfId="0" applyNumberFormat="1" applyFont="1" applyFill="1" applyBorder="1" applyAlignment="1" applyProtection="1">
      <alignment horizontal="center" vertical="center"/>
    </xf>
    <xf numFmtId="49" fontId="2" fillId="5" borderId="74" xfId="0" applyNumberFormat="1" applyFont="1" applyFill="1" applyBorder="1" applyAlignment="1" applyProtection="1">
      <alignment horizontal="center" vertical="center"/>
    </xf>
    <xf numFmtId="0" fontId="0" fillId="0" borderId="0" xfId="0" applyFont="1" applyFill="1" applyBorder="1" applyAlignment="1" applyProtection="1">
      <alignment horizontal="left" vertical="center"/>
      <protection locked="0"/>
    </xf>
    <xf numFmtId="0" fontId="2" fillId="3" borderId="63" xfId="0" applyFont="1" applyFill="1" applyBorder="1" applyAlignment="1" applyProtection="1">
      <alignment vertical="center"/>
    </xf>
    <xf numFmtId="0" fontId="2" fillId="0" borderId="8" xfId="0" applyFont="1" applyFill="1" applyBorder="1" applyAlignment="1" applyProtection="1">
      <alignment vertical="center"/>
      <protection locked="0"/>
    </xf>
    <xf numFmtId="0" fontId="2" fillId="7" borderId="79" xfId="0" applyFont="1" applyFill="1" applyBorder="1" applyAlignment="1" applyProtection="1">
      <alignment horizontal="right" vertical="center"/>
      <protection locked="0"/>
    </xf>
    <xf numFmtId="0" fontId="2" fillId="0" borderId="0" xfId="0" applyFont="1" applyFill="1" applyBorder="1" applyAlignment="1" applyProtection="1">
      <alignment horizontal="center" vertical="center"/>
      <protection locked="0"/>
    </xf>
    <xf numFmtId="180" fontId="42" fillId="3" borderId="72" xfId="0" applyNumberFormat="1" applyFont="1" applyFill="1" applyBorder="1" applyAlignment="1" applyProtection="1">
      <alignment vertical="center"/>
    </xf>
    <xf numFmtId="0" fontId="2" fillId="0" borderId="8" xfId="0" applyFont="1" applyBorder="1" applyAlignment="1" applyProtection="1">
      <alignment vertical="center"/>
      <protection locked="0"/>
    </xf>
    <xf numFmtId="0" fontId="2" fillId="0" borderId="0" xfId="0" applyFont="1" applyAlignment="1">
      <alignment horizontal="center"/>
    </xf>
    <xf numFmtId="0" fontId="2" fillId="3" borderId="0" xfId="0" applyFont="1" applyFill="1" applyBorder="1" applyProtection="1">
      <alignment vertical="center"/>
    </xf>
    <xf numFmtId="0" fontId="2" fillId="0" borderId="8" xfId="0" applyFont="1" applyFill="1" applyBorder="1" applyAlignment="1" applyProtection="1">
      <alignment horizontal="left" vertical="center"/>
      <protection locked="0"/>
    </xf>
    <xf numFmtId="0" fontId="2" fillId="0" borderId="1" xfId="0" applyFont="1" applyBorder="1" applyAlignment="1">
      <alignment vertical="center" wrapText="1"/>
    </xf>
    <xf numFmtId="0" fontId="0" fillId="0" borderId="0" xfId="0" applyFill="1" applyBorder="1">
      <alignment vertical="center"/>
    </xf>
    <xf numFmtId="0" fontId="2" fillId="5" borderId="67" xfId="0" applyFont="1" applyFill="1" applyBorder="1" applyAlignment="1" applyProtection="1">
      <alignment horizontal="center" vertical="center"/>
    </xf>
    <xf numFmtId="0" fontId="2" fillId="3" borderId="19" xfId="0" applyFont="1" applyFill="1" applyBorder="1" applyProtection="1">
      <alignment vertical="center"/>
    </xf>
    <xf numFmtId="0" fontId="2" fillId="0" borderId="11" xfId="0" applyFont="1" applyBorder="1" applyAlignment="1" applyProtection="1">
      <alignment vertical="center"/>
      <protection locked="0"/>
    </xf>
    <xf numFmtId="0" fontId="25" fillId="0" borderId="0" xfId="0" applyFont="1" applyFill="1" applyBorder="1">
      <alignment vertical="center"/>
    </xf>
    <xf numFmtId="0" fontId="2" fillId="3" borderId="8" xfId="0" applyFont="1" applyFill="1" applyBorder="1" applyProtection="1">
      <alignment vertical="center"/>
    </xf>
    <xf numFmtId="0" fontId="2" fillId="0" borderId="0" xfId="0" applyFont="1" applyFill="1" applyBorder="1">
      <alignment vertical="center"/>
    </xf>
    <xf numFmtId="0" fontId="2" fillId="4" borderId="8" xfId="0" applyFont="1" applyFill="1" applyBorder="1" applyProtection="1">
      <alignment vertical="center"/>
      <protection locked="0"/>
    </xf>
    <xf numFmtId="0" fontId="2" fillId="4" borderId="12" xfId="0" applyFont="1" applyFill="1" applyBorder="1" applyProtection="1">
      <alignment vertical="center"/>
      <protection locked="0"/>
    </xf>
    <xf numFmtId="0" fontId="2" fillId="0" borderId="35" xfId="0" applyFont="1" applyBorder="1" applyAlignment="1" applyProtection="1">
      <alignment vertical="center"/>
      <protection locked="0"/>
    </xf>
    <xf numFmtId="0" fontId="18" fillId="0" borderId="0" xfId="0" applyFont="1" applyProtection="1">
      <alignment vertical="center"/>
      <protection locked="0"/>
    </xf>
    <xf numFmtId="0" fontId="2" fillId="7" borderId="63"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horizontal="center" vertical="center"/>
    </xf>
    <xf numFmtId="180" fontId="42" fillId="3" borderId="11" xfId="0" applyNumberFormat="1" applyFont="1" applyFill="1" applyBorder="1" applyAlignment="1" applyProtection="1">
      <alignment horizontal="center" vertical="center"/>
    </xf>
    <xf numFmtId="0" fontId="2" fillId="0" borderId="79" xfId="0" applyFont="1" applyBorder="1" applyAlignment="1" applyProtection="1">
      <alignment horizontal="center" vertical="center"/>
      <protection locked="0"/>
    </xf>
    <xf numFmtId="0" fontId="2" fillId="0" borderId="76" xfId="0" applyFont="1" applyBorder="1" applyAlignment="1" applyProtection="1">
      <alignment horizontal="center" vertical="center"/>
      <protection locked="0"/>
    </xf>
    <xf numFmtId="180" fontId="42" fillId="3" borderId="22" xfId="0" applyNumberFormat="1" applyFont="1" applyFill="1" applyBorder="1" applyAlignment="1" applyProtection="1">
      <alignment horizontal="center" vertical="center"/>
    </xf>
    <xf numFmtId="180" fontId="2" fillId="2" borderId="19" xfId="0" applyNumberFormat="1" applyFont="1" applyFill="1" applyBorder="1" applyAlignment="1" applyProtection="1">
      <alignment horizontal="center" vertical="center"/>
      <protection locked="0"/>
    </xf>
    <xf numFmtId="180" fontId="2" fillId="2" borderId="11" xfId="0" applyNumberFormat="1" applyFont="1" applyFill="1" applyBorder="1" applyAlignment="1" applyProtection="1">
      <alignment horizontal="center" vertical="center"/>
      <protection locked="0"/>
    </xf>
    <xf numFmtId="0" fontId="12" fillId="0" borderId="64" xfId="2" applyNumberFormat="1" applyFont="1" applyFill="1" applyBorder="1" applyProtection="1">
      <alignment vertical="center"/>
      <protection locked="0"/>
    </xf>
    <xf numFmtId="179" fontId="42" fillId="7" borderId="8" xfId="0" applyNumberFormat="1" applyFont="1" applyFill="1" applyBorder="1" applyAlignment="1" applyProtection="1">
      <alignment horizontal="center" vertical="center"/>
      <protection locked="0"/>
    </xf>
    <xf numFmtId="49" fontId="2" fillId="0" borderId="8" xfId="0" applyNumberFormat="1" applyFont="1" applyBorder="1" applyAlignment="1" applyProtection="1">
      <alignment vertical="center"/>
      <protection locked="0"/>
    </xf>
    <xf numFmtId="180" fontId="42" fillId="3" borderId="89" xfId="0" applyNumberFormat="1" applyFont="1" applyFill="1" applyBorder="1" applyAlignment="1" applyProtection="1">
      <alignment horizontal="center" vertical="center"/>
    </xf>
    <xf numFmtId="180" fontId="2" fillId="2" borderId="89" xfId="0" applyNumberFormat="1" applyFont="1" applyFill="1" applyBorder="1" applyAlignment="1" applyProtection="1">
      <alignment horizontal="center" vertical="center"/>
      <protection locked="0"/>
    </xf>
    <xf numFmtId="180" fontId="42" fillId="3" borderId="90" xfId="0" applyNumberFormat="1" applyFont="1" applyFill="1" applyBorder="1" applyAlignment="1" applyProtection="1">
      <alignment horizontal="center" vertical="center"/>
    </xf>
    <xf numFmtId="0" fontId="0" fillId="5" borderId="20" xfId="0" applyFont="1" applyFill="1" applyBorder="1" applyAlignment="1" applyProtection="1">
      <alignment vertical="center" shrinkToFit="1"/>
    </xf>
    <xf numFmtId="0" fontId="2" fillId="2" borderId="3" xfId="0" applyFont="1" applyFill="1" applyBorder="1" applyAlignment="1" applyProtection="1">
      <alignment horizontal="justify" vertical="center" wrapText="1"/>
      <protection locked="0"/>
    </xf>
    <xf numFmtId="0" fontId="2" fillId="2" borderId="4" xfId="0" applyFont="1" applyFill="1" applyBorder="1" applyAlignment="1" applyProtection="1">
      <alignment horizontal="justify" vertical="center" wrapText="1"/>
      <protection locked="0"/>
    </xf>
    <xf numFmtId="49" fontId="2" fillId="0" borderId="32" xfId="0" applyNumberFormat="1" applyFont="1" applyBorder="1" applyAlignment="1" applyProtection="1">
      <alignment horizontal="justify" vertical="center" wrapText="1"/>
      <protection locked="0"/>
    </xf>
    <xf numFmtId="0" fontId="2" fillId="0" borderId="32" xfId="0" applyFont="1" applyBorder="1" applyAlignment="1" applyProtection="1">
      <alignment horizontal="justify" vertical="center" wrapText="1"/>
      <protection locked="0"/>
    </xf>
    <xf numFmtId="0" fontId="2" fillId="0" borderId="46" xfId="0" applyFont="1" applyBorder="1" applyAlignment="1" applyProtection="1">
      <alignment horizontal="justify" vertical="center" wrapText="1"/>
      <protection locked="0"/>
    </xf>
    <xf numFmtId="0" fontId="2" fillId="0" borderId="5" xfId="0" applyFont="1" applyBorder="1" applyAlignment="1" applyProtection="1">
      <alignment horizontal="justify" vertical="center" wrapText="1"/>
      <protection locked="0"/>
    </xf>
    <xf numFmtId="0" fontId="0" fillId="0" borderId="0" xfId="0" applyFont="1" applyAlignment="1" applyProtection="1">
      <alignment horizontal="center" vertical="center"/>
      <protection locked="0"/>
    </xf>
    <xf numFmtId="0" fontId="0" fillId="0" borderId="0" xfId="0" applyFont="1" applyAlignment="1">
      <alignment horizontal="justify" vertical="center"/>
    </xf>
    <xf numFmtId="0" fontId="0" fillId="0" borderId="0" xfId="0" applyFont="1" applyAlignment="1">
      <alignment horizontal="center" vertical="center"/>
    </xf>
    <xf numFmtId="0" fontId="2" fillId="2" borderId="0" xfId="0" applyFont="1" applyFill="1" applyBorder="1" applyProtection="1">
      <alignment vertical="center"/>
      <protection locked="0"/>
    </xf>
    <xf numFmtId="0" fontId="0" fillId="2" borderId="0" xfId="0" applyFont="1" applyFill="1" applyProtection="1">
      <alignment vertical="center"/>
      <protection locked="0"/>
    </xf>
    <xf numFmtId="0" fontId="12" fillId="2" borderId="0" xfId="2" applyNumberFormat="1" applyFont="1" applyFill="1" applyBorder="1" applyAlignment="1" applyProtection="1">
      <alignment vertical="center"/>
      <protection locked="0"/>
    </xf>
    <xf numFmtId="0" fontId="2" fillId="2" borderId="61" xfId="0" applyFont="1" applyFill="1" applyBorder="1" applyAlignment="1" applyProtection="1">
      <alignment horizontal="center" vertical="center"/>
      <protection locked="0"/>
    </xf>
    <xf numFmtId="0" fontId="2" fillId="2" borderId="0" xfId="0" applyFont="1" applyFill="1" applyAlignment="1" applyProtection="1">
      <alignment vertical="center"/>
      <protection locked="0"/>
    </xf>
    <xf numFmtId="0" fontId="2" fillId="2" borderId="91" xfId="0" applyFont="1" applyFill="1" applyBorder="1" applyAlignment="1" applyProtection="1">
      <alignment horizontal="center" vertical="center"/>
      <protection locked="0"/>
    </xf>
    <xf numFmtId="180" fontId="42" fillId="5" borderId="64" xfId="0" applyNumberFormat="1" applyFont="1" applyFill="1" applyBorder="1" applyAlignment="1" applyProtection="1">
      <alignment horizontal="center" vertical="center"/>
    </xf>
    <xf numFmtId="180" fontId="42" fillId="3" borderId="8" xfId="0" applyNumberFormat="1" applyFont="1" applyFill="1" applyBorder="1" applyAlignment="1" applyProtection="1"/>
    <xf numFmtId="180" fontId="42" fillId="5" borderId="9" xfId="0" applyNumberFormat="1" applyFont="1" applyFill="1" applyBorder="1" applyAlignment="1" applyProtection="1">
      <alignment horizontal="center" vertical="center"/>
    </xf>
    <xf numFmtId="180" fontId="42" fillId="3" borderId="17" xfId="0" applyNumberFormat="1" applyFont="1" applyFill="1" applyBorder="1" applyAlignment="1" applyProtection="1">
      <alignment vertical="center"/>
    </xf>
    <xf numFmtId="0" fontId="2" fillId="0" borderId="6" xfId="0" applyFont="1" applyBorder="1" applyAlignment="1" applyProtection="1">
      <alignment vertical="center"/>
      <protection locked="0"/>
    </xf>
    <xf numFmtId="180" fontId="42" fillId="3" borderId="19" xfId="0" applyNumberFormat="1" applyFont="1" applyFill="1" applyBorder="1" applyAlignment="1" applyProtection="1"/>
    <xf numFmtId="180" fontId="42" fillId="3" borderId="12" xfId="0" applyNumberFormat="1" applyFont="1" applyFill="1" applyBorder="1" applyAlignment="1" applyProtection="1"/>
    <xf numFmtId="0" fontId="54" fillId="2" borderId="0" xfId="0" applyFont="1" applyFill="1" applyBorder="1" applyProtection="1">
      <alignment vertical="center"/>
      <protection locked="0"/>
    </xf>
    <xf numFmtId="0" fontId="2" fillId="2" borderId="1" xfId="0" applyFont="1" applyFill="1" applyBorder="1" applyAlignment="1" applyProtection="1">
      <alignment vertical="top" wrapText="1"/>
      <protection locked="0"/>
    </xf>
    <xf numFmtId="180" fontId="42" fillId="5" borderId="78" xfId="0" applyNumberFormat="1" applyFont="1" applyFill="1" applyBorder="1" applyAlignment="1" applyProtection="1">
      <alignment horizontal="center" vertical="center"/>
    </xf>
    <xf numFmtId="0" fontId="2" fillId="0" borderId="6" xfId="0" applyFont="1" applyBorder="1" applyProtection="1">
      <alignment vertical="center"/>
      <protection locked="0"/>
    </xf>
    <xf numFmtId="0" fontId="2" fillId="0" borderId="7" xfId="0" applyFont="1" applyBorder="1" applyProtection="1">
      <alignment vertical="center"/>
      <protection locked="0"/>
    </xf>
    <xf numFmtId="0" fontId="54" fillId="2" borderId="0" xfId="0" applyFont="1" applyFill="1" applyProtection="1">
      <alignment vertical="center"/>
      <protection locked="0"/>
    </xf>
    <xf numFmtId="0" fontId="2" fillId="0" borderId="10" xfId="0" applyFont="1" applyBorder="1" applyProtection="1">
      <alignment vertical="center"/>
      <protection locked="0"/>
    </xf>
    <xf numFmtId="0" fontId="0" fillId="2" borderId="0" xfId="0" applyFont="1" applyFill="1" applyAlignment="1" applyProtection="1">
      <alignment horizontal="left" vertical="top" wrapText="1"/>
      <protection locked="0"/>
    </xf>
    <xf numFmtId="0" fontId="2" fillId="2" borderId="0" xfId="0" applyFont="1" applyFill="1" applyAlignment="1" applyProtection="1">
      <alignment horizontal="left" vertical="top" wrapText="1"/>
      <protection locked="0"/>
    </xf>
    <xf numFmtId="0" fontId="12" fillId="2" borderId="0" xfId="2" applyNumberFormat="1" applyFont="1" applyFill="1" applyBorder="1" applyAlignment="1" applyProtection="1">
      <alignment horizontal="left" vertical="top" wrapText="1"/>
      <protection locked="0"/>
    </xf>
    <xf numFmtId="0" fontId="0" fillId="2" borderId="0" xfId="0" applyFill="1" applyAlignment="1">
      <alignment vertical="center"/>
    </xf>
    <xf numFmtId="0" fontId="2" fillId="2" borderId="19" xfId="0" applyFont="1" applyFill="1" applyBorder="1" applyAlignment="1">
      <alignment horizontal="center" vertical="center"/>
    </xf>
    <xf numFmtId="0" fontId="2" fillId="7" borderId="19" xfId="0" applyNumberFormat="1" applyFont="1" applyFill="1" applyBorder="1" applyAlignment="1">
      <alignment horizontal="center" vertical="center"/>
    </xf>
    <xf numFmtId="0" fontId="2" fillId="5" borderId="19" xfId="0" applyNumberFormat="1" applyFont="1" applyFill="1" applyBorder="1" applyAlignment="1">
      <alignment horizontal="center" vertical="center"/>
    </xf>
    <xf numFmtId="0" fontId="2" fillId="2" borderId="12" xfId="0" applyFont="1" applyFill="1" applyBorder="1" applyAlignment="1">
      <alignment horizontal="center" vertical="center"/>
    </xf>
    <xf numFmtId="0" fontId="2" fillId="5" borderId="12" xfId="0" applyNumberFormat="1"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wrapText="1"/>
    </xf>
    <xf numFmtId="0" fontId="2" fillId="2" borderId="35" xfId="0" applyFont="1" applyFill="1" applyBorder="1" applyAlignment="1">
      <alignment horizontal="center" vertical="center" wrapText="1"/>
    </xf>
    <xf numFmtId="0" fontId="2" fillId="0" borderId="19" xfId="0" applyFont="1" applyBorder="1" applyAlignment="1">
      <alignment horizontal="center" vertical="center"/>
    </xf>
    <xf numFmtId="0" fontId="2" fillId="0" borderId="8" xfId="0" applyFont="1" applyBorder="1" applyAlignment="1">
      <alignment horizontal="center" vertical="center"/>
    </xf>
    <xf numFmtId="0" fontId="12" fillId="0" borderId="0" xfId="2" applyNumberFormat="1" applyFont="1" applyFill="1" applyBorder="1" applyAlignment="1" applyProtection="1">
      <alignment vertical="center"/>
    </xf>
    <xf numFmtId="0" fontId="2" fillId="2" borderId="63" xfId="0" applyFont="1" applyFill="1" applyBorder="1" applyAlignment="1">
      <alignment horizontal="center" vertical="center"/>
    </xf>
    <xf numFmtId="0" fontId="2" fillId="0" borderId="63" xfId="0" applyFont="1" applyBorder="1" applyAlignment="1">
      <alignment horizontal="center" vertical="center"/>
    </xf>
    <xf numFmtId="0" fontId="2" fillId="7" borderId="60" xfId="0" applyFont="1" applyFill="1" applyBorder="1" applyAlignment="1">
      <alignment horizontal="right" vertical="center"/>
    </xf>
    <xf numFmtId="0" fontId="2" fillId="5" borderId="68" xfId="0" applyNumberFormat="1" applyFont="1" applyFill="1" applyBorder="1" applyAlignment="1" applyProtection="1">
      <alignment horizontal="center" vertical="center"/>
    </xf>
    <xf numFmtId="0" fontId="2" fillId="0" borderId="7" xfId="0" applyFont="1" applyBorder="1" applyAlignment="1" applyProtection="1">
      <alignment horizontal="center" vertical="center"/>
      <protection locked="0"/>
    </xf>
    <xf numFmtId="0" fontId="2" fillId="0" borderId="8" xfId="0" applyFont="1" applyBorder="1" applyAlignment="1" applyProtection="1">
      <alignment horizontal="left" vertical="center"/>
      <protection locked="0"/>
    </xf>
    <xf numFmtId="0" fontId="2" fillId="2" borderId="10" xfId="0" applyFont="1" applyFill="1" applyBorder="1" applyAlignment="1" applyProtection="1">
      <alignment vertical="center"/>
      <protection locked="0"/>
    </xf>
    <xf numFmtId="0" fontId="0" fillId="0" borderId="0" xfId="0" applyFont="1" applyAlignment="1">
      <alignment vertical="center"/>
    </xf>
    <xf numFmtId="0" fontId="2" fillId="0" borderId="1" xfId="0" applyFont="1" applyBorder="1" applyAlignment="1" applyProtection="1">
      <alignment vertical="center"/>
      <protection locked="0"/>
    </xf>
    <xf numFmtId="0" fontId="54" fillId="2" borderId="0" xfId="0" applyFont="1" applyFill="1" applyAlignment="1" applyProtection="1">
      <alignment vertical="center"/>
      <protection locked="0"/>
    </xf>
    <xf numFmtId="0" fontId="54" fillId="0" borderId="0" xfId="0" applyFont="1" applyAlignment="1" applyProtection="1">
      <alignment horizontal="center" vertical="center"/>
      <protection locked="0"/>
    </xf>
    <xf numFmtId="0" fontId="54" fillId="0" borderId="0" xfId="0" applyFont="1" applyBorder="1" applyAlignment="1" applyProtection="1">
      <alignment vertical="center"/>
      <protection locked="0"/>
    </xf>
    <xf numFmtId="0" fontId="54" fillId="0" borderId="0" xfId="0" applyFont="1" applyBorder="1" applyAlignment="1">
      <alignment vertical="center"/>
    </xf>
    <xf numFmtId="0" fontId="2" fillId="0" borderId="63" xfId="0" applyFont="1" applyBorder="1" applyAlignment="1" applyProtection="1">
      <alignment vertical="center"/>
      <protection locked="0"/>
    </xf>
    <xf numFmtId="180" fontId="42" fillId="3" borderId="22" xfId="0" applyNumberFormat="1" applyFont="1" applyFill="1" applyBorder="1" applyAlignment="1" applyProtection="1">
      <alignment vertical="center" shrinkToFit="1"/>
    </xf>
    <xf numFmtId="0" fontId="2" fillId="0" borderId="19" xfId="0" applyFont="1" applyBorder="1" applyAlignment="1" applyProtection="1">
      <alignment vertical="center"/>
      <protection locked="0"/>
    </xf>
    <xf numFmtId="0" fontId="2" fillId="6" borderId="19" xfId="0" applyFont="1" applyFill="1" applyBorder="1" applyAlignment="1" applyProtection="1">
      <alignment horizontal="center" vertical="center" shrinkToFit="1"/>
      <protection locked="0"/>
    </xf>
    <xf numFmtId="0" fontId="0" fillId="0" borderId="0" xfId="0" applyFont="1" applyProtection="1">
      <alignment vertical="center"/>
      <protection locked="0"/>
    </xf>
    <xf numFmtId="180" fontId="42" fillId="3" borderId="3" xfId="0" applyNumberFormat="1" applyFont="1" applyFill="1" applyBorder="1" applyProtection="1">
      <alignment vertical="center"/>
    </xf>
    <xf numFmtId="0" fontId="2" fillId="2" borderId="3" xfId="0" applyNumberFormat="1" applyFont="1" applyFill="1" applyBorder="1" applyAlignment="1" applyProtection="1">
      <alignment horizontal="center" vertical="center"/>
    </xf>
    <xf numFmtId="0" fontId="0" fillId="4" borderId="0" xfId="0" applyFont="1" applyFill="1" applyAlignment="1">
      <alignment vertical="center"/>
    </xf>
    <xf numFmtId="0" fontId="25" fillId="2" borderId="0" xfId="0" applyFont="1" applyFill="1" applyAlignment="1" applyProtection="1">
      <alignment vertical="center"/>
      <protection locked="0"/>
    </xf>
    <xf numFmtId="0" fontId="0" fillId="2" borderId="0" xfId="0" applyFont="1" applyFill="1" applyAlignment="1" applyProtection="1">
      <alignment vertical="center"/>
      <protection locked="0"/>
    </xf>
    <xf numFmtId="0" fontId="0" fillId="4" borderId="0" xfId="0" applyFont="1" applyFill="1" applyAlignment="1" applyProtection="1">
      <alignment vertical="center"/>
      <protection locked="0"/>
    </xf>
    <xf numFmtId="0" fontId="2" fillId="4" borderId="0" xfId="0" applyFont="1" applyFill="1" applyAlignment="1" applyProtection="1">
      <alignment vertical="center"/>
      <protection locked="0"/>
    </xf>
    <xf numFmtId="0" fontId="2" fillId="4" borderId="0" xfId="0" applyFont="1" applyFill="1" applyAlignment="1">
      <alignment vertical="center"/>
    </xf>
    <xf numFmtId="0" fontId="2" fillId="5" borderId="0" xfId="0" applyFont="1" applyFill="1" applyAlignment="1" applyProtection="1">
      <protection locked="0"/>
    </xf>
    <xf numFmtId="0" fontId="2" fillId="5" borderId="0" xfId="0" applyFont="1" applyFill="1" applyAlignment="1" applyProtection="1">
      <alignment horizontal="center"/>
    </xf>
    <xf numFmtId="0" fontId="2" fillId="2" borderId="0" xfId="0" applyFont="1" applyFill="1" applyAlignment="1" applyProtection="1">
      <alignment horizontal="center"/>
      <protection locked="0"/>
    </xf>
    <xf numFmtId="0" fontId="2" fillId="2" borderId="0" xfId="0" applyFont="1" applyFill="1" applyAlignment="1" applyProtection="1">
      <alignment horizontal="right"/>
      <protection locked="0"/>
    </xf>
    <xf numFmtId="0" fontId="2" fillId="4" borderId="0" xfId="0" applyFont="1" applyFill="1" applyAlignment="1" applyProtection="1">
      <protection locked="0"/>
    </xf>
    <xf numFmtId="0" fontId="2" fillId="4" borderId="0" xfId="0" applyFont="1" applyFill="1" applyAlignment="1"/>
    <xf numFmtId="0" fontId="2" fillId="2" borderId="3" xfId="0" applyFont="1" applyFill="1" applyBorder="1" applyAlignment="1" applyProtection="1">
      <alignment horizontal="center" vertical="center" wrapText="1"/>
      <protection locked="0"/>
    </xf>
    <xf numFmtId="0" fontId="2" fillId="2" borderId="3" xfId="0" applyFont="1" applyFill="1" applyBorder="1" applyAlignment="1" applyProtection="1">
      <alignment vertical="center" wrapText="1"/>
      <protection locked="0"/>
    </xf>
    <xf numFmtId="180" fontId="2" fillId="4" borderId="3" xfId="0" applyNumberFormat="1" applyFont="1" applyFill="1" applyBorder="1" applyAlignment="1" applyProtection="1">
      <alignment vertical="center" wrapText="1"/>
      <protection locked="0"/>
    </xf>
    <xf numFmtId="180" fontId="42" fillId="5" borderId="3" xfId="0" applyNumberFormat="1" applyFont="1" applyFill="1" applyBorder="1" applyAlignment="1" applyProtection="1">
      <alignment vertical="center" wrapText="1"/>
    </xf>
    <xf numFmtId="180" fontId="42" fillId="3" borderId="3" xfId="0" applyNumberFormat="1" applyFont="1" applyFill="1" applyBorder="1" applyAlignment="1" applyProtection="1">
      <alignment vertical="center" wrapText="1"/>
    </xf>
    <xf numFmtId="180" fontId="2" fillId="4" borderId="0" xfId="0" applyNumberFormat="1" applyFont="1" applyFill="1" applyAlignment="1" applyProtection="1">
      <alignment vertical="center"/>
      <protection locked="0"/>
    </xf>
    <xf numFmtId="0" fontId="12" fillId="4" borderId="0" xfId="2" applyNumberFormat="1" applyFont="1" applyFill="1" applyBorder="1" applyAlignment="1" applyProtection="1">
      <alignment vertical="center"/>
      <protection locked="0"/>
    </xf>
    <xf numFmtId="180" fontId="2" fillId="4" borderId="0" xfId="0" applyNumberFormat="1" applyFont="1" applyFill="1" applyAlignment="1">
      <alignment vertical="center"/>
    </xf>
    <xf numFmtId="180" fontId="42" fillId="3" borderId="3" xfId="0" applyNumberFormat="1" applyFont="1" applyFill="1" applyBorder="1" applyAlignment="1" applyProtection="1">
      <alignment vertical="center" wrapText="1"/>
      <protection locked="0"/>
    </xf>
    <xf numFmtId="0" fontId="12" fillId="4" borderId="0" xfId="2" applyNumberFormat="1" applyFill="1" applyBorder="1" applyProtection="1">
      <alignment vertical="center"/>
      <protection locked="0"/>
    </xf>
    <xf numFmtId="0" fontId="12" fillId="4" borderId="0" xfId="2" applyFill="1" applyProtection="1">
      <alignment vertical="center"/>
      <protection locked="0"/>
    </xf>
    <xf numFmtId="0" fontId="2" fillId="2" borderId="7" xfId="0" applyFont="1" applyFill="1" applyBorder="1" applyAlignment="1" applyProtection="1">
      <alignment horizontal="center" vertical="center" wrapText="1"/>
      <protection hidden="1"/>
    </xf>
    <xf numFmtId="0" fontId="2" fillId="2" borderId="7" xfId="0" applyFont="1" applyFill="1" applyBorder="1" applyAlignment="1" applyProtection="1">
      <alignment horizontal="center" vertical="center"/>
      <protection hidden="1"/>
    </xf>
    <xf numFmtId="0" fontId="0" fillId="2" borderId="7" xfId="0" applyFont="1" applyFill="1" applyBorder="1" applyAlignment="1">
      <alignment horizontal="center" vertical="center"/>
    </xf>
    <xf numFmtId="0" fontId="75" fillId="2" borderId="7" xfId="0" applyFont="1" applyFill="1" applyBorder="1" applyAlignment="1">
      <alignment horizontal="center" vertical="center"/>
    </xf>
    <xf numFmtId="0" fontId="2" fillId="2" borderId="6" xfId="0" applyFont="1" applyFill="1" applyBorder="1" applyAlignment="1" applyProtection="1">
      <alignment horizontal="center" vertical="center"/>
      <protection hidden="1"/>
    </xf>
    <xf numFmtId="0" fontId="2" fillId="2" borderId="10" xfId="0" applyFont="1" applyFill="1" applyBorder="1" applyAlignment="1" applyProtection="1">
      <alignment horizontal="center" vertical="center"/>
      <protection hidden="1"/>
    </xf>
    <xf numFmtId="0" fontId="64" fillId="4" borderId="0" xfId="0" applyFont="1" applyFill="1" applyBorder="1" applyAlignment="1">
      <alignment vertical="center"/>
    </xf>
    <xf numFmtId="179" fontId="36" fillId="0" borderId="0" xfId="0" applyNumberFormat="1" applyFont="1" applyProtection="1">
      <alignment vertical="center"/>
      <protection locked="0"/>
    </xf>
    <xf numFmtId="180" fontId="42" fillId="0" borderId="19" xfId="0" applyNumberFormat="1" applyFont="1" applyBorder="1" applyAlignment="1" applyProtection="1">
      <alignment vertical="center"/>
      <protection locked="0"/>
    </xf>
    <xf numFmtId="180" fontId="42" fillId="0" borderId="8" xfId="0" applyNumberFormat="1" applyFont="1" applyBorder="1" applyAlignment="1" applyProtection="1">
      <alignment vertical="center"/>
      <protection locked="0"/>
    </xf>
    <xf numFmtId="180" fontId="42" fillId="4" borderId="8" xfId="4" applyNumberFormat="1" applyFont="1" applyFill="1" applyBorder="1" applyAlignment="1" applyProtection="1">
      <alignment vertical="center"/>
    </xf>
    <xf numFmtId="180" fontId="42" fillId="4" borderId="8" xfId="4" applyNumberFormat="1" applyFont="1" applyFill="1" applyBorder="1" applyAlignment="1" applyProtection="1">
      <alignment vertical="center"/>
      <protection locked="0"/>
    </xf>
    <xf numFmtId="180" fontId="42" fillId="0" borderId="8" xfId="4" applyNumberFormat="1" applyFont="1" applyFill="1" applyBorder="1" applyAlignment="1" applyProtection="1">
      <alignment vertical="center"/>
    </xf>
    <xf numFmtId="180" fontId="42" fillId="4" borderId="23" xfId="4" applyNumberFormat="1" applyFont="1" applyFill="1" applyBorder="1" applyAlignment="1" applyProtection="1">
      <alignment vertical="center"/>
      <protection locked="0"/>
    </xf>
    <xf numFmtId="180" fontId="42" fillId="0" borderId="23" xfId="4" applyNumberFormat="1" applyFont="1" applyFill="1" applyBorder="1" applyAlignment="1" applyProtection="1">
      <alignment vertical="center"/>
    </xf>
    <xf numFmtId="180" fontId="42" fillId="0" borderId="8" xfId="4" applyNumberFormat="1" applyFont="1" applyFill="1" applyBorder="1" applyAlignment="1" applyProtection="1">
      <alignment vertical="center"/>
      <protection locked="0"/>
    </xf>
    <xf numFmtId="180" fontId="42" fillId="0" borderId="23" xfId="4" applyNumberFormat="1" applyFont="1" applyFill="1" applyBorder="1" applyAlignment="1" applyProtection="1">
      <alignment vertical="center"/>
      <protection locked="0"/>
    </xf>
    <xf numFmtId="180" fontId="42" fillId="0" borderId="8" xfId="0" applyNumberFormat="1" applyFont="1" applyBorder="1" applyAlignment="1" applyProtection="1">
      <alignment vertical="center" shrinkToFit="1"/>
      <protection locked="0"/>
    </xf>
    <xf numFmtId="180" fontId="42" fillId="0" borderId="8" xfId="0" applyNumberFormat="1" applyFont="1" applyFill="1" applyBorder="1" applyAlignment="1" applyProtection="1">
      <alignment horizontal="center" vertical="center" shrinkToFit="1"/>
      <protection locked="0"/>
    </xf>
    <xf numFmtId="180" fontId="42" fillId="4" borderId="8" xfId="0" applyNumberFormat="1" applyFont="1" applyFill="1" applyBorder="1" applyAlignment="1" applyProtection="1">
      <alignment vertical="center" shrinkToFit="1"/>
      <protection locked="0"/>
    </xf>
    <xf numFmtId="180" fontId="42" fillId="0" borderId="9" xfId="0" applyNumberFormat="1" applyFont="1" applyBorder="1" applyProtection="1">
      <alignment vertical="center"/>
      <protection locked="0"/>
    </xf>
    <xf numFmtId="180" fontId="42" fillId="4" borderId="9" xfId="0" applyNumberFormat="1" applyFont="1" applyFill="1" applyBorder="1" applyProtection="1">
      <alignment vertical="center"/>
      <protection locked="0"/>
    </xf>
    <xf numFmtId="180" fontId="42" fillId="0" borderId="8" xfId="0" applyNumberFormat="1" applyFont="1" applyFill="1" applyBorder="1" applyAlignment="1" applyProtection="1">
      <alignment horizontal="center" vertical="center"/>
      <protection locked="0"/>
    </xf>
    <xf numFmtId="180" fontId="42" fillId="0" borderId="63" xfId="0" applyNumberFormat="1" applyFont="1" applyFill="1" applyBorder="1" applyAlignment="1" applyProtection="1">
      <alignment vertical="center" wrapText="1"/>
      <protection locked="0"/>
    </xf>
    <xf numFmtId="180" fontId="42" fillId="0" borderId="8" xfId="0" applyNumberFormat="1" applyFont="1" applyFill="1" applyBorder="1" applyAlignment="1" applyProtection="1">
      <alignment vertical="center"/>
      <protection locked="0"/>
    </xf>
    <xf numFmtId="0" fontId="42" fillId="0" borderId="8" xfId="0" applyFont="1" applyBorder="1" applyAlignment="1" applyProtection="1">
      <alignment vertical="center" wrapText="1"/>
      <protection locked="0"/>
    </xf>
    <xf numFmtId="180" fontId="42" fillId="0" borderId="8" xfId="0" applyNumberFormat="1" applyFont="1" applyBorder="1" applyAlignment="1" applyProtection="1">
      <alignment vertical="center" wrapText="1"/>
      <protection locked="0"/>
    </xf>
    <xf numFmtId="180" fontId="42" fillId="0" borderId="68" xfId="0" applyNumberFormat="1" applyFont="1" applyFill="1" applyBorder="1" applyAlignment="1" applyProtection="1">
      <alignment vertical="center"/>
      <protection locked="0"/>
    </xf>
    <xf numFmtId="180" fontId="42" fillId="0" borderId="8" xfId="0" applyNumberFormat="1" applyFont="1" applyBorder="1" applyAlignment="1" applyProtection="1">
      <alignment vertical="top" wrapText="1"/>
      <protection locked="0"/>
    </xf>
    <xf numFmtId="180" fontId="42" fillId="0" borderId="68" xfId="0" applyNumberFormat="1" applyFont="1" applyFill="1" applyBorder="1" applyAlignment="1" applyProtection="1">
      <alignment horizontal="center" vertical="center"/>
      <protection locked="0"/>
    </xf>
    <xf numFmtId="180" fontId="42" fillId="0" borderId="19" xfId="0" applyNumberFormat="1" applyFont="1" applyFill="1" applyBorder="1" applyAlignment="1" applyProtection="1">
      <alignment vertical="center"/>
      <protection locked="0"/>
    </xf>
    <xf numFmtId="180" fontId="42" fillId="0" borderId="8" xfId="0" applyNumberFormat="1" applyFont="1" applyFill="1" applyBorder="1" applyAlignment="1" applyProtection="1">
      <alignment vertical="center"/>
      <protection locked="0"/>
    </xf>
    <xf numFmtId="180" fontId="42" fillId="0" borderId="63" xfId="0" applyNumberFormat="1" applyFont="1" applyBorder="1" applyAlignment="1" applyProtection="1">
      <alignment vertical="center"/>
      <protection locked="0"/>
    </xf>
    <xf numFmtId="180" fontId="42" fillId="0" borderId="63" xfId="0" applyNumberFormat="1" applyFont="1" applyBorder="1" applyProtection="1">
      <alignment vertical="center"/>
      <protection locked="0"/>
    </xf>
    <xf numFmtId="180" fontId="42" fillId="0" borderId="8" xfId="0" applyNumberFormat="1" applyFont="1" applyBorder="1" applyAlignment="1" applyProtection="1">
      <alignment vertical="center"/>
      <protection locked="0"/>
    </xf>
    <xf numFmtId="180" fontId="42" fillId="0" borderId="8" xfId="0" applyNumberFormat="1" applyFont="1" applyBorder="1" applyProtection="1">
      <alignment vertical="center"/>
      <protection locked="0"/>
    </xf>
    <xf numFmtId="180" fontId="42" fillId="0" borderId="68" xfId="0" applyNumberFormat="1" applyFont="1" applyBorder="1" applyAlignment="1" applyProtection="1">
      <alignment vertical="center"/>
      <protection locked="0"/>
    </xf>
    <xf numFmtId="180" fontId="42" fillId="0" borderId="68" xfId="0" applyNumberFormat="1" applyFont="1" applyBorder="1" applyProtection="1">
      <alignment vertical="center"/>
      <protection locked="0"/>
    </xf>
    <xf numFmtId="180" fontId="42" fillId="0" borderId="12" xfId="0" applyNumberFormat="1" applyFont="1" applyFill="1" applyBorder="1" applyAlignment="1" applyProtection="1">
      <alignment vertical="center"/>
      <protection locked="0"/>
    </xf>
    <xf numFmtId="180" fontId="42" fillId="0" borderId="12" xfId="0" applyNumberFormat="1" applyFont="1" applyBorder="1" applyAlignment="1" applyProtection="1">
      <alignment vertical="center"/>
      <protection locked="0"/>
    </xf>
    <xf numFmtId="179" fontId="42" fillId="0" borderId="19" xfId="0" applyNumberFormat="1" applyFont="1" applyBorder="1" applyAlignment="1" applyProtection="1">
      <alignment vertical="center" shrinkToFit="1"/>
      <protection locked="0"/>
    </xf>
    <xf numFmtId="179" fontId="42" fillId="0" borderId="8" xfId="0" applyNumberFormat="1" applyFont="1" applyBorder="1" applyAlignment="1" applyProtection="1">
      <alignment vertical="center" shrinkToFit="1"/>
      <protection locked="0"/>
    </xf>
    <xf numFmtId="179" fontId="42" fillId="0" borderId="12" xfId="0" applyNumberFormat="1" applyFont="1" applyBorder="1" applyAlignment="1" applyProtection="1">
      <alignment vertical="center" shrinkToFit="1"/>
      <protection locked="0"/>
    </xf>
    <xf numFmtId="179" fontId="42" fillId="0" borderId="59" xfId="0" applyNumberFormat="1" applyFont="1" applyBorder="1" applyAlignment="1" applyProtection="1">
      <alignment vertical="center" shrinkToFit="1"/>
      <protection locked="0"/>
    </xf>
    <xf numFmtId="180" fontId="42" fillId="0" borderId="63" xfId="0" applyNumberFormat="1" applyFont="1" applyBorder="1" applyAlignment="1" applyProtection="1">
      <alignment vertical="center" shrinkToFit="1"/>
      <protection locked="0"/>
    </xf>
    <xf numFmtId="180" fontId="42" fillId="0" borderId="8" xfId="0" applyNumberFormat="1" applyFont="1" applyBorder="1" applyAlignment="1" applyProtection="1">
      <alignment vertical="center" shrinkToFit="1"/>
      <protection locked="0"/>
    </xf>
    <xf numFmtId="180" fontId="42" fillId="0" borderId="68" xfId="0" applyNumberFormat="1" applyFont="1" applyBorder="1" applyAlignment="1" applyProtection="1">
      <alignment vertical="center" shrinkToFit="1"/>
      <protection locked="0"/>
    </xf>
    <xf numFmtId="180" fontId="42" fillId="0" borderId="12" xfId="0" applyNumberFormat="1" applyFont="1" applyBorder="1" applyAlignment="1" applyProtection="1">
      <alignment vertical="center" shrinkToFit="1"/>
      <protection locked="0"/>
    </xf>
    <xf numFmtId="180" fontId="42" fillId="12" borderId="8" xfId="0" applyNumberFormat="1" applyFont="1" applyFill="1" applyBorder="1" applyAlignment="1" applyProtection="1">
      <alignment vertical="center"/>
      <protection locked="0"/>
    </xf>
    <xf numFmtId="180" fontId="42" fillId="13" borderId="8" xfId="0" applyNumberFormat="1" applyFont="1" applyFill="1" applyBorder="1" applyAlignment="1" applyProtection="1">
      <alignment vertical="center"/>
      <protection locked="0"/>
    </xf>
    <xf numFmtId="180" fontId="42" fillId="0" borderId="8" xfId="0" applyNumberFormat="1" applyFont="1" applyFill="1" applyBorder="1" applyAlignment="1" applyProtection="1">
      <alignment vertical="center"/>
      <protection locked="0"/>
    </xf>
    <xf numFmtId="180" fontId="42" fillId="0" borderId="12" xfId="0" applyNumberFormat="1" applyFont="1" applyBorder="1" applyAlignment="1" applyProtection="1">
      <alignment vertical="center"/>
      <protection locked="0"/>
    </xf>
    <xf numFmtId="180" fontId="42" fillId="0" borderId="12" xfId="0" applyNumberFormat="1" applyFont="1" applyFill="1" applyBorder="1" applyAlignment="1" applyProtection="1">
      <alignment vertical="center"/>
      <protection locked="0"/>
    </xf>
    <xf numFmtId="180" fontId="42" fillId="4" borderId="8" xfId="0" applyNumberFormat="1" applyFont="1" applyFill="1" applyBorder="1" applyAlignment="1" applyProtection="1">
      <alignment vertical="center"/>
      <protection locked="0"/>
    </xf>
    <xf numFmtId="180" fontId="42" fillId="4" borderId="68" xfId="0" applyNumberFormat="1" applyFont="1" applyFill="1" applyBorder="1" applyAlignment="1" applyProtection="1">
      <alignment vertical="center"/>
      <protection locked="0"/>
    </xf>
    <xf numFmtId="180" fontId="42" fillId="0" borderId="19" xfId="0" applyNumberFormat="1" applyFont="1" applyBorder="1" applyAlignment="1">
      <alignment vertical="center"/>
    </xf>
    <xf numFmtId="180" fontId="42" fillId="0" borderId="8" xfId="0" applyNumberFormat="1" applyFont="1" applyBorder="1" applyAlignment="1">
      <alignment vertical="center"/>
    </xf>
    <xf numFmtId="180" fontId="42" fillId="0" borderId="12" xfId="0" applyNumberFormat="1" applyFont="1" applyBorder="1" applyAlignment="1">
      <alignment vertical="center"/>
    </xf>
    <xf numFmtId="180" fontId="42" fillId="3" borderId="34"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xf>
    <xf numFmtId="180" fontId="42" fillId="0" borderId="12" xfId="0" applyNumberFormat="1" applyFont="1" applyFill="1" applyBorder="1" applyAlignment="1" applyProtection="1">
      <alignment vertical="center"/>
    </xf>
    <xf numFmtId="10" fontId="42" fillId="0" borderId="34" xfId="0" applyNumberFormat="1" applyFont="1" applyBorder="1" applyAlignment="1">
      <alignment vertical="center"/>
    </xf>
    <xf numFmtId="10" fontId="42" fillId="0" borderId="34" xfId="0" applyNumberFormat="1" applyFont="1" applyFill="1" applyBorder="1" applyAlignment="1" applyProtection="1">
      <alignment vertical="center"/>
    </xf>
    <xf numFmtId="180" fontId="42" fillId="5" borderId="68" xfId="0" applyNumberFormat="1" applyFont="1" applyFill="1" applyBorder="1" applyAlignment="1">
      <alignment vertical="center"/>
    </xf>
    <xf numFmtId="180" fontId="42" fillId="3" borderId="68" xfId="0" applyNumberFormat="1" applyFont="1" applyFill="1" applyBorder="1" applyAlignment="1">
      <alignment vertical="center"/>
    </xf>
    <xf numFmtId="180" fontId="39" fillId="0" borderId="19" xfId="0" applyNumberFormat="1" applyFont="1" applyBorder="1" applyAlignment="1" applyProtection="1">
      <alignment vertical="center"/>
      <protection locked="0"/>
    </xf>
    <xf numFmtId="180" fontId="39" fillId="0" borderId="11" xfId="0" applyNumberFormat="1" applyFont="1" applyBorder="1" applyAlignment="1" applyProtection="1">
      <alignment vertical="center"/>
      <protection locked="0"/>
    </xf>
    <xf numFmtId="180" fontId="39" fillId="0" borderId="8" xfId="0" applyNumberFormat="1" applyFont="1" applyBorder="1" applyAlignment="1" applyProtection="1">
      <alignment vertical="center"/>
      <protection locked="0"/>
    </xf>
    <xf numFmtId="180" fontId="39" fillId="0" borderId="9" xfId="0" applyNumberFormat="1" applyFont="1" applyBorder="1" applyAlignment="1" applyProtection="1">
      <alignment vertical="center"/>
      <protection locked="0"/>
    </xf>
    <xf numFmtId="0" fontId="42" fillId="0" borderId="8" xfId="0" applyFont="1" applyFill="1" applyBorder="1" applyAlignment="1" applyProtection="1">
      <alignment vertical="center"/>
      <protection locked="0"/>
    </xf>
    <xf numFmtId="0" fontId="39" fillId="0" borderId="8" xfId="0" applyFont="1" applyBorder="1" applyAlignment="1" applyProtection="1">
      <alignment vertical="center"/>
      <protection locked="0"/>
    </xf>
    <xf numFmtId="0" fontId="39" fillId="0" borderId="9" xfId="0" applyFont="1" applyBorder="1" applyAlignment="1" applyProtection="1">
      <alignment vertical="center"/>
      <protection locked="0"/>
    </xf>
    <xf numFmtId="180" fontId="39" fillId="0" borderId="12" xfId="0" applyNumberFormat="1" applyFont="1" applyBorder="1" applyAlignment="1" applyProtection="1">
      <alignment vertical="center"/>
      <protection locked="0"/>
    </xf>
    <xf numFmtId="180" fontId="39" fillId="0" borderId="22" xfId="0" applyNumberFormat="1" applyFont="1" applyBorder="1" applyAlignment="1" applyProtection="1">
      <alignment vertical="center"/>
      <protection locked="0"/>
    </xf>
    <xf numFmtId="180" fontId="42" fillId="0" borderId="19" xfId="0" applyNumberFormat="1" applyFont="1" applyBorder="1" applyAlignment="1" applyProtection="1">
      <alignment vertical="center"/>
      <protection locked="0"/>
    </xf>
    <xf numFmtId="180" fontId="42" fillId="4" borderId="19" xfId="0" applyNumberFormat="1" applyFont="1" applyFill="1" applyBorder="1" applyAlignment="1" applyProtection="1">
      <alignment horizontal="center" vertical="center"/>
      <protection locked="0"/>
    </xf>
    <xf numFmtId="180" fontId="42" fillId="4" borderId="8" xfId="0" applyNumberFormat="1" applyFont="1" applyFill="1" applyBorder="1" applyProtection="1">
      <alignment vertical="center"/>
      <protection locked="0"/>
    </xf>
    <xf numFmtId="180" fontId="42" fillId="4" borderId="74" xfId="0" applyNumberFormat="1" applyFont="1" applyFill="1" applyBorder="1" applyAlignment="1" applyProtection="1">
      <alignment vertical="center"/>
      <protection locked="0"/>
    </xf>
    <xf numFmtId="180" fontId="42" fillId="0" borderId="19" xfId="0" applyNumberFormat="1" applyFont="1" applyFill="1" applyBorder="1" applyProtection="1">
      <alignment vertical="center"/>
      <protection locked="0"/>
    </xf>
    <xf numFmtId="180" fontId="42" fillId="0" borderId="19" xfId="0" applyNumberFormat="1" applyFont="1" applyBorder="1" applyProtection="1">
      <alignment vertical="center"/>
      <protection locked="0"/>
    </xf>
    <xf numFmtId="180" fontId="42" fillId="0" borderId="68" xfId="0" applyNumberFormat="1" applyFont="1" applyFill="1" applyBorder="1" applyProtection="1">
      <alignment vertical="center"/>
    </xf>
    <xf numFmtId="180" fontId="42" fillId="0" borderId="59" xfId="0" applyNumberFormat="1" applyFont="1" applyBorder="1" applyProtection="1">
      <alignment vertical="center"/>
      <protection locked="0"/>
    </xf>
    <xf numFmtId="180" fontId="42" fillId="4" borderId="11" xfId="0" applyNumberFormat="1" applyFont="1" applyFill="1" applyBorder="1" applyProtection="1">
      <alignment vertical="center"/>
      <protection locked="0"/>
    </xf>
    <xf numFmtId="180" fontId="42" fillId="4" borderId="72" xfId="0" applyNumberFormat="1" applyFont="1" applyFill="1" applyBorder="1" applyProtection="1">
      <alignment vertical="center"/>
      <protection locked="0"/>
    </xf>
    <xf numFmtId="180" fontId="42" fillId="0" borderId="74" xfId="0" applyNumberFormat="1" applyFont="1" applyFill="1" applyBorder="1" applyAlignment="1" applyProtection="1">
      <alignment horizontal="center" vertical="center"/>
    </xf>
    <xf numFmtId="10" fontId="42" fillId="5" borderId="19" xfId="0" applyNumberFormat="1" applyFont="1" applyFill="1" applyBorder="1" applyAlignment="1" applyProtection="1">
      <alignment vertical="center"/>
    </xf>
    <xf numFmtId="10" fontId="42" fillId="5" borderId="8" xfId="0" applyNumberFormat="1" applyFont="1" applyFill="1" applyBorder="1" applyAlignment="1" applyProtection="1">
      <alignment vertical="center"/>
    </xf>
    <xf numFmtId="10" fontId="42" fillId="5" borderId="68"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protection locked="0"/>
    </xf>
    <xf numFmtId="180" fontId="42" fillId="0" borderId="12" xfId="0" applyNumberFormat="1" applyFont="1" applyFill="1" applyBorder="1" applyAlignment="1" applyProtection="1">
      <alignment horizontal="center" vertical="center"/>
      <protection locked="0"/>
    </xf>
    <xf numFmtId="0" fontId="42" fillId="0" borderId="19" xfId="0" applyFont="1" applyFill="1" applyBorder="1" applyAlignment="1" applyProtection="1">
      <alignment horizontal="center" vertical="center"/>
      <protection locked="0"/>
    </xf>
    <xf numFmtId="180" fontId="42" fillId="0" borderId="8" xfId="0" applyNumberFormat="1" applyFont="1" applyBorder="1" applyProtection="1">
      <alignment vertical="center"/>
      <protection locked="0"/>
    </xf>
    <xf numFmtId="180" fontId="42" fillId="0" borderId="12" xfId="0" applyNumberFormat="1" applyFont="1" applyFill="1" applyBorder="1" applyAlignment="1" applyProtection="1">
      <alignment vertical="center"/>
    </xf>
    <xf numFmtId="180" fontId="42" fillId="0" borderId="12" xfId="0" applyNumberFormat="1" applyFont="1" applyBorder="1" applyProtection="1">
      <alignment vertical="center"/>
      <protection locked="0"/>
    </xf>
    <xf numFmtId="180" fontId="42" fillId="0" borderId="63" xfId="0" applyNumberFormat="1" applyFont="1" applyBorder="1" applyProtection="1">
      <alignment vertical="center"/>
      <protection locked="0"/>
    </xf>
    <xf numFmtId="180" fontId="42" fillId="0" borderId="19" xfId="0" applyNumberFormat="1" applyFont="1" applyBorder="1" applyProtection="1">
      <alignment vertical="center"/>
      <protection locked="0"/>
    </xf>
    <xf numFmtId="180" fontId="42" fillId="0" borderId="8" xfId="0" applyNumberFormat="1" applyFont="1" applyFill="1" applyBorder="1" applyAlignment="1" applyProtection="1">
      <alignment vertical="center"/>
    </xf>
    <xf numFmtId="180" fontId="42" fillId="0" borderId="19" xfId="0" applyNumberFormat="1" applyFont="1" applyBorder="1" applyAlignment="1" applyProtection="1">
      <alignment vertical="center"/>
      <protection locked="0"/>
    </xf>
    <xf numFmtId="180" fontId="42" fillId="0" borderId="8" xfId="0" applyNumberFormat="1" applyFont="1" applyBorder="1" applyAlignment="1" applyProtection="1">
      <alignment vertical="center"/>
      <protection locked="0"/>
    </xf>
    <xf numFmtId="180" fontId="42" fillId="0" borderId="12" xfId="0" applyNumberFormat="1" applyFont="1" applyBorder="1" applyAlignment="1" applyProtection="1">
      <alignment vertical="center"/>
      <protection locked="0"/>
    </xf>
    <xf numFmtId="190" fontId="42" fillId="0" borderId="9" xfId="5" applyNumberFormat="1" applyFont="1" applyFill="1" applyBorder="1" applyAlignment="1" applyProtection="1">
      <alignment vertical="center"/>
      <protection locked="0"/>
    </xf>
    <xf numFmtId="190" fontId="42" fillId="0" borderId="22" xfId="5" applyNumberFormat="1" applyFont="1" applyFill="1" applyBorder="1" applyAlignment="1" applyProtection="1">
      <alignment vertical="center"/>
      <protection locked="0"/>
    </xf>
    <xf numFmtId="190" fontId="42" fillId="0" borderId="35" xfId="5" applyNumberFormat="1" applyFont="1" applyFill="1" applyBorder="1" applyAlignment="1" applyProtection="1">
      <alignment horizontal="center" vertical="center"/>
      <protection locked="0"/>
    </xf>
    <xf numFmtId="180" fontId="42" fillId="0" borderId="8" xfId="0" applyNumberFormat="1" applyFont="1" applyBorder="1" applyAlignment="1" applyProtection="1">
      <alignment horizontal="center" vertical="center"/>
      <protection locked="0"/>
    </xf>
    <xf numFmtId="180" fontId="42" fillId="6" borderId="8" xfId="0" applyNumberFormat="1" applyFont="1" applyFill="1" applyBorder="1" applyAlignment="1" applyProtection="1">
      <alignment horizontal="center" vertical="center"/>
      <protection locked="0"/>
    </xf>
    <xf numFmtId="180" fontId="42" fillId="2" borderId="12" xfId="0" applyNumberFormat="1" applyFont="1" applyFill="1" applyBorder="1" applyAlignment="1" applyProtection="1">
      <alignment horizontal="center" vertical="center"/>
      <protection locked="0"/>
    </xf>
    <xf numFmtId="180" fontId="42" fillId="0" borderId="19" xfId="0" applyNumberFormat="1" applyFont="1" applyBorder="1" applyAlignment="1" applyProtection="1">
      <alignment horizontal="center" vertical="center"/>
      <protection locked="0"/>
    </xf>
    <xf numFmtId="180" fontId="42" fillId="0" borderId="19" xfId="0" applyNumberFormat="1" applyFont="1" applyFill="1" applyBorder="1" applyAlignment="1" applyProtection="1">
      <alignment horizontal="center" vertical="center"/>
      <protection locked="0"/>
    </xf>
    <xf numFmtId="180" fontId="42" fillId="0" borderId="17" xfId="0" applyNumberFormat="1" applyFont="1" applyFill="1" applyBorder="1" applyAlignment="1" applyProtection="1">
      <alignment vertical="center" wrapText="1"/>
      <protection locked="0"/>
    </xf>
    <xf numFmtId="180" fontId="42" fillId="4" borderId="16" xfId="0" applyNumberFormat="1" applyFont="1" applyFill="1" applyBorder="1" applyAlignment="1" applyProtection="1">
      <alignment vertical="center"/>
      <protection locked="0"/>
    </xf>
    <xf numFmtId="180" fontId="42" fillId="0" borderId="64" xfId="0" applyNumberFormat="1" applyFont="1" applyFill="1" applyBorder="1" applyAlignment="1" applyProtection="1">
      <alignment horizontal="center" vertical="center"/>
      <protection locked="0"/>
    </xf>
    <xf numFmtId="180" fontId="42" fillId="0" borderId="61" xfId="0" applyNumberFormat="1" applyFont="1" applyBorder="1" applyAlignment="1" applyProtection="1">
      <alignment vertical="center"/>
      <protection locked="0"/>
    </xf>
    <xf numFmtId="180" fontId="42" fillId="0" borderId="11" xfId="0" applyNumberFormat="1" applyFont="1" applyBorder="1" applyAlignment="1" applyProtection="1">
      <protection locked="0"/>
    </xf>
    <xf numFmtId="180" fontId="42" fillId="0" borderId="23" xfId="0" applyNumberFormat="1" applyFont="1" applyBorder="1" applyAlignment="1" applyProtection="1">
      <alignment vertical="center"/>
      <protection locked="0"/>
    </xf>
    <xf numFmtId="180" fontId="42" fillId="0" borderId="9" xfId="0" applyNumberFormat="1" applyFont="1" applyBorder="1" applyAlignment="1" applyProtection="1">
      <protection locked="0"/>
    </xf>
    <xf numFmtId="180" fontId="42" fillId="0" borderId="17" xfId="0" applyNumberFormat="1" applyFont="1" applyBorder="1" applyAlignment="1" applyProtection="1">
      <alignment vertical="center"/>
      <protection locked="0"/>
    </xf>
    <xf numFmtId="180" fontId="42" fillId="0" borderId="22" xfId="0" applyNumberFormat="1" applyFont="1" applyBorder="1" applyAlignment="1" applyProtection="1">
      <protection locked="0"/>
    </xf>
    <xf numFmtId="0" fontId="42" fillId="0" borderId="67" xfId="0" applyFont="1" applyFill="1" applyBorder="1" applyAlignment="1" applyProtection="1">
      <alignment horizontal="center" vertical="center"/>
      <protection locked="0"/>
    </xf>
    <xf numFmtId="180" fontId="42" fillId="0" borderId="12" xfId="0" applyNumberFormat="1" applyFont="1" applyBorder="1" applyProtection="1">
      <alignment vertical="center"/>
      <protection locked="0"/>
    </xf>
    <xf numFmtId="180" fontId="42" fillId="0" borderId="19" xfId="0" applyNumberFormat="1" applyFont="1" applyBorder="1" applyAlignment="1">
      <alignment vertical="center"/>
    </xf>
    <xf numFmtId="180" fontId="42" fillId="3" borderId="19" xfId="0" applyNumberFormat="1" applyFont="1" applyFill="1" applyBorder="1" applyAlignment="1">
      <alignment vertical="center" wrapText="1"/>
    </xf>
    <xf numFmtId="180" fontId="42" fillId="3" borderId="11" xfId="0" applyNumberFormat="1" applyFont="1" applyFill="1" applyBorder="1" applyAlignment="1">
      <alignment vertical="center"/>
    </xf>
    <xf numFmtId="180" fontId="42" fillId="0" borderId="8" xfId="0" applyNumberFormat="1" applyFont="1" applyBorder="1" applyAlignment="1">
      <alignment vertical="center"/>
    </xf>
    <xf numFmtId="180" fontId="42" fillId="3" borderId="8" xfId="0" applyNumberFormat="1" applyFont="1" applyFill="1" applyBorder="1" applyAlignment="1">
      <alignment vertical="center" wrapText="1"/>
    </xf>
    <xf numFmtId="180" fontId="42" fillId="3" borderId="9" xfId="0" applyNumberFormat="1" applyFont="1" applyFill="1" applyBorder="1" applyAlignment="1">
      <alignment vertical="center"/>
    </xf>
    <xf numFmtId="180" fontId="42" fillId="3" borderId="12" xfId="0" applyNumberFormat="1" applyFont="1" applyFill="1" applyBorder="1" applyAlignment="1">
      <alignment vertical="center"/>
    </xf>
    <xf numFmtId="180" fontId="42" fillId="3" borderId="22" xfId="0" applyNumberFormat="1" applyFont="1" applyFill="1" applyBorder="1" applyAlignment="1">
      <alignment vertical="center"/>
    </xf>
    <xf numFmtId="180" fontId="42" fillId="0" borderId="63" xfId="0" applyNumberFormat="1" applyFont="1" applyBorder="1" applyAlignment="1">
      <alignment horizontal="center" vertical="center"/>
    </xf>
    <xf numFmtId="180" fontId="42" fillId="3" borderId="63" xfId="0" applyNumberFormat="1" applyFont="1" applyFill="1" applyBorder="1" applyAlignment="1">
      <alignment vertical="center"/>
    </xf>
    <xf numFmtId="180" fontId="42" fillId="0" borderId="63" xfId="0" applyNumberFormat="1" applyFont="1" applyBorder="1" applyAlignment="1">
      <alignment vertical="center"/>
    </xf>
    <xf numFmtId="180" fontId="42" fillId="3" borderId="72" xfId="0" applyNumberFormat="1" applyFont="1" applyFill="1" applyBorder="1" applyAlignment="1">
      <alignment vertical="center"/>
    </xf>
    <xf numFmtId="180" fontId="42" fillId="0" borderId="8" xfId="0" applyNumberFormat="1" applyFont="1" applyBorder="1" applyAlignment="1">
      <alignment horizontal="center" vertical="center"/>
    </xf>
    <xf numFmtId="180" fontId="42" fillId="3" borderId="8" xfId="0" applyNumberFormat="1" applyFont="1" applyFill="1" applyBorder="1" applyAlignment="1">
      <alignment vertical="center"/>
    </xf>
    <xf numFmtId="180" fontId="42" fillId="0" borderId="8" xfId="0" applyNumberFormat="1" applyFont="1" applyBorder="1" applyAlignment="1" applyProtection="1">
      <alignment horizontal="left" vertical="center"/>
      <protection locked="0"/>
    </xf>
    <xf numFmtId="180" fontId="42" fillId="0" borderId="19" xfId="0" applyNumberFormat="1" applyFont="1" applyBorder="1" applyAlignment="1" applyProtection="1">
      <alignment vertical="center" shrinkToFit="1"/>
      <protection locked="0"/>
    </xf>
    <xf numFmtId="180" fontId="42" fillId="0" borderId="19" xfId="0" applyNumberFormat="1" applyFont="1" applyBorder="1" applyAlignment="1" applyProtection="1">
      <alignment horizontal="center" vertical="center" shrinkToFit="1"/>
      <protection locked="0"/>
    </xf>
    <xf numFmtId="180" fontId="42" fillId="4" borderId="3" xfId="0" applyNumberFormat="1" applyFont="1" applyFill="1" applyBorder="1" applyProtection="1">
      <alignment vertical="center"/>
      <protection locked="0"/>
    </xf>
    <xf numFmtId="180" fontId="42" fillId="0" borderId="3" xfId="0" applyNumberFormat="1" applyFont="1" applyFill="1" applyBorder="1" applyProtection="1">
      <alignment vertical="center"/>
      <protection locked="0"/>
    </xf>
    <xf numFmtId="180" fontId="42" fillId="0" borderId="3" xfId="0" applyNumberFormat="1" applyFont="1" applyBorder="1" applyProtection="1">
      <alignment vertical="center"/>
      <protection locked="0"/>
    </xf>
    <xf numFmtId="180" fontId="42" fillId="4" borderId="3" xfId="0" applyNumberFormat="1" applyFont="1" applyFill="1" applyBorder="1" applyAlignment="1" applyProtection="1">
      <alignment vertical="center" wrapText="1"/>
      <protection locked="0"/>
    </xf>
    <xf numFmtId="180" fontId="42" fillId="0" borderId="8" xfId="0" applyNumberFormat="1" applyFont="1" applyBorder="1" applyAlignment="1" applyProtection="1">
      <alignment horizontal="center" vertical="center" shrinkToFit="1"/>
      <protection locked="0"/>
    </xf>
    <xf numFmtId="180" fontId="42" fillId="0" borderId="68" xfId="0" applyNumberFormat="1" applyFont="1" applyBorder="1" applyAlignment="1" applyProtection="1">
      <alignment horizontal="center" vertical="center" shrinkToFit="1"/>
      <protection locked="0"/>
    </xf>
    <xf numFmtId="180" fontId="42" fillId="0" borderId="23" xfId="0" applyNumberFormat="1" applyFont="1" applyBorder="1" applyAlignment="1" applyProtection="1">
      <alignment vertical="center" shrinkToFit="1"/>
      <protection locked="0"/>
    </xf>
    <xf numFmtId="180" fontId="2" fillId="0" borderId="62" xfId="0" applyNumberFormat="1" applyFont="1" applyBorder="1" applyAlignment="1" applyProtection="1">
      <alignment vertical="center" shrinkToFit="1"/>
      <protection locked="0"/>
    </xf>
    <xf numFmtId="180" fontId="2" fillId="0" borderId="23" xfId="0" applyNumberFormat="1" applyFont="1" applyBorder="1" applyAlignment="1" applyProtection="1">
      <alignment vertical="center" shrinkToFit="1"/>
      <protection locked="0"/>
    </xf>
    <xf numFmtId="180" fontId="42" fillId="0" borderId="79" xfId="0" applyNumberFormat="1" applyFont="1" applyBorder="1" applyAlignment="1" applyProtection="1">
      <alignment vertical="center" shrinkToFit="1"/>
      <protection locked="0"/>
    </xf>
    <xf numFmtId="180" fontId="42" fillId="0" borderId="62" xfId="0" applyNumberFormat="1" applyFont="1" applyBorder="1" applyAlignment="1" applyProtection="1">
      <alignment vertical="center" shrinkToFit="1"/>
      <protection locked="0"/>
    </xf>
    <xf numFmtId="180" fontId="42" fillId="0" borderId="17" xfId="0" applyNumberFormat="1" applyFont="1" applyBorder="1" applyAlignment="1" applyProtection="1">
      <alignment vertical="center" shrinkToFit="1"/>
      <protection locked="0"/>
    </xf>
    <xf numFmtId="0" fontId="12" fillId="0" borderId="0" xfId="2" applyProtection="1">
      <alignment vertical="center"/>
      <protection locked="0"/>
    </xf>
    <xf numFmtId="180" fontId="2" fillId="0" borderId="19" xfId="0" applyNumberFormat="1" applyFont="1" applyBorder="1" applyAlignment="1">
      <alignment vertical="center"/>
    </xf>
    <xf numFmtId="180" fontId="2" fillId="0" borderId="1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180" fontId="2" fillId="0" borderId="8" xfId="0" applyNumberFormat="1" applyFont="1" applyBorder="1" applyAlignment="1">
      <alignment vertical="center"/>
    </xf>
    <xf numFmtId="180" fontId="2" fillId="0" borderId="8"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xf>
    <xf numFmtId="180" fontId="2" fillId="0" borderId="12" xfId="0" applyNumberFormat="1" applyFont="1" applyBorder="1" applyAlignment="1">
      <alignment vertical="center"/>
    </xf>
    <xf numFmtId="180" fontId="2" fillId="0" borderId="12" xfId="0" applyNumberFormat="1" applyFont="1" applyFill="1" applyBorder="1" applyAlignment="1" applyProtection="1">
      <alignment vertical="center"/>
    </xf>
    <xf numFmtId="180" fontId="42" fillId="0" borderId="12" xfId="0" applyNumberFormat="1" applyFont="1" applyFill="1" applyBorder="1" applyAlignment="1" applyProtection="1">
      <alignment vertical="center"/>
    </xf>
    <xf numFmtId="180" fontId="42" fillId="3" borderId="8" xfId="5" applyNumberFormat="1" applyFont="1" applyFill="1" applyBorder="1" applyAlignment="1" applyProtection="1">
      <alignment horizontal="right" vertical="center" wrapText="1"/>
      <protection hidden="1"/>
    </xf>
    <xf numFmtId="180" fontId="42" fillId="0" borderId="8" xfId="5" applyNumberFormat="1" applyFont="1" applyFill="1" applyBorder="1" applyAlignment="1" applyProtection="1">
      <alignment horizontal="right" vertical="center" wrapText="1"/>
      <protection locked="0"/>
    </xf>
    <xf numFmtId="180" fontId="42" fillId="5" borderId="8" xfId="5" applyNumberFormat="1" applyFont="1" applyFill="1" applyBorder="1" applyAlignment="1" applyProtection="1">
      <alignment horizontal="right" vertical="center" wrapText="1"/>
      <protection hidden="1"/>
    </xf>
    <xf numFmtId="180" fontId="76" fillId="0" borderId="8" xfId="5" applyNumberFormat="1" applyFont="1" applyFill="1" applyBorder="1" applyAlignment="1" applyProtection="1">
      <alignment horizontal="right" vertical="center" wrapText="1"/>
      <protection locked="0"/>
    </xf>
    <xf numFmtId="180" fontId="42" fillId="3" borderId="12" xfId="5" applyNumberFormat="1" applyFont="1" applyFill="1" applyBorder="1" applyAlignment="1" applyProtection="1">
      <alignment horizontal="right" vertical="center" wrapText="1"/>
      <protection hidden="1"/>
    </xf>
    <xf numFmtId="180" fontId="42" fillId="3" borderId="19" xfId="5" applyNumberFormat="1" applyFont="1" applyFill="1" applyBorder="1" applyAlignment="1" applyProtection="1">
      <alignment horizontal="right" vertical="center"/>
      <protection hidden="1"/>
    </xf>
    <xf numFmtId="180" fontId="42" fillId="3" borderId="19" xfId="5" applyNumberFormat="1" applyFont="1" applyFill="1" applyBorder="1" applyAlignment="1" applyProtection="1">
      <alignment vertical="center"/>
      <protection hidden="1"/>
    </xf>
    <xf numFmtId="180" fontId="42" fillId="0" borderId="8" xfId="5" applyNumberFormat="1" applyFont="1" applyFill="1" applyBorder="1" applyAlignment="1" applyProtection="1">
      <alignment vertical="center"/>
      <protection locked="0"/>
    </xf>
    <xf numFmtId="180" fontId="42" fillId="3" borderId="8" xfId="5" applyNumberFormat="1" applyFont="1" applyFill="1" applyBorder="1" applyAlignment="1" applyProtection="1">
      <alignment vertical="center"/>
      <protection hidden="1"/>
    </xf>
    <xf numFmtId="180" fontId="42" fillId="3" borderId="8" xfId="5" applyNumberFormat="1" applyFont="1" applyFill="1" applyBorder="1" applyAlignment="1" applyProtection="1">
      <alignment horizontal="right" vertical="center"/>
      <protection hidden="1"/>
    </xf>
    <xf numFmtId="180" fontId="42" fillId="0" borderId="12" xfId="5" applyNumberFormat="1" applyFont="1" applyFill="1" applyBorder="1" applyAlignment="1" applyProtection="1">
      <alignment vertical="center"/>
      <protection locked="0"/>
    </xf>
    <xf numFmtId="180" fontId="42" fillId="3" borderId="12" xfId="5" applyNumberFormat="1" applyFont="1" applyFill="1" applyBorder="1" applyAlignment="1" applyProtection="1">
      <alignment horizontal="right" vertical="center"/>
      <protection hidden="1"/>
    </xf>
    <xf numFmtId="180" fontId="42" fillId="3" borderId="34" xfId="5" applyNumberFormat="1" applyFont="1" applyFill="1" applyBorder="1" applyAlignment="1" applyProtection="1">
      <alignment vertical="center"/>
      <protection hidden="1"/>
    </xf>
    <xf numFmtId="0" fontId="13" fillId="2" borderId="8" xfId="2" applyNumberFormat="1" applyFont="1" applyFill="1" applyBorder="1" applyProtection="1">
      <alignment vertical="center"/>
    </xf>
    <xf numFmtId="180" fontId="42" fillId="0" borderId="9" xfId="0" applyNumberFormat="1" applyFont="1" applyBorder="1">
      <alignment vertical="center"/>
    </xf>
    <xf numFmtId="180" fontId="42" fillId="13" borderId="22" xfId="0" applyNumberFormat="1" applyFont="1" applyFill="1" applyBorder="1">
      <alignment vertical="center"/>
    </xf>
    <xf numFmtId="180" fontId="42" fillId="0" borderId="19" xfId="0" applyNumberFormat="1" applyFont="1" applyBorder="1">
      <alignment vertical="center"/>
    </xf>
    <xf numFmtId="180" fontId="42" fillId="0" borderId="8" xfId="0" applyNumberFormat="1" applyFont="1" applyBorder="1">
      <alignment vertical="center"/>
    </xf>
    <xf numFmtId="180" fontId="76" fillId="3" borderId="8" xfId="2" applyNumberFormat="1" applyFont="1" applyFill="1" applyBorder="1" applyProtection="1">
      <alignment vertical="center"/>
      <protection hidden="1"/>
    </xf>
    <xf numFmtId="180" fontId="76" fillId="3" borderId="8" xfId="2" applyNumberFormat="1" applyFont="1" applyFill="1" applyBorder="1" applyProtection="1">
      <alignment vertical="center"/>
      <protection locked="0"/>
    </xf>
    <xf numFmtId="180" fontId="42" fillId="0" borderId="8" xfId="5" applyNumberFormat="1" applyFont="1" applyFill="1" applyBorder="1" applyAlignment="1" applyProtection="1">
      <alignment horizontal="center"/>
      <protection locked="0"/>
    </xf>
    <xf numFmtId="0" fontId="12" fillId="0" borderId="0" xfId="2" applyNumberFormat="1" applyFill="1" applyBorder="1" applyProtection="1">
      <alignment vertical="center"/>
      <protection locked="0"/>
    </xf>
    <xf numFmtId="0" fontId="2" fillId="0" borderId="72" xfId="0" applyFont="1" applyFill="1" applyBorder="1" applyAlignment="1" applyProtection="1">
      <alignment horizontal="center" vertical="center"/>
      <protection locked="0"/>
    </xf>
    <xf numFmtId="0" fontId="77" fillId="2" borderId="82" xfId="0" applyFont="1" applyFill="1" applyBorder="1" applyAlignment="1" applyProtection="1">
      <alignment horizontal="center" vertical="center" wrapText="1"/>
      <protection locked="0"/>
    </xf>
    <xf numFmtId="0" fontId="79" fillId="0" borderId="0" xfId="2" applyNumberFormat="1" applyFont="1" applyFill="1" applyBorder="1" applyProtection="1">
      <alignment vertical="center"/>
      <protection locked="0"/>
    </xf>
    <xf numFmtId="0" fontId="79" fillId="4" borderId="0" xfId="2" applyFont="1" applyFill="1">
      <alignment vertical="center"/>
    </xf>
    <xf numFmtId="0" fontId="2" fillId="2" borderId="71" xfId="0" applyFont="1" applyFill="1" applyBorder="1" applyAlignment="1" applyProtection="1">
      <alignment horizontal="center" vertical="center" wrapText="1"/>
      <protection hidden="1"/>
    </xf>
    <xf numFmtId="0" fontId="2" fillId="2" borderId="63" xfId="0" applyFont="1" applyFill="1" applyBorder="1" applyAlignment="1" applyProtection="1">
      <alignment horizontal="center" vertical="center" wrapText="1"/>
      <protection hidden="1"/>
    </xf>
    <xf numFmtId="0" fontId="2" fillId="0" borderId="63" xfId="0" applyFont="1" applyFill="1" applyBorder="1" applyAlignment="1" applyProtection="1">
      <alignment horizontal="center" vertical="center" wrapText="1"/>
      <protection hidden="1"/>
    </xf>
    <xf numFmtId="189" fontId="2" fillId="0" borderId="63" xfId="4" applyNumberFormat="1" applyFont="1" applyFill="1" applyBorder="1" applyAlignment="1" applyProtection="1">
      <alignment horizontal="center" vertical="center" wrapText="1"/>
      <protection hidden="1"/>
    </xf>
    <xf numFmtId="180" fontId="42" fillId="0" borderId="3" xfId="0" applyNumberFormat="1" applyFont="1" applyFill="1" applyBorder="1" applyAlignment="1" applyProtection="1">
      <alignment vertical="center" wrapText="1"/>
    </xf>
    <xf numFmtId="0" fontId="2" fillId="14" borderId="93" xfId="0" applyFont="1" applyFill="1" applyBorder="1" applyAlignment="1">
      <alignment horizontal="center" vertical="center" wrapText="1"/>
    </xf>
    <xf numFmtId="0" fontId="80" fillId="0" borderId="0" xfId="0" applyFont="1" applyAlignment="1">
      <alignment horizontal="justify" vertical="center"/>
    </xf>
    <xf numFmtId="0" fontId="57" fillId="0" borderId="93" xfId="0" applyFont="1" applyBorder="1" applyAlignment="1">
      <alignment horizontal="justify" vertical="center" wrapText="1"/>
    </xf>
    <xf numFmtId="177" fontId="42" fillId="13" borderId="93" xfId="0" applyNumberFormat="1" applyFont="1" applyFill="1" applyBorder="1" applyAlignment="1">
      <alignment horizontal="justify" vertical="center" wrapText="1"/>
    </xf>
    <xf numFmtId="0" fontId="57" fillId="0" borderId="0" xfId="0" applyFont="1" applyAlignment="1">
      <alignment horizontal="justify" vertical="center"/>
    </xf>
    <xf numFmtId="0" fontId="11" fillId="14" borderId="4" xfId="2" applyNumberFormat="1" applyFont="1" applyFill="1" applyBorder="1" applyProtection="1">
      <alignment vertical="center"/>
      <protection locked="0"/>
    </xf>
    <xf numFmtId="0" fontId="11" fillId="14" borderId="3" xfId="2" applyNumberFormat="1" applyFont="1" applyFill="1" applyBorder="1" applyProtection="1">
      <alignment vertical="center"/>
      <protection locked="0"/>
    </xf>
    <xf numFmtId="0" fontId="2" fillId="0" borderId="0" xfId="0" applyFont="1" applyFill="1" applyBorder="1" applyAlignment="1" applyProtection="1">
      <alignment vertical="center"/>
      <protection locked="0"/>
    </xf>
    <xf numFmtId="0" fontId="2" fillId="14" borderId="19" xfId="0" applyFont="1" applyFill="1" applyBorder="1">
      <alignment vertical="center"/>
    </xf>
    <xf numFmtId="0" fontId="2" fillId="14" borderId="7" xfId="0" applyFont="1" applyFill="1" applyBorder="1" applyAlignment="1">
      <alignment horizontal="justify" vertical="center"/>
    </xf>
    <xf numFmtId="0" fontId="2" fillId="14" borderId="8" xfId="0" applyFont="1" applyFill="1" applyBorder="1">
      <alignment vertical="center"/>
    </xf>
    <xf numFmtId="0" fontId="0" fillId="12" borderId="8" xfId="0" applyFill="1" applyBorder="1">
      <alignment vertical="center"/>
    </xf>
    <xf numFmtId="0" fontId="2" fillId="14" borderId="10" xfId="0" applyFont="1" applyFill="1" applyBorder="1">
      <alignment vertical="center"/>
    </xf>
    <xf numFmtId="0" fontId="2" fillId="12" borderId="12" xfId="0" applyFont="1" applyFill="1" applyBorder="1" applyAlignment="1">
      <alignment vertical="center"/>
    </xf>
    <xf numFmtId="0" fontId="2" fillId="14" borderId="12" xfId="0" applyFont="1" applyFill="1" applyBorder="1">
      <alignment vertical="center"/>
    </xf>
    <xf numFmtId="0" fontId="2" fillId="12" borderId="12" xfId="0" applyFont="1" applyFill="1" applyBorder="1">
      <alignment vertical="center"/>
    </xf>
    <xf numFmtId="0" fontId="2" fillId="14" borderId="6" xfId="0" applyFont="1" applyFill="1" applyBorder="1" applyAlignment="1">
      <alignment horizontal="justify" vertical="center"/>
    </xf>
    <xf numFmtId="0" fontId="2" fillId="12" borderId="19" xfId="0" applyFont="1" applyFill="1" applyBorder="1" applyAlignment="1">
      <alignment vertical="center"/>
    </xf>
    <xf numFmtId="0" fontId="2" fillId="14" borderId="19" xfId="0" applyFont="1" applyFill="1" applyBorder="1" applyAlignment="1">
      <alignment vertical="center"/>
    </xf>
    <xf numFmtId="49" fontId="2" fillId="12" borderId="19" xfId="0" applyNumberFormat="1" applyFont="1" applyFill="1" applyBorder="1">
      <alignment vertical="center"/>
    </xf>
    <xf numFmtId="0" fontId="2" fillId="14" borderId="10" xfId="0" applyFont="1" applyFill="1" applyBorder="1" applyAlignment="1">
      <alignment horizontal="justify" vertical="center"/>
    </xf>
    <xf numFmtId="0" fontId="2" fillId="14" borderId="12" xfId="0" applyFont="1" applyFill="1" applyBorder="1" applyAlignment="1">
      <alignment vertical="center"/>
    </xf>
    <xf numFmtId="49" fontId="2" fillId="12" borderId="12" xfId="0" applyNumberFormat="1" applyFont="1" applyFill="1" applyBorder="1">
      <alignment vertical="center"/>
    </xf>
    <xf numFmtId="0" fontId="0" fillId="14" borderId="12" xfId="0" applyFill="1" applyBorder="1">
      <alignment vertical="center"/>
    </xf>
    <xf numFmtId="0" fontId="0" fillId="0" borderId="93" xfId="0" applyBorder="1">
      <alignment vertical="center"/>
    </xf>
    <xf numFmtId="0" fontId="0" fillId="14" borderId="93" xfId="0" applyFill="1" applyBorder="1" applyAlignment="1">
      <alignment horizontal="center" vertical="center"/>
    </xf>
    <xf numFmtId="49" fontId="53" fillId="0" borderId="93" xfId="0" applyNumberFormat="1" applyFont="1" applyFill="1" applyBorder="1" applyAlignment="1">
      <alignment horizontal="left" vertical="center" wrapText="1"/>
    </xf>
    <xf numFmtId="0" fontId="53" fillId="15" borderId="0" xfId="0" applyFont="1" applyFill="1" applyAlignment="1">
      <alignment vertical="center" wrapText="1"/>
    </xf>
    <xf numFmtId="0" fontId="53" fillId="0" borderId="93" xfId="0" applyFont="1" applyBorder="1" applyAlignment="1">
      <alignment horizontal="right" vertical="center" indent="1"/>
    </xf>
    <xf numFmtId="0" fontId="53" fillId="0" borderId="93" xfId="0" applyFont="1" applyBorder="1">
      <alignment vertical="center"/>
    </xf>
    <xf numFmtId="0" fontId="53" fillId="15" borderId="0" xfId="0" applyFont="1" applyFill="1" applyBorder="1" applyAlignment="1">
      <alignment horizontal="center" vertical="center" wrapText="1"/>
    </xf>
    <xf numFmtId="0" fontId="53" fillId="15" borderId="93" xfId="0" applyFont="1" applyFill="1" applyBorder="1" applyAlignment="1">
      <alignment horizontal="center" vertical="center" wrapText="1"/>
    </xf>
    <xf numFmtId="0" fontId="53" fillId="15" borderId="93" xfId="0" applyFont="1" applyFill="1" applyBorder="1" applyAlignment="1">
      <alignment horizontal="center" vertical="center" wrapText="1"/>
    </xf>
    <xf numFmtId="0" fontId="83" fillId="15" borderId="93" xfId="0" applyFont="1" applyFill="1" applyBorder="1" applyAlignment="1">
      <alignment horizontal="center" vertical="center" wrapText="1"/>
    </xf>
    <xf numFmtId="49" fontId="53" fillId="0" borderId="93" xfId="0" applyNumberFormat="1" applyFont="1" applyFill="1" applyBorder="1" applyAlignment="1">
      <alignment horizontal="center" vertical="center" wrapText="1"/>
    </xf>
    <xf numFmtId="189" fontId="53" fillId="0" borderId="93" xfId="0" applyNumberFormat="1" applyFont="1" applyFill="1" applyBorder="1" applyAlignment="1">
      <alignment horizontal="right" vertical="center" wrapText="1" indent="1"/>
    </xf>
    <xf numFmtId="0" fontId="53" fillId="13" borderId="93" xfId="0" applyFont="1" applyFill="1" applyBorder="1" applyAlignment="1">
      <alignment horizontal="center" vertical="center" wrapText="1"/>
    </xf>
    <xf numFmtId="0" fontId="82" fillId="0" borderId="0" xfId="0" applyFont="1" applyProtection="1">
      <alignment vertical="center"/>
      <protection locked="0"/>
    </xf>
    <xf numFmtId="177" fontId="0" fillId="12" borderId="3" xfId="0" applyNumberFormat="1" applyFont="1" applyFill="1" applyBorder="1" applyAlignment="1" applyProtection="1">
      <alignment horizontal="left" vertical="center" wrapText="1"/>
      <protection locked="0"/>
    </xf>
    <xf numFmtId="180" fontId="42" fillId="0" borderId="8" xfId="0" applyNumberFormat="1" applyFont="1" applyBorder="1" applyAlignment="1" applyProtection="1">
      <alignment vertical="center"/>
      <protection locked="0"/>
    </xf>
    <xf numFmtId="49" fontId="0" fillId="0" borderId="0" xfId="0" applyNumberFormat="1">
      <alignment vertical="center"/>
    </xf>
    <xf numFmtId="49" fontId="0" fillId="16" borderId="0" xfId="0" applyNumberFormat="1" applyFill="1">
      <alignment vertical="center"/>
    </xf>
    <xf numFmtId="49" fontId="74" fillId="0" borderId="0" xfId="0" applyNumberFormat="1" applyFont="1">
      <alignment vertical="center"/>
    </xf>
    <xf numFmtId="186" fontId="53" fillId="17" borderId="8" xfId="0" applyNumberFormat="1" applyFont="1" applyFill="1" applyBorder="1" applyProtection="1">
      <alignment vertical="center"/>
      <protection locked="0"/>
    </xf>
    <xf numFmtId="176" fontId="2" fillId="0" borderId="0" xfId="0" applyNumberFormat="1" applyFont="1">
      <alignment vertical="center"/>
    </xf>
    <xf numFmtId="0" fontId="0" fillId="0" borderId="0" xfId="0" applyNumberFormat="1">
      <alignment vertical="center"/>
    </xf>
    <xf numFmtId="0" fontId="84" fillId="18" borderId="0" xfId="6">
      <alignment vertical="center"/>
    </xf>
    <xf numFmtId="49" fontId="2" fillId="0" borderId="8" xfId="0" applyNumberFormat="1" applyFont="1" applyBorder="1" applyAlignment="1" applyProtection="1">
      <alignment horizontal="left" vertical="center"/>
      <protection locked="0"/>
    </xf>
    <xf numFmtId="0" fontId="74" fillId="0" borderId="0" xfId="0" applyNumberFormat="1" applyFont="1">
      <alignment vertical="center"/>
    </xf>
    <xf numFmtId="176" fontId="0" fillId="0" borderId="0" xfId="0" applyNumberFormat="1">
      <alignment vertical="center"/>
    </xf>
    <xf numFmtId="0" fontId="74" fillId="0" borderId="0" xfId="0" applyFont="1">
      <alignment vertical="center"/>
    </xf>
    <xf numFmtId="0" fontId="0" fillId="0" borderId="0" xfId="0" applyFill="1">
      <alignment vertical="center"/>
    </xf>
    <xf numFmtId="0" fontId="87" fillId="18" borderId="0" xfId="6" applyFont="1">
      <alignment vertical="center"/>
    </xf>
    <xf numFmtId="0" fontId="2" fillId="2" borderId="10" xfId="0" applyFont="1" applyFill="1" applyBorder="1" applyAlignment="1" applyProtection="1">
      <alignment horizontal="center" vertical="center" wrapText="1"/>
      <protection locked="0"/>
    </xf>
    <xf numFmtId="0" fontId="88" fillId="19" borderId="0" xfId="7" applyNumberFormat="1" applyFont="1">
      <alignment vertical="center"/>
    </xf>
    <xf numFmtId="0" fontId="85" fillId="19" borderId="0" xfId="7" applyNumberFormat="1">
      <alignment vertical="center"/>
    </xf>
    <xf numFmtId="0" fontId="74" fillId="0" borderId="0" xfId="0" applyFont="1" applyProtection="1">
      <alignment vertical="center"/>
      <protection locked="0"/>
    </xf>
    <xf numFmtId="0" fontId="74" fillId="0" borderId="0" xfId="0" applyFont="1" applyProtection="1">
      <alignment vertical="center"/>
      <protection locked="0"/>
    </xf>
    <xf numFmtId="0" fontId="74" fillId="0" borderId="0" xfId="0" applyFont="1" applyProtection="1">
      <alignment vertical="center"/>
      <protection locked="0"/>
    </xf>
    <xf numFmtId="0" fontId="53" fillId="0" borderId="93" xfId="0" applyFont="1" applyBorder="1" applyAlignment="1">
      <alignment horizontal="right" wrapText="1"/>
    </xf>
    <xf numFmtId="0" fontId="89" fillId="0" borderId="0" xfId="0" applyFont="1">
      <alignment vertical="center"/>
    </xf>
    <xf numFmtId="0" fontId="70" fillId="0" borderId="93" xfId="0" applyFont="1" applyBorder="1" applyAlignment="1">
      <alignment horizontal="center" vertical="center" wrapText="1"/>
    </xf>
    <xf numFmtId="0" fontId="13" fillId="0" borderId="93" xfId="0" applyFont="1" applyBorder="1" applyAlignment="1">
      <alignment horizontal="center" vertical="center" wrapText="1"/>
    </xf>
    <xf numFmtId="0" fontId="53" fillId="0" borderId="93" xfId="0" applyNumberFormat="1" applyFont="1" applyBorder="1" applyAlignment="1">
      <alignment horizontal="left" vertical="center" wrapText="1"/>
    </xf>
    <xf numFmtId="0" fontId="53" fillId="0" borderId="93" xfId="0" applyFont="1" applyBorder="1" applyAlignment="1">
      <alignment horizontal="center" vertical="center" wrapText="1"/>
    </xf>
    <xf numFmtId="0" fontId="53" fillId="0" borderId="115" xfId="0" applyFont="1" applyFill="1" applyBorder="1" applyAlignment="1">
      <alignment vertical="center" wrapText="1"/>
    </xf>
    <xf numFmtId="0" fontId="2" fillId="0" borderId="93" xfId="0" applyFont="1" applyBorder="1" applyAlignment="1">
      <alignment horizontal="center" vertical="center" wrapText="1"/>
    </xf>
    <xf numFmtId="0" fontId="2" fillId="0" borderId="93" xfId="0" applyNumberFormat="1" applyFont="1" applyBorder="1" applyAlignment="1">
      <alignment horizontal="left" vertical="center" wrapText="1"/>
    </xf>
    <xf numFmtId="0" fontId="91" fillId="0" borderId="93" xfId="0" applyFont="1" applyBorder="1" applyAlignment="1">
      <alignment vertical="center" wrapText="1"/>
    </xf>
    <xf numFmtId="49" fontId="53" fillId="0" borderId="93" xfId="0" applyNumberFormat="1" applyFont="1" applyBorder="1" applyAlignment="1">
      <alignment horizontal="left" vertical="center" wrapText="1"/>
    </xf>
    <xf numFmtId="191" fontId="53" fillId="0" borderId="93" xfId="0" applyNumberFormat="1" applyFont="1" applyBorder="1" applyAlignment="1">
      <alignment horizontal="left" vertical="center" wrapText="1"/>
    </xf>
    <xf numFmtId="0" fontId="13" fillId="0" borderId="0" xfId="0" applyFont="1" applyBorder="1" applyAlignment="1">
      <alignment horizontal="center" vertical="center" wrapText="1"/>
    </xf>
    <xf numFmtId="0" fontId="53" fillId="0" borderId="0" xfId="0" applyFont="1" applyBorder="1" applyAlignment="1">
      <alignment horizontal="left" vertical="center" wrapText="1"/>
    </xf>
    <xf numFmtId="0" fontId="53" fillId="0" borderId="0" xfId="0" applyFont="1" applyBorder="1" applyAlignment="1">
      <alignment horizontal="center" vertical="center" wrapText="1"/>
    </xf>
    <xf numFmtId="0" fontId="53" fillId="0" borderId="0" xfId="0" applyFont="1" applyAlignment="1">
      <alignment horizontal="center" vertical="center" wrapText="1"/>
    </xf>
    <xf numFmtId="0" fontId="53" fillId="0" borderId="0" xfId="0" applyFont="1" applyAlignment="1">
      <alignment horizontal="left" vertical="center" wrapText="1"/>
    </xf>
    <xf numFmtId="0" fontId="89" fillId="0" borderId="0" xfId="0" applyFont="1" applyAlignment="1">
      <alignment vertical="center" wrapText="1"/>
    </xf>
    <xf numFmtId="0" fontId="13" fillId="0" borderId="93" xfId="0" applyFont="1" applyBorder="1" applyAlignment="1">
      <alignment vertical="center" wrapText="1"/>
    </xf>
    <xf numFmtId="49" fontId="53" fillId="15" borderId="93" xfId="0" applyNumberFormat="1" applyFont="1" applyFill="1" applyBorder="1" applyAlignment="1">
      <alignment horizontal="left" vertical="center" wrapText="1"/>
    </xf>
    <xf numFmtId="0" fontId="92" fillId="0" borderId="93" xfId="0" applyFont="1" applyBorder="1" applyAlignment="1">
      <alignment vertical="center" wrapText="1"/>
    </xf>
    <xf numFmtId="0" fontId="2" fillId="15" borderId="93" xfId="0" applyFont="1" applyFill="1" applyBorder="1" applyAlignment="1">
      <alignment horizontal="center" vertical="center" wrapText="1"/>
    </xf>
    <xf numFmtId="0" fontId="89" fillId="15" borderId="0" xfId="0" applyFont="1" applyFill="1" applyAlignment="1">
      <alignment vertical="top" wrapText="1"/>
    </xf>
    <xf numFmtId="0" fontId="89" fillId="0" borderId="0" xfId="0" applyFont="1" applyAlignment="1">
      <alignment horizontal="center" vertical="center" wrapText="1"/>
    </xf>
    <xf numFmtId="49" fontId="53" fillId="15" borderId="93" xfId="0" applyNumberFormat="1" applyFont="1" applyFill="1" applyBorder="1" applyAlignment="1">
      <alignment horizontal="left" vertical="top" wrapText="1"/>
    </xf>
    <xf numFmtId="0" fontId="13" fillId="0" borderId="93" xfId="0" applyFont="1" applyBorder="1" applyAlignment="1">
      <alignment horizontal="center" vertical="top" wrapText="1"/>
    </xf>
    <xf numFmtId="0" fontId="53" fillId="0" borderId="0" xfId="0" applyFont="1" applyAlignment="1">
      <alignment vertical="center" wrapText="1"/>
    </xf>
    <xf numFmtId="0" fontId="89" fillId="0" borderId="0" xfId="0" applyFont="1" applyAlignment="1">
      <alignment horizontal="left" vertical="top" wrapText="1"/>
    </xf>
    <xf numFmtId="49" fontId="53" fillId="15" borderId="93" xfId="0" applyNumberFormat="1" applyFont="1" applyFill="1" applyBorder="1" applyAlignment="1">
      <alignment horizontal="left" vertical="center" wrapText="1"/>
    </xf>
    <xf numFmtId="0" fontId="89" fillId="15" borderId="0" xfId="0" applyFont="1" applyFill="1" applyAlignment="1">
      <alignment horizontal="left" vertical="top"/>
    </xf>
    <xf numFmtId="0" fontId="89" fillId="0" borderId="0" xfId="0" applyFont="1" applyAlignment="1">
      <alignment horizontal="center" vertical="center"/>
    </xf>
    <xf numFmtId="0" fontId="53" fillId="0" borderId="93" xfId="0" applyFont="1" applyBorder="1" applyAlignment="1">
      <alignment horizontal="center" vertical="center"/>
    </xf>
    <xf numFmtId="0" fontId="53" fillId="0" borderId="0" xfId="0" applyFont="1">
      <alignment vertical="center"/>
    </xf>
    <xf numFmtId="0" fontId="13" fillId="0" borderId="93" xfId="0" applyFont="1" applyFill="1" applyBorder="1" applyAlignment="1">
      <alignment vertical="top" wrapText="1"/>
    </xf>
    <xf numFmtId="0" fontId="89" fillId="15" borderId="0" xfId="0" applyFont="1" applyFill="1">
      <alignment vertical="center"/>
    </xf>
    <xf numFmtId="0" fontId="53" fillId="15" borderId="0" xfId="0" applyFont="1" applyFill="1" applyAlignment="1">
      <alignment vertical="center" wrapText="1"/>
    </xf>
    <xf numFmtId="0" fontId="53" fillId="15" borderId="93" xfId="0" applyFont="1" applyFill="1" applyBorder="1" applyAlignment="1">
      <alignment horizontal="center" vertical="center" wrapText="1"/>
    </xf>
    <xf numFmtId="49" fontId="13" fillId="15" borderId="93" xfId="0" applyNumberFormat="1" applyFont="1" applyFill="1" applyBorder="1" applyAlignment="1">
      <alignment vertical="center" wrapText="1"/>
    </xf>
    <xf numFmtId="0" fontId="53" fillId="15" borderId="93" xfId="0" applyNumberFormat="1" applyFont="1" applyFill="1" applyBorder="1" applyAlignment="1">
      <alignment horizontal="center" vertical="center" wrapText="1"/>
    </xf>
    <xf numFmtId="0" fontId="53" fillId="15" borderId="93" xfId="0" applyNumberFormat="1" applyFont="1" applyFill="1" applyBorder="1" applyAlignment="1">
      <alignment horizontal="center" vertical="center" wrapText="1"/>
    </xf>
    <xf numFmtId="0" fontId="18" fillId="15" borderId="93" xfId="0" applyFont="1" applyFill="1" applyBorder="1" applyAlignment="1">
      <alignment horizontal="center" vertical="center" wrapText="1"/>
    </xf>
    <xf numFmtId="49" fontId="53" fillId="15" borderId="93" xfId="0" applyNumberFormat="1" applyFont="1" applyFill="1" applyBorder="1" applyAlignment="1">
      <alignment horizontal="center" vertical="center" wrapText="1"/>
    </xf>
    <xf numFmtId="0" fontId="53" fillId="15" borderId="0" xfId="0" applyFont="1" applyFill="1" applyBorder="1" applyAlignment="1">
      <alignment horizontal="center" vertical="center" wrapText="1"/>
    </xf>
    <xf numFmtId="0" fontId="53" fillId="0" borderId="93" xfId="0" applyFont="1" applyBorder="1" applyAlignment="1">
      <alignment horizontal="right" vertical="center" indent="1"/>
    </xf>
    <xf numFmtId="0" fontId="53" fillId="0" borderId="93" xfId="0" applyFont="1" applyBorder="1">
      <alignment vertical="center"/>
    </xf>
    <xf numFmtId="0" fontId="90" fillId="15" borderId="0" xfId="0" applyFont="1" applyFill="1" applyBorder="1" applyAlignment="1">
      <alignment vertical="center" wrapText="1"/>
    </xf>
    <xf numFmtId="0" fontId="0" fillId="0" borderId="0" xfId="0">
      <alignment vertical="center"/>
    </xf>
    <xf numFmtId="49" fontId="25" fillId="15" borderId="93" xfId="0" applyNumberFormat="1" applyFont="1" applyFill="1" applyBorder="1" applyAlignment="1">
      <alignment horizontal="center" vertical="center" wrapText="1"/>
    </xf>
    <xf numFmtId="189" fontId="25"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vertical="center" wrapText="1"/>
    </xf>
    <xf numFmtId="189" fontId="53" fillId="15" borderId="93" xfId="0" applyNumberFormat="1" applyFont="1" applyFill="1" applyBorder="1" applyAlignment="1">
      <alignment horizontal="right" vertical="center" wrapText="1" indent="1"/>
    </xf>
    <xf numFmtId="49" fontId="0" fillId="0" borderId="93" xfId="0" applyNumberFormat="1" applyBorder="1" applyAlignment="1">
      <alignment vertical="center" wrapText="1"/>
    </xf>
    <xf numFmtId="189" fontId="0" fillId="0" borderId="93" xfId="0" applyNumberFormat="1" applyBorder="1" applyAlignment="1">
      <alignment horizontal="right" vertical="center" indent="1"/>
    </xf>
    <xf numFmtId="0" fontId="20" fillId="0" borderId="0" xfId="0" applyFont="1">
      <alignment vertical="center"/>
    </xf>
    <xf numFmtId="49" fontId="0" fillId="0" borderId="0" xfId="0" applyNumberFormat="1" applyAlignment="1">
      <alignment vertical="center" wrapText="1"/>
    </xf>
    <xf numFmtId="189" fontId="0" fillId="0" borderId="0" xfId="0" applyNumberFormat="1" applyAlignment="1">
      <alignment horizontal="right" vertical="center" indent="1"/>
    </xf>
    <xf numFmtId="49" fontId="83" fillId="15" borderId="93" xfId="0" applyNumberFormat="1" applyFont="1" applyFill="1" applyBorder="1" applyAlignment="1">
      <alignment horizontal="center" vertical="center" wrapText="1"/>
    </xf>
    <xf numFmtId="189" fontId="83"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horizontal="right" vertical="center" wrapText="1"/>
    </xf>
    <xf numFmtId="49" fontId="0" fillId="0" borderId="93" xfId="0" applyNumberFormat="1" applyBorder="1" applyAlignment="1">
      <alignment horizontal="right" vertical="center" wrapText="1"/>
    </xf>
    <xf numFmtId="49" fontId="0" fillId="0" borderId="0" xfId="0" applyNumberFormat="1" applyAlignment="1">
      <alignment horizontal="right" vertical="center" wrapText="1"/>
    </xf>
    <xf numFmtId="189" fontId="0" fillId="0" borderId="0" xfId="0" applyNumberFormat="1">
      <alignment vertical="center"/>
    </xf>
    <xf numFmtId="0" fontId="0" fillId="0" borderId="0" xfId="0" applyAlignment="1">
      <alignment vertical="center"/>
    </xf>
    <xf numFmtId="0" fontId="2" fillId="0" borderId="0" xfId="0" applyFont="1" applyBorder="1" applyAlignment="1">
      <alignment horizontal="left" vertical="center"/>
    </xf>
    <xf numFmtId="0" fontId="0" fillId="0" borderId="0" xfId="0" applyAlignment="1">
      <alignment vertical="center" wrapText="1"/>
    </xf>
    <xf numFmtId="0" fontId="0" fillId="0" borderId="0" xfId="0" applyAlignment="1">
      <alignment horizontal="center" vertical="center"/>
    </xf>
    <xf numFmtId="49" fontId="2" fillId="0" borderId="93" xfId="0" applyNumberFormat="1" applyFont="1" applyBorder="1" applyAlignment="1">
      <alignment vertical="center" wrapText="1"/>
    </xf>
    <xf numFmtId="49" fontId="2" fillId="0" borderId="93" xfId="0" applyNumberFormat="1" applyFont="1" applyBorder="1" applyAlignment="1">
      <alignment horizontal="right" vertical="center" wrapText="1"/>
    </xf>
    <xf numFmtId="49" fontId="2" fillId="0" borderId="93" xfId="0" applyNumberFormat="1" applyFont="1" applyBorder="1" applyAlignment="1">
      <alignment horizontal="right" vertical="center"/>
    </xf>
    <xf numFmtId="49" fontId="2" fillId="0" borderId="93" xfId="0" applyNumberFormat="1" applyFont="1" applyBorder="1" applyAlignment="1">
      <alignment vertical="center"/>
    </xf>
    <xf numFmtId="49" fontId="16" fillId="15" borderId="0" xfId="0" applyNumberFormat="1" applyFont="1" applyFill="1" applyAlignment="1">
      <alignment vertical="center" wrapText="1"/>
    </xf>
    <xf numFmtId="189" fontId="16" fillId="15" borderId="0" xfId="0" applyNumberFormat="1" applyFont="1" applyFill="1" applyAlignment="1">
      <alignment vertical="center"/>
    </xf>
    <xf numFmtId="189" fontId="83" fillId="15" borderId="93" xfId="0" applyNumberFormat="1" applyFont="1" applyFill="1" applyBorder="1" applyAlignment="1">
      <alignment horizontal="center" vertical="center"/>
    </xf>
    <xf numFmtId="0" fontId="2" fillId="15" borderId="93" xfId="0" applyNumberFormat="1" applyFont="1" applyFill="1" applyBorder="1" applyAlignment="1">
      <alignment horizontal="left" vertical="center" wrapText="1"/>
    </xf>
    <xf numFmtId="49" fontId="25" fillId="15" borderId="93" xfId="0" applyNumberFormat="1" applyFont="1" applyFill="1" applyBorder="1" applyAlignment="1">
      <alignment horizontal="left" vertical="center" wrapText="1"/>
    </xf>
    <xf numFmtId="189" fontId="25" fillId="15" borderId="93" xfId="0" applyNumberFormat="1" applyFont="1" applyFill="1" applyBorder="1" applyAlignment="1">
      <alignment horizontal="right" vertical="center"/>
    </xf>
    <xf numFmtId="189" fontId="0" fillId="0" borderId="0" xfId="0" applyNumberFormat="1" applyAlignment="1">
      <alignment vertical="center"/>
    </xf>
    <xf numFmtId="49" fontId="0" fillId="0" borderId="0" xfId="0" applyNumberFormat="1" applyBorder="1" applyAlignment="1">
      <alignment vertical="center" wrapText="1"/>
    </xf>
    <xf numFmtId="49" fontId="89" fillId="0" borderId="0" xfId="0" applyNumberFormat="1" applyFont="1" applyAlignment="1">
      <alignment vertical="center" wrapText="1"/>
    </xf>
    <xf numFmtId="49" fontId="83" fillId="0" borderId="93" xfId="0" applyNumberFormat="1" applyFont="1" applyBorder="1" applyAlignment="1">
      <alignment horizontal="center" vertical="center"/>
    </xf>
    <xf numFmtId="189" fontId="83" fillId="0" borderId="93" xfId="0" applyNumberFormat="1" applyFont="1" applyBorder="1" applyAlignment="1">
      <alignment horizontal="center" vertical="center" wrapText="1"/>
    </xf>
    <xf numFmtId="0" fontId="53" fillId="0" borderId="93" xfId="0" applyNumberFormat="1" applyFont="1" applyBorder="1" applyAlignment="1">
      <alignment horizontal="center" vertical="center" wrapText="1"/>
    </xf>
    <xf numFmtId="49" fontId="53" fillId="0" borderId="93" xfId="0" applyNumberFormat="1" applyFont="1" applyBorder="1" applyAlignment="1">
      <alignment horizontal="justify" vertical="center" wrapText="1"/>
    </xf>
    <xf numFmtId="189" fontId="53" fillId="0" borderId="93" xfId="0" applyNumberFormat="1" applyFont="1" applyBorder="1" applyAlignment="1">
      <alignment horizontal="justify" vertical="center" wrapText="1"/>
    </xf>
    <xf numFmtId="49" fontId="53" fillId="0" borderId="93" xfId="0" applyNumberFormat="1" applyFont="1" applyBorder="1" applyAlignment="1">
      <alignment horizontal="justify" vertical="center"/>
    </xf>
    <xf numFmtId="49" fontId="53" fillId="0" borderId="93" xfId="0" applyNumberFormat="1" applyFont="1" applyBorder="1" applyAlignment="1">
      <alignment vertical="center" wrapText="1"/>
    </xf>
    <xf numFmtId="189" fontId="53" fillId="0" borderId="93" xfId="0" applyNumberFormat="1" applyFont="1" applyBorder="1" applyAlignment="1">
      <alignment vertical="center" wrapText="1"/>
    </xf>
    <xf numFmtId="49" fontId="53" fillId="0" borderId="93" xfId="0" applyNumberFormat="1" applyFont="1" applyBorder="1" applyAlignment="1">
      <alignment vertical="center"/>
    </xf>
    <xf numFmtId="189" fontId="0" fillId="0" borderId="93" xfId="0" applyNumberFormat="1" applyBorder="1" applyAlignment="1">
      <alignment vertical="center" wrapText="1"/>
    </xf>
    <xf numFmtId="49" fontId="0" fillId="0" borderId="93" xfId="0" applyNumberFormat="1" applyBorder="1" applyAlignment="1">
      <alignment vertical="center"/>
    </xf>
    <xf numFmtId="189" fontId="0" fillId="0" borderId="0" xfId="0" applyNumberFormat="1" applyAlignment="1">
      <alignment vertical="center" wrapText="1"/>
    </xf>
    <xf numFmtId="49" fontId="0" fillId="0" borderId="0" xfId="0" applyNumberFormat="1" applyAlignment="1">
      <alignment vertical="center"/>
    </xf>
    <xf numFmtId="0" fontId="0" fillId="15" borderId="0" xfId="0" applyFill="1">
      <alignment vertical="center"/>
    </xf>
    <xf numFmtId="0" fontId="2" fillId="15" borderId="119" xfId="0" applyNumberFormat="1" applyFont="1" applyFill="1" applyBorder="1" applyAlignment="1">
      <alignment vertical="center"/>
    </xf>
    <xf numFmtId="0" fontId="53" fillId="15" borderId="0" xfId="0" applyFont="1" applyFill="1">
      <alignment vertical="center"/>
    </xf>
    <xf numFmtId="0" fontId="2" fillId="15" borderId="111" xfId="0" applyNumberFormat="1" applyFont="1" applyFill="1" applyBorder="1" applyAlignment="1">
      <alignment vertical="center"/>
    </xf>
    <xf numFmtId="0" fontId="70" fillId="15" borderId="93" xfId="0" applyFont="1" applyFill="1" applyBorder="1" applyAlignment="1">
      <alignment horizontal="center" vertical="center" wrapText="1"/>
    </xf>
    <xf numFmtId="0" fontId="70" fillId="15" borderId="93" xfId="0" applyFont="1" applyFill="1" applyBorder="1" applyAlignment="1">
      <alignment vertical="center" wrapText="1"/>
    </xf>
    <xf numFmtId="0" fontId="53" fillId="15" borderId="93" xfId="0" applyFont="1" applyFill="1" applyBorder="1" applyAlignment="1">
      <alignment vertical="center" wrapText="1"/>
    </xf>
    <xf numFmtId="189" fontId="2" fillId="15" borderId="93" xfId="0" applyNumberFormat="1" applyFont="1" applyFill="1" applyBorder="1" applyAlignment="1">
      <alignment horizontal="center" vertical="center" wrapText="1"/>
    </xf>
    <xf numFmtId="49" fontId="18" fillId="15" borderId="93" xfId="0" applyNumberFormat="1" applyFont="1" applyFill="1" applyBorder="1" applyAlignment="1">
      <alignment horizontal="center" vertical="center" wrapText="1"/>
    </xf>
    <xf numFmtId="49" fontId="13" fillId="15" borderId="93" xfId="0" applyNumberFormat="1" applyFont="1" applyFill="1" applyBorder="1" applyAlignment="1">
      <alignment horizontal="center" vertical="center" wrapText="1"/>
    </xf>
    <xf numFmtId="0" fontId="53" fillId="15" borderId="0" xfId="0" applyFont="1" applyFill="1" applyAlignment="1">
      <alignment horizontal="justify" vertical="center"/>
    </xf>
    <xf numFmtId="0" fontId="53" fillId="15" borderId="0" xfId="0" applyFont="1" applyFill="1" applyAlignment="1">
      <alignment vertical="center"/>
    </xf>
    <xf numFmtId="189" fontId="53" fillId="15" borderId="0" xfId="0" applyNumberFormat="1" applyFont="1" applyFill="1">
      <alignment vertical="center"/>
    </xf>
    <xf numFmtId="49" fontId="53" fillId="15" borderId="0" xfId="0" applyNumberFormat="1" applyFont="1" applyFill="1" applyAlignment="1">
      <alignment vertical="center" wrapText="1"/>
    </xf>
    <xf numFmtId="0" fontId="95" fillId="15" borderId="0" xfId="0" applyFont="1" applyFill="1">
      <alignment vertical="center"/>
    </xf>
    <xf numFmtId="0" fontId="0" fillId="15" borderId="0" xfId="0" applyFill="1" applyAlignment="1">
      <alignment vertical="center"/>
    </xf>
    <xf numFmtId="189" fontId="0" fillId="15" borderId="0" xfId="0" applyNumberFormat="1" applyFill="1">
      <alignment vertical="center"/>
    </xf>
    <xf numFmtId="49" fontId="0" fillId="15" borderId="0" xfId="0" applyNumberFormat="1" applyFill="1" applyAlignment="1">
      <alignment vertical="center" wrapText="1"/>
    </xf>
    <xf numFmtId="0" fontId="2" fillId="15" borderId="0" xfId="0" applyFont="1" applyFill="1" applyAlignment="1">
      <alignment wrapText="1"/>
    </xf>
    <xf numFmtId="0" fontId="16" fillId="15" borderId="0" xfId="0" applyFont="1" applyFill="1" applyAlignment="1">
      <alignment vertical="center" wrapText="1"/>
    </xf>
    <xf numFmtId="0" fontId="25" fillId="15" borderId="93" xfId="0" applyFont="1" applyFill="1" applyBorder="1" applyAlignment="1">
      <alignment horizontal="center" vertical="center" wrapText="1"/>
    </xf>
    <xf numFmtId="191" fontId="2" fillId="15" borderId="93" xfId="0" applyNumberFormat="1" applyFont="1" applyFill="1" applyBorder="1" applyAlignment="1">
      <alignment horizontal="center" vertical="center" wrapText="1"/>
    </xf>
    <xf numFmtId="49" fontId="2" fillId="15" borderId="93" xfId="0" applyNumberFormat="1" applyFont="1" applyFill="1" applyBorder="1" applyAlignment="1">
      <alignment horizontal="center" vertical="center" wrapText="1"/>
    </xf>
    <xf numFmtId="176" fontId="74" fillId="0" borderId="0" xfId="0" applyNumberFormat="1" applyFont="1" applyAlignment="1">
      <alignment horizontal="right" vertical="center"/>
    </xf>
    <xf numFmtId="176" fontId="0" fillId="0" borderId="0" xfId="0" applyNumberFormat="1" applyAlignment="1">
      <alignment horizontal="right" vertical="center"/>
    </xf>
    <xf numFmtId="0" fontId="85" fillId="19" borderId="0" xfId="7" applyNumberFormat="1" applyBorder="1">
      <alignment vertical="center"/>
    </xf>
    <xf numFmtId="176" fontId="2" fillId="22" borderId="0" xfId="0" applyNumberFormat="1" applyFont="1" applyFill="1">
      <alignment vertical="center"/>
    </xf>
    <xf numFmtId="0" fontId="74" fillId="0" borderId="0" xfId="0" applyNumberFormat="1" applyFont="1" applyFill="1" applyBorder="1">
      <alignment vertical="center"/>
    </xf>
    <xf numFmtId="0" fontId="2" fillId="0" borderId="0" xfId="0" applyNumberFormat="1" applyFont="1" applyFill="1" applyBorder="1" applyAlignment="1" applyProtection="1">
      <alignment vertical="center"/>
    </xf>
    <xf numFmtId="0" fontId="0" fillId="0" borderId="0" xfId="0" applyNumberFormat="1" applyFill="1" applyBorder="1">
      <alignment vertical="center"/>
    </xf>
    <xf numFmtId="0" fontId="20" fillId="25" borderId="7" xfId="0" applyFont="1" applyFill="1" applyBorder="1" applyAlignment="1" applyProtection="1">
      <alignment shrinkToFit="1"/>
      <protection locked="0"/>
    </xf>
    <xf numFmtId="186" fontId="53" fillId="25" borderId="8" xfId="0" applyNumberFormat="1" applyFont="1" applyFill="1" applyBorder="1" applyProtection="1">
      <alignment vertical="center"/>
    </xf>
    <xf numFmtId="186" fontId="53" fillId="25" borderId="8" xfId="0" applyNumberFormat="1" applyFont="1" applyFill="1" applyBorder="1" applyProtection="1">
      <alignment vertical="center"/>
      <protection locked="0"/>
    </xf>
    <xf numFmtId="0" fontId="97" fillId="0" borderId="0" xfId="0" applyFont="1" applyFill="1" applyAlignment="1">
      <alignment vertical="center"/>
    </xf>
    <xf numFmtId="0" fontId="98" fillId="0" borderId="0" xfId="0" applyFont="1" applyFill="1" applyAlignment="1">
      <alignment vertical="center"/>
    </xf>
    <xf numFmtId="0" fontId="88" fillId="19" borderId="0" xfId="7" applyNumberFormat="1" applyFont="1" applyBorder="1">
      <alignment vertical="center"/>
    </xf>
    <xf numFmtId="0" fontId="88" fillId="19" borderId="0" xfId="7" applyFont="1">
      <alignment vertical="center"/>
    </xf>
    <xf numFmtId="0" fontId="0" fillId="24" borderId="0" xfId="0" applyNumberFormat="1" applyFill="1">
      <alignment vertical="center"/>
    </xf>
    <xf numFmtId="0" fontId="99" fillId="24" borderId="0" xfId="0" applyNumberFormat="1" applyFont="1" applyFill="1">
      <alignment vertical="center"/>
    </xf>
    <xf numFmtId="0" fontId="74" fillId="0" borderId="0" xfId="0" applyFont="1" applyFill="1" applyAlignment="1">
      <alignment vertical="center" wrapText="1"/>
    </xf>
    <xf numFmtId="0" fontId="74" fillId="0" borderId="0" xfId="0" applyFont="1" applyFill="1" applyAlignment="1">
      <alignment vertical="center"/>
    </xf>
    <xf numFmtId="0" fontId="74" fillId="26" borderId="0" xfId="0" applyFont="1" applyFill="1">
      <alignment vertical="center"/>
    </xf>
    <xf numFmtId="0" fontId="33" fillId="0" borderId="93" xfId="0" applyFont="1" applyBorder="1" applyAlignment="1">
      <alignment horizontal="center" vertical="center"/>
    </xf>
    <xf numFmtId="0" fontId="74" fillId="0" borderId="93" xfId="0" applyFont="1" applyBorder="1">
      <alignment vertical="center"/>
    </xf>
    <xf numFmtId="176" fontId="33" fillId="0" borderId="93" xfId="0" applyNumberFormat="1" applyFont="1" applyBorder="1" applyAlignment="1">
      <alignment horizontal="center" vertical="center"/>
    </xf>
    <xf numFmtId="176" fontId="74" fillId="0" borderId="93" xfId="0" applyNumberFormat="1" applyFont="1" applyBorder="1" applyAlignment="1">
      <alignment horizontal="right" vertical="center"/>
    </xf>
    <xf numFmtId="176" fontId="0" fillId="0" borderId="93" xfId="0" applyNumberFormat="1" applyBorder="1" applyAlignment="1">
      <alignment horizontal="right" vertical="center"/>
    </xf>
    <xf numFmtId="0" fontId="0" fillId="0" borderId="0" xfId="0" applyNumberFormat="1" applyFill="1">
      <alignment vertical="center"/>
    </xf>
    <xf numFmtId="0" fontId="104" fillId="0" borderId="0" xfId="6" applyNumberFormat="1" applyFont="1" applyFill="1" applyBorder="1" applyAlignment="1">
      <alignment horizontal="center" vertical="center"/>
    </xf>
    <xf numFmtId="0" fontId="104" fillId="0" borderId="0" xfId="6" applyNumberFormat="1" applyFont="1" applyFill="1" applyBorder="1" applyAlignment="1">
      <alignment horizontal="left" vertical="center"/>
    </xf>
    <xf numFmtId="0" fontId="85" fillId="19" borderId="0" xfId="7" applyNumberFormat="1" applyAlignment="1">
      <alignment horizontal="left" vertical="center"/>
    </xf>
    <xf numFmtId="49" fontId="2" fillId="0" borderId="8" xfId="0" applyNumberFormat="1" applyFont="1" applyFill="1" applyBorder="1" applyAlignment="1" applyProtection="1">
      <alignment horizontal="center" vertical="center"/>
    </xf>
    <xf numFmtId="0" fontId="2" fillId="0" borderId="8" xfId="0" applyNumberFormat="1" applyFont="1" applyFill="1" applyBorder="1" applyAlignment="1" applyProtection="1">
      <alignment vertical="center"/>
    </xf>
    <xf numFmtId="0" fontId="83" fillId="0" borderId="115" xfId="0" applyFont="1" applyBorder="1" applyAlignment="1">
      <alignment horizontal="center" vertical="center" wrapText="1"/>
    </xf>
    <xf numFmtId="49" fontId="2" fillId="0" borderId="93" xfId="0" applyNumberFormat="1" applyFont="1" applyBorder="1" applyAlignment="1">
      <alignment horizontal="center" vertical="center"/>
    </xf>
    <xf numFmtId="0" fontId="83" fillId="0" borderId="93" xfId="0" applyFont="1" applyBorder="1" applyAlignment="1">
      <alignment horizontal="center" vertical="center" wrapText="1"/>
    </xf>
    <xf numFmtId="49" fontId="2" fillId="0" borderId="109" xfId="0" applyNumberFormat="1" applyFont="1" applyBorder="1" applyAlignment="1">
      <alignment horizontal="right" vertical="center"/>
    </xf>
    <xf numFmtId="0" fontId="53" fillId="15" borderId="93" xfId="0" applyNumberFormat="1" applyFont="1" applyFill="1" applyBorder="1" applyAlignment="1">
      <alignment horizontal="left" vertical="center" wrapText="1"/>
    </xf>
    <xf numFmtId="0" fontId="74" fillId="0" borderId="126" xfId="0" applyFont="1" applyBorder="1" applyAlignment="1">
      <alignment vertical="center" wrapText="1"/>
    </xf>
    <xf numFmtId="0" fontId="91" fillId="0" borderId="129" xfId="0" applyFont="1" applyBorder="1" applyAlignment="1">
      <alignment horizontal="center" vertical="center"/>
    </xf>
    <xf numFmtId="49" fontId="2" fillId="0" borderId="93" xfId="0" applyNumberFormat="1" applyFont="1" applyBorder="1" applyAlignment="1">
      <alignment horizontal="center" vertical="center" wrapText="1"/>
    </xf>
    <xf numFmtId="49" fontId="2" fillId="0" borderId="109" xfId="0" applyNumberFormat="1" applyFont="1" applyBorder="1" applyAlignment="1">
      <alignment horizontal="center" vertical="center" wrapText="1"/>
    </xf>
    <xf numFmtId="0" fontId="0" fillId="0" borderId="0" xfId="0" applyBorder="1" applyAlignment="1">
      <alignment vertical="center"/>
    </xf>
    <xf numFmtId="49" fontId="2" fillId="0" borderId="132" xfId="0" applyNumberFormat="1" applyFont="1" applyBorder="1" applyAlignment="1">
      <alignment horizontal="center" vertical="center" textRotation="255"/>
    </xf>
    <xf numFmtId="49" fontId="25" fillId="0" borderId="93" xfId="0" applyNumberFormat="1" applyFont="1" applyBorder="1" applyAlignment="1">
      <alignment horizontal="right" vertical="center" wrapText="1"/>
    </xf>
    <xf numFmtId="49" fontId="2" fillId="0" borderId="109" xfId="0" applyNumberFormat="1" applyFont="1" applyBorder="1" applyAlignment="1">
      <alignment horizontal="right" vertical="center" wrapText="1"/>
    </xf>
    <xf numFmtId="0" fontId="2" fillId="0" borderId="136" xfId="0" applyFont="1" applyBorder="1" applyAlignment="1">
      <alignment horizontal="center" vertical="center"/>
    </xf>
    <xf numFmtId="49" fontId="2" fillId="0" borderId="136" xfId="0" applyNumberFormat="1" applyFont="1" applyBorder="1" applyAlignment="1">
      <alignment horizontal="right" vertical="center"/>
    </xf>
    <xf numFmtId="49" fontId="2" fillId="0" borderId="136" xfId="0" applyNumberFormat="1" applyFont="1" applyBorder="1" applyAlignment="1">
      <alignment vertical="center"/>
    </xf>
    <xf numFmtId="49" fontId="2" fillId="0" borderId="134" xfId="0" applyNumberFormat="1" applyFont="1" applyBorder="1" applyAlignment="1">
      <alignment horizontal="right" vertical="center"/>
    </xf>
    <xf numFmtId="0" fontId="10" fillId="0" borderId="0" xfId="0" applyFont="1">
      <alignment vertical="center"/>
    </xf>
    <xf numFmtId="0" fontId="10" fillId="0" borderId="0" xfId="0" applyFont="1" applyAlignment="1">
      <alignment horizontal="center" vertical="center"/>
    </xf>
    <xf numFmtId="0" fontId="25" fillId="0" borderId="0" xfId="0" applyFont="1" applyAlignment="1">
      <alignment vertical="center"/>
    </xf>
    <xf numFmtId="0" fontId="25" fillId="0" borderId="93" xfId="0" applyFont="1" applyBorder="1" applyAlignment="1">
      <alignment horizontal="center" vertical="center"/>
    </xf>
    <xf numFmtId="0" fontId="83" fillId="0" borderId="93" xfId="0" applyFont="1" applyBorder="1" applyAlignment="1">
      <alignment horizontal="center" vertical="center" wrapText="1"/>
    </xf>
    <xf numFmtId="0" fontId="25" fillId="0" borderId="93" xfId="0" applyFont="1" applyBorder="1" applyAlignment="1">
      <alignment horizontal="center" vertical="center" wrapText="1"/>
    </xf>
    <xf numFmtId="0" fontId="2" fillId="0" borderId="93" xfId="0" applyFont="1" applyBorder="1" applyAlignment="1">
      <alignment horizontal="center" vertical="center" wrapText="1"/>
    </xf>
    <xf numFmtId="0" fontId="2" fillId="0" borderId="115" xfId="0" applyFont="1" applyBorder="1" applyAlignment="1">
      <alignment horizontal="center" vertical="center" wrapText="1"/>
    </xf>
    <xf numFmtId="188" fontId="2" fillId="0" borderId="93" xfId="0" applyNumberFormat="1" applyFont="1" applyBorder="1" applyAlignment="1">
      <alignment vertical="center" wrapText="1"/>
    </xf>
    <xf numFmtId="0" fontId="25" fillId="0" borderId="110" xfId="0" applyFont="1" applyBorder="1" applyAlignment="1">
      <alignment horizontal="center" vertical="center" wrapText="1"/>
    </xf>
    <xf numFmtId="0" fontId="2" fillId="0" borderId="116" xfId="0" applyFont="1" applyBorder="1" applyAlignment="1">
      <alignment horizontal="center" vertical="center" wrapText="1"/>
    </xf>
    <xf numFmtId="49" fontId="2" fillId="0" borderId="93" xfId="0" applyNumberFormat="1" applyFont="1" applyBorder="1" applyAlignment="1">
      <alignment vertical="center" wrapText="1"/>
    </xf>
    <xf numFmtId="0" fontId="74" fillId="0" borderId="0" xfId="0" applyFont="1" applyAlignment="1">
      <alignment horizontal="center"/>
    </xf>
    <xf numFmtId="0" fontId="10" fillId="0" borderId="0" xfId="0" applyFont="1" applyAlignment="1">
      <alignment vertical="center"/>
    </xf>
    <xf numFmtId="0" fontId="106" fillId="0" borderId="0" xfId="0" applyFont="1" applyBorder="1" applyAlignment="1">
      <alignment horizontal="center" vertical="center" wrapText="1"/>
    </xf>
    <xf numFmtId="0" fontId="10" fillId="0" borderId="0" xfId="0" applyFont="1" applyBorder="1" applyAlignment="1">
      <alignment vertical="center" wrapText="1"/>
    </xf>
    <xf numFmtId="0" fontId="10" fillId="0" borderId="0" xfId="0" applyFont="1" applyBorder="1" applyAlignment="1">
      <alignment horizontal="left" vertical="center" wrapText="1"/>
    </xf>
    <xf numFmtId="0" fontId="10" fillId="0" borderId="0" xfId="0" applyFont="1" applyBorder="1" applyAlignment="1">
      <alignment horizontal="justify" vertical="center" wrapText="1"/>
    </xf>
    <xf numFmtId="0" fontId="10" fillId="0" borderId="0" xfId="0" applyFont="1" applyBorder="1" applyAlignment="1">
      <alignment horizontal="right" vertical="center"/>
    </xf>
    <xf numFmtId="0" fontId="2" fillId="0" borderId="0" xfId="0" applyFont="1" applyFill="1" applyAlignment="1">
      <alignment vertical="center"/>
    </xf>
    <xf numFmtId="0" fontId="0" fillId="0" borderId="93" xfId="0" applyFill="1" applyBorder="1" applyAlignment="1" applyProtection="1">
      <alignment horizontal="justify" vertical="center"/>
    </xf>
    <xf numFmtId="0" fontId="0" fillId="0" borderId="0" xfId="0" applyAlignment="1" applyProtection="1"/>
    <xf numFmtId="0" fontId="0" fillId="0" borderId="93" xfId="0" applyFill="1" applyBorder="1" applyAlignment="1" applyProtection="1">
      <alignment horizontal="left" vertical="center" wrapText="1"/>
    </xf>
    <xf numFmtId="0" fontId="2" fillId="0" borderId="0" xfId="0" applyFont="1" applyFill="1" applyAlignment="1">
      <alignment horizontal="center" vertical="center"/>
    </xf>
    <xf numFmtId="0" fontId="2" fillId="0" borderId="109" xfId="0" applyFont="1" applyBorder="1" applyAlignment="1">
      <alignment horizontal="center" vertical="center"/>
    </xf>
    <xf numFmtId="0" fontId="2" fillId="0" borderId="93" xfId="0" applyFont="1" applyBorder="1" applyAlignment="1">
      <alignment horizontal="center" vertical="center"/>
    </xf>
    <xf numFmtId="0" fontId="74" fillId="0" borderId="93" xfId="0" quotePrefix="1" applyFont="1" applyBorder="1" applyAlignment="1">
      <alignment vertical="center"/>
    </xf>
    <xf numFmtId="49" fontId="0" fillId="0" borderId="93" xfId="0" applyNumberFormat="1" applyBorder="1" applyAlignment="1">
      <alignment vertical="center"/>
    </xf>
    <xf numFmtId="0" fontId="0" fillId="0" borderId="93" xfId="0" applyBorder="1" applyAlignment="1">
      <alignment horizontal="left" vertical="center"/>
    </xf>
    <xf numFmtId="49" fontId="0" fillId="0" borderId="0" xfId="0" applyNumberFormat="1" applyAlignment="1">
      <alignment vertical="center"/>
    </xf>
    <xf numFmtId="0" fontId="7" fillId="0" borderId="0" xfId="0" applyFont="1" applyAlignment="1">
      <alignment vertical="center"/>
    </xf>
    <xf numFmtId="0" fontId="25" fillId="0" borderId="0" xfId="0" applyFont="1" applyAlignment="1">
      <alignment vertical="center"/>
    </xf>
    <xf numFmtId="0" fontId="25" fillId="0" borderId="0" xfId="0" applyFont="1" applyFill="1" applyAlignment="1">
      <alignment vertical="center"/>
    </xf>
    <xf numFmtId="0" fontId="7" fillId="0" borderId="0" xfId="0" applyFont="1" applyAlignment="1">
      <alignment vertical="center" wrapText="1"/>
    </xf>
    <xf numFmtId="0" fontId="74" fillId="0" borderId="0" xfId="0" applyFont="1" applyAlignment="1">
      <alignment vertical="center"/>
    </xf>
    <xf numFmtId="0" fontId="10" fillId="0" borderId="0" xfId="0" applyFont="1" applyAlignment="1">
      <alignment vertical="center"/>
    </xf>
    <xf numFmtId="0" fontId="74" fillId="0" borderId="0" xfId="0" applyFont="1">
      <alignment vertical="center"/>
    </xf>
    <xf numFmtId="0" fontId="2" fillId="0" borderId="0" xfId="0" applyFont="1">
      <alignment vertical="center"/>
    </xf>
    <xf numFmtId="0" fontId="26" fillId="0" borderId="0" xfId="0" applyFont="1" applyAlignment="1">
      <alignment vertical="center"/>
    </xf>
    <xf numFmtId="0" fontId="2" fillId="0" borderId="0" xfId="0" applyFont="1" applyAlignment="1">
      <alignment vertical="center"/>
    </xf>
    <xf numFmtId="0" fontId="2" fillId="0" borderId="0" xfId="0" applyFont="1" applyAlignment="1">
      <alignment vertical="center"/>
    </xf>
    <xf numFmtId="0" fontId="2" fillId="0" borderId="0" xfId="0" applyFont="1" applyFill="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xf numFmtId="0" fontId="8" fillId="0" borderId="0" xfId="0" applyFont="1" applyAlignment="1">
      <alignment vertical="center"/>
    </xf>
    <xf numFmtId="0" fontId="46" fillId="0" borderId="0" xfId="0" applyFont="1" applyBorder="1" applyAlignment="1">
      <alignment vertical="center"/>
    </xf>
    <xf numFmtId="0" fontId="74" fillId="0" borderId="0" xfId="0" applyFont="1" applyBorder="1" applyAlignment="1">
      <alignment vertical="center"/>
    </xf>
    <xf numFmtId="0" fontId="26" fillId="0" borderId="0" xfId="0" applyFont="1" applyBorder="1" applyAlignment="1">
      <alignment vertical="center"/>
    </xf>
    <xf numFmtId="0" fontId="51" fillId="0" borderId="0" xfId="0" applyFont="1" applyBorder="1" applyAlignment="1">
      <alignment vertical="center" wrapText="1"/>
    </xf>
    <xf numFmtId="0" fontId="51" fillId="0" borderId="0" xfId="0" applyFont="1" applyBorder="1" applyAlignment="1">
      <alignment vertical="center"/>
    </xf>
    <xf numFmtId="0" fontId="74" fillId="0" borderId="0" xfId="0" applyFont="1" applyFill="1" applyBorder="1" applyAlignment="1">
      <alignment vertical="center"/>
    </xf>
    <xf numFmtId="0" fontId="74" fillId="0" borderId="0" xfId="0" applyFont="1" applyBorder="1" applyAlignment="1">
      <alignment horizontal="center" vertical="center"/>
    </xf>
    <xf numFmtId="0" fontId="74" fillId="0" borderId="0" xfId="0" applyFont="1" applyFill="1" applyBorder="1" applyAlignment="1">
      <alignment horizontal="center" vertical="center"/>
    </xf>
    <xf numFmtId="0" fontId="74" fillId="0" borderId="0" xfId="0" applyFont="1" applyAlignment="1">
      <alignment vertical="center"/>
    </xf>
    <xf numFmtId="0" fontId="2" fillId="0" borderId="0" xfId="0" applyFont="1" applyAlignment="1">
      <alignment vertical="center"/>
    </xf>
    <xf numFmtId="0" fontId="2" fillId="0" borderId="93" xfId="0" applyFont="1" applyFill="1" applyBorder="1" applyAlignment="1">
      <alignment vertical="center"/>
    </xf>
    <xf numFmtId="0" fontId="2" fillId="0" borderId="0" xfId="0" applyFont="1" applyFill="1" applyAlignment="1">
      <alignment vertical="center"/>
    </xf>
    <xf numFmtId="0" fontId="74" fillId="0" borderId="0" xfId="0" applyFont="1" applyAlignment="1">
      <alignment horizontal="center" vertical="center"/>
    </xf>
    <xf numFmtId="0" fontId="2" fillId="0" borderId="0" xfId="0" applyFont="1" applyAlignment="1">
      <alignment vertical="center" wrapText="1"/>
    </xf>
    <xf numFmtId="0" fontId="2" fillId="0" borderId="0" xfId="0" applyFont="1" applyAlignment="1">
      <alignment horizontal="center" vertical="center"/>
    </xf>
    <xf numFmtId="0" fontId="74" fillId="0" borderId="0" xfId="0" applyFont="1" applyAlignment="1"/>
    <xf numFmtId="0" fontId="74" fillId="0" borderId="0" xfId="0" applyFont="1" applyFill="1" applyAlignment="1"/>
    <xf numFmtId="0" fontId="2" fillId="0" borderId="0" xfId="0" applyFont="1" applyAlignment="1"/>
    <xf numFmtId="0" fontId="2" fillId="0" borderId="0" xfId="0" applyFont="1" applyBorder="1" applyAlignment="1">
      <alignment horizontal="left" vertical="center"/>
    </xf>
    <xf numFmtId="0" fontId="2" fillId="0" borderId="0" xfId="0" applyFont="1" applyBorder="1" applyAlignment="1">
      <alignment horizontal="left" vertical="center" wrapText="1"/>
    </xf>
    <xf numFmtId="0" fontId="26" fillId="0" borderId="0" xfId="0" applyFont="1" applyAlignment="1">
      <alignment horizontal="center" vertical="center"/>
    </xf>
    <xf numFmtId="0" fontId="26" fillId="0" borderId="0" xfId="0" applyFont="1" applyAlignment="1">
      <alignment horizontal="center" vertical="center"/>
    </xf>
    <xf numFmtId="0" fontId="2" fillId="0" borderId="0" xfId="0" applyFont="1" applyAlignment="1">
      <alignment vertical="center" wrapText="1"/>
    </xf>
    <xf numFmtId="0" fontId="10" fillId="0" borderId="0" xfId="0" applyFont="1" applyAlignment="1"/>
    <xf numFmtId="0" fontId="26" fillId="0" borderId="0" xfId="0" applyFont="1" applyAlignment="1"/>
    <xf numFmtId="0" fontId="2" fillId="0" borderId="0" xfId="0" applyFont="1" applyAlignment="1">
      <alignment wrapText="1"/>
    </xf>
    <xf numFmtId="0" fontId="43" fillId="0" borderId="0" xfId="0" applyFont="1" applyAlignment="1"/>
    <xf numFmtId="0" fontId="74" fillId="0" borderId="0" xfId="0" applyFont="1">
      <alignment vertical="center"/>
    </xf>
    <xf numFmtId="0" fontId="2" fillId="0" borderId="93" xfId="0" applyFont="1" applyFill="1" applyBorder="1" applyAlignment="1">
      <alignment vertical="center"/>
    </xf>
    <xf numFmtId="0" fontId="2" fillId="0" borderId="0" xfId="0" applyFont="1" applyAlignment="1">
      <alignment wrapText="1"/>
    </xf>
    <xf numFmtId="0" fontId="2" fillId="0" borderId="93" xfId="0" applyNumberFormat="1" applyFont="1" applyFill="1" applyBorder="1" applyAlignment="1">
      <alignment horizontal="left" vertical="center"/>
    </xf>
    <xf numFmtId="49" fontId="2" fillId="0" borderId="93" xfId="0" applyNumberFormat="1" applyFont="1" applyFill="1" applyBorder="1">
      <alignment vertical="center"/>
    </xf>
    <xf numFmtId="0" fontId="74" fillId="0" borderId="0" xfId="0" applyFont="1" applyAlignment="1">
      <alignment wrapText="1"/>
    </xf>
    <xf numFmtId="0" fontId="74" fillId="0" borderId="0" xfId="0" applyFont="1" applyFill="1" applyAlignment="1"/>
    <xf numFmtId="0" fontId="74" fillId="0" borderId="0" xfId="0" applyFont="1" applyAlignment="1">
      <alignment horizontal="left" vertical="center"/>
    </xf>
    <xf numFmtId="0" fontId="74" fillId="0" borderId="0" xfId="0" applyFont="1" applyAlignment="1">
      <alignment horizontal="center" vertical="center" wrapText="1"/>
    </xf>
    <xf numFmtId="0" fontId="74" fillId="0" borderId="0" xfId="0" applyFont="1" applyFill="1" applyAlignment="1">
      <alignment horizontal="center" vertical="center"/>
    </xf>
    <xf numFmtId="0" fontId="2" fillId="0" borderId="0" xfId="0" applyFont="1" applyFill="1" applyAlignment="1">
      <alignment horizontal="center" vertical="center"/>
    </xf>
    <xf numFmtId="0" fontId="74" fillId="0" borderId="0" xfId="0" applyFont="1" applyAlignment="1">
      <alignment vertical="center" wrapText="1"/>
    </xf>
    <xf numFmtId="0" fontId="2" fillId="0" borderId="93" xfId="0" applyFont="1" applyFill="1" applyBorder="1" applyAlignment="1">
      <alignment horizontal="center" vertical="center"/>
    </xf>
    <xf numFmtId="0" fontId="10" fillId="0" borderId="0" xfId="0" applyFont="1" applyFill="1">
      <alignment vertical="center"/>
    </xf>
    <xf numFmtId="0" fontId="74" fillId="0" borderId="0" xfId="0" applyFont="1" applyFill="1">
      <alignment vertical="center"/>
    </xf>
    <xf numFmtId="0" fontId="2" fillId="0" borderId="0" xfId="0" applyFont="1" applyFill="1" applyAlignment="1">
      <alignment horizontal="center"/>
    </xf>
    <xf numFmtId="0" fontId="74" fillId="0" borderId="0" xfId="0" applyFont="1" applyFill="1" applyAlignment="1">
      <alignment wrapText="1"/>
    </xf>
    <xf numFmtId="0" fontId="2" fillId="0" borderId="93" xfId="0" applyFont="1" applyFill="1" applyBorder="1">
      <alignment vertical="center"/>
    </xf>
    <xf numFmtId="0" fontId="18" fillId="0" borderId="93" xfId="0" applyFont="1" applyFill="1" applyBorder="1" applyAlignment="1">
      <alignment horizontal="center" vertical="center" wrapText="1"/>
    </xf>
    <xf numFmtId="0" fontId="26" fillId="0" borderId="0" xfId="0" applyFont="1" applyFill="1">
      <alignment vertical="center"/>
    </xf>
    <xf numFmtId="0" fontId="0" fillId="0" borderId="0" xfId="0" applyFill="1">
      <alignment vertical="center"/>
    </xf>
    <xf numFmtId="0" fontId="17" fillId="0" borderId="93" xfId="0" applyFont="1" applyFill="1" applyBorder="1">
      <alignment vertical="center"/>
    </xf>
    <xf numFmtId="0" fontId="2" fillId="0" borderId="93" xfId="0" applyFont="1" applyFill="1" applyBorder="1" applyAlignment="1">
      <alignment vertical="center" wrapText="1"/>
    </xf>
    <xf numFmtId="0" fontId="10" fillId="0" borderId="0" xfId="0" applyFont="1" applyAlignment="1">
      <alignment vertical="center"/>
    </xf>
    <xf numFmtId="0" fontId="26" fillId="0" borderId="0" xfId="0" applyFont="1" applyAlignment="1">
      <alignment vertical="center"/>
    </xf>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vertical="center"/>
    </xf>
    <xf numFmtId="0" fontId="74" fillId="0" borderId="0" xfId="0" applyFont="1" applyFill="1" applyAlignment="1">
      <alignment vertical="center"/>
    </xf>
    <xf numFmtId="0" fontId="74" fillId="0" borderId="0" xfId="0" applyFont="1" applyFill="1" applyBorder="1" applyAlignment="1">
      <alignment vertical="center"/>
    </xf>
    <xf numFmtId="0" fontId="2" fillId="0" borderId="0" xfId="0" applyFont="1" applyFill="1" applyAlignment="1">
      <alignment vertical="center" wrapText="1"/>
    </xf>
    <xf numFmtId="0" fontId="2" fillId="0" borderId="93" xfId="0" applyFont="1" applyFill="1" applyBorder="1" applyAlignment="1">
      <alignment vertical="center"/>
    </xf>
    <xf numFmtId="0" fontId="2" fillId="0" borderId="116" xfId="0" applyFont="1" applyFill="1" applyBorder="1" applyAlignment="1">
      <alignment vertical="center"/>
    </xf>
    <xf numFmtId="0" fontId="2" fillId="0" borderId="0" xfId="0" applyFont="1" applyFill="1">
      <alignment vertical="center"/>
    </xf>
    <xf numFmtId="0" fontId="2" fillId="0" borderId="0" xfId="0" applyFont="1" applyFill="1" applyAlignment="1">
      <alignment vertical="center" wrapText="1"/>
    </xf>
    <xf numFmtId="0" fontId="74" fillId="0" borderId="0" xfId="0" applyFont="1" applyFill="1">
      <alignment vertical="center"/>
    </xf>
    <xf numFmtId="0" fontId="74" fillId="0" borderId="0" xfId="0" applyFont="1" applyFill="1" applyAlignment="1">
      <alignment vertical="center" wrapText="1"/>
    </xf>
    <xf numFmtId="0" fontId="74" fillId="0" borderId="0" xfId="0" applyFont="1" applyFill="1" applyAlignment="1">
      <alignment horizontal="center" vertical="center"/>
    </xf>
    <xf numFmtId="0" fontId="74" fillId="0" borderId="0" xfId="0" applyFont="1">
      <alignment vertical="center"/>
    </xf>
    <xf numFmtId="0" fontId="26" fillId="0" borderId="0" xfId="0" applyFont="1">
      <alignment vertical="center"/>
    </xf>
    <xf numFmtId="0" fontId="2" fillId="0" borderId="0" xfId="0" applyFont="1">
      <alignment vertical="center"/>
    </xf>
    <xf numFmtId="0" fontId="2" fillId="0" borderId="0" xfId="0" applyFont="1" applyAlignment="1">
      <alignment wrapText="1"/>
    </xf>
    <xf numFmtId="9" fontId="2" fillId="0" borderId="93" xfId="0" applyNumberFormat="1" applyFont="1" applyBorder="1" applyAlignment="1">
      <alignment horizontal="center" vertical="center" wrapText="1"/>
    </xf>
    <xf numFmtId="0" fontId="25" fillId="0" borderId="0" xfId="0" applyFont="1" applyFill="1">
      <alignment vertical="center"/>
    </xf>
    <xf numFmtId="0" fontId="2" fillId="0" borderId="0" xfId="0" applyFont="1" applyAlignment="1">
      <alignment horizontal="center" vertical="center"/>
    </xf>
    <xf numFmtId="0" fontId="74" fillId="0" borderId="0" xfId="0" applyFont="1" applyAlignment="1">
      <alignment vertical="center" wrapText="1"/>
    </xf>
    <xf numFmtId="0" fontId="2" fillId="0" borderId="0" xfId="0" applyFont="1" applyFill="1" applyAlignment="1">
      <alignment vertical="center" wrapText="1"/>
    </xf>
    <xf numFmtId="0" fontId="1" fillId="0" borderId="0" xfId="0" applyFont="1" applyFill="1" applyAlignment="1">
      <alignment vertical="center" wrapText="1"/>
    </xf>
    <xf numFmtId="0" fontId="2" fillId="0" borderId="0" xfId="0" applyFont="1" applyFill="1" applyAlignment="1">
      <alignment horizontal="center" vertical="center" wrapText="1"/>
    </xf>
    <xf numFmtId="0" fontId="2" fillId="0" borderId="93" xfId="0" applyFont="1" applyFill="1" applyBorder="1" applyAlignment="1">
      <alignment vertical="center" wrapText="1"/>
    </xf>
    <xf numFmtId="0" fontId="108" fillId="0" borderId="0" xfId="0" applyFont="1" applyFill="1" applyAlignment="1">
      <alignment vertical="center" wrapText="1"/>
    </xf>
    <xf numFmtId="0" fontId="10" fillId="0" borderId="0" xfId="0" applyFont="1" applyFill="1" applyAlignment="1">
      <alignment vertical="center"/>
    </xf>
    <xf numFmtId="0" fontId="26" fillId="0" borderId="0" xfId="0" applyFont="1" applyFill="1" applyAlignment="1">
      <alignment vertical="center"/>
    </xf>
    <xf numFmtId="0" fontId="10" fillId="0" borderId="0" xfId="0" applyFont="1" applyFill="1">
      <alignment vertical="center"/>
    </xf>
    <xf numFmtId="0" fontId="26" fillId="0" borderId="0" xfId="0" applyFont="1" applyFill="1">
      <alignment vertical="center"/>
    </xf>
    <xf numFmtId="0" fontId="2" fillId="0" borderId="0" xfId="0" applyFont="1" applyFill="1">
      <alignment vertical="center"/>
    </xf>
    <xf numFmtId="0" fontId="1" fillId="0" borderId="0" xfId="0" applyFont="1" applyFill="1">
      <alignment vertical="center"/>
    </xf>
    <xf numFmtId="0" fontId="25" fillId="0" borderId="0" xfId="0" applyFont="1" applyFill="1" applyAlignment="1">
      <alignment vertical="center"/>
    </xf>
    <xf numFmtId="0" fontId="25" fillId="0" borderId="0" xfId="0" applyFont="1" applyFill="1" applyAlignment="1">
      <alignment vertical="center" wrapText="1"/>
    </xf>
    <xf numFmtId="0" fontId="74" fillId="0" borderId="0" xfId="0" applyFont="1" applyFill="1" applyAlignment="1">
      <alignment vertical="center"/>
    </xf>
    <xf numFmtId="0" fontId="74" fillId="0" borderId="0" xfId="0" applyFont="1" applyFill="1" applyAlignment="1">
      <alignment vertical="center"/>
    </xf>
    <xf numFmtId="0" fontId="1" fillId="0" borderId="0" xfId="0" applyFont="1" applyFill="1" applyAlignment="1">
      <alignment vertical="center"/>
    </xf>
    <xf numFmtId="180" fontId="42" fillId="0" borderId="8" xfId="0" applyNumberFormat="1" applyFont="1" applyBorder="1" applyAlignment="1" applyProtection="1">
      <alignment vertical="center"/>
      <protection locked="0"/>
    </xf>
    <xf numFmtId="0" fontId="2" fillId="2" borderId="70" xfId="0" applyFont="1" applyFill="1" applyBorder="1" applyAlignment="1" applyProtection="1">
      <alignment horizontal="center" vertical="center" wrapText="1"/>
      <protection locked="0"/>
    </xf>
    <xf numFmtId="180" fontId="71" fillId="0" borderId="8" xfId="0" applyNumberFormat="1" applyFont="1" applyBorder="1" applyAlignment="1" applyProtection="1">
      <alignment vertical="center"/>
      <protection locked="0"/>
    </xf>
    <xf numFmtId="180" fontId="71" fillId="0" borderId="19" xfId="0" applyNumberFormat="1" applyFont="1" applyBorder="1" applyAlignment="1" applyProtection="1">
      <alignment vertical="center"/>
      <protection locked="0"/>
    </xf>
    <xf numFmtId="180" fontId="71" fillId="3" borderId="11" xfId="0" applyNumberFormat="1" applyFont="1" applyFill="1" applyBorder="1" applyAlignment="1" applyProtection="1">
      <alignment vertical="center"/>
    </xf>
    <xf numFmtId="180" fontId="71" fillId="3" borderId="9" xfId="0" applyNumberFormat="1" applyFont="1" applyFill="1" applyBorder="1" applyAlignment="1" applyProtection="1">
      <alignment vertical="center"/>
    </xf>
    <xf numFmtId="180" fontId="71" fillId="3" borderId="8" xfId="0" applyNumberFormat="1" applyFont="1" applyFill="1" applyBorder="1" applyAlignment="1" applyProtection="1">
      <alignment vertical="center"/>
    </xf>
    <xf numFmtId="180" fontId="71" fillId="3" borderId="12" xfId="0" applyNumberFormat="1" applyFont="1" applyFill="1" applyBorder="1" applyAlignment="1" applyProtection="1">
      <alignment vertical="center"/>
    </xf>
    <xf numFmtId="180" fontId="71" fillId="3" borderId="22" xfId="0" applyNumberFormat="1" applyFont="1" applyFill="1" applyBorder="1" applyAlignment="1" applyProtection="1">
      <alignment vertical="center"/>
    </xf>
    <xf numFmtId="186" fontId="2" fillId="2" borderId="77" xfId="0" applyNumberFormat="1" applyFont="1" applyFill="1" applyBorder="1" applyAlignment="1" applyProtection="1">
      <alignment horizontal="center" vertical="center"/>
      <protection locked="0"/>
    </xf>
    <xf numFmtId="180" fontId="71" fillId="0" borderId="61" xfId="0" applyNumberFormat="1" applyFont="1" applyBorder="1" applyAlignment="1" applyProtection="1">
      <alignment vertical="center"/>
      <protection locked="0"/>
    </xf>
    <xf numFmtId="180" fontId="71" fillId="0" borderId="23" xfId="0" applyNumberFormat="1" applyFont="1" applyBorder="1" applyAlignment="1" applyProtection="1">
      <alignment vertical="center"/>
      <protection locked="0"/>
    </xf>
    <xf numFmtId="0" fontId="2" fillId="2" borderId="8"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wrapText="1"/>
      <protection locked="0"/>
    </xf>
    <xf numFmtId="180" fontId="42" fillId="0" borderId="8" xfId="0" applyNumberFormat="1" applyFont="1" applyFill="1" applyBorder="1" applyAlignment="1" applyProtection="1">
      <alignment vertical="center"/>
      <protection locked="0"/>
    </xf>
    <xf numFmtId="180" fontId="42" fillId="3" borderId="12" xfId="0" applyNumberFormat="1" applyFont="1" applyFill="1" applyBorder="1" applyAlignment="1" applyProtection="1">
      <alignment vertical="center"/>
    </xf>
    <xf numFmtId="180" fontId="42" fillId="3" borderId="34" xfId="0" applyNumberFormat="1" applyFont="1" applyFill="1" applyBorder="1" applyAlignment="1" applyProtection="1">
      <alignment vertical="center"/>
    </xf>
    <xf numFmtId="180" fontId="42" fillId="7" borderId="8" xfId="0" applyNumberFormat="1" applyFont="1" applyFill="1" applyBorder="1" applyAlignment="1" applyProtection="1">
      <alignment vertical="center"/>
      <protection locked="0"/>
    </xf>
    <xf numFmtId="0" fontId="74" fillId="0" borderId="0" xfId="0" applyFont="1" applyAlignment="1">
      <alignment horizontal="left" vertical="center"/>
    </xf>
    <xf numFmtId="0" fontId="74" fillId="0" borderId="0" xfId="0" applyFont="1" applyAlignment="1">
      <alignment vertical="center"/>
    </xf>
    <xf numFmtId="0" fontId="2" fillId="0" borderId="115" xfId="0" applyFont="1" applyBorder="1" applyAlignment="1">
      <alignment horizontal="center" vertical="center"/>
    </xf>
    <xf numFmtId="0" fontId="2" fillId="0" borderId="0" xfId="0" applyFont="1" applyAlignment="1">
      <alignment wrapText="1"/>
    </xf>
    <xf numFmtId="0" fontId="2" fillId="0" borderId="93" xfId="0" applyFont="1" applyFill="1" applyBorder="1" applyAlignment="1">
      <alignment horizontal="center" vertical="center"/>
    </xf>
    <xf numFmtId="0" fontId="26" fillId="0" borderId="0" xfId="0" applyFont="1" applyAlignment="1">
      <alignment vertical="center"/>
    </xf>
    <xf numFmtId="0" fontId="74" fillId="0" borderId="0" xfId="0" applyFont="1" applyFill="1" applyAlignment="1">
      <alignment vertical="center"/>
    </xf>
    <xf numFmtId="0" fontId="2" fillId="0" borderId="93" xfId="0" applyFont="1" applyBorder="1" applyAlignment="1">
      <alignment horizontal="center" vertical="center" wrapText="1"/>
    </xf>
    <xf numFmtId="0" fontId="2" fillId="0" borderId="93" xfId="0" applyFont="1" applyBorder="1" applyAlignment="1">
      <alignment horizontal="center" vertical="center"/>
    </xf>
    <xf numFmtId="0" fontId="2" fillId="3" borderId="64" xfId="0" applyFont="1" applyFill="1" applyBorder="1" applyAlignment="1" applyProtection="1">
      <alignment vertical="center"/>
    </xf>
    <xf numFmtId="0" fontId="2" fillId="3" borderId="0" xfId="0" applyFont="1" applyFill="1" applyBorder="1" applyAlignment="1" applyProtection="1">
      <alignment vertical="center"/>
    </xf>
    <xf numFmtId="0" fontId="2" fillId="3" borderId="105" xfId="0" applyFont="1" applyFill="1" applyBorder="1" applyAlignment="1" applyProtection="1">
      <alignment vertical="center"/>
    </xf>
    <xf numFmtId="0" fontId="2" fillId="3" borderId="62" xfId="0" applyFont="1" applyFill="1" applyBorder="1" applyAlignment="1" applyProtection="1">
      <alignment vertical="center"/>
    </xf>
    <xf numFmtId="0" fontId="2" fillId="3" borderId="139" xfId="0" applyFont="1" applyFill="1" applyBorder="1" applyAlignment="1" applyProtection="1">
      <alignment vertical="center"/>
    </xf>
    <xf numFmtId="0" fontId="2" fillId="3" borderId="140" xfId="0" applyFont="1" applyFill="1" applyBorder="1" applyAlignment="1" applyProtection="1">
      <alignment vertical="center"/>
    </xf>
    <xf numFmtId="180" fontId="42" fillId="0" borderId="138" xfId="0" applyNumberFormat="1" applyFont="1" applyFill="1" applyBorder="1" applyAlignment="1" applyProtection="1">
      <alignment vertical="center" shrinkToFit="1"/>
    </xf>
    <xf numFmtId="0" fontId="2" fillId="0" borderId="19" xfId="0" applyFont="1" applyFill="1" applyBorder="1" applyAlignment="1" applyProtection="1">
      <alignment vertical="center"/>
      <protection locked="0"/>
    </xf>
    <xf numFmtId="0" fontId="13" fillId="4" borderId="68" xfId="0" applyFont="1" applyFill="1" applyBorder="1" applyAlignment="1">
      <alignment horizontal="center" vertical="center"/>
    </xf>
    <xf numFmtId="0" fontId="13" fillId="4" borderId="142" xfId="0" applyFont="1" applyFill="1" applyBorder="1" applyAlignment="1">
      <alignment horizontal="center" vertical="center"/>
    </xf>
    <xf numFmtId="0" fontId="43" fillId="4" borderId="83" xfId="0" applyFont="1" applyFill="1" applyBorder="1" applyAlignment="1">
      <alignment horizontal="center" vertical="center"/>
    </xf>
    <xf numFmtId="0" fontId="43" fillId="4" borderId="8" xfId="0" applyFont="1" applyFill="1" applyBorder="1" applyAlignment="1">
      <alignment horizontal="center" vertical="center"/>
    </xf>
    <xf numFmtId="0" fontId="43" fillId="4" borderId="84" xfId="0" applyFont="1" applyFill="1" applyBorder="1" applyAlignment="1">
      <alignment horizontal="center" vertical="center"/>
    </xf>
    <xf numFmtId="0" fontId="43" fillId="4" borderId="86" xfId="0" applyFont="1" applyFill="1" applyBorder="1" applyAlignment="1">
      <alignment horizontal="center" vertical="center"/>
    </xf>
    <xf numFmtId="0" fontId="43" fillId="4" borderId="87" xfId="0" applyFont="1" applyFill="1" applyBorder="1" applyAlignment="1">
      <alignment horizontal="center" vertical="center"/>
    </xf>
    <xf numFmtId="0" fontId="43" fillId="4" borderId="88" xfId="0" applyFont="1" applyFill="1" applyBorder="1" applyAlignment="1">
      <alignment horizontal="center" vertical="center"/>
    </xf>
    <xf numFmtId="0" fontId="12" fillId="0" borderId="0" xfId="2">
      <alignment vertical="center"/>
    </xf>
    <xf numFmtId="0" fontId="12" fillId="0" borderId="0" xfId="2" applyProtection="1">
      <alignment vertical="center"/>
      <protection locked="0"/>
    </xf>
    <xf numFmtId="0" fontId="2" fillId="2" borderId="3" xfId="0" applyFont="1" applyFill="1" applyBorder="1" applyAlignment="1" applyProtection="1">
      <alignment horizontal="center" vertical="center"/>
      <protection locked="0"/>
    </xf>
    <xf numFmtId="0" fontId="2" fillId="2" borderId="3" xfId="0" applyFont="1" applyFill="1" applyBorder="1" applyAlignment="1" applyProtection="1">
      <alignment horizontal="center" vertical="center" wrapText="1"/>
      <protection locked="0"/>
    </xf>
    <xf numFmtId="180" fontId="42" fillId="0" borderId="8" xfId="0" applyNumberFormat="1" applyFont="1" applyFill="1" applyBorder="1" applyAlignment="1" applyProtection="1">
      <alignment vertical="center"/>
    </xf>
    <xf numFmtId="0" fontId="2" fillId="0" borderId="93" xfId="0" applyFont="1" applyFill="1" applyBorder="1" applyAlignment="1">
      <alignment horizontal="center" vertical="center"/>
    </xf>
    <xf numFmtId="0" fontId="2" fillId="0" borderId="93" xfId="0" applyFont="1" applyFill="1" applyBorder="1" applyAlignment="1">
      <alignment horizontal="center" vertical="center" wrapText="1"/>
    </xf>
    <xf numFmtId="180" fontId="42" fillId="3" borderId="8" xfId="0" applyNumberFormat="1" applyFont="1" applyFill="1" applyBorder="1" applyAlignment="1" applyProtection="1">
      <alignment vertical="center"/>
    </xf>
    <xf numFmtId="180" fontId="42" fillId="3" borderId="8" xfId="0" applyNumberFormat="1" applyFont="1" applyFill="1" applyBorder="1" applyAlignment="1" applyProtection="1">
      <alignment vertical="center"/>
    </xf>
    <xf numFmtId="0" fontId="0" fillId="22" borderId="0" xfId="0" applyFill="1">
      <alignment vertical="center"/>
    </xf>
    <xf numFmtId="0" fontId="2" fillId="5" borderId="60" xfId="0" applyFont="1" applyFill="1" applyBorder="1" applyAlignment="1" applyProtection="1">
      <alignment horizontal="center" vertical="center"/>
    </xf>
    <xf numFmtId="0" fontId="2" fillId="5" borderId="64" xfId="0" applyFont="1" applyFill="1" applyBorder="1" applyAlignment="1" applyProtection="1">
      <alignment horizontal="center" vertical="center"/>
    </xf>
    <xf numFmtId="179" fontId="42" fillId="0" borderId="60" xfId="0" applyNumberFormat="1" applyFont="1" applyBorder="1" applyAlignment="1" applyProtection="1">
      <alignment vertical="center" shrinkToFit="1"/>
      <protection locked="0"/>
    </xf>
    <xf numFmtId="179" fontId="42" fillId="0" borderId="68" xfId="0" applyNumberFormat="1" applyFont="1" applyBorder="1" applyAlignment="1" applyProtection="1">
      <alignment vertical="center" shrinkToFit="1"/>
      <protection locked="0"/>
    </xf>
    <xf numFmtId="179" fontId="42" fillId="3" borderId="61" xfId="0" applyNumberFormat="1" applyFont="1" applyFill="1" applyBorder="1" applyAlignment="1" applyProtection="1">
      <alignment vertical="center" shrinkToFit="1"/>
    </xf>
    <xf numFmtId="179" fontId="42" fillId="3" borderId="11" xfId="0" applyNumberFormat="1" applyFont="1" applyFill="1" applyBorder="1" applyAlignment="1" applyProtection="1">
      <alignment vertical="center" shrinkToFit="1"/>
    </xf>
    <xf numFmtId="179" fontId="42" fillId="3" borderId="23" xfId="0" applyNumberFormat="1" applyFont="1" applyFill="1" applyBorder="1" applyAlignment="1" applyProtection="1">
      <alignment vertical="center" shrinkToFit="1"/>
    </xf>
    <xf numFmtId="180" fontId="2" fillId="2" borderId="63" xfId="0" applyNumberFormat="1" applyFont="1" applyFill="1" applyBorder="1" applyAlignment="1" applyProtection="1">
      <alignment horizontal="center" vertical="center"/>
    </xf>
    <xf numFmtId="180" fontId="2" fillId="2" borderId="62" xfId="0" applyNumberFormat="1" applyFont="1" applyFill="1" applyBorder="1" applyAlignment="1" applyProtection="1">
      <alignment horizontal="center" vertical="center"/>
    </xf>
    <xf numFmtId="180" fontId="42" fillId="28" borderId="8" xfId="0" applyNumberFormat="1" applyFont="1" applyFill="1" applyBorder="1" applyAlignment="1" applyProtection="1">
      <alignment vertical="center"/>
    </xf>
    <xf numFmtId="0" fontId="0" fillId="29" borderId="0" xfId="0" applyFill="1">
      <alignment vertical="center"/>
    </xf>
    <xf numFmtId="180" fontId="2" fillId="0" borderId="8" xfId="0" applyNumberFormat="1" applyFont="1" applyBorder="1" applyProtection="1">
      <alignment vertical="center"/>
      <protection locked="0"/>
    </xf>
    <xf numFmtId="180" fontId="2" fillId="3" borderId="9" xfId="0" applyNumberFormat="1" applyFont="1" applyFill="1" applyBorder="1" applyAlignment="1" applyProtection="1">
      <alignment vertical="center"/>
    </xf>
    <xf numFmtId="180" fontId="42" fillId="0" borderId="68" xfId="0" applyNumberFormat="1" applyFont="1" applyFill="1" applyBorder="1" applyAlignment="1" applyProtection="1">
      <alignment vertical="center"/>
    </xf>
    <xf numFmtId="0" fontId="2" fillId="0" borderId="68" xfId="0" applyNumberFormat="1" applyFont="1" applyFill="1" applyBorder="1" applyAlignment="1" applyProtection="1">
      <alignment horizontal="center" vertical="center"/>
    </xf>
    <xf numFmtId="180" fontId="2" fillId="0" borderId="9" xfId="0" applyNumberFormat="1" applyFont="1" applyFill="1" applyBorder="1" applyAlignment="1" applyProtection="1">
      <alignment horizontal="center" vertical="center"/>
    </xf>
    <xf numFmtId="180" fontId="2" fillId="0" borderId="11" xfId="0" applyNumberFormat="1" applyFont="1" applyFill="1" applyBorder="1" applyAlignment="1" applyProtection="1">
      <alignment horizontal="center" vertical="center"/>
    </xf>
    <xf numFmtId="0" fontId="74" fillId="0" borderId="0" xfId="0" quotePrefix="1" applyFont="1">
      <alignment vertical="center"/>
    </xf>
    <xf numFmtId="0" fontId="2" fillId="0" borderId="0" xfId="0" applyNumberFormat="1" applyFont="1">
      <alignment vertical="center"/>
    </xf>
    <xf numFmtId="0" fontId="2" fillId="0" borderId="0" xfId="0" applyNumberFormat="1" applyFont="1" applyFill="1" applyBorder="1">
      <alignment vertical="center"/>
    </xf>
    <xf numFmtId="0" fontId="2" fillId="0" borderId="1" xfId="0" applyFont="1" applyBorder="1" applyAlignment="1" applyProtection="1">
      <alignment vertical="center" wrapText="1"/>
      <protection locked="0"/>
    </xf>
    <xf numFmtId="0" fontId="2" fillId="0" borderId="0" xfId="0" applyFont="1" applyBorder="1" applyAlignment="1">
      <alignment vertical="center" wrapText="1"/>
    </xf>
    <xf numFmtId="0" fontId="12" fillId="0" borderId="0" xfId="2" applyNumberFormat="1" applyFont="1" applyFill="1" applyBorder="1" applyProtection="1">
      <alignment vertical="center"/>
      <protection locked="0"/>
    </xf>
    <xf numFmtId="0" fontId="110" fillId="0" borderId="0" xfId="0" applyFont="1" applyAlignment="1">
      <alignment vertical="center"/>
    </xf>
    <xf numFmtId="0" fontId="0" fillId="0" borderId="0" xfId="0" applyAlignment="1">
      <alignment vertical="center"/>
    </xf>
    <xf numFmtId="0" fontId="2" fillId="2" borderId="19" xfId="0" applyFont="1" applyFill="1" applyBorder="1" applyAlignment="1" applyProtection="1">
      <alignment horizontal="center" vertical="center"/>
      <protection locked="0"/>
    </xf>
    <xf numFmtId="0" fontId="2" fillId="2" borderId="63"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wrapText="1"/>
      <protection locked="0"/>
    </xf>
    <xf numFmtId="180" fontId="42" fillId="3" borderId="34"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wrapText="1"/>
      <protection locked="0"/>
    </xf>
    <xf numFmtId="0" fontId="2" fillId="5" borderId="17" xfId="0" applyNumberFormat="1" applyFont="1" applyFill="1" applyBorder="1" applyAlignment="1" applyProtection="1">
      <alignment horizontal="center" vertical="center"/>
    </xf>
    <xf numFmtId="0" fontId="2" fillId="0" borderId="0" xfId="0" applyFont="1" applyBorder="1" applyAlignment="1">
      <alignment vertical="center" wrapText="1"/>
    </xf>
    <xf numFmtId="0" fontId="2" fillId="2" borderId="3"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0" fontId="2" fillId="0" borderId="1" xfId="0" applyFont="1" applyBorder="1" applyAlignment="1" applyProtection="1">
      <alignment vertical="center" wrapText="1"/>
      <protection locked="0"/>
    </xf>
    <xf numFmtId="0" fontId="2" fillId="2" borderId="107" xfId="0" applyFont="1" applyFill="1" applyBorder="1" applyAlignment="1" applyProtection="1">
      <alignment horizontal="center" vertical="center" wrapText="1"/>
      <protection locked="0"/>
    </xf>
    <xf numFmtId="0" fontId="2" fillId="2" borderId="71" xfId="0" applyFont="1" applyFill="1" applyBorder="1" applyAlignment="1" applyProtection="1">
      <alignment horizontal="center" vertical="center" wrapText="1"/>
      <protection locked="0"/>
    </xf>
    <xf numFmtId="0" fontId="2" fillId="0" borderId="0" xfId="0" applyFont="1" applyBorder="1" applyAlignment="1">
      <alignment vertical="center" wrapText="1"/>
    </xf>
    <xf numFmtId="180" fontId="42" fillId="3" borderId="8" xfId="0" applyNumberFormat="1" applyFont="1" applyFill="1" applyBorder="1" applyAlignment="1" applyProtection="1">
      <alignment vertical="center"/>
    </xf>
    <xf numFmtId="180" fontId="42" fillId="3" borderId="34" xfId="0" applyNumberFormat="1" applyFont="1" applyFill="1" applyBorder="1" applyAlignment="1" applyProtection="1">
      <alignment vertical="center"/>
    </xf>
    <xf numFmtId="0" fontId="12" fillId="0" borderId="0" xfId="2" applyNumberFormat="1" applyFont="1" applyFill="1" applyBorder="1" applyProtection="1">
      <alignment vertical="center"/>
      <protection locked="0"/>
    </xf>
    <xf numFmtId="180" fontId="42" fillId="0" borderId="63" xfId="0" applyNumberFormat="1" applyFont="1" applyFill="1" applyBorder="1" applyAlignment="1" applyProtection="1">
      <alignment vertical="center"/>
      <protection locked="0"/>
    </xf>
    <xf numFmtId="180" fontId="42" fillId="3" borderId="59" xfId="0" applyNumberFormat="1" applyFont="1" applyFill="1" applyBorder="1" applyAlignment="1" applyProtection="1">
      <alignment horizontal="center" vertical="center"/>
    </xf>
    <xf numFmtId="180" fontId="42" fillId="0" borderId="67" xfId="0" applyNumberFormat="1" applyFont="1" applyFill="1" applyBorder="1" applyAlignment="1" applyProtection="1">
      <alignment horizontal="center" vertical="center"/>
    </xf>
    <xf numFmtId="180" fontId="42" fillId="3" borderId="78" xfId="0" applyNumberFormat="1" applyFont="1" applyFill="1" applyBorder="1" applyAlignment="1" applyProtection="1">
      <alignment horizontal="center" vertical="center"/>
    </xf>
    <xf numFmtId="180" fontId="42" fillId="0" borderId="63" xfId="0" applyNumberFormat="1" applyFont="1" applyFill="1" applyBorder="1" applyAlignment="1" applyProtection="1">
      <alignment horizontal="center" vertical="center"/>
    </xf>
    <xf numFmtId="180" fontId="42" fillId="3" borderId="63" xfId="0" applyNumberFormat="1" applyFont="1" applyFill="1" applyBorder="1" applyAlignment="1" applyProtection="1">
      <alignment horizontal="center" vertical="center"/>
    </xf>
    <xf numFmtId="180" fontId="42" fillId="3" borderId="72" xfId="0" applyNumberFormat="1" applyFont="1" applyFill="1" applyBorder="1" applyAlignment="1" applyProtection="1">
      <alignment horizontal="center" vertical="center"/>
    </xf>
    <xf numFmtId="0" fontId="2" fillId="2" borderId="69" xfId="0" applyFont="1" applyFill="1" applyBorder="1" applyAlignment="1" applyProtection="1">
      <alignment vertical="center"/>
      <protection locked="0"/>
    </xf>
    <xf numFmtId="0" fontId="2" fillId="2" borderId="89" xfId="0" applyFont="1" applyFill="1" applyBorder="1" applyAlignment="1" applyProtection="1">
      <alignment horizontal="center" vertical="center"/>
      <protection locked="0"/>
    </xf>
    <xf numFmtId="180" fontId="42" fillId="0" borderId="8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0" fontId="2" fillId="2" borderId="5" xfId="0" applyFont="1" applyFill="1" applyBorder="1" applyAlignment="1" applyProtection="1">
      <alignment vertical="center"/>
      <protection locked="0"/>
    </xf>
    <xf numFmtId="180" fontId="42" fillId="0" borderId="11" xfId="0" applyNumberFormat="1" applyFont="1" applyFill="1" applyBorder="1" applyAlignment="1" applyProtection="1">
      <alignment horizontal="center" vertical="center"/>
    </xf>
    <xf numFmtId="180" fontId="42" fillId="0" borderId="72" xfId="0" applyNumberFormat="1" applyFont="1" applyFill="1" applyBorder="1" applyAlignment="1" applyProtection="1">
      <alignment horizontal="center" vertical="center"/>
    </xf>
    <xf numFmtId="0" fontId="2" fillId="0" borderId="6" xfId="0" applyFont="1" applyFill="1" applyBorder="1" applyAlignment="1" applyProtection="1">
      <alignment vertical="center"/>
      <protection locked="0"/>
    </xf>
    <xf numFmtId="0" fontId="2" fillId="0" borderId="107" xfId="0" applyFont="1" applyFill="1" applyBorder="1" applyAlignment="1" applyProtection="1">
      <alignment vertical="center"/>
      <protection locked="0"/>
    </xf>
    <xf numFmtId="0" fontId="2" fillId="0" borderId="71" xfId="0" applyFont="1" applyFill="1" applyBorder="1" applyAlignment="1" applyProtection="1">
      <alignment vertical="center"/>
      <protection locked="0"/>
    </xf>
    <xf numFmtId="0" fontId="2" fillId="0" borderId="71" xfId="0" applyFont="1" applyFill="1" applyBorder="1" applyProtection="1">
      <alignment vertical="center"/>
      <protection locked="0"/>
    </xf>
    <xf numFmtId="0" fontId="2" fillId="0" borderId="10" xfId="0" applyFont="1" applyFill="1" applyBorder="1" applyProtection="1">
      <alignment vertical="center"/>
      <protection locked="0"/>
    </xf>
    <xf numFmtId="0" fontId="2" fillId="2" borderId="13" xfId="0" applyFont="1" applyFill="1" applyBorder="1" applyAlignment="1" applyProtection="1">
      <alignment vertical="center" wrapText="1"/>
      <protection locked="0"/>
    </xf>
    <xf numFmtId="180" fontId="42" fillId="0" borderId="64" xfId="0" applyNumberFormat="1" applyFont="1" applyBorder="1" applyAlignment="1" applyProtection="1">
      <alignment vertical="center" shrinkToFit="1"/>
      <protection locked="0"/>
    </xf>
    <xf numFmtId="185" fontId="2" fillId="4" borderId="104" xfId="0" applyNumberFormat="1" applyFont="1" applyFill="1" applyBorder="1" applyAlignment="1" applyProtection="1">
      <alignment vertical="center" shrinkToFit="1"/>
      <protection locked="0"/>
    </xf>
    <xf numFmtId="180" fontId="42" fillId="0" borderId="89" xfId="0" applyNumberFormat="1" applyFont="1" applyBorder="1" applyAlignment="1" applyProtection="1">
      <alignment vertical="center" shrinkToFit="1"/>
      <protection locked="0"/>
    </xf>
    <xf numFmtId="0" fontId="2" fillId="0" borderId="65" xfId="0" applyNumberFormat="1" applyFont="1" applyBorder="1" applyAlignment="1" applyProtection="1">
      <alignment vertical="center" shrinkToFit="1"/>
      <protection locked="0"/>
    </xf>
    <xf numFmtId="180" fontId="42" fillId="0" borderId="65" xfId="0" applyNumberFormat="1" applyFont="1" applyBorder="1" applyAlignment="1" applyProtection="1">
      <alignment vertical="center" shrinkToFit="1"/>
      <protection locked="0"/>
    </xf>
    <xf numFmtId="180" fontId="42" fillId="3" borderId="78" xfId="0" applyNumberFormat="1" applyFont="1" applyFill="1" applyBorder="1" applyAlignment="1" applyProtection="1">
      <alignment vertical="center" shrinkToFit="1"/>
    </xf>
    <xf numFmtId="185" fontId="2" fillId="4" borderId="105" xfId="0" applyNumberFormat="1" applyFont="1" applyFill="1" applyBorder="1" applyAlignment="1" applyProtection="1">
      <alignment vertical="center" shrinkToFit="1"/>
      <protection locked="0"/>
    </xf>
    <xf numFmtId="180" fontId="42" fillId="0" borderId="67" xfId="0" applyNumberFormat="1" applyFont="1" applyBorder="1" applyAlignment="1" applyProtection="1">
      <alignment vertical="center" shrinkToFit="1"/>
      <protection locked="0"/>
    </xf>
    <xf numFmtId="0" fontId="2" fillId="0" borderId="64" xfId="0" applyNumberFormat="1" applyFont="1" applyBorder="1" applyAlignment="1" applyProtection="1">
      <alignment vertical="center" shrinkToFit="1"/>
      <protection locked="0"/>
    </xf>
    <xf numFmtId="185" fontId="2" fillId="4" borderId="15" xfId="0" applyNumberFormat="1" applyFont="1" applyFill="1" applyBorder="1" applyAlignment="1" applyProtection="1">
      <alignment vertical="center" shrinkToFit="1"/>
      <protection locked="0"/>
    </xf>
    <xf numFmtId="0" fontId="2" fillId="0" borderId="23" xfId="0" applyNumberFormat="1" applyFont="1" applyBorder="1" applyAlignment="1" applyProtection="1">
      <alignment vertical="center" shrinkToFit="1"/>
      <protection locked="0"/>
    </xf>
    <xf numFmtId="0" fontId="2" fillId="3" borderId="73" xfId="0" applyFont="1" applyFill="1" applyBorder="1" applyAlignment="1" applyProtection="1">
      <alignment vertical="center" wrapText="1"/>
    </xf>
    <xf numFmtId="0" fontId="2" fillId="3" borderId="6" xfId="0" applyFont="1" applyFill="1" applyBorder="1" applyAlignment="1" applyProtection="1">
      <alignment vertical="center" wrapText="1"/>
    </xf>
    <xf numFmtId="180" fontId="42" fillId="30" borderId="67" xfId="0" applyNumberFormat="1" applyFont="1" applyFill="1" applyBorder="1" applyAlignment="1" applyProtection="1">
      <alignment vertical="center" shrinkToFit="1"/>
      <protection locked="0"/>
    </xf>
    <xf numFmtId="180" fontId="42" fillId="31" borderId="67" xfId="0" applyNumberFormat="1" applyFont="1" applyFill="1" applyBorder="1" applyAlignment="1" applyProtection="1">
      <alignment vertical="center" shrinkToFit="1"/>
    </xf>
    <xf numFmtId="0" fontId="43" fillId="4" borderId="23" xfId="0" applyFont="1" applyFill="1" applyBorder="1" applyAlignment="1">
      <alignment horizontal="center" vertical="center"/>
    </xf>
    <xf numFmtId="0" fontId="43" fillId="4" borderId="144" xfId="0" applyFont="1" applyFill="1" applyBorder="1" applyAlignment="1">
      <alignment horizontal="center" vertical="center"/>
    </xf>
    <xf numFmtId="0" fontId="13" fillId="4" borderId="15" xfId="0" applyFont="1" applyFill="1" applyBorder="1" applyAlignment="1">
      <alignment horizontal="center" vertical="center"/>
    </xf>
    <xf numFmtId="0" fontId="13" fillId="4" borderId="138" xfId="0" applyFont="1" applyFill="1" applyBorder="1" applyAlignment="1">
      <alignment horizontal="center" vertical="center"/>
    </xf>
    <xf numFmtId="0" fontId="43" fillId="4" borderId="15" xfId="0" applyFont="1" applyFill="1" applyBorder="1" applyAlignment="1">
      <alignment horizontal="center" vertical="center"/>
    </xf>
    <xf numFmtId="0" fontId="43" fillId="4" borderId="149" xfId="0" applyFont="1" applyFill="1" applyBorder="1" applyAlignment="1">
      <alignment horizontal="center" vertical="center"/>
    </xf>
    <xf numFmtId="0" fontId="50" fillId="0" borderId="0" xfId="0" applyFont="1" applyFill="1" applyBorder="1" applyAlignment="1" applyProtection="1">
      <alignment horizontal="center" vertical="center"/>
    </xf>
    <xf numFmtId="0" fontId="60" fillId="4" borderId="15" xfId="2" applyNumberFormat="1" applyFont="1" applyFill="1" applyBorder="1" applyAlignment="1" applyProtection="1">
      <alignment horizontal="center" vertical="center"/>
    </xf>
    <xf numFmtId="0" fontId="12" fillId="0" borderId="0" xfId="2" quotePrefix="1">
      <alignment vertical="center"/>
    </xf>
    <xf numFmtId="0" fontId="12" fillId="0" borderId="0" xfId="2" applyFill="1">
      <alignment vertical="center"/>
    </xf>
    <xf numFmtId="180" fontId="2" fillId="30" borderId="9" xfId="0" applyNumberFormat="1" applyFont="1" applyFill="1" applyBorder="1" applyAlignment="1" applyProtection="1">
      <alignment vertical="top" wrapText="1"/>
      <protection locked="0"/>
    </xf>
    <xf numFmtId="180" fontId="2" fillId="4" borderId="8" xfId="0" applyNumberFormat="1" applyFont="1" applyFill="1" applyBorder="1" applyProtection="1">
      <alignment vertical="center"/>
      <protection locked="0"/>
    </xf>
    <xf numFmtId="180" fontId="42" fillId="32" borderId="68" xfId="0" applyNumberFormat="1" applyFont="1" applyFill="1" applyBorder="1" applyAlignment="1" applyProtection="1">
      <alignment vertical="center"/>
    </xf>
    <xf numFmtId="180" fontId="42" fillId="3" borderId="90" xfId="0" applyNumberFormat="1" applyFont="1" applyFill="1" applyBorder="1" applyAlignment="1" applyProtection="1">
      <alignment vertical="center"/>
    </xf>
    <xf numFmtId="180" fontId="2" fillId="0" borderId="19" xfId="0" applyNumberFormat="1" applyFont="1" applyBorder="1" applyAlignment="1" applyProtection="1">
      <alignment vertical="center"/>
      <protection locked="0"/>
    </xf>
    <xf numFmtId="0" fontId="2" fillId="0" borderId="59" xfId="0" applyNumberFormat="1" applyFont="1" applyFill="1" applyBorder="1" applyAlignment="1" applyProtection="1">
      <alignment horizontal="center" vertical="center"/>
    </xf>
    <xf numFmtId="180" fontId="2" fillId="0" borderId="8" xfId="0" applyNumberFormat="1" applyFont="1" applyFill="1" applyBorder="1" applyAlignment="1" applyProtection="1">
      <alignment vertical="center"/>
    </xf>
    <xf numFmtId="0" fontId="0" fillId="30" borderId="0" xfId="0" applyFill="1" applyProtection="1">
      <alignment vertical="center"/>
      <protection locked="0"/>
    </xf>
    <xf numFmtId="0" fontId="74" fillId="30" borderId="0" xfId="0" applyFont="1" applyFill="1" applyProtection="1">
      <alignment vertical="center"/>
      <protection locked="0"/>
    </xf>
    <xf numFmtId="180" fontId="42" fillId="32" borderId="8" xfId="0" applyNumberFormat="1" applyFont="1" applyFill="1" applyBorder="1" applyAlignment="1" applyProtection="1">
      <alignment vertical="center"/>
      <protection locked="0"/>
    </xf>
    <xf numFmtId="180" fontId="2" fillId="0" borderId="8" xfId="0" applyNumberFormat="1" applyFont="1" applyBorder="1" applyAlignment="1" applyProtection="1">
      <alignment vertical="center"/>
      <protection locked="0"/>
    </xf>
    <xf numFmtId="180" fontId="2" fillId="0" borderId="8" xfId="0" applyNumberFormat="1" applyFont="1" applyFill="1" applyBorder="1" applyAlignment="1" applyProtection="1">
      <alignment vertical="center"/>
      <protection locked="0"/>
    </xf>
    <xf numFmtId="0" fontId="2" fillId="2" borderId="107" xfId="0" applyFont="1" applyFill="1" applyBorder="1" applyAlignment="1" applyProtection="1">
      <alignment vertical="center"/>
      <protection locked="0"/>
    </xf>
    <xf numFmtId="180" fontId="42" fillId="4" borderId="78" xfId="0" applyNumberFormat="1" applyFont="1" applyFill="1" applyBorder="1" applyAlignment="1" applyProtection="1">
      <alignment vertical="center"/>
      <protection locked="0"/>
    </xf>
    <xf numFmtId="0" fontId="2" fillId="2" borderId="33" xfId="0" applyFont="1" applyFill="1" applyBorder="1" applyAlignment="1" applyProtection="1">
      <alignment vertical="center"/>
      <protection locked="0"/>
    </xf>
    <xf numFmtId="180" fontId="42" fillId="4" borderId="35" xfId="0" applyNumberFormat="1" applyFont="1" applyFill="1" applyBorder="1" applyAlignment="1" applyProtection="1">
      <alignment vertical="center"/>
      <protection locked="0"/>
    </xf>
    <xf numFmtId="0" fontId="63" fillId="2" borderId="33" xfId="0" applyFont="1" applyFill="1" applyBorder="1" applyAlignment="1" applyProtection="1">
      <alignment vertical="center"/>
      <protection locked="0"/>
    </xf>
    <xf numFmtId="180" fontId="71" fillId="3" borderId="68" xfId="0" applyNumberFormat="1" applyFont="1" applyFill="1" applyBorder="1" applyAlignment="1" applyProtection="1">
      <alignment vertical="center"/>
    </xf>
    <xf numFmtId="180" fontId="71" fillId="3" borderId="74" xfId="0" applyNumberFormat="1" applyFont="1" applyFill="1" applyBorder="1" applyAlignment="1" applyProtection="1">
      <alignment vertical="center"/>
    </xf>
    <xf numFmtId="0" fontId="63" fillId="2" borderId="89" xfId="0" applyFont="1" applyFill="1" applyBorder="1" applyAlignment="1" applyProtection="1">
      <alignment horizontal="center" vertical="center"/>
      <protection locked="0"/>
    </xf>
    <xf numFmtId="180" fontId="71" fillId="0" borderId="12" xfId="0" applyNumberFormat="1" applyFont="1" applyFill="1" applyBorder="1" applyAlignment="1" applyProtection="1">
      <alignment vertical="center"/>
    </xf>
    <xf numFmtId="180" fontId="71" fillId="33" borderId="12" xfId="0" applyNumberFormat="1" applyFont="1" applyFill="1" applyBorder="1" applyAlignment="1" applyProtection="1">
      <alignment horizontal="center" vertical="center"/>
    </xf>
    <xf numFmtId="180" fontId="71" fillId="33" borderId="17" xfId="0" applyNumberFormat="1" applyFont="1" applyFill="1" applyBorder="1" applyAlignment="1" applyProtection="1">
      <alignment horizontal="center" vertical="center"/>
    </xf>
    <xf numFmtId="0" fontId="2" fillId="0" borderId="63" xfId="0" applyFont="1" applyFill="1" applyBorder="1" applyAlignment="1" applyProtection="1">
      <alignment vertical="center"/>
      <protection locked="0"/>
    </xf>
    <xf numFmtId="180" fontId="42" fillId="3" borderId="59" xfId="0" applyNumberFormat="1" applyFont="1" applyFill="1" applyBorder="1" applyAlignment="1" applyProtection="1">
      <alignment vertical="center"/>
    </xf>
    <xf numFmtId="180" fontId="71" fillId="0" borderId="68" xfId="0" applyNumberFormat="1" applyFont="1" applyFill="1" applyBorder="1" applyAlignment="1" applyProtection="1">
      <alignment vertical="center"/>
    </xf>
    <xf numFmtId="180" fontId="71" fillId="33" borderId="68" xfId="0" applyNumberFormat="1" applyFont="1" applyFill="1" applyBorder="1" applyAlignment="1" applyProtection="1">
      <alignment horizontal="center" vertical="center"/>
    </xf>
    <xf numFmtId="180" fontId="71" fillId="33" borderId="79" xfId="0" applyNumberFormat="1" applyFont="1" applyFill="1" applyBorder="1" applyAlignment="1" applyProtection="1">
      <alignment horizontal="center" vertical="center"/>
    </xf>
    <xf numFmtId="0" fontId="2" fillId="5" borderId="64" xfId="0" applyNumberFormat="1" applyFont="1" applyFill="1" applyBorder="1" applyAlignment="1" applyProtection="1">
      <alignment horizontal="center" vertical="center"/>
    </xf>
    <xf numFmtId="180" fontId="42" fillId="0" borderId="62" xfId="0" applyNumberFormat="1" applyFont="1" applyBorder="1" applyAlignment="1" applyProtection="1">
      <alignment vertical="center"/>
      <protection locked="0"/>
    </xf>
    <xf numFmtId="0" fontId="2" fillId="34" borderId="19" xfId="0" applyNumberFormat="1" applyFont="1" applyFill="1" applyBorder="1" applyAlignment="1" applyProtection="1">
      <alignment horizontal="center" vertical="center"/>
    </xf>
    <xf numFmtId="0" fontId="74" fillId="33" borderId="0" xfId="0" applyFont="1" applyFill="1" applyAlignment="1">
      <alignment vertical="center"/>
    </xf>
    <xf numFmtId="0" fontId="2" fillId="33" borderId="0" xfId="0" applyFont="1" applyFill="1" applyAlignment="1">
      <alignment vertical="center"/>
    </xf>
    <xf numFmtId="0" fontId="2" fillId="33" borderId="0" xfId="0" applyFont="1" applyFill="1" applyBorder="1" applyAlignment="1">
      <alignment vertical="center"/>
    </xf>
    <xf numFmtId="0" fontId="2" fillId="33" borderId="0" xfId="0" applyFont="1" applyFill="1" applyBorder="1" applyAlignment="1">
      <alignment horizontal="righ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93" xfId="0" applyFont="1" applyFill="1" applyBorder="1" applyAlignment="1">
      <alignment vertical="center"/>
    </xf>
    <xf numFmtId="0" fontId="2" fillId="33" borderId="93" xfId="0" applyFont="1" applyFill="1" applyBorder="1" applyAlignment="1">
      <alignment vertical="center" wrapText="1"/>
    </xf>
    <xf numFmtId="0" fontId="2" fillId="33" borderId="115" xfId="0" applyFont="1" applyFill="1" applyBorder="1" applyAlignment="1">
      <alignment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left" vertical="center" wrapText="1"/>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111" xfId="0" applyFont="1" applyFill="1" applyBorder="1" applyAlignment="1">
      <alignment vertical="center"/>
    </xf>
    <xf numFmtId="0" fontId="2" fillId="33" borderId="109" xfId="0" applyFont="1" applyFill="1" applyBorder="1" applyAlignment="1">
      <alignment vertical="center"/>
    </xf>
    <xf numFmtId="0" fontId="2" fillId="33" borderId="93" xfId="0" applyFont="1" applyFill="1" applyBorder="1" applyAlignment="1">
      <alignment horizontal="left" vertical="center"/>
    </xf>
    <xf numFmtId="0" fontId="2" fillId="33" borderId="93" xfId="0" applyFont="1" applyFill="1" applyBorder="1" applyAlignment="1">
      <alignment horizontal="left" vertical="center" wrapText="1"/>
    </xf>
    <xf numFmtId="0" fontId="2" fillId="33" borderId="110" xfId="0" applyFont="1" applyFill="1" applyBorder="1" applyAlignment="1">
      <alignment vertical="center"/>
    </xf>
    <xf numFmtId="0" fontId="74" fillId="33" borderId="111" xfId="0" applyFont="1" applyFill="1" applyBorder="1" applyAlignment="1">
      <alignment vertical="center"/>
    </xf>
    <xf numFmtId="0" fontId="26" fillId="33" borderId="111" xfId="0" applyFont="1" applyFill="1" applyBorder="1" applyAlignment="1"/>
    <xf numFmtId="192" fontId="2" fillId="33" borderId="93" xfId="0" applyNumberFormat="1" applyFont="1" applyFill="1" applyBorder="1" applyAlignment="1">
      <alignment horizontal="center" vertical="center" wrapText="1"/>
    </xf>
    <xf numFmtId="0" fontId="53" fillId="33" borderId="93"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74" fillId="33" borderId="111"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vertical="center"/>
    </xf>
    <xf numFmtId="0" fontId="74" fillId="33" borderId="111" xfId="0" applyFont="1" applyFill="1" applyBorder="1" applyAlignment="1"/>
    <xf numFmtId="0" fontId="74" fillId="33" borderId="110" xfId="0" applyFont="1" applyFill="1" applyBorder="1" applyAlignment="1">
      <alignment horizontal="center" vertical="center"/>
    </xf>
    <xf numFmtId="0" fontId="2" fillId="33" borderId="116" xfId="0" applyFont="1" applyFill="1" applyBorder="1" applyAlignment="1">
      <alignment horizontal="center" vertical="center"/>
    </xf>
    <xf numFmtId="0" fontId="74" fillId="33" borderId="110" xfId="0" applyFont="1" applyFill="1" applyBorder="1" applyAlignment="1">
      <alignment vertical="center"/>
    </xf>
    <xf numFmtId="0" fontId="74" fillId="33" borderId="110"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lignment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left" vertical="center" wrapText="1"/>
    </xf>
    <xf numFmtId="0" fontId="2" fillId="33" borderId="93" xfId="0" applyFont="1" applyFill="1" applyBorder="1" applyAlignment="1">
      <alignment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6"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110" xfId="0" applyFont="1" applyFill="1" applyBorder="1" applyAlignment="1">
      <alignment horizontal="center" vertical="center"/>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74" fillId="33" borderId="110" xfId="0" applyFont="1" applyFill="1" applyBorder="1" applyAlignment="1">
      <alignment vertical="center"/>
    </xf>
    <xf numFmtId="0" fontId="2" fillId="30" borderId="93" xfId="0" applyFont="1" applyFill="1" applyBorder="1" applyAlignment="1">
      <alignment horizontal="center" vertical="center"/>
    </xf>
    <xf numFmtId="0" fontId="74" fillId="33" borderId="110" xfId="0" applyFont="1" applyFill="1" applyBorder="1" applyAlignment="1"/>
    <xf numFmtId="0" fontId="2" fillId="33" borderId="115" xfId="0" applyNumberFormat="1" applyFont="1" applyFill="1" applyBorder="1" applyAlignment="1" applyProtection="1">
      <alignment horizontal="center" vertical="center" wrapText="1"/>
    </xf>
    <xf numFmtId="0" fontId="2" fillId="33" borderId="93" xfId="0" applyNumberFormat="1" applyFont="1" applyFill="1" applyBorder="1" applyAlignment="1" applyProtection="1">
      <alignment horizontal="center" vertical="center"/>
    </xf>
    <xf numFmtId="0" fontId="2" fillId="33" borderId="93" xfId="0" applyNumberFormat="1" applyFont="1" applyFill="1" applyBorder="1" applyAlignment="1" applyProtection="1">
      <alignment horizontal="left" vertical="center"/>
    </xf>
    <xf numFmtId="0" fontId="2" fillId="33" borderId="115" xfId="0" applyNumberFormat="1" applyFont="1" applyFill="1" applyBorder="1" applyAlignment="1" applyProtection="1">
      <alignment horizontal="center" vertical="center"/>
    </xf>
    <xf numFmtId="0" fontId="2" fillId="33" borderId="115" xfId="0" applyNumberFormat="1" applyFont="1" applyFill="1" applyBorder="1" applyAlignment="1" applyProtection="1">
      <alignment horizontal="left" vertical="center" wrapText="1"/>
    </xf>
    <xf numFmtId="0" fontId="2" fillId="32" borderId="93" xfId="0" applyNumberFormat="1" applyFont="1" applyFill="1" applyBorder="1" applyAlignment="1" applyProtection="1">
      <alignment horizontal="left"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6" fillId="33" borderId="110" xfId="0" applyFont="1" applyFill="1" applyBorder="1">
      <alignment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18" fillId="33" borderId="93" xfId="0" applyFont="1" applyFill="1" applyBorder="1" applyAlignment="1">
      <alignment horizontal="center" vertical="center" wrapText="1"/>
    </xf>
    <xf numFmtId="0" fontId="2" fillId="32" borderId="93" xfId="0" applyFont="1" applyFill="1" applyBorder="1">
      <alignment vertical="center"/>
    </xf>
    <xf numFmtId="0" fontId="26" fillId="33" borderId="110" xfId="0" applyFont="1" applyFill="1" applyBorder="1" applyAlignment="1">
      <alignment vertical="center"/>
    </xf>
    <xf numFmtId="0" fontId="2" fillId="33" borderId="93" xfId="0" applyFont="1" applyFill="1" applyBorder="1" applyAlignment="1">
      <alignment vertical="center"/>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53" fillId="33" borderId="93" xfId="0" applyFont="1" applyFill="1" applyBorder="1" applyAlignment="1">
      <alignment horizontal="center" vertical="center" wrapText="1"/>
    </xf>
    <xf numFmtId="0" fontId="2" fillId="32" borderId="93" xfId="0" applyFont="1" applyFill="1" applyBorder="1" applyAlignment="1">
      <alignment vertical="center"/>
    </xf>
    <xf numFmtId="0" fontId="26" fillId="33" borderId="110"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left" vertical="center" wrapText="1"/>
    </xf>
    <xf numFmtId="9" fontId="2" fillId="33" borderId="93" xfId="0" applyNumberFormat="1" applyFont="1" applyFill="1" applyBorder="1" applyAlignment="1">
      <alignment horizontal="left" vertical="center" wrapText="1"/>
    </xf>
    <xf numFmtId="0" fontId="26" fillId="33" borderId="110" xfId="0" applyFont="1" applyFill="1" applyBorder="1" applyAlignment="1">
      <alignment horizontal="right" vertical="center"/>
    </xf>
    <xf numFmtId="0" fontId="2" fillId="33" borderId="115" xfId="0" applyFont="1" applyFill="1" applyBorder="1" applyAlignment="1">
      <alignment vertical="center" wrapText="1"/>
    </xf>
    <xf numFmtId="0" fontId="2" fillId="33" borderId="120" xfId="0" applyFont="1" applyFill="1" applyBorder="1" applyAlignment="1">
      <alignment horizontal="left" vertical="center" wrapText="1"/>
    </xf>
    <xf numFmtId="0" fontId="2" fillId="33" borderId="120" xfId="0" applyFont="1" applyFill="1" applyBorder="1" applyAlignment="1">
      <alignment horizontal="center" vertical="center" wrapText="1"/>
    </xf>
    <xf numFmtId="0" fontId="2" fillId="33" borderId="115" xfId="0" applyFont="1" applyFill="1" applyBorder="1" applyAlignment="1">
      <alignment horizontal="left" vertical="center" wrapText="1"/>
    </xf>
    <xf numFmtId="0" fontId="2" fillId="33" borderId="109" xfId="0" applyFont="1" applyFill="1" applyBorder="1" applyAlignment="1">
      <alignment horizontal="left" vertical="center"/>
    </xf>
    <xf numFmtId="0" fontId="2" fillId="33" borderId="120" xfId="0" applyFont="1" applyFill="1" applyBorder="1" applyAlignment="1">
      <alignment horizontal="left" vertical="center" wrapText="1"/>
    </xf>
    <xf numFmtId="0" fontId="2" fillId="33" borderId="109" xfId="0" applyFont="1" applyFill="1" applyBorder="1" applyAlignment="1">
      <alignment horizontal="left" vertical="center" wrapText="1"/>
    </xf>
    <xf numFmtId="0" fontId="2" fillId="33" borderId="109" xfId="0" applyFont="1" applyFill="1" applyBorder="1" applyAlignment="1">
      <alignment horizontal="left" vertical="center"/>
    </xf>
    <xf numFmtId="0" fontId="2" fillId="33" borderId="109" xfId="0" applyFont="1" applyFill="1" applyBorder="1" applyAlignment="1">
      <alignment horizontal="left"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2" fillId="32" borderId="93" xfId="0" applyFont="1" applyFill="1" applyBorder="1" applyAlignment="1">
      <alignment horizontal="center" vertical="center"/>
    </xf>
    <xf numFmtId="0" fontId="2" fillId="33" borderId="93" xfId="0" applyFont="1" applyFill="1" applyBorder="1" applyAlignment="1">
      <alignment horizontal="left"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1" fillId="33" borderId="93" xfId="0" applyFont="1" applyFill="1" applyBorder="1" applyAlignment="1">
      <alignment vertical="center" wrapText="1"/>
    </xf>
    <xf numFmtId="0" fontId="2" fillId="30" borderId="93" xfId="0" applyFont="1" applyFill="1" applyBorder="1" applyAlignment="1">
      <alignment vertical="center" wrapText="1"/>
    </xf>
    <xf numFmtId="0" fontId="2" fillId="33" borderId="93" xfId="0" applyFont="1" applyFill="1" applyBorder="1" applyAlignment="1">
      <alignment vertical="center" wrapText="1"/>
    </xf>
    <xf numFmtId="0" fontId="2" fillId="32" borderId="93" xfId="0" applyFont="1" applyFill="1" applyBorder="1" applyAlignment="1">
      <alignment vertical="center" wrapText="1"/>
    </xf>
    <xf numFmtId="0" fontId="26" fillId="33" borderId="111" xfId="0" applyFont="1" applyFill="1" applyBorder="1" applyAlignment="1">
      <alignment horizontal="centerContinuous" vertical="center"/>
    </xf>
    <xf numFmtId="0" fontId="26" fillId="33" borderId="110" xfId="0" applyFont="1" applyFill="1" applyBorder="1" applyAlignment="1">
      <alignment horizontal="centerContinuous" vertical="center"/>
    </xf>
    <xf numFmtId="0" fontId="68" fillId="33" borderId="111" xfId="0" applyFont="1" applyFill="1" applyBorder="1" applyAlignment="1">
      <alignment horizontal="centerContinuous" vertical="center"/>
    </xf>
    <xf numFmtId="0" fontId="2" fillId="33" borderId="115" xfId="0" applyFont="1" applyFill="1" applyBorder="1" applyAlignment="1">
      <alignment horizontal="center" vertical="center"/>
    </xf>
    <xf numFmtId="0" fontId="2" fillId="30" borderId="93" xfId="0" applyFont="1" applyFill="1" applyBorder="1" applyAlignment="1">
      <alignment vertical="center"/>
    </xf>
    <xf numFmtId="0" fontId="2" fillId="32" borderId="93" xfId="0" applyFont="1" applyFill="1" applyBorder="1" applyAlignment="1">
      <alignment vertical="center"/>
    </xf>
    <xf numFmtId="0" fontId="2" fillId="33" borderId="93" xfId="0" applyFont="1" applyFill="1" applyBorder="1" applyAlignment="1">
      <alignment horizontal="center" vertical="center"/>
    </xf>
    <xf numFmtId="0" fontId="2" fillId="33" borderId="93" xfId="0" applyFont="1" applyFill="1" applyBorder="1">
      <alignment vertical="center"/>
    </xf>
    <xf numFmtId="0" fontId="26" fillId="33" borderId="110" xfId="0" applyFont="1" applyFill="1" applyBorder="1" applyAlignment="1">
      <alignment vertical="center"/>
    </xf>
    <xf numFmtId="0" fontId="2" fillId="33" borderId="93" xfId="0" applyFont="1" applyFill="1" applyBorder="1" applyAlignment="1">
      <alignment horizontal="left" vertical="center"/>
    </xf>
    <xf numFmtId="0" fontId="2" fillId="33" borderId="93" xfId="0" applyFont="1" applyFill="1" applyBorder="1" applyAlignment="1">
      <alignment vertical="center"/>
    </xf>
    <xf numFmtId="0" fontId="2" fillId="32"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6" fillId="33" borderId="122" xfId="0" applyFont="1" applyFill="1" applyBorder="1" applyAlignment="1">
      <alignment vertical="center"/>
    </xf>
    <xf numFmtId="0" fontId="7" fillId="33" borderId="110" xfId="0" applyFont="1" applyFill="1" applyBorder="1" applyAlignment="1">
      <alignment vertical="center"/>
    </xf>
    <xf numFmtId="0" fontId="2" fillId="33" borderId="110" xfId="0" applyFont="1" applyFill="1" applyBorder="1" applyAlignment="1">
      <alignment horizontal="center" vertical="center" wrapText="1"/>
    </xf>
    <xf numFmtId="0" fontId="107" fillId="33" borderId="110" xfId="0" applyFont="1" applyFill="1" applyBorder="1" applyAlignment="1">
      <alignment vertical="center"/>
    </xf>
    <xf numFmtId="0" fontId="74" fillId="33" borderId="93" xfId="0" applyFont="1" applyFill="1" applyBorder="1" applyAlignment="1">
      <alignment horizontal="center" vertical="center"/>
    </xf>
    <xf numFmtId="0" fontId="51" fillId="33" borderId="93" xfId="0" applyFont="1" applyFill="1" applyBorder="1" applyAlignment="1">
      <alignment horizontal="center" vertical="center"/>
    </xf>
    <xf numFmtId="0" fontId="51" fillId="33" borderId="93" xfId="0" applyFont="1" applyFill="1" applyBorder="1" applyAlignment="1">
      <alignment vertical="center"/>
    </xf>
    <xf numFmtId="0" fontId="51" fillId="33" borderId="115" xfId="0" applyFont="1" applyFill="1" applyBorder="1" applyAlignment="1">
      <alignment horizontal="center" vertical="center"/>
    </xf>
    <xf numFmtId="0" fontId="51" fillId="33" borderId="115" xfId="0" applyFont="1" applyFill="1" applyBorder="1" applyAlignment="1">
      <alignment horizontal="left" vertical="center" wrapText="1"/>
    </xf>
    <xf numFmtId="0" fontId="51" fillId="33" borderId="115" xfId="0" applyNumberFormat="1" applyFont="1" applyFill="1" applyBorder="1" applyAlignment="1">
      <alignment horizontal="left" vertical="center" wrapText="1"/>
    </xf>
    <xf numFmtId="0" fontId="51" fillId="33" borderId="93" xfId="0" applyNumberFormat="1" applyFont="1" applyFill="1" applyBorder="1" applyAlignment="1">
      <alignment vertical="center" wrapText="1"/>
    </xf>
    <xf numFmtId="0" fontId="19" fillId="33" borderId="93" xfId="0" applyFont="1" applyFill="1" applyBorder="1" applyAlignment="1">
      <alignment horizontal="center" vertical="center"/>
    </xf>
    <xf numFmtId="0" fontId="2" fillId="32" borderId="93" xfId="0" applyFont="1" applyFill="1" applyBorder="1" applyAlignment="1">
      <alignment vertical="center"/>
    </xf>
    <xf numFmtId="0" fontId="53" fillId="33" borderId="93" xfId="0" applyFont="1" applyFill="1" applyBorder="1" applyAlignment="1">
      <alignment vertical="center"/>
    </xf>
    <xf numFmtId="0" fontId="2" fillId="33" borderId="93" xfId="0" applyFont="1" applyFill="1" applyBorder="1" applyAlignment="1" applyProtection="1">
      <alignment vertical="center"/>
      <protection locked="0"/>
    </xf>
    <xf numFmtId="0" fontId="2" fillId="33" borderId="93" xfId="0" applyFont="1" applyFill="1" applyBorder="1" applyAlignment="1" applyProtection="1">
      <alignment horizontal="left" vertical="center" wrapText="1"/>
      <protection locked="0"/>
    </xf>
    <xf numFmtId="0" fontId="26" fillId="33" borderId="110" xfId="0" applyFont="1" applyFill="1" applyBorder="1" applyAlignment="1"/>
    <xf numFmtId="0" fontId="2" fillId="32" borderId="93" xfId="0" applyNumberFormat="1" applyFont="1" applyFill="1" applyBorder="1" applyAlignment="1">
      <alignment horizontal="left" vertical="center"/>
    </xf>
    <xf numFmtId="0" fontId="26" fillId="33" borderId="110" xfId="0" applyFont="1" applyFill="1" applyBorder="1" applyAlignment="1">
      <alignment vertical="center"/>
    </xf>
    <xf numFmtId="0" fontId="2" fillId="33" borderId="115" xfId="0" applyFont="1" applyFill="1" applyBorder="1" applyAlignment="1">
      <alignment horizontal="center" vertical="center" wrapText="1"/>
    </xf>
    <xf numFmtId="0" fontId="74" fillId="33" borderId="0" xfId="0" applyFont="1" applyFill="1" applyAlignment="1">
      <alignment vertical="center"/>
    </xf>
    <xf numFmtId="0" fontId="2" fillId="33" borderId="93" xfId="0" applyFont="1" applyFill="1" applyBorder="1" applyAlignment="1" applyProtection="1">
      <alignment horizontal="left" vertical="center" wrapText="1"/>
      <protection hidden="1"/>
    </xf>
    <xf numFmtId="0" fontId="74" fillId="33" borderId="93" xfId="0" applyFont="1" applyFill="1" applyBorder="1" applyAlignment="1">
      <alignment horizontal="center" vertical="center"/>
    </xf>
    <xf numFmtId="0" fontId="2" fillId="33" borderId="109" xfId="0" applyFont="1" applyFill="1" applyBorder="1" applyAlignment="1" applyProtection="1">
      <alignment horizontal="left" vertical="center" wrapText="1"/>
      <protection hidden="1"/>
    </xf>
    <xf numFmtId="0" fontId="74" fillId="33" borderId="93" xfId="0" applyFont="1" applyFill="1" applyBorder="1" applyAlignment="1">
      <alignment vertical="center"/>
    </xf>
    <xf numFmtId="0" fontId="2" fillId="33" borderId="93" xfId="0" applyFont="1" applyFill="1" applyBorder="1" applyAlignment="1">
      <alignment horizontal="left" vertical="center" wrapText="1"/>
    </xf>
    <xf numFmtId="0" fontId="74" fillId="33" borderId="122" xfId="0" applyFont="1" applyFill="1" applyBorder="1" applyAlignment="1">
      <alignment vertical="center"/>
    </xf>
    <xf numFmtId="0" fontId="2" fillId="33" borderId="110" xfId="0" applyFont="1" applyFill="1" applyBorder="1">
      <alignment vertical="center"/>
    </xf>
    <xf numFmtId="0" fontId="2" fillId="33" borderId="93" xfId="0" applyFont="1" applyFill="1" applyBorder="1">
      <alignment vertical="center"/>
    </xf>
    <xf numFmtId="0" fontId="2" fillId="33" borderId="93" xfId="0" applyFont="1" applyFill="1" applyBorder="1" applyAlignment="1">
      <alignment horizontal="left" vertical="center"/>
    </xf>
    <xf numFmtId="0" fontId="2" fillId="33" borderId="110" xfId="0" applyFont="1" applyFill="1" applyBorder="1" applyAlignment="1">
      <alignment vertical="center"/>
    </xf>
    <xf numFmtId="0" fontId="0" fillId="5" borderId="122" xfId="0" applyFont="1" applyFill="1" applyBorder="1" applyAlignment="1" applyProtection="1">
      <alignment vertical="center"/>
    </xf>
    <xf numFmtId="0" fontId="0" fillId="2" borderId="121" xfId="0" applyFont="1" applyFill="1" applyBorder="1" applyAlignment="1" applyProtection="1">
      <alignment horizontal="right" vertical="center"/>
      <protection locked="0"/>
    </xf>
    <xf numFmtId="0" fontId="2" fillId="2" borderId="31" xfId="0" applyFont="1" applyFill="1" applyBorder="1" applyAlignment="1" applyProtection="1">
      <alignment horizontal="justify" vertical="center" wrapText="1"/>
      <protection locked="0"/>
    </xf>
    <xf numFmtId="0" fontId="0" fillId="2" borderId="93" xfId="0" applyFont="1" applyFill="1" applyBorder="1" applyAlignment="1" applyProtection="1">
      <alignment horizontal="right" vertical="center"/>
      <protection locked="0"/>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74" fillId="33" borderId="93" xfId="0" applyFont="1" applyFill="1" applyBorder="1" applyAlignment="1">
      <alignment horizontal="center"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51" fillId="33" borderId="93" xfId="0" applyFont="1" applyFill="1" applyBorder="1" applyAlignment="1">
      <alignment horizontal="center" vertical="center"/>
    </xf>
    <xf numFmtId="0" fontId="74"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74" fillId="33" borderId="93" xfId="0" applyFont="1" applyFill="1" applyBorder="1" applyAlignment="1">
      <alignment vertical="center"/>
    </xf>
    <xf numFmtId="0" fontId="74" fillId="33" borderId="93" xfId="0" applyFont="1" applyFill="1" applyBorder="1" applyAlignment="1"/>
    <xf numFmtId="0" fontId="2" fillId="33" borderId="93" xfId="0" applyFont="1" applyFill="1" applyBorder="1" applyAlignment="1">
      <alignment vertical="center" wrapText="1"/>
    </xf>
    <xf numFmtId="0" fontId="2" fillId="33" borderId="93" xfId="0" applyFont="1" applyFill="1" applyBorder="1" applyAlignment="1"/>
    <xf numFmtId="0" fontId="18" fillId="33" borderId="93" xfId="0" applyFont="1" applyFill="1" applyBorder="1" applyAlignment="1"/>
    <xf numFmtId="0" fontId="2" fillId="33" borderId="93" xfId="0" applyFont="1" applyFill="1" applyBorder="1" applyAlignment="1">
      <alignment wrapText="1"/>
    </xf>
    <xf numFmtId="0" fontId="74" fillId="33" borderId="93" xfId="0" applyFont="1" applyFill="1" applyBorder="1">
      <alignment vertical="center"/>
    </xf>
    <xf numFmtId="0" fontId="43" fillId="33" borderId="93" xfId="0" applyFont="1" applyFill="1" applyBorder="1" applyAlignment="1"/>
    <xf numFmtId="0" fontId="2" fillId="33" borderId="115" xfId="0" applyFont="1" applyFill="1" applyBorder="1" applyAlignment="1">
      <alignment wrapText="1"/>
    </xf>
    <xf numFmtId="0" fontId="2" fillId="33" borderId="93" xfId="0" applyFont="1" applyFill="1" applyBorder="1">
      <alignment vertical="center"/>
    </xf>
    <xf numFmtId="0" fontId="2" fillId="33" borderId="93" xfId="0" applyFont="1" applyFill="1" applyBorder="1" applyAlignment="1">
      <alignment wrapText="1"/>
    </xf>
    <xf numFmtId="0" fontId="74" fillId="33" borderId="93" xfId="0" applyFont="1" applyFill="1" applyBorder="1">
      <alignment vertical="center"/>
    </xf>
    <xf numFmtId="0" fontId="0" fillId="33" borderId="93" xfId="0" applyFill="1" applyBorder="1">
      <alignment vertical="center"/>
    </xf>
    <xf numFmtId="0" fontId="2" fillId="33" borderId="115" xfId="0" applyFont="1" applyFill="1" applyBorder="1" applyAlignment="1">
      <alignment vertical="center"/>
    </xf>
    <xf numFmtId="176" fontId="2" fillId="33" borderId="93" xfId="0" applyNumberFormat="1" applyFont="1" applyFill="1" applyBorder="1" applyAlignment="1">
      <alignment horizontal="center" vertical="center"/>
    </xf>
    <xf numFmtId="0" fontId="2" fillId="33" borderId="93" xfId="0" applyFont="1" applyFill="1" applyBorder="1">
      <alignment vertical="center"/>
    </xf>
    <xf numFmtId="0" fontId="53" fillId="33" borderId="93" xfId="0" applyFont="1" applyFill="1" applyBorder="1" applyAlignment="1">
      <alignment wrapText="1"/>
    </xf>
    <xf numFmtId="0" fontId="2" fillId="33" borderId="93" xfId="0" applyFont="1" applyFill="1" applyBorder="1" applyAlignment="1">
      <alignment wrapText="1"/>
    </xf>
    <xf numFmtId="0" fontId="74" fillId="33" borderId="115" xfId="0" applyFont="1" applyFill="1" applyBorder="1" applyAlignment="1">
      <alignment horizontal="center" vertical="center"/>
    </xf>
    <xf numFmtId="0" fontId="53" fillId="33" borderId="93" xfId="0" applyFont="1" applyFill="1" applyBorder="1" applyAlignment="1">
      <alignment horizontal="left" vertical="center" wrapText="1"/>
    </xf>
    <xf numFmtId="0" fontId="2" fillId="33" borderId="93" xfId="0" applyFont="1" applyFill="1" applyBorder="1" applyAlignment="1">
      <alignment vertical="center" wrapText="1"/>
    </xf>
    <xf numFmtId="0" fontId="3" fillId="33" borderId="93" xfId="0" applyFont="1" applyFill="1" applyBorder="1" applyAlignment="1">
      <alignment vertical="center" wrapText="1"/>
    </xf>
    <xf numFmtId="0" fontId="51" fillId="33" borderId="118" xfId="0" applyFont="1" applyFill="1" applyBorder="1" applyAlignment="1">
      <alignment horizontal="center" vertical="center"/>
    </xf>
    <xf numFmtId="0" fontId="19" fillId="33" borderId="93" xfId="0" applyFont="1" applyFill="1" applyBorder="1" applyAlignment="1">
      <alignment horizontal="center" vertical="center" wrapText="1"/>
    </xf>
    <xf numFmtId="0" fontId="74" fillId="33" borderId="0" xfId="0" applyFont="1" applyFill="1" applyAlignment="1"/>
    <xf numFmtId="0" fontId="18" fillId="33" borderId="93" xfId="0" applyFont="1" applyFill="1" applyBorder="1" applyAlignment="1">
      <alignment horizontal="center" vertical="center"/>
    </xf>
    <xf numFmtId="0" fontId="2" fillId="33" borderId="93" xfId="0" applyFont="1" applyFill="1" applyBorder="1" applyAlignment="1" applyProtection="1">
      <alignment horizontal="center" vertical="center"/>
      <protection locked="0"/>
    </xf>
    <xf numFmtId="0" fontId="2" fillId="33" borderId="93" xfId="0" applyNumberFormat="1" applyFont="1" applyFill="1" applyBorder="1" applyAlignment="1">
      <alignment horizontal="left" vertical="center"/>
    </xf>
    <xf numFmtId="0" fontId="13" fillId="33" borderId="93" xfId="0" applyFont="1" applyFill="1" applyBorder="1" applyAlignment="1">
      <alignment vertical="center" wrapText="1"/>
    </xf>
    <xf numFmtId="0" fontId="2" fillId="35" borderId="93" xfId="0" applyFont="1" applyFill="1" applyBorder="1" applyAlignment="1">
      <alignment horizontal="center" vertical="center"/>
    </xf>
    <xf numFmtId="0" fontId="74" fillId="0" borderId="0" xfId="0" applyFont="1" applyAlignment="1">
      <alignment vertical="center"/>
    </xf>
    <xf numFmtId="0" fontId="1" fillId="0" borderId="0" xfId="0" applyFont="1" applyFill="1" applyAlignment="1">
      <alignment vertical="center" wrapText="1"/>
    </xf>
    <xf numFmtId="0" fontId="74" fillId="0" borderId="0" xfId="0" applyFont="1" applyAlignment="1">
      <alignment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xf>
    <xf numFmtId="0" fontId="1" fillId="0" borderId="0" xfId="0" applyFont="1" applyFill="1" applyAlignment="1">
      <alignment vertical="center" wrapText="1"/>
    </xf>
    <xf numFmtId="0" fontId="51" fillId="0" borderId="93" xfId="0" applyFont="1" applyFill="1" applyBorder="1" applyAlignment="1">
      <alignment horizontal="left" vertical="center"/>
    </xf>
    <xf numFmtId="0" fontId="2" fillId="0" borderId="0" xfId="0" applyFont="1" applyAlignment="1">
      <alignment vertical="center"/>
    </xf>
    <xf numFmtId="180" fontId="42" fillId="0" borderId="8" xfId="0" applyNumberFormat="1" applyFont="1" applyBorder="1" applyAlignment="1" applyProtection="1">
      <alignment vertical="center"/>
      <protection locked="0"/>
    </xf>
    <xf numFmtId="0" fontId="74" fillId="33" borderId="0" xfId="0" applyFont="1" applyFill="1">
      <alignment vertical="center"/>
    </xf>
    <xf numFmtId="0" fontId="2" fillId="33" borderId="0" xfId="0" applyFont="1" applyFill="1" applyAlignment="1">
      <alignment vertical="center"/>
    </xf>
    <xf numFmtId="0" fontId="8" fillId="33" borderId="0" xfId="0" applyFont="1" applyFill="1" applyAlignment="1">
      <alignment vertical="center"/>
    </xf>
    <xf numFmtId="0" fontId="46" fillId="33" borderId="0" xfId="0" applyFont="1" applyFill="1" applyBorder="1" applyAlignment="1">
      <alignment vertical="center"/>
    </xf>
    <xf numFmtId="0" fontId="74" fillId="33" borderId="0" xfId="0" applyFont="1" applyFill="1" applyAlignment="1">
      <alignment horizontal="center" vertical="center"/>
    </xf>
    <xf numFmtId="0" fontId="74" fillId="33" borderId="0" xfId="0" applyFont="1" applyFill="1" applyBorder="1" applyAlignment="1">
      <alignment vertical="center"/>
    </xf>
    <xf numFmtId="0" fontId="2" fillId="33" borderId="0" xfId="0" applyFont="1" applyFill="1" applyAlignment="1">
      <alignment vertical="center"/>
    </xf>
    <xf numFmtId="0" fontId="10" fillId="33" borderId="0" xfId="0" applyFont="1" applyFill="1" applyAlignment="1"/>
    <xf numFmtId="0" fontId="74" fillId="33" borderId="0" xfId="0" applyFont="1" applyFill="1">
      <alignment vertical="center"/>
    </xf>
    <xf numFmtId="0" fontId="74" fillId="33" borderId="0" xfId="0" applyFont="1" applyFill="1" applyAlignment="1"/>
    <xf numFmtId="0" fontId="74" fillId="33" borderId="0" xfId="0" applyFont="1" applyFill="1" applyAlignment="1">
      <alignment horizontal="left" vertical="center"/>
    </xf>
    <xf numFmtId="0" fontId="10" fillId="33" borderId="0" xfId="0" applyFont="1" applyFill="1" applyAlignment="1">
      <alignment vertical="center"/>
    </xf>
    <xf numFmtId="0" fontId="74" fillId="33" borderId="0" xfId="0" applyFont="1" applyFill="1">
      <alignment vertical="center"/>
    </xf>
    <xf numFmtId="0" fontId="0" fillId="33" borderId="0" xfId="0" applyFill="1">
      <alignment vertical="center"/>
    </xf>
    <xf numFmtId="0" fontId="10" fillId="33" borderId="0" xfId="0" applyFont="1" applyFill="1">
      <alignment vertical="center"/>
    </xf>
    <xf numFmtId="0" fontId="10" fillId="33" borderId="0" xfId="0" applyFont="1" applyFill="1" applyAlignment="1">
      <alignment vertical="center"/>
    </xf>
    <xf numFmtId="0" fontId="10" fillId="33" borderId="0" xfId="0" applyFont="1" applyFill="1" applyAlignment="1">
      <alignment vertical="center"/>
    </xf>
    <xf numFmtId="9" fontId="2" fillId="0" borderId="93" xfId="0" applyNumberFormat="1" applyFont="1" applyFill="1" applyBorder="1" applyAlignment="1">
      <alignment horizontal="left" vertical="center"/>
    </xf>
    <xf numFmtId="0" fontId="2" fillId="33" borderId="0" xfId="0" applyFont="1" applyFill="1" applyAlignment="1">
      <alignment horizontal="center" vertical="center"/>
    </xf>
    <xf numFmtId="0" fontId="0" fillId="33" borderId="0" xfId="0" applyFont="1" applyFill="1" applyAlignment="1">
      <alignment vertical="center"/>
    </xf>
    <xf numFmtId="0" fontId="2" fillId="36" borderId="93" xfId="0" applyFont="1" applyFill="1" applyBorder="1" applyAlignment="1">
      <alignment vertical="center"/>
    </xf>
    <xf numFmtId="0" fontId="2" fillId="36" borderId="115" xfId="0" applyFont="1" applyFill="1" applyBorder="1" applyAlignment="1">
      <alignment horizontal="center" vertical="center"/>
    </xf>
    <xf numFmtId="0" fontId="2" fillId="3" borderId="8" xfId="0" applyFont="1" applyFill="1" applyBorder="1" applyAlignment="1" applyProtection="1">
      <alignment vertical="center"/>
    </xf>
    <xf numFmtId="0" fontId="51" fillId="33" borderId="93" xfId="0" applyFont="1" applyFill="1" applyBorder="1" applyAlignment="1">
      <alignment horizontal="center" vertical="center"/>
    </xf>
    <xf numFmtId="0" fontId="2" fillId="30" borderId="8" xfId="0" applyFont="1" applyFill="1" applyBorder="1" applyAlignment="1" applyProtection="1">
      <alignment vertical="center"/>
      <protection locked="0"/>
    </xf>
    <xf numFmtId="0" fontId="12" fillId="0" borderId="0" xfId="2" applyProtection="1">
      <alignment vertical="center"/>
      <protection locked="0"/>
    </xf>
    <xf numFmtId="0" fontId="2" fillId="33" borderId="115" xfId="0" applyFont="1" applyFill="1" applyBorder="1" applyAlignment="1">
      <alignment horizontal="center" vertical="center"/>
    </xf>
    <xf numFmtId="0" fontId="2" fillId="33" borderId="115" xfId="0" applyFont="1" applyFill="1" applyBorder="1" applyAlignment="1">
      <alignment horizontal="center" vertical="center" wrapText="1"/>
    </xf>
    <xf numFmtId="0" fontId="0" fillId="0" borderId="0" xfId="0" applyAlignment="1">
      <alignment vertical="center"/>
    </xf>
    <xf numFmtId="0" fontId="2" fillId="33" borderId="109" xfId="0" applyFont="1" applyFill="1" applyBorder="1" applyAlignment="1">
      <alignment horizontal="center" vertical="center" wrapText="1"/>
    </xf>
    <xf numFmtId="0" fontId="2" fillId="33" borderId="109" xfId="0" applyFont="1" applyFill="1" applyBorder="1" applyAlignment="1">
      <alignment horizontal="left" vertical="center"/>
    </xf>
    <xf numFmtId="0" fontId="2" fillId="0" borderId="8" xfId="0" applyFont="1" applyFill="1" applyBorder="1" applyAlignment="1" applyProtection="1">
      <alignment horizontal="left" vertical="center" indent="1"/>
    </xf>
    <xf numFmtId="0" fontId="110" fillId="0" borderId="0" xfId="0" applyFont="1" applyAlignment="1" applyProtection="1">
      <alignment vertical="center"/>
      <protection locked="0" hidden="1"/>
    </xf>
    <xf numFmtId="180" fontId="51" fillId="30" borderId="93" xfId="4" applyFont="1" applyFill="1" applyBorder="1">
      <alignment vertical="center"/>
    </xf>
    <xf numFmtId="0" fontId="111" fillId="26" borderId="0" xfId="6" applyNumberFormat="1" applyFont="1" applyFill="1" applyBorder="1" applyAlignment="1">
      <alignment horizontal="left" vertical="center"/>
    </xf>
    <xf numFmtId="0" fontId="111" fillId="0" borderId="0" xfId="6" applyNumberFormat="1" applyFont="1" applyFill="1" applyBorder="1" applyAlignment="1">
      <alignment horizontal="left" vertical="center"/>
    </xf>
    <xf numFmtId="0" fontId="2" fillId="33" borderId="109" xfId="0" applyFont="1" applyFill="1" applyBorder="1" applyAlignment="1">
      <alignment horizontal="left" vertical="center" wrapText="1"/>
    </xf>
    <xf numFmtId="0" fontId="2" fillId="33" borderId="122" xfId="0" applyFont="1" applyFill="1" applyBorder="1" applyAlignment="1">
      <alignment horizontal="center" vertical="center"/>
    </xf>
    <xf numFmtId="0" fontId="2" fillId="35" borderId="109" xfId="0" applyFont="1" applyFill="1" applyBorder="1" applyAlignment="1">
      <alignment horizontal="center" vertical="center"/>
    </xf>
    <xf numFmtId="0" fontId="43" fillId="4" borderId="141" xfId="0" applyFont="1" applyFill="1" applyBorder="1" applyAlignment="1">
      <alignment horizontal="center" vertical="center"/>
    </xf>
    <xf numFmtId="0" fontId="43" fillId="4" borderId="68" xfId="0" applyFont="1" applyFill="1" applyBorder="1" applyAlignment="1">
      <alignment horizontal="center" vertical="center"/>
    </xf>
    <xf numFmtId="0" fontId="43" fillId="4" borderId="79" xfId="0" applyFont="1" applyFill="1" applyBorder="1" applyAlignment="1">
      <alignment horizontal="center" vertical="center"/>
    </xf>
    <xf numFmtId="0" fontId="43" fillId="4" borderId="138" xfId="0" applyFont="1" applyFill="1" applyBorder="1" applyAlignment="1">
      <alignment horizontal="center" vertical="center"/>
    </xf>
    <xf numFmtId="0" fontId="43" fillId="4" borderId="142" xfId="0" applyFont="1" applyFill="1" applyBorder="1" applyAlignment="1">
      <alignment horizontal="center" vertical="center"/>
    </xf>
    <xf numFmtId="180" fontId="74" fillId="33" borderId="93" xfId="4" applyFill="1" applyBorder="1" applyAlignment="1">
      <alignment horizontal="center" vertical="center"/>
    </xf>
    <xf numFmtId="180" fontId="51" fillId="33" borderId="93" xfId="4" applyFont="1" applyFill="1" applyBorder="1" applyAlignment="1">
      <alignment horizontal="center" vertical="center"/>
    </xf>
    <xf numFmtId="180" fontId="51" fillId="33" borderId="115" xfId="4" applyFont="1" applyFill="1" applyBorder="1" applyAlignment="1">
      <alignment horizontal="center" vertical="center"/>
    </xf>
    <xf numFmtId="0" fontId="51" fillId="30" borderId="93" xfId="0" applyNumberFormat="1" applyFont="1" applyFill="1" applyBorder="1" applyAlignment="1" applyProtection="1">
      <alignment horizontal="center" vertical="center"/>
    </xf>
    <xf numFmtId="0" fontId="2" fillId="0" borderId="9" xfId="0" applyFont="1" applyFill="1" applyBorder="1" applyAlignment="1" applyProtection="1">
      <alignment vertical="center" wrapText="1"/>
      <protection locked="0"/>
    </xf>
    <xf numFmtId="180" fontId="42" fillId="0" borderId="8" xfId="0" applyNumberFormat="1" applyFont="1" applyBorder="1" applyAlignment="1" applyProtection="1">
      <alignment vertical="center"/>
      <protection locked="0"/>
    </xf>
    <xf numFmtId="0" fontId="12" fillId="0" borderId="0" xfId="2" applyFill="1" applyProtection="1">
      <alignment vertical="center"/>
      <protection locked="0"/>
    </xf>
    <xf numFmtId="0" fontId="89" fillId="0" borderId="0" xfId="0" applyFont="1" applyFill="1">
      <alignment vertical="center"/>
    </xf>
    <xf numFmtId="0" fontId="2" fillId="0" borderId="8" xfId="0" applyFont="1" applyFill="1" applyBorder="1" applyProtection="1">
      <alignment vertical="center"/>
    </xf>
    <xf numFmtId="0" fontId="0" fillId="2" borderId="99" xfId="0" applyFill="1" applyBorder="1" applyAlignment="1">
      <alignment horizontal="center" vertical="center"/>
    </xf>
    <xf numFmtId="180" fontId="42" fillId="0" borderId="64" xfId="0" applyNumberFormat="1" applyFont="1" applyBorder="1">
      <alignment vertical="center"/>
    </xf>
    <xf numFmtId="0" fontId="0" fillId="6" borderId="2" xfId="0" applyFont="1" applyFill="1" applyBorder="1" applyAlignment="1">
      <alignment horizontal="center" vertical="center"/>
    </xf>
    <xf numFmtId="180" fontId="42" fillId="32" borderId="64" xfId="0" applyNumberFormat="1" applyFont="1" applyFill="1" applyBorder="1">
      <alignment vertical="center"/>
    </xf>
    <xf numFmtId="0" fontId="74" fillId="33" borderId="0" xfId="0" applyFont="1" applyFill="1" applyBorder="1" applyAlignment="1">
      <alignment horizontal="lef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xf>
    <xf numFmtId="0" fontId="74" fillId="0" borderId="0" xfId="0" applyFont="1" applyAlignment="1">
      <alignment vertical="center"/>
    </xf>
    <xf numFmtId="0" fontId="2" fillId="33" borderId="93" xfId="0" applyFont="1" applyFill="1" applyBorder="1" applyAlignment="1">
      <alignment horizontal="center" vertical="center"/>
    </xf>
    <xf numFmtId="0" fontId="74" fillId="33" borderId="0" xfId="0" applyFont="1" applyFill="1" applyAlignment="1">
      <alignment vertical="center"/>
    </xf>
    <xf numFmtId="0" fontId="74" fillId="33" borderId="0" xfId="0" applyFont="1" applyFill="1" applyAlignment="1">
      <alignment vertical="center"/>
    </xf>
    <xf numFmtId="0" fontId="2" fillId="0" borderId="34" xfId="0" applyNumberFormat="1" applyFont="1" applyFill="1" applyBorder="1" applyAlignment="1" applyProtection="1">
      <alignment horizontal="center" vertical="center"/>
    </xf>
    <xf numFmtId="180" fontId="42" fillId="32" borderId="93" xfId="4" applyFont="1" applyFill="1" applyBorder="1">
      <alignment vertical="center"/>
    </xf>
    <xf numFmtId="180" fontId="42" fillId="32" borderId="115" xfId="4" applyFont="1" applyFill="1" applyBorder="1">
      <alignment vertical="center"/>
    </xf>
    <xf numFmtId="180" fontId="42" fillId="33" borderId="115" xfId="4" applyFont="1" applyFill="1" applyBorder="1">
      <alignment vertical="center"/>
    </xf>
    <xf numFmtId="180" fontId="42" fillId="30" borderId="93" xfId="4" applyFont="1" applyFill="1" applyBorder="1">
      <alignment vertical="center"/>
    </xf>
    <xf numFmtId="180" fontId="42" fillId="0" borderId="93" xfId="4" applyFont="1" applyFill="1" applyBorder="1">
      <alignment vertical="center"/>
    </xf>
    <xf numFmtId="180" fontId="42" fillId="0" borderId="93" xfId="4" applyFont="1" applyBorder="1">
      <alignment vertical="center"/>
    </xf>
    <xf numFmtId="180" fontId="42" fillId="30" borderId="115" xfId="4" applyFont="1" applyFill="1" applyBorder="1">
      <alignment vertical="center"/>
    </xf>
    <xf numFmtId="180" fontId="42" fillId="33" borderId="93" xfId="4" applyFont="1" applyFill="1" applyBorder="1">
      <alignment vertical="center"/>
    </xf>
    <xf numFmtId="180" fontId="42" fillId="32" borderId="93" xfId="4" applyFont="1" applyFill="1" applyBorder="1" applyProtection="1">
      <alignment vertical="center"/>
    </xf>
    <xf numFmtId="180" fontId="42" fillId="30" borderId="110" xfId="4" applyFont="1" applyFill="1" applyBorder="1">
      <alignment vertical="center"/>
    </xf>
    <xf numFmtId="180" fontId="42" fillId="0" borderId="115" xfId="4" applyFont="1" applyFill="1" applyBorder="1">
      <alignment vertical="center"/>
    </xf>
    <xf numFmtId="180" fontId="42" fillId="0" borderId="93" xfId="4" applyFont="1" applyFill="1" applyBorder="1" applyProtection="1">
      <alignment vertical="center"/>
    </xf>
    <xf numFmtId="180" fontId="42" fillId="30" borderId="115" xfId="4" applyFont="1" applyFill="1" applyBorder="1" applyProtection="1">
      <alignment vertical="center"/>
    </xf>
    <xf numFmtId="180" fontId="42" fillId="30" borderId="93" xfId="4" applyFont="1" applyFill="1" applyBorder="1" applyProtection="1">
      <alignment vertical="center"/>
    </xf>
    <xf numFmtId="180" fontId="42" fillId="0" borderId="115" xfId="4" applyFont="1" applyBorder="1">
      <alignment vertical="center"/>
    </xf>
    <xf numFmtId="180" fontId="42" fillId="15" borderId="93" xfId="4" applyFont="1" applyFill="1" applyBorder="1">
      <alignment vertical="center"/>
    </xf>
    <xf numFmtId="0" fontId="112" fillId="32" borderId="115" xfId="4" applyNumberFormat="1" applyFont="1" applyFill="1" applyBorder="1">
      <alignment vertical="center"/>
    </xf>
    <xf numFmtId="0" fontId="112" fillId="32" borderId="93" xfId="4" applyNumberFormat="1" applyFont="1" applyFill="1" applyBorder="1">
      <alignment vertical="center"/>
    </xf>
    <xf numFmtId="0" fontId="74" fillId="33" borderId="109" xfId="0" applyFont="1" applyFill="1" applyBorder="1" applyAlignment="1">
      <alignment vertical="center"/>
    </xf>
    <xf numFmtId="0" fontId="81" fillId="14" borderId="13" xfId="0" applyFont="1" applyFill="1" applyBorder="1" applyAlignment="1">
      <alignment horizontal="justify" vertical="center"/>
    </xf>
    <xf numFmtId="0" fontId="81" fillId="14" borderId="75" xfId="0" applyFont="1" applyFill="1" applyBorder="1" applyAlignment="1">
      <alignment horizontal="justify" vertical="center"/>
    </xf>
    <xf numFmtId="0" fontId="0" fillId="14" borderId="75" xfId="0" applyFill="1" applyBorder="1">
      <alignment vertical="center"/>
    </xf>
    <xf numFmtId="0" fontId="0" fillId="14" borderId="66" xfId="0" applyFill="1" applyBorder="1">
      <alignment vertical="center"/>
    </xf>
    <xf numFmtId="0" fontId="113" fillId="2" borderId="3" xfId="2" applyNumberFormat="1" applyFont="1" applyFill="1" applyBorder="1" applyProtection="1">
      <alignment vertical="center"/>
      <protection locked="0"/>
    </xf>
    <xf numFmtId="0" fontId="114" fillId="2" borderId="3" xfId="2" applyNumberFormat="1" applyFont="1" applyFill="1" applyBorder="1" applyProtection="1">
      <alignment vertical="center"/>
      <protection locked="0"/>
    </xf>
    <xf numFmtId="0" fontId="13" fillId="14" borderId="4" xfId="2" applyNumberFormat="1" applyFont="1" applyFill="1" applyBorder="1" applyProtection="1">
      <alignment vertical="center"/>
      <protection locked="0"/>
    </xf>
    <xf numFmtId="0" fontId="13" fillId="14" borderId="3" xfId="2" applyNumberFormat="1" applyFont="1" applyFill="1" applyBorder="1" applyProtection="1">
      <alignment vertical="center"/>
      <protection locked="0"/>
    </xf>
    <xf numFmtId="49" fontId="74" fillId="2" borderId="3" xfId="0" applyNumberFormat="1" applyFont="1" applyFill="1" applyBorder="1" applyAlignment="1" applyProtection="1">
      <alignment horizontal="center" vertical="center"/>
      <protection locked="0"/>
    </xf>
    <xf numFmtId="49" fontId="74" fillId="0" borderId="3" xfId="0" applyNumberFormat="1" applyFont="1" applyFill="1" applyBorder="1" applyAlignment="1" applyProtection="1">
      <alignment horizontal="center" vertical="center"/>
      <protection locked="0"/>
    </xf>
    <xf numFmtId="0" fontId="98" fillId="0" borderId="3" xfId="0" applyFont="1" applyFill="1" applyBorder="1" applyAlignment="1" applyProtection="1">
      <alignment vertical="center"/>
      <protection locked="0"/>
    </xf>
    <xf numFmtId="0" fontId="16" fillId="0" borderId="1" xfId="2" applyNumberFormat="1" applyFont="1" applyFill="1" applyBorder="1" applyProtection="1">
      <alignment vertical="center"/>
      <protection locked="0"/>
    </xf>
    <xf numFmtId="0" fontId="74" fillId="0" borderId="1" xfId="2" applyNumberFormat="1" applyFont="1" applyFill="1" applyBorder="1" applyProtection="1">
      <alignment vertical="center"/>
      <protection locked="0"/>
    </xf>
    <xf numFmtId="0" fontId="2" fillId="0" borderId="1" xfId="2" applyNumberFormat="1" applyFont="1" applyFill="1" applyBorder="1" applyProtection="1">
      <alignment vertical="center"/>
      <protection locked="0"/>
    </xf>
    <xf numFmtId="0" fontId="74" fillId="0" borderId="1" xfId="0" applyFont="1" applyFill="1" applyBorder="1" applyAlignment="1" applyProtection="1">
      <alignment vertical="center"/>
      <protection locked="0"/>
    </xf>
    <xf numFmtId="0" fontId="11" fillId="2" borderId="3" xfId="2" applyFont="1" applyFill="1" applyBorder="1" applyProtection="1">
      <alignment vertical="center"/>
      <protection locked="0"/>
    </xf>
    <xf numFmtId="0" fontId="114" fillId="2" borderId="3" xfId="2" applyFont="1" applyFill="1" applyBorder="1" applyProtection="1">
      <alignment vertical="center"/>
      <protection locked="0"/>
    </xf>
    <xf numFmtId="0" fontId="13" fillId="2" borderId="3" xfId="2" applyFont="1" applyFill="1" applyBorder="1" applyProtection="1">
      <alignment vertical="center"/>
      <protection locked="0"/>
    </xf>
    <xf numFmtId="0" fontId="11" fillId="0" borderId="93" xfId="0" applyFont="1" applyFill="1" applyBorder="1" applyAlignment="1" applyProtection="1">
      <alignment horizontal="justify" vertical="center"/>
    </xf>
    <xf numFmtId="0" fontId="11" fillId="0" borderId="93" xfId="0" applyFont="1" applyFill="1" applyBorder="1" applyAlignment="1" applyProtection="1">
      <alignment horizontal="left" vertical="center" wrapText="1"/>
    </xf>
    <xf numFmtId="0" fontId="11" fillId="0" borderId="93" xfId="2" applyFont="1" applyBorder="1">
      <alignment vertical="center"/>
    </xf>
    <xf numFmtId="0" fontId="13" fillId="0" borderId="83" xfId="2" applyNumberFormat="1" applyFont="1" applyFill="1" applyBorder="1" applyAlignment="1" applyProtection="1">
      <alignment horizontal="center" vertical="center"/>
    </xf>
    <xf numFmtId="0" fontId="13" fillId="0" borderId="8" xfId="2" applyNumberFormat="1" applyFont="1" applyFill="1" applyBorder="1" applyAlignment="1" applyProtection="1">
      <alignment horizontal="center" vertical="center"/>
    </xf>
    <xf numFmtId="0" fontId="13" fillId="0" borderId="23" xfId="2" applyNumberFormat="1" applyFont="1" applyFill="1" applyBorder="1" applyAlignment="1" applyProtection="1">
      <alignment horizontal="center" vertical="center"/>
    </xf>
    <xf numFmtId="0" fontId="13" fillId="0" borderId="8" xfId="0" applyFont="1" applyFill="1" applyBorder="1" applyAlignment="1" applyProtection="1">
      <alignment horizontal="center" vertical="center"/>
    </xf>
    <xf numFmtId="0" fontId="13" fillId="0" borderId="15" xfId="2" applyNumberFormat="1" applyFont="1" applyFill="1" applyBorder="1" applyAlignment="1" applyProtection="1">
      <alignment horizontal="center" vertical="center"/>
    </xf>
    <xf numFmtId="0" fontId="13" fillId="0" borderId="84" xfId="2" applyNumberFormat="1" applyFont="1" applyFill="1" applyBorder="1" applyAlignment="1" applyProtection="1">
      <alignment horizontal="center" vertical="center"/>
    </xf>
    <xf numFmtId="0" fontId="13" fillId="0" borderId="152" xfId="0" applyFont="1" applyFill="1" applyBorder="1" applyAlignment="1" applyProtection="1">
      <alignment horizontal="center" vertical="center"/>
    </xf>
    <xf numFmtId="0" fontId="13" fillId="0" borderId="63" xfId="0" applyFont="1" applyFill="1" applyBorder="1" applyAlignment="1" applyProtection="1">
      <alignment horizontal="center" vertical="center"/>
    </xf>
    <xf numFmtId="0" fontId="13" fillId="0" borderId="8" xfId="2" applyNumberFormat="1" applyFont="1" applyFill="1" applyBorder="1" applyAlignment="1" applyProtection="1">
      <alignment horizontal="center" vertical="center" shrinkToFit="1"/>
    </xf>
    <xf numFmtId="0" fontId="13" fillId="4" borderId="8" xfId="2" applyNumberFormat="1" applyFont="1" applyFill="1" applyBorder="1" applyAlignment="1" applyProtection="1">
      <alignment horizontal="center" vertical="center"/>
    </xf>
    <xf numFmtId="0" fontId="13" fillId="0" borderId="8" xfId="0" applyFont="1" applyBorder="1" applyAlignment="1" applyProtection="1">
      <alignment horizontal="center"/>
    </xf>
    <xf numFmtId="0" fontId="13" fillId="4" borderId="8" xfId="2" applyFont="1" applyFill="1" applyBorder="1" applyAlignment="1">
      <alignment horizontal="center" vertical="center"/>
    </xf>
    <xf numFmtId="0" fontId="13" fillId="0" borderId="85" xfId="2" applyNumberFormat="1" applyFont="1" applyFill="1" applyBorder="1" applyAlignment="1" applyProtection="1">
      <alignment horizontal="center" vertical="center"/>
    </xf>
    <xf numFmtId="0" fontId="13" fillId="4" borderId="68" xfId="2" applyFont="1" applyFill="1" applyBorder="1" applyAlignment="1">
      <alignment horizontal="center" vertical="center"/>
    </xf>
    <xf numFmtId="0" fontId="13" fillId="4" borderId="85" xfId="2" applyNumberFormat="1" applyFont="1" applyFill="1" applyBorder="1" applyAlignment="1" applyProtection="1">
      <alignment horizontal="center" vertical="center"/>
    </xf>
    <xf numFmtId="0" fontId="13" fillId="4" borderId="141" xfId="2" applyNumberFormat="1" applyFont="1" applyFill="1" applyBorder="1" applyAlignment="1" applyProtection="1">
      <alignment horizontal="center" vertical="center"/>
    </xf>
    <xf numFmtId="0" fontId="13" fillId="0" borderId="79" xfId="2" applyNumberFormat="1" applyFont="1" applyFill="1" applyBorder="1" applyAlignment="1" applyProtection="1">
      <alignment horizontal="center" vertical="center"/>
    </xf>
    <xf numFmtId="0" fontId="13" fillId="0" borderId="15" xfId="0" applyFont="1" applyBorder="1" applyAlignment="1" applyProtection="1">
      <alignment horizontal="center"/>
    </xf>
    <xf numFmtId="0" fontId="13" fillId="0" borderId="138" xfId="0" applyFont="1" applyBorder="1" applyAlignment="1" applyProtection="1">
      <alignment horizontal="center"/>
    </xf>
    <xf numFmtId="0" fontId="13" fillId="4" borderId="87" xfId="2" applyFont="1" applyFill="1" applyBorder="1" applyAlignment="1">
      <alignment horizontal="center" vertical="center"/>
    </xf>
    <xf numFmtId="0" fontId="13" fillId="0" borderId="87" xfId="0" applyFont="1" applyFill="1" applyBorder="1" applyAlignment="1" applyProtection="1">
      <alignment horizontal="center" vertical="center"/>
    </xf>
    <xf numFmtId="0" fontId="13" fillId="0" borderId="149" xfId="0" applyFont="1" applyFill="1" applyBorder="1" applyAlignment="1" applyProtection="1">
      <alignment horizontal="center" vertical="center"/>
    </xf>
    <xf numFmtId="0" fontId="0" fillId="0" borderId="155" xfId="0" applyBorder="1">
      <alignment vertical="center"/>
    </xf>
    <xf numFmtId="0" fontId="0" fillId="0" borderId="157" xfId="0" applyBorder="1">
      <alignment vertical="center"/>
    </xf>
    <xf numFmtId="0" fontId="0" fillId="0" borderId="160" xfId="0" applyBorder="1">
      <alignment vertical="center"/>
    </xf>
    <xf numFmtId="0" fontId="0" fillId="0" borderId="170" xfId="0" applyBorder="1">
      <alignment vertical="center"/>
    </xf>
    <xf numFmtId="49" fontId="2" fillId="0" borderId="154" xfId="0" applyNumberFormat="1" applyFont="1" applyBorder="1" applyAlignment="1">
      <alignment horizontal="center" vertical="top" wrapText="1"/>
    </xf>
    <xf numFmtId="177" fontId="42" fillId="0" borderId="154" xfId="0" applyNumberFormat="1" applyFont="1" applyBorder="1" applyAlignment="1">
      <alignment horizontal="center" vertical="top" wrapText="1"/>
    </xf>
    <xf numFmtId="0" fontId="2" fillId="0" borderId="154" xfId="0" applyFont="1" applyBorder="1" applyAlignment="1">
      <alignment horizontal="center" vertical="top" wrapText="1"/>
    </xf>
    <xf numFmtId="49" fontId="2" fillId="0" borderId="152" xfId="0" applyNumberFormat="1" applyFont="1" applyBorder="1" applyAlignment="1">
      <alignment horizontal="center" vertical="top" wrapText="1"/>
    </xf>
    <xf numFmtId="177" fontId="42" fillId="0" borderId="152" xfId="0" applyNumberFormat="1" applyFont="1" applyBorder="1" applyAlignment="1">
      <alignment horizontal="center" vertical="top" wrapText="1"/>
    </xf>
    <xf numFmtId="0" fontId="2" fillId="0" borderId="152" xfId="0" applyFont="1" applyBorder="1" applyAlignment="1">
      <alignment horizontal="center" vertical="top" wrapText="1"/>
    </xf>
    <xf numFmtId="49" fontId="2" fillId="0" borderId="152" xfId="0" applyNumberFormat="1" applyFont="1" applyBorder="1" applyAlignment="1">
      <alignment horizontal="justify" vertical="top" wrapText="1"/>
    </xf>
    <xf numFmtId="177" fontId="42" fillId="0" borderId="152" xfId="0" applyNumberFormat="1" applyFont="1" applyBorder="1" applyAlignment="1">
      <alignment horizontal="justify" vertical="top" wrapText="1"/>
    </xf>
    <xf numFmtId="0" fontId="2" fillId="0" borderId="152" xfId="0" applyFont="1" applyBorder="1" applyAlignment="1">
      <alignment horizontal="justify" vertical="top" wrapText="1"/>
    </xf>
    <xf numFmtId="49" fontId="2" fillId="0" borderId="159" xfId="0" applyNumberFormat="1" applyFont="1" applyBorder="1" applyAlignment="1">
      <alignment horizontal="center" vertical="top" wrapText="1"/>
    </xf>
    <xf numFmtId="177" fontId="42" fillId="0" borderId="159" xfId="0" applyNumberFormat="1" applyFont="1" applyBorder="1" applyAlignment="1">
      <alignment horizontal="center" vertical="top" wrapText="1"/>
    </xf>
    <xf numFmtId="0" fontId="2" fillId="0" borderId="159" xfId="0" applyFont="1" applyBorder="1" applyAlignment="1">
      <alignment horizontal="center" vertical="top" wrapText="1"/>
    </xf>
    <xf numFmtId="0" fontId="2" fillId="33" borderId="6" xfId="0" applyFont="1" applyFill="1" applyBorder="1" applyAlignment="1">
      <alignment horizontal="left" vertical="center"/>
    </xf>
    <xf numFmtId="0" fontId="2" fillId="33" borderId="19" xfId="0" applyFont="1" applyFill="1" applyBorder="1" applyAlignment="1">
      <alignment horizontal="left" vertical="center"/>
    </xf>
    <xf numFmtId="0" fontId="2" fillId="33" borderId="10" xfId="0" applyFont="1" applyFill="1" applyBorder="1" applyAlignment="1">
      <alignment horizontal="left" vertical="center"/>
    </xf>
    <xf numFmtId="0" fontId="2" fillId="33" borderId="12" xfId="0" applyFont="1" applyFill="1" applyBorder="1" applyAlignment="1">
      <alignment horizontal="left" vertical="center"/>
    </xf>
    <xf numFmtId="0" fontId="112" fillId="32" borderId="0" xfId="0" applyFont="1" applyFill="1" applyBorder="1" applyAlignment="1">
      <alignment vertical="center"/>
    </xf>
    <xf numFmtId="0" fontId="2" fillId="32" borderId="19" xfId="0" applyFont="1" applyFill="1" applyBorder="1" applyAlignment="1">
      <alignment horizontal="left" vertical="center"/>
    </xf>
    <xf numFmtId="31" fontId="2" fillId="32" borderId="12" xfId="0" applyNumberFormat="1" applyFont="1" applyFill="1" applyBorder="1" applyAlignment="1">
      <alignment horizontal="left" vertical="center"/>
    </xf>
    <xf numFmtId="0" fontId="2" fillId="37" borderId="19" xfId="0" applyFont="1" applyFill="1" applyBorder="1" applyAlignment="1">
      <alignment horizontal="left" vertical="center"/>
    </xf>
    <xf numFmtId="0" fontId="2" fillId="32" borderId="11" xfId="0" applyFont="1" applyFill="1" applyBorder="1" applyAlignment="1">
      <alignment vertical="center"/>
    </xf>
    <xf numFmtId="0" fontId="2" fillId="32" borderId="12" xfId="0" applyFont="1" applyFill="1" applyBorder="1" applyAlignment="1">
      <alignment horizontal="left" vertical="center"/>
    </xf>
    <xf numFmtId="0" fontId="2" fillId="32" borderId="22" xfId="0" applyFont="1" applyFill="1" applyBorder="1" applyAlignment="1">
      <alignment vertical="center"/>
    </xf>
    <xf numFmtId="0" fontId="74" fillId="0" borderId="0" xfId="0" applyFont="1" applyAlignment="1">
      <alignment horizontal="right"/>
    </xf>
    <xf numFmtId="0" fontId="74" fillId="33" borderId="119" xfId="0" applyFont="1" applyFill="1" applyBorder="1" applyAlignment="1">
      <alignment vertical="center"/>
    </xf>
    <xf numFmtId="0" fontId="74" fillId="33" borderId="0" xfId="0" applyFont="1" applyFill="1" applyAlignment="1">
      <alignment horizontal="right"/>
    </xf>
    <xf numFmtId="0" fontId="74" fillId="33" borderId="119" xfId="0" applyFont="1" applyFill="1" applyBorder="1" applyAlignment="1">
      <alignment vertical="center"/>
    </xf>
    <xf numFmtId="0" fontId="74" fillId="33" borderId="0" xfId="0" applyFont="1" applyFill="1" applyAlignment="1">
      <alignment horizontal="right" vertical="center"/>
    </xf>
    <xf numFmtId="0" fontId="74" fillId="33" borderId="0" xfId="0" applyFont="1" applyFill="1" applyAlignment="1">
      <alignment horizontal="right" vertical="center"/>
    </xf>
    <xf numFmtId="0" fontId="74" fillId="33" borderId="119" xfId="0" applyFont="1" applyFill="1" applyBorder="1" applyAlignment="1">
      <alignment vertical="center"/>
    </xf>
    <xf numFmtId="0" fontId="74" fillId="33" borderId="0" xfId="0" applyFont="1" applyFill="1" applyAlignment="1">
      <alignment horizontal="right"/>
    </xf>
    <xf numFmtId="0" fontId="74" fillId="33" borderId="0" xfId="0" applyFont="1" applyFill="1" applyBorder="1" applyAlignment="1">
      <alignment horizontal="right" vertical="center"/>
    </xf>
    <xf numFmtId="0" fontId="74" fillId="33" borderId="119" xfId="0" applyFont="1" applyFill="1" applyBorder="1" applyAlignment="1">
      <alignment vertical="top"/>
    </xf>
    <xf numFmtId="0" fontId="74" fillId="33" borderId="119" xfId="0" applyFont="1" applyFill="1" applyBorder="1" applyAlignment="1">
      <alignment vertical="center"/>
    </xf>
    <xf numFmtId="0" fontId="74" fillId="33" borderId="0" xfId="0" applyFont="1" applyFill="1" applyAlignment="1">
      <alignment horizontal="right"/>
    </xf>
    <xf numFmtId="0" fontId="74" fillId="0" borderId="119" xfId="0" applyFont="1" applyFill="1" applyBorder="1" applyAlignment="1">
      <alignment vertical="center"/>
    </xf>
    <xf numFmtId="0" fontId="74" fillId="33" borderId="119" xfId="0" applyFont="1" applyFill="1" applyBorder="1" applyAlignment="1">
      <alignment vertical="center"/>
    </xf>
    <xf numFmtId="0" fontId="74" fillId="33" borderId="119" xfId="0" applyFont="1" applyFill="1" applyBorder="1" applyAlignment="1">
      <alignment horizontal="right" vertical="center"/>
    </xf>
    <xf numFmtId="0" fontId="2" fillId="33" borderId="121" xfId="0" applyFont="1" applyFill="1" applyBorder="1" applyAlignment="1">
      <alignment vertical="center"/>
    </xf>
    <xf numFmtId="0" fontId="57" fillId="33" borderId="0" xfId="0" applyFont="1" applyFill="1" applyAlignment="1">
      <alignment horizontal="justify" vertical="center"/>
    </xf>
    <xf numFmtId="0" fontId="0" fillId="33" borderId="0" xfId="0" applyFill="1">
      <alignment vertical="center"/>
    </xf>
    <xf numFmtId="0" fontId="2" fillId="33" borderId="121" xfId="0" applyFont="1" applyFill="1" applyBorder="1" applyAlignment="1">
      <alignment horizontal="right"/>
    </xf>
    <xf numFmtId="0" fontId="2" fillId="33" borderId="0" xfId="0" applyFont="1" applyFill="1" applyBorder="1" applyAlignment="1">
      <alignment horizontal="right"/>
    </xf>
    <xf numFmtId="0" fontId="74" fillId="33" borderId="0" xfId="0" applyFont="1" applyFill="1" applyAlignment="1">
      <alignment horizontal="right" vertical="center"/>
    </xf>
    <xf numFmtId="0" fontId="74" fillId="33" borderId="0" xfId="0" applyFont="1" applyFill="1" applyAlignment="1">
      <alignment horizontal="right" vertical="center"/>
    </xf>
    <xf numFmtId="0" fontId="2" fillId="2" borderId="0" xfId="0" applyFont="1" applyFill="1" applyAlignment="1" applyProtection="1">
      <alignment horizontal="right" vertical="center"/>
      <protection locked="0"/>
    </xf>
    <xf numFmtId="0" fontId="63" fillId="2" borderId="67" xfId="0" applyFont="1" applyFill="1" applyBorder="1" applyAlignment="1" applyProtection="1">
      <alignment horizontal="center" vertical="center" wrapText="1"/>
      <protection locked="0"/>
    </xf>
    <xf numFmtId="0" fontId="2" fillId="33" borderId="93" xfId="0" applyFont="1" applyFill="1" applyBorder="1" applyAlignment="1">
      <alignment horizontal="center" vertical="center"/>
    </xf>
    <xf numFmtId="180" fontId="42" fillId="32" borderId="93" xfId="4" applyFont="1" applyFill="1" applyBorder="1">
      <alignment vertical="center"/>
    </xf>
    <xf numFmtId="0" fontId="2" fillId="33" borderId="115" xfId="0" applyFont="1" applyFill="1" applyBorder="1" applyAlignment="1">
      <alignment horizontal="center" vertical="center" wrapText="1"/>
    </xf>
    <xf numFmtId="180" fontId="42" fillId="32" borderId="93" xfId="4" applyFont="1" applyFill="1" applyBorder="1">
      <alignment vertical="center"/>
    </xf>
    <xf numFmtId="180" fontId="42" fillId="32" borderId="93" xfId="4" applyFont="1" applyFill="1" applyBorder="1">
      <alignment vertical="center"/>
    </xf>
    <xf numFmtId="0" fontId="0" fillId="0" borderId="0" xfId="0" applyProtection="1">
      <alignment vertical="center"/>
    </xf>
    <xf numFmtId="0" fontId="0" fillId="0" borderId="0" xfId="0" applyProtection="1">
      <alignment vertical="center"/>
      <protection locked="0"/>
    </xf>
    <xf numFmtId="186" fontId="0" fillId="32" borderId="93" xfId="0" applyNumberFormat="1" applyFill="1" applyBorder="1" applyProtection="1">
      <alignment vertical="center"/>
      <protection locked="0"/>
    </xf>
    <xf numFmtId="186" fontId="0" fillId="30" borderId="93" xfId="0" applyNumberFormat="1" applyFill="1" applyBorder="1" applyProtection="1">
      <alignment vertical="center"/>
    </xf>
    <xf numFmtId="0" fontId="111" fillId="33" borderId="93" xfId="0" applyFont="1" applyFill="1" applyBorder="1" applyAlignment="1" applyProtection="1">
      <alignment horizontal="center" vertical="center" wrapText="1"/>
      <protection locked="0"/>
    </xf>
    <xf numFmtId="0" fontId="111" fillId="33" borderId="93" xfId="0" applyFont="1" applyFill="1" applyBorder="1" applyAlignment="1" applyProtection="1">
      <alignment horizontal="center" vertical="center" wrapText="1"/>
    </xf>
    <xf numFmtId="0" fontId="10" fillId="33" borderId="93" xfId="0" applyFont="1" applyFill="1" applyBorder="1" applyAlignment="1" applyProtection="1">
      <alignment horizontal="center" vertical="center" wrapText="1"/>
    </xf>
    <xf numFmtId="0" fontId="0" fillId="35" borderId="93" xfId="0" applyFill="1" applyBorder="1" applyProtection="1">
      <alignment vertical="center"/>
      <protection locked="0"/>
    </xf>
    <xf numFmtId="0" fontId="0" fillId="33" borderId="93" xfId="0" applyFill="1" applyBorder="1" applyProtection="1">
      <alignment vertical="center"/>
      <protection locked="0"/>
    </xf>
    <xf numFmtId="0" fontId="0" fillId="33" borderId="93" xfId="0" applyFill="1" applyBorder="1" applyAlignment="1" applyProtection="1">
      <alignment vertical="center" wrapText="1"/>
    </xf>
    <xf numFmtId="0" fontId="0" fillId="33" borderId="0" xfId="0" applyFill="1" applyProtection="1">
      <alignment vertical="center"/>
      <protection locked="0"/>
    </xf>
    <xf numFmtId="0" fontId="120" fillId="33" borderId="172" xfId="0" applyFont="1" applyFill="1" applyBorder="1" applyAlignment="1" applyProtection="1">
      <alignment horizontal="center" vertical="center" wrapText="1"/>
    </xf>
    <xf numFmtId="0" fontId="0" fillId="33" borderId="173" xfId="0" applyFill="1" applyBorder="1" applyProtection="1">
      <alignment vertical="center"/>
    </xf>
    <xf numFmtId="0" fontId="120" fillId="33" borderId="174" xfId="0" applyFont="1" applyFill="1" applyBorder="1" applyAlignment="1" applyProtection="1">
      <alignment horizontal="center" vertical="center" wrapText="1"/>
    </xf>
    <xf numFmtId="0" fontId="0" fillId="33" borderId="0" xfId="0" applyFill="1" applyProtection="1">
      <alignment vertical="center"/>
    </xf>
    <xf numFmtId="0" fontId="0" fillId="33" borderId="176" xfId="0" applyFill="1" applyBorder="1" applyAlignment="1" applyProtection="1">
      <alignment horizontal="left" vertical="center" wrapText="1"/>
    </xf>
    <xf numFmtId="0" fontId="0" fillId="33" borderId="176" xfId="0" applyFill="1" applyBorder="1" applyAlignment="1" applyProtection="1">
      <alignment horizontal="center" vertical="center"/>
    </xf>
    <xf numFmtId="0" fontId="2" fillId="33" borderId="109" xfId="0" applyFont="1" applyFill="1" applyBorder="1" applyAlignment="1" applyProtection="1">
      <alignment vertical="center" wrapText="1"/>
      <protection locked="0"/>
    </xf>
    <xf numFmtId="0" fontId="0" fillId="33" borderId="0" xfId="0" applyFill="1" applyAlignment="1" applyProtection="1">
      <alignment horizontal="center" vertical="center"/>
      <protection locked="0"/>
    </xf>
    <xf numFmtId="0" fontId="121" fillId="33" borderId="0" xfId="0" applyFont="1" applyFill="1" applyProtection="1">
      <alignment vertical="center"/>
      <protection locked="0"/>
    </xf>
    <xf numFmtId="0" fontId="0" fillId="33" borderId="0" xfId="0" applyFill="1" applyProtection="1">
      <alignment vertical="center"/>
      <protection locked="0"/>
    </xf>
    <xf numFmtId="0" fontId="120" fillId="33" borderId="172" xfId="0" applyFont="1" applyFill="1" applyBorder="1" applyAlignment="1" applyProtection="1">
      <alignment horizontal="center" wrapText="1"/>
      <protection locked="0"/>
    </xf>
    <xf numFmtId="0" fontId="120" fillId="33" borderId="174" xfId="0" applyFont="1" applyFill="1" applyBorder="1" applyAlignment="1" applyProtection="1">
      <alignment horizontal="center" wrapText="1"/>
      <protection locked="0"/>
    </xf>
    <xf numFmtId="0" fontId="23" fillId="33" borderId="171" xfId="0" applyFont="1" applyFill="1" applyBorder="1" applyAlignment="1" applyProtection="1">
      <alignment wrapText="1"/>
      <protection locked="0"/>
    </xf>
    <xf numFmtId="10" fontId="23" fillId="33" borderId="174" xfId="0" applyNumberFormat="1" applyFont="1" applyFill="1" applyBorder="1" applyAlignment="1" applyProtection="1">
      <alignment horizontal="center" wrapText="1"/>
      <protection locked="0"/>
    </xf>
    <xf numFmtId="0" fontId="23" fillId="33" borderId="131" xfId="0" applyFont="1" applyFill="1" applyBorder="1" applyAlignment="1" applyProtection="1">
      <alignment wrapText="1"/>
      <protection locked="0"/>
    </xf>
    <xf numFmtId="10" fontId="23" fillId="33" borderId="126" xfId="0" applyNumberFormat="1" applyFont="1" applyFill="1" applyBorder="1" applyAlignment="1" applyProtection="1">
      <alignment horizontal="center" wrapText="1"/>
      <protection locked="0"/>
    </xf>
    <xf numFmtId="0" fontId="23" fillId="33" borderId="137" xfId="0" applyFont="1" applyFill="1" applyBorder="1" applyAlignment="1" applyProtection="1">
      <alignment wrapText="1"/>
      <protection locked="0"/>
    </xf>
    <xf numFmtId="0" fontId="23" fillId="33" borderId="131" xfId="0" applyFont="1" applyFill="1" applyBorder="1" applyAlignment="1" applyProtection="1">
      <alignment horizontal="center" wrapText="1"/>
      <protection locked="0"/>
    </xf>
    <xf numFmtId="0" fontId="23" fillId="33" borderId="177" xfId="0" applyFont="1" applyFill="1" applyBorder="1" applyAlignment="1" applyProtection="1">
      <alignment horizontal="center" wrapText="1"/>
      <protection locked="0"/>
    </xf>
    <xf numFmtId="0" fontId="23" fillId="33" borderId="178" xfId="0" applyFont="1" applyFill="1" applyBorder="1" applyAlignment="1" applyProtection="1">
      <alignment horizontal="center" wrapText="1"/>
      <protection locked="0"/>
    </xf>
    <xf numFmtId="0" fontId="23" fillId="33" borderId="174" xfId="0" applyFont="1" applyFill="1" applyBorder="1" applyAlignment="1" applyProtection="1">
      <alignment horizontal="center" wrapText="1"/>
      <protection locked="0"/>
    </xf>
    <xf numFmtId="0" fontId="23" fillId="33" borderId="181" xfId="0" applyFont="1" applyFill="1" applyBorder="1" applyAlignment="1" applyProtection="1">
      <alignment horizontal="center" wrapText="1"/>
      <protection locked="0"/>
    </xf>
    <xf numFmtId="0" fontId="123" fillId="33" borderId="0" xfId="0" applyFont="1" applyFill="1" applyAlignment="1" applyProtection="1">
      <alignment horizontal="justify" vertical="center"/>
      <protection locked="0"/>
    </xf>
    <xf numFmtId="186" fontId="0" fillId="35" borderId="93" xfId="0" applyNumberFormat="1" applyFill="1" applyBorder="1" applyAlignment="1" applyProtection="1">
      <alignment horizontal="center" vertical="center"/>
      <protection locked="0"/>
    </xf>
    <xf numFmtId="0" fontId="74" fillId="0" borderId="0" xfId="0" applyFont="1" applyFill="1" applyProtection="1">
      <alignment vertical="center"/>
      <protection locked="0"/>
    </xf>
    <xf numFmtId="0" fontId="2" fillId="32" borderId="93" xfId="0" applyNumberFormat="1" applyFont="1" applyFill="1" applyBorder="1" applyAlignment="1">
      <alignment vertical="center"/>
    </xf>
    <xf numFmtId="49" fontId="0" fillId="22" borderId="0" xfId="0" applyNumberFormat="1" applyFill="1">
      <alignment vertical="center"/>
    </xf>
    <xf numFmtId="180" fontId="42" fillId="0" borderId="12" xfId="0" applyNumberFormat="1" applyFont="1" applyFill="1" applyBorder="1" applyAlignment="1" applyProtection="1">
      <alignment vertical="center"/>
      <protection locked="0"/>
    </xf>
    <xf numFmtId="180" fontId="42" fillId="0" borderId="12" xfId="0" applyNumberFormat="1" applyFont="1" applyFill="1" applyBorder="1" applyAlignment="1" applyProtection="1">
      <alignment vertical="center"/>
    </xf>
    <xf numFmtId="180" fontId="42" fillId="32" borderId="93" xfId="4" applyFont="1" applyFill="1" applyBorder="1">
      <alignment vertical="center"/>
    </xf>
    <xf numFmtId="0" fontId="53" fillId="35" borderId="93" xfId="0" applyFont="1" applyFill="1" applyBorder="1" applyAlignment="1">
      <alignment horizontal="center" vertical="center"/>
    </xf>
    <xf numFmtId="0" fontId="2" fillId="32" borderId="93" xfId="0" applyFont="1" applyFill="1" applyBorder="1" applyAlignment="1">
      <alignment horizontal="center" vertical="center" wrapText="1"/>
    </xf>
    <xf numFmtId="0" fontId="2" fillId="35" borderId="93" xfId="0" applyFont="1" applyFill="1" applyBorder="1">
      <alignment vertical="center"/>
    </xf>
    <xf numFmtId="0" fontId="2" fillId="0" borderId="93" xfId="0" applyNumberFormat="1" applyFont="1" applyFill="1" applyBorder="1" applyAlignment="1">
      <alignment horizontal="center" vertical="center"/>
    </xf>
    <xf numFmtId="193" fontId="2" fillId="32" borderId="93" xfId="0" applyNumberFormat="1" applyFont="1" applyFill="1" applyBorder="1" applyAlignment="1">
      <alignment horizontal="center" vertical="center" wrapText="1"/>
    </xf>
    <xf numFmtId="194" fontId="42" fillId="32" borderId="93" xfId="4" applyNumberFormat="1" applyFont="1" applyFill="1" applyBorder="1">
      <alignment vertical="center"/>
    </xf>
    <xf numFmtId="0" fontId="51" fillId="33" borderId="93" xfId="0" applyFont="1" applyFill="1" applyBorder="1" applyAlignment="1">
      <alignment horizontal="center" vertical="center"/>
    </xf>
    <xf numFmtId="180" fontId="42" fillId="0" borderId="93" xfId="4" applyFont="1" applyFill="1" applyBorder="1">
      <alignment vertical="center"/>
    </xf>
    <xf numFmtId="0" fontId="2" fillId="33" borderId="93" xfId="0" applyFont="1" applyFill="1" applyBorder="1" applyAlignment="1">
      <alignment horizontal="left" vertical="center"/>
    </xf>
    <xf numFmtId="180" fontId="42" fillId="32" borderId="93" xfId="4" applyFont="1" applyFill="1" applyBorder="1">
      <alignment vertical="center"/>
    </xf>
    <xf numFmtId="0" fontId="74" fillId="33" borderId="0" xfId="0" applyFont="1" applyFill="1" applyAlignment="1">
      <alignment vertical="center"/>
    </xf>
    <xf numFmtId="0" fontId="26" fillId="22" borderId="93" xfId="0" applyFont="1" applyFill="1" applyBorder="1" applyAlignment="1">
      <alignment horizontal="center" vertical="center"/>
    </xf>
    <xf numFmtId="0" fontId="2" fillId="22" borderId="115" xfId="0" applyFont="1" applyFill="1" applyBorder="1" applyAlignment="1">
      <alignment vertical="center"/>
    </xf>
    <xf numFmtId="0" fontId="2" fillId="22" borderId="110" xfId="0" applyFont="1" applyFill="1" applyBorder="1" applyAlignment="1">
      <alignment vertical="center"/>
    </xf>
    <xf numFmtId="0" fontId="2" fillId="22" borderId="122" xfId="0" applyFont="1" applyFill="1" applyBorder="1" applyAlignment="1">
      <alignment vertical="center"/>
    </xf>
    <xf numFmtId="0" fontId="51" fillId="33" borderId="158" xfId="0" applyFont="1" applyFill="1" applyBorder="1" applyAlignment="1">
      <alignment horizontal="center" vertical="center"/>
    </xf>
    <xf numFmtId="0" fontId="51" fillId="33" borderId="160" xfId="0" applyFont="1" applyFill="1" applyBorder="1" applyAlignment="1">
      <alignment horizontal="center" vertical="center" wrapText="1"/>
    </xf>
    <xf numFmtId="0" fontId="51" fillId="33" borderId="153" xfId="0" applyFont="1" applyFill="1" applyBorder="1" applyAlignment="1">
      <alignment horizontal="center" vertical="center"/>
    </xf>
    <xf numFmtId="0" fontId="51" fillId="33" borderId="156" xfId="0" applyFont="1" applyFill="1" applyBorder="1" applyAlignment="1">
      <alignment horizontal="center" vertical="center"/>
    </xf>
    <xf numFmtId="0" fontId="51" fillId="33" borderId="157" xfId="0" applyFont="1" applyFill="1" applyBorder="1" applyAlignment="1">
      <alignment horizontal="left" vertical="center" wrapText="1"/>
    </xf>
    <xf numFmtId="180" fontId="42" fillId="0" borderId="156" xfId="4" applyFont="1" applyFill="1" applyBorder="1">
      <alignment vertical="center"/>
    </xf>
    <xf numFmtId="180" fontId="42" fillId="0" borderId="157" xfId="4" applyFont="1" applyFill="1" applyBorder="1">
      <alignment vertical="center"/>
    </xf>
    <xf numFmtId="180" fontId="42" fillId="30" borderId="158" xfId="4" applyFont="1" applyFill="1" applyBorder="1">
      <alignment vertical="center"/>
    </xf>
    <xf numFmtId="180" fontId="42" fillId="30" borderId="160" xfId="4" applyFont="1" applyFill="1" applyBorder="1">
      <alignment vertical="center"/>
    </xf>
    <xf numFmtId="0" fontId="51" fillId="33" borderId="158" xfId="0" applyFont="1" applyFill="1" applyBorder="1" applyAlignment="1">
      <alignment horizontal="center" vertical="center" wrapText="1"/>
    </xf>
    <xf numFmtId="0" fontId="51" fillId="33" borderId="159" xfId="0" applyFont="1" applyFill="1" applyBorder="1" applyAlignment="1">
      <alignment horizontal="center" vertical="center" wrapText="1"/>
    </xf>
    <xf numFmtId="0" fontId="51" fillId="0" borderId="152" xfId="0" applyFont="1" applyBorder="1" applyAlignment="1">
      <alignment horizontal="center" vertical="center"/>
    </xf>
    <xf numFmtId="180" fontId="42" fillId="0" borderId="156" xfId="4" applyFont="1" applyBorder="1">
      <alignment vertical="center"/>
    </xf>
    <xf numFmtId="180" fontId="42" fillId="0" borderId="157" xfId="4" applyFont="1" applyBorder="1">
      <alignment vertical="center"/>
    </xf>
    <xf numFmtId="0" fontId="51" fillId="0" borderId="152" xfId="0" applyFont="1" applyFill="1" applyBorder="1" applyAlignment="1">
      <alignment horizontal="center" vertical="center"/>
    </xf>
    <xf numFmtId="180" fontId="42" fillId="30" borderId="159" xfId="4" applyFont="1" applyFill="1" applyBorder="1">
      <alignment vertical="center"/>
    </xf>
    <xf numFmtId="180" fontId="42" fillId="32" borderId="153" xfId="4" applyFont="1" applyFill="1" applyBorder="1">
      <alignment vertical="center"/>
    </xf>
    <xf numFmtId="180" fontId="42" fillId="30" borderId="153" xfId="4" applyFont="1" applyFill="1" applyBorder="1">
      <alignment vertical="center"/>
    </xf>
    <xf numFmtId="180" fontId="42" fillId="30" borderId="156" xfId="4" applyFont="1" applyFill="1" applyBorder="1">
      <alignment vertical="center"/>
    </xf>
    <xf numFmtId="180" fontId="42" fillId="30" borderId="155" xfId="4" applyFont="1" applyFill="1" applyBorder="1">
      <alignment vertical="center"/>
    </xf>
    <xf numFmtId="180" fontId="42" fillId="30" borderId="157" xfId="4" applyFont="1" applyFill="1" applyBorder="1">
      <alignment vertical="center"/>
    </xf>
    <xf numFmtId="0" fontId="2" fillId="22" borderId="110" xfId="0" applyFont="1" applyFill="1" applyBorder="1" applyAlignment="1">
      <alignment vertical="center" wrapText="1"/>
    </xf>
    <xf numFmtId="180" fontId="42" fillId="30" borderId="154" xfId="4" applyFont="1" applyFill="1" applyBorder="1">
      <alignment vertical="center"/>
    </xf>
    <xf numFmtId="180" fontId="42" fillId="30" borderId="152" xfId="4" applyFont="1" applyFill="1" applyBorder="1">
      <alignment vertical="center"/>
    </xf>
    <xf numFmtId="180" fontId="42" fillId="32" borderId="156" xfId="4" applyFont="1" applyFill="1" applyBorder="1">
      <alignment vertical="center"/>
    </xf>
    <xf numFmtId="0" fontId="51" fillId="0" borderId="191" xfId="0" applyFont="1" applyBorder="1" applyAlignment="1">
      <alignment horizontal="center" vertical="center"/>
    </xf>
    <xf numFmtId="0" fontId="51" fillId="33" borderId="152" xfId="0" applyFont="1" applyFill="1" applyBorder="1" applyAlignment="1">
      <alignment horizontal="center" vertical="center"/>
    </xf>
    <xf numFmtId="0" fontId="51" fillId="33" borderId="191" xfId="0" applyFont="1" applyFill="1" applyBorder="1" applyAlignment="1">
      <alignment horizontal="center" vertical="center"/>
    </xf>
    <xf numFmtId="0" fontId="51" fillId="33" borderId="157" xfId="0" applyFont="1" applyFill="1" applyBorder="1" applyAlignment="1">
      <alignment horizontal="center" vertical="center"/>
    </xf>
    <xf numFmtId="180" fontId="42" fillId="32" borderId="155" xfId="4" applyFont="1" applyFill="1" applyBorder="1">
      <alignment vertical="center"/>
    </xf>
    <xf numFmtId="180" fontId="42" fillId="32" borderId="157" xfId="4" applyFont="1" applyFill="1" applyBorder="1">
      <alignment vertical="center"/>
    </xf>
    <xf numFmtId="180" fontId="42" fillId="32" borderId="158" xfId="4" applyFont="1" applyFill="1" applyBorder="1">
      <alignment vertical="center"/>
    </xf>
    <xf numFmtId="180" fontId="42" fillId="32" borderId="160" xfId="4" applyFont="1" applyFill="1" applyBorder="1">
      <alignment vertical="center"/>
    </xf>
    <xf numFmtId="180" fontId="42" fillId="32" borderId="154" xfId="4" applyFont="1" applyFill="1" applyBorder="1">
      <alignment vertical="center"/>
    </xf>
    <xf numFmtId="180" fontId="42" fillId="32" borderId="152" xfId="4" applyFont="1" applyFill="1" applyBorder="1">
      <alignment vertical="center"/>
    </xf>
    <xf numFmtId="180" fontId="42" fillId="32" borderId="159" xfId="4" applyFont="1" applyFill="1" applyBorder="1">
      <alignment vertical="center"/>
    </xf>
    <xf numFmtId="0" fontId="109" fillId="33" borderId="115" xfId="0" applyFont="1" applyFill="1" applyBorder="1" applyAlignment="1">
      <alignment horizontal="left" vertical="center" wrapText="1"/>
    </xf>
    <xf numFmtId="9" fontId="2" fillId="33" borderId="93" xfId="0" applyNumberFormat="1" applyFont="1" applyFill="1" applyBorder="1" applyAlignment="1">
      <alignment horizontal="center" vertical="center" wrapText="1"/>
    </xf>
    <xf numFmtId="0" fontId="109" fillId="33" borderId="93" xfId="0" applyFont="1" applyFill="1" applyBorder="1">
      <alignment vertical="center"/>
    </xf>
    <xf numFmtId="9" fontId="2" fillId="32" borderId="93" xfId="0" applyNumberFormat="1" applyFont="1" applyFill="1" applyBorder="1" applyAlignment="1">
      <alignment horizontal="center" vertical="center" wrapText="1"/>
    </xf>
    <xf numFmtId="0" fontId="2" fillId="33" borderId="115" xfId="0" applyFont="1" applyFill="1" applyBorder="1" applyAlignment="1">
      <alignment horizontal="left" vertical="center"/>
    </xf>
    <xf numFmtId="49" fontId="2" fillId="33" borderId="93" xfId="0" applyNumberFormat="1" applyFont="1" applyFill="1" applyBorder="1" applyAlignment="1">
      <alignment vertical="center"/>
    </xf>
    <xf numFmtId="0" fontId="109" fillId="33" borderId="115" xfId="0" applyFont="1" applyFill="1" applyBorder="1" applyAlignment="1">
      <alignment vertical="center"/>
    </xf>
    <xf numFmtId="49" fontId="74" fillId="16" borderId="0" xfId="0" applyNumberFormat="1" applyFont="1" applyFill="1">
      <alignment vertical="center"/>
    </xf>
    <xf numFmtId="49" fontId="0" fillId="0" borderId="0" xfId="0" applyNumberFormat="1" applyFill="1">
      <alignment vertical="center"/>
    </xf>
    <xf numFmtId="49" fontId="2" fillId="33" borderId="93" xfId="0" applyNumberFormat="1" applyFont="1" applyFill="1" applyBorder="1">
      <alignment vertical="center"/>
    </xf>
    <xf numFmtId="0" fontId="2" fillId="0" borderId="1" xfId="2" applyNumberFormat="1" applyFont="1" applyFill="1" applyBorder="1" applyAlignment="1" applyProtection="1">
      <alignment vertical="center" wrapText="1"/>
      <protection locked="0"/>
    </xf>
    <xf numFmtId="0" fontId="2" fillId="33" borderId="121" xfId="0" applyFont="1" applyFill="1" applyBorder="1" applyAlignment="1">
      <alignment vertical="center"/>
    </xf>
    <xf numFmtId="0" fontId="2" fillId="2" borderId="15" xfId="2" applyNumberFormat="1" applyFont="1" applyFill="1" applyBorder="1" applyAlignment="1" applyProtection="1">
      <alignment horizontal="left" vertical="center"/>
    </xf>
    <xf numFmtId="0" fontId="2" fillId="2" borderId="8" xfId="0" applyFont="1" applyFill="1" applyBorder="1" applyAlignment="1" applyProtection="1">
      <alignment vertical="center"/>
    </xf>
    <xf numFmtId="4" fontId="2" fillId="2" borderId="0" xfId="0" applyNumberFormat="1" applyFont="1" applyFill="1" applyBorder="1" applyAlignment="1" applyProtection="1">
      <alignment horizontal="right" vertical="center"/>
    </xf>
    <xf numFmtId="0" fontId="2" fillId="2" borderId="15" xfId="0" applyFont="1" applyFill="1" applyBorder="1" applyAlignment="1" applyProtection="1">
      <alignment vertical="center"/>
    </xf>
    <xf numFmtId="0" fontId="2" fillId="2" borderId="8" xfId="0" applyFont="1" applyFill="1" applyBorder="1">
      <alignment vertical="center"/>
    </xf>
    <xf numFmtId="180" fontId="42" fillId="30" borderId="23" xfId="4" applyNumberFormat="1" applyFont="1" applyFill="1" applyBorder="1" applyAlignment="1" applyProtection="1">
      <alignment vertical="center"/>
    </xf>
    <xf numFmtId="180" fontId="42" fillId="30" borderId="17" xfId="4" applyNumberFormat="1" applyFont="1" applyFill="1" applyBorder="1" applyAlignment="1" applyProtection="1">
      <alignment vertical="center"/>
    </xf>
    <xf numFmtId="0" fontId="2" fillId="2" borderId="15" xfId="0" applyFont="1" applyFill="1" applyBorder="1">
      <alignment vertical="center"/>
    </xf>
    <xf numFmtId="180" fontId="42" fillId="32" borderId="8" xfId="4" applyNumberFormat="1" applyFont="1" applyFill="1" applyBorder="1" applyAlignment="1" applyProtection="1">
      <alignment vertical="center"/>
    </xf>
    <xf numFmtId="180" fontId="42" fillId="30" borderId="8" xfId="4" applyNumberFormat="1" applyFont="1" applyFill="1" applyBorder="1" applyAlignment="1" applyProtection="1">
      <alignment vertical="center"/>
    </xf>
    <xf numFmtId="0" fontId="2" fillId="39" borderId="8" xfId="0" applyFont="1" applyFill="1" applyBorder="1" applyAlignment="1" applyProtection="1">
      <alignment horizontal="left" vertical="center"/>
      <protection locked="0"/>
    </xf>
    <xf numFmtId="180" fontId="42" fillId="33" borderId="23" xfId="4" applyNumberFormat="1" applyFont="1" applyFill="1" applyBorder="1" applyAlignment="1" applyProtection="1">
      <alignment vertical="center"/>
    </xf>
    <xf numFmtId="180" fontId="42" fillId="40" borderId="23" xfId="4" applyNumberFormat="1" applyFont="1" applyFill="1" applyBorder="1" applyAlignment="1" applyProtection="1">
      <alignment vertical="center"/>
      <protection locked="0"/>
    </xf>
    <xf numFmtId="180" fontId="42" fillId="33" borderId="23" xfId="4" applyNumberFormat="1" applyFont="1" applyFill="1" applyBorder="1" applyAlignment="1" applyProtection="1">
      <alignment vertical="center"/>
      <protection locked="0"/>
    </xf>
    <xf numFmtId="180" fontId="42" fillId="33" borderId="23" xfId="0" applyNumberFormat="1" applyFont="1" applyFill="1" applyBorder="1" applyAlignment="1" applyProtection="1">
      <alignment vertical="center"/>
      <protection locked="0"/>
    </xf>
    <xf numFmtId="180" fontId="42" fillId="33" borderId="12" xfId="4" applyNumberFormat="1" applyFont="1" applyFill="1" applyBorder="1" applyAlignment="1" applyProtection="1">
      <alignment vertical="center"/>
    </xf>
    <xf numFmtId="180" fontId="42" fillId="33" borderId="17" xfId="4" applyNumberFormat="1" applyFont="1" applyFill="1" applyBorder="1" applyAlignment="1" applyProtection="1">
      <alignment vertical="center"/>
    </xf>
    <xf numFmtId="0" fontId="2" fillId="2" borderId="8" xfId="2" applyNumberFormat="1" applyFont="1" applyFill="1" applyBorder="1" applyAlignment="1" applyProtection="1">
      <alignment horizontal="left" vertical="center"/>
    </xf>
    <xf numFmtId="0" fontId="11" fillId="22" borderId="93" xfId="2" applyFont="1" applyFill="1" applyBorder="1">
      <alignment vertical="center"/>
    </xf>
    <xf numFmtId="0" fontId="0" fillId="22" borderId="93" xfId="0" applyFill="1" applyBorder="1">
      <alignment vertical="center"/>
    </xf>
    <xf numFmtId="176" fontId="0" fillId="22" borderId="93" xfId="0" applyNumberFormat="1" applyFill="1" applyBorder="1" applyAlignment="1">
      <alignment horizontal="right" vertical="center"/>
    </xf>
    <xf numFmtId="180" fontId="42" fillId="41" borderId="3" xfId="0" applyNumberFormat="1" applyFont="1" applyFill="1" applyBorder="1" applyProtection="1">
      <alignment vertical="center"/>
    </xf>
    <xf numFmtId="0" fontId="12" fillId="0" borderId="0" xfId="2" applyNumberFormat="1" applyFont="1" applyFill="1" applyBorder="1" applyProtection="1">
      <alignment vertical="center"/>
      <protection locked="0"/>
    </xf>
    <xf numFmtId="0" fontId="0" fillId="0" borderId="0" xfId="0" applyProtection="1">
      <alignment vertical="center"/>
      <protection locked="0"/>
    </xf>
    <xf numFmtId="0" fontId="0" fillId="0" borderId="0" xfId="0">
      <alignment vertical="center"/>
    </xf>
    <xf numFmtId="0" fontId="67" fillId="0" borderId="0" xfId="0" applyFont="1" applyAlignment="1" applyProtection="1">
      <alignment horizontal="center"/>
      <protection locked="0"/>
    </xf>
    <xf numFmtId="0" fontId="9" fillId="0" borderId="0" xfId="0" applyFont="1" applyAlignment="1" applyProtection="1">
      <alignment horizontal="center"/>
      <protection locked="0"/>
    </xf>
    <xf numFmtId="0" fontId="6" fillId="0" borderId="0" xfId="0" applyFont="1" applyAlignment="1" applyProtection="1">
      <alignment horizontal="center"/>
      <protection locked="0"/>
    </xf>
    <xf numFmtId="0" fontId="2" fillId="0" borderId="0" xfId="0" applyFont="1" applyAlignment="1" applyProtection="1">
      <alignment horizontal="justify"/>
      <protection locked="0"/>
    </xf>
    <xf numFmtId="0" fontId="2" fillId="0" borderId="0" xfId="0" applyFont="1" applyProtection="1">
      <alignment vertical="center"/>
      <protection locked="0"/>
    </xf>
    <xf numFmtId="0" fontId="15" fillId="0" borderId="0" xfId="0" applyFont="1" applyProtection="1">
      <alignment vertical="center"/>
      <protection locked="0"/>
    </xf>
    <xf numFmtId="0" fontId="15" fillId="0" borderId="0" xfId="0" applyFont="1">
      <alignment vertical="center"/>
    </xf>
    <xf numFmtId="0" fontId="128" fillId="0" borderId="0" xfId="0" applyFont="1" applyAlignment="1" applyProtection="1">
      <alignment horizontal="center"/>
      <protection locked="0"/>
    </xf>
    <xf numFmtId="0" fontId="128" fillId="0" borderId="0" xfId="0" applyFont="1" applyProtection="1">
      <alignment vertical="center"/>
      <protection locked="0"/>
    </xf>
    <xf numFmtId="0" fontId="129" fillId="0" borderId="0" xfId="0" applyFont="1" applyProtection="1">
      <alignment vertical="center"/>
      <protection locked="0"/>
    </xf>
    <xf numFmtId="0" fontId="130" fillId="0" borderId="0" xfId="0" applyFont="1" applyAlignment="1" applyProtection="1">
      <alignment vertical="center"/>
      <protection locked="0"/>
    </xf>
    <xf numFmtId="0" fontId="130" fillId="0" borderId="0" xfId="0" applyFont="1" applyAlignment="1">
      <alignment vertical="center"/>
    </xf>
    <xf numFmtId="0" fontId="130" fillId="0" borderId="0" xfId="0" applyFont="1" applyAlignment="1" applyProtection="1">
      <alignment vertical="center"/>
      <protection locked="0"/>
    </xf>
    <xf numFmtId="0" fontId="130" fillId="0" borderId="0" xfId="0" applyFont="1" applyAlignment="1">
      <alignment vertical="center"/>
    </xf>
    <xf numFmtId="0" fontId="128" fillId="0" borderId="0" xfId="0" applyFont="1" applyFill="1" applyBorder="1" applyAlignment="1" applyProtection="1">
      <alignment vertical="top" wrapText="1"/>
      <protection locked="0"/>
    </xf>
    <xf numFmtId="0" fontId="130" fillId="0" borderId="0" xfId="0" applyFont="1" applyProtection="1">
      <alignment vertical="center"/>
      <protection locked="0"/>
    </xf>
    <xf numFmtId="0" fontId="0" fillId="0" borderId="0" xfId="0" applyFont="1">
      <alignment vertical="center"/>
    </xf>
    <xf numFmtId="0" fontId="2" fillId="2" borderId="0" xfId="0" applyFont="1" applyFill="1" applyProtection="1">
      <alignment vertical="center"/>
      <protection locked="0"/>
    </xf>
    <xf numFmtId="0" fontId="27" fillId="0" borderId="0" xfId="0" applyFont="1" applyProtection="1">
      <alignment vertical="center"/>
      <protection locked="0"/>
    </xf>
    <xf numFmtId="0" fontId="27" fillId="0" borderId="0" xfId="0" applyFont="1">
      <alignment vertical="center"/>
    </xf>
    <xf numFmtId="0" fontId="0" fillId="0" borderId="0" xfId="0" applyFont="1" applyProtection="1">
      <alignment vertical="center"/>
      <protection locked="0"/>
    </xf>
    <xf numFmtId="0" fontId="56" fillId="0" borderId="0" xfId="0" applyFont="1">
      <alignment vertical="center"/>
    </xf>
    <xf numFmtId="0" fontId="56" fillId="0" borderId="0" xfId="0" applyFont="1" applyProtection="1">
      <alignment vertical="center"/>
      <protection locked="0"/>
    </xf>
    <xf numFmtId="185" fontId="2" fillId="5" borderId="3" xfId="0" applyNumberFormat="1" applyFont="1" applyFill="1" applyBorder="1" applyAlignment="1" applyProtection="1">
      <alignment horizontal="center" vertical="center" wrapText="1"/>
    </xf>
    <xf numFmtId="0" fontId="2" fillId="5" borderId="3" xfId="0" applyNumberFormat="1" applyFont="1" applyFill="1" applyBorder="1" applyAlignment="1" applyProtection="1">
      <alignment horizontal="center" shrinkToFit="1"/>
    </xf>
    <xf numFmtId="180" fontId="2" fillId="0" borderId="3" xfId="0" applyNumberFormat="1" applyFont="1" applyFill="1" applyBorder="1" applyAlignment="1" applyProtection="1">
      <alignment horizontal="center" vertical="center" shrinkToFit="1"/>
      <protection locked="0"/>
    </xf>
    <xf numFmtId="10" fontId="2" fillId="5" borderId="3" xfId="0" applyNumberFormat="1" applyFont="1" applyFill="1" applyBorder="1" applyAlignment="1" applyProtection="1">
      <alignment horizontal="center" vertical="center" shrinkToFit="1"/>
    </xf>
    <xf numFmtId="180" fontId="2" fillId="3" borderId="3" xfId="0" applyNumberFormat="1" applyFont="1" applyFill="1" applyBorder="1" applyAlignment="1" applyProtection="1">
      <alignment horizontal="center" vertical="center" wrapText="1"/>
    </xf>
    <xf numFmtId="10" fontId="2" fillId="3"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wrapText="1"/>
      <protection locked="0"/>
    </xf>
    <xf numFmtId="0" fontId="2" fillId="0" borderId="3" xfId="0" applyFont="1" applyBorder="1" applyAlignment="1" applyProtection="1">
      <alignment horizontal="center" wrapText="1"/>
      <protection locked="0"/>
    </xf>
    <xf numFmtId="0" fontId="27" fillId="0" borderId="0" xfId="0" applyFont="1" applyAlignment="1" applyProtection="1">
      <alignment vertical="center"/>
      <protection locked="0"/>
    </xf>
    <xf numFmtId="0" fontId="27" fillId="0" borderId="0" xfId="0" applyFont="1" applyAlignment="1">
      <alignment vertical="center"/>
    </xf>
    <xf numFmtId="0" fontId="27" fillId="0" borderId="0" xfId="0" applyFont="1" applyAlignment="1" applyProtection="1">
      <alignment horizontal="left" vertical="center" wrapText="1"/>
      <protection locked="0"/>
    </xf>
    <xf numFmtId="0" fontId="27" fillId="0" borderId="0" xfId="0" applyFont="1" applyAlignment="1" applyProtection="1">
      <alignment horizontal="center" vertical="center"/>
      <protection locked="0"/>
    </xf>
    <xf numFmtId="0" fontId="131" fillId="0" borderId="0" xfId="0" applyFont="1" applyAlignment="1" applyProtection="1">
      <alignment vertical="center"/>
      <protection locked="0"/>
    </xf>
    <xf numFmtId="0" fontId="131" fillId="0" borderId="0" xfId="0" applyFont="1" applyAlignment="1">
      <alignment vertical="center"/>
    </xf>
    <xf numFmtId="180" fontId="27" fillId="0" borderId="0" xfId="4" applyFont="1" applyFill="1" applyBorder="1" applyAlignment="1" applyProtection="1">
      <alignment vertical="center"/>
      <protection locked="0"/>
    </xf>
    <xf numFmtId="0" fontId="27" fillId="2" borderId="0" xfId="0" applyFont="1" applyFill="1" applyAlignment="1" applyProtection="1">
      <alignment horizontal="center" vertical="center"/>
      <protection locked="0"/>
    </xf>
    <xf numFmtId="0" fontId="27" fillId="2" borderId="0" xfId="0" applyFont="1" applyFill="1" applyAlignment="1" applyProtection="1">
      <alignment vertical="center"/>
      <protection locked="0"/>
    </xf>
    <xf numFmtId="180" fontId="39" fillId="3" borderId="0" xfId="0" applyNumberFormat="1" applyFont="1" applyFill="1" applyAlignment="1" applyProtection="1">
      <alignment vertical="center" shrinkToFit="1"/>
    </xf>
    <xf numFmtId="0" fontId="27" fillId="2" borderId="3" xfId="0" applyFont="1" applyFill="1" applyBorder="1" applyAlignment="1" applyProtection="1">
      <alignment horizontal="center" vertical="center"/>
      <protection locked="0"/>
    </xf>
    <xf numFmtId="0" fontId="27" fillId="2" borderId="4" xfId="0" applyFont="1" applyFill="1" applyBorder="1" applyAlignment="1" applyProtection="1">
      <alignment horizontal="center" vertical="center"/>
      <protection hidden="1"/>
    </xf>
    <xf numFmtId="180" fontId="39" fillId="5" borderId="3" xfId="0" applyNumberFormat="1" applyFont="1" applyFill="1" applyBorder="1" applyAlignment="1" applyProtection="1">
      <alignment vertical="center" shrinkToFit="1"/>
    </xf>
    <xf numFmtId="180" fontId="27" fillId="4" borderId="3" xfId="0" applyNumberFormat="1" applyFont="1" applyFill="1" applyBorder="1" applyAlignment="1" applyProtection="1">
      <alignment horizontal="center" vertical="center" shrinkToFit="1"/>
      <protection locked="0"/>
    </xf>
    <xf numFmtId="180" fontId="39" fillId="4" borderId="3" xfId="0" applyNumberFormat="1" applyFont="1" applyFill="1" applyBorder="1" applyAlignment="1" applyProtection="1">
      <alignment vertical="center" shrinkToFit="1"/>
      <protection locked="0"/>
    </xf>
    <xf numFmtId="180" fontId="27" fillId="4" borderId="3" xfId="0" applyNumberFormat="1" applyFont="1" applyFill="1" applyBorder="1" applyAlignment="1" applyProtection="1">
      <alignment horizontal="center" vertical="center"/>
      <protection locked="0"/>
    </xf>
    <xf numFmtId="0" fontId="27" fillId="2" borderId="0" xfId="0" applyFont="1" applyFill="1" applyAlignment="1" applyProtection="1">
      <alignment vertical="center" wrapText="1"/>
      <protection locked="0"/>
    </xf>
    <xf numFmtId="180" fontId="39" fillId="3" borderId="3" xfId="0" applyNumberFormat="1" applyFont="1" applyFill="1" applyBorder="1" applyAlignment="1" applyProtection="1">
      <alignment vertical="center" shrinkToFit="1"/>
    </xf>
    <xf numFmtId="180" fontId="27" fillId="2" borderId="3" xfId="0" applyNumberFormat="1" applyFont="1" applyFill="1" applyBorder="1" applyAlignment="1" applyProtection="1">
      <alignment horizontal="center" vertical="center"/>
      <protection locked="0"/>
    </xf>
    <xf numFmtId="0" fontId="27" fillId="0" borderId="0" xfId="0" applyFont="1" applyAlignment="1" applyProtection="1">
      <alignment vertical="center" wrapText="1"/>
      <protection locked="0"/>
    </xf>
    <xf numFmtId="0" fontId="27" fillId="0" borderId="0" xfId="0" applyFont="1" applyAlignment="1">
      <alignment vertical="center" wrapText="1"/>
    </xf>
    <xf numFmtId="180" fontId="39" fillId="3" borderId="0" xfId="0" applyNumberFormat="1" applyFont="1" applyFill="1" applyAlignment="1" applyProtection="1">
      <alignment vertical="center"/>
    </xf>
    <xf numFmtId="0" fontId="27" fillId="4" borderId="3" xfId="0" applyFont="1" applyFill="1" applyBorder="1" applyAlignment="1" applyProtection="1">
      <alignment horizontal="center" vertical="center"/>
      <protection locked="0"/>
    </xf>
    <xf numFmtId="180" fontId="39" fillId="3" borderId="4" xfId="0" applyNumberFormat="1" applyFont="1" applyFill="1" applyBorder="1" applyAlignment="1" applyProtection="1">
      <alignment vertical="center" shrinkToFit="1"/>
    </xf>
    <xf numFmtId="180" fontId="27" fillId="2" borderId="3" xfId="0" applyNumberFormat="1" applyFont="1" applyFill="1" applyBorder="1" applyAlignment="1" applyProtection="1">
      <alignment horizontal="center" vertical="center" shrinkToFit="1"/>
      <protection locked="0"/>
    </xf>
    <xf numFmtId="0" fontId="27" fillId="2" borderId="0" xfId="0" applyFont="1" applyFill="1" applyBorder="1" applyAlignment="1" applyProtection="1">
      <alignment vertical="center"/>
      <protection locked="0"/>
    </xf>
    <xf numFmtId="180" fontId="27" fillId="2" borderId="0" xfId="0" applyNumberFormat="1" applyFont="1" applyFill="1" applyBorder="1" applyAlignment="1" applyProtection="1">
      <alignment vertical="center"/>
    </xf>
    <xf numFmtId="180" fontId="27" fillId="2" borderId="0" xfId="0" applyNumberFormat="1" applyFont="1" applyFill="1" applyBorder="1" applyAlignment="1" applyProtection="1">
      <alignment vertical="center"/>
      <protection locked="0"/>
    </xf>
    <xf numFmtId="0" fontId="12" fillId="0" borderId="0" xfId="2" applyNumberFormat="1" applyFont="1" applyFill="1" applyBorder="1" applyAlignment="1" applyProtection="1">
      <alignment vertical="center" wrapText="1"/>
      <protection locked="0"/>
    </xf>
    <xf numFmtId="180" fontId="27" fillId="5" borderId="0" xfId="4" applyFont="1" applyFill="1" applyBorder="1" applyAlignment="1" applyProtection="1">
      <alignment vertical="center" wrapText="1"/>
    </xf>
    <xf numFmtId="0" fontId="131" fillId="2" borderId="0" xfId="0" applyFont="1" applyFill="1" applyBorder="1" applyAlignment="1" applyProtection="1">
      <alignment vertical="center"/>
      <protection locked="0"/>
    </xf>
    <xf numFmtId="180" fontId="27" fillId="0" borderId="0" xfId="4" applyFont="1" applyFill="1" applyBorder="1" applyAlignment="1" applyProtection="1">
      <alignment vertical="center" wrapText="1"/>
      <protection locked="0"/>
    </xf>
    <xf numFmtId="0" fontId="27" fillId="2" borderId="20" xfId="0" applyFont="1" applyFill="1" applyBorder="1" applyAlignment="1" applyProtection="1">
      <alignment vertical="center"/>
      <protection locked="0"/>
    </xf>
    <xf numFmtId="180" fontId="39" fillId="3" borderId="20" xfId="0" applyNumberFormat="1" applyFont="1" applyFill="1" applyBorder="1" applyAlignment="1" applyProtection="1">
      <alignment vertical="center" shrinkToFit="1"/>
    </xf>
    <xf numFmtId="186" fontId="27" fillId="2" borderId="0" xfId="0" applyNumberFormat="1" applyFont="1" applyFill="1" applyBorder="1" applyAlignment="1" applyProtection="1">
      <alignment vertical="center" wrapText="1"/>
      <protection locked="0"/>
    </xf>
    <xf numFmtId="0" fontId="27" fillId="2" borderId="3" xfId="0" applyFont="1" applyFill="1" applyBorder="1" applyAlignment="1" applyProtection="1">
      <alignment horizontal="center" vertical="center"/>
      <protection hidden="1"/>
    </xf>
    <xf numFmtId="0" fontId="27" fillId="22" borderId="0" xfId="0" applyFont="1" applyFill="1" applyAlignment="1" applyProtection="1">
      <alignment vertical="center"/>
      <protection locked="0"/>
    </xf>
    <xf numFmtId="180" fontId="39" fillId="42" borderId="3" xfId="5" applyNumberFormat="1" applyFont="1" applyFill="1" applyBorder="1" applyAlignment="1" applyProtection="1">
      <alignment vertical="center" shrinkToFit="1"/>
    </xf>
    <xf numFmtId="180" fontId="0" fillId="0" borderId="3" xfId="5" applyNumberFormat="1" applyFont="1" applyFill="1" applyBorder="1" applyAlignment="1" applyProtection="1">
      <alignment vertical="center" shrinkToFit="1"/>
    </xf>
    <xf numFmtId="180" fontId="0" fillId="0" borderId="3" xfId="5" applyNumberFormat="1" applyFont="1" applyFill="1" applyBorder="1" applyAlignment="1" applyProtection="1">
      <alignment vertical="center" shrinkToFit="1"/>
      <protection locked="0"/>
    </xf>
    <xf numFmtId="180" fontId="39" fillId="5" borderId="3" xfId="5" applyNumberFormat="1" applyFont="1" applyFill="1" applyBorder="1" applyAlignment="1" applyProtection="1">
      <alignment vertical="center" shrinkToFit="1"/>
    </xf>
    <xf numFmtId="180" fontId="39" fillId="5" borderId="3" xfId="5" applyNumberFormat="1" applyFont="1" applyFill="1" applyBorder="1" applyAlignment="1" applyProtection="1">
      <alignment horizontal="center" vertical="center" shrinkToFit="1"/>
    </xf>
    <xf numFmtId="180" fontId="39" fillId="31" borderId="3" xfId="5" applyNumberFormat="1" applyFont="1" applyFill="1" applyBorder="1" applyAlignment="1" applyProtection="1">
      <alignment horizontal="center" vertical="center" shrinkToFit="1"/>
    </xf>
    <xf numFmtId="180" fontId="39" fillId="32" borderId="3" xfId="5" applyNumberFormat="1" applyFont="1" applyFill="1" applyBorder="1" applyAlignment="1" applyProtection="1">
      <alignment vertical="center" shrinkToFit="1"/>
      <protection locked="0"/>
    </xf>
    <xf numFmtId="0" fontId="27" fillId="0" borderId="0" xfId="0" applyFont="1" applyBorder="1" applyAlignment="1" applyProtection="1">
      <alignment horizontal="left" vertical="center"/>
      <protection locked="0"/>
    </xf>
    <xf numFmtId="0" fontId="2" fillId="0" borderId="0" xfId="0" applyFont="1" applyAlignment="1" applyProtection="1">
      <alignment vertical="center"/>
      <protection locked="0"/>
    </xf>
    <xf numFmtId="0" fontId="0" fillId="0" borderId="0" xfId="0" applyFill="1" applyProtection="1">
      <alignment vertical="center"/>
      <protection locked="0"/>
    </xf>
    <xf numFmtId="0" fontId="27" fillId="0" borderId="0" xfId="0" applyFont="1" applyBorder="1" applyAlignment="1" applyProtection="1">
      <alignment vertical="center"/>
      <protection locked="0"/>
    </xf>
    <xf numFmtId="180" fontId="0" fillId="0" borderId="3" xfId="5" applyNumberFormat="1" applyFont="1" applyFill="1" applyBorder="1" applyAlignment="1" applyProtection="1">
      <alignment horizontal="right" vertical="center" shrinkToFit="1"/>
    </xf>
    <xf numFmtId="180" fontId="39" fillId="0" borderId="3" xfId="5" applyNumberFormat="1" applyFont="1" applyFill="1" applyBorder="1" applyAlignment="1" applyProtection="1">
      <alignment vertical="center" shrinkToFit="1"/>
      <protection locked="0"/>
    </xf>
    <xf numFmtId="180" fontId="39" fillId="0" borderId="3" xfId="5" applyNumberFormat="1" applyFont="1" applyFill="1" applyBorder="1" applyAlignment="1" applyProtection="1">
      <alignment horizontal="right" vertical="center" shrinkToFit="1"/>
      <protection locked="0"/>
    </xf>
    <xf numFmtId="195" fontId="27" fillId="2" borderId="3" xfId="5" applyNumberFormat="1" applyFont="1" applyFill="1" applyBorder="1" applyAlignment="1" applyProtection="1">
      <alignment horizontal="center" vertical="center" shrinkToFit="1"/>
    </xf>
    <xf numFmtId="180" fontId="39" fillId="3" borderId="3" xfId="5" applyNumberFormat="1" applyFont="1" applyFill="1" applyBorder="1" applyAlignment="1" applyProtection="1">
      <alignment vertical="center" shrinkToFit="1"/>
    </xf>
    <xf numFmtId="180" fontId="0" fillId="2" borderId="3" xfId="5" applyNumberFormat="1" applyFont="1" applyFill="1" applyBorder="1" applyAlignment="1" applyProtection="1">
      <alignment vertical="center" shrinkToFit="1"/>
    </xf>
    <xf numFmtId="180" fontId="18" fillId="0" borderId="0" xfId="0" applyNumberFormat="1" applyFont="1" applyBorder="1" applyAlignment="1" applyProtection="1">
      <alignment horizontal="left" vertical="center"/>
    </xf>
    <xf numFmtId="180" fontId="39" fillId="3" borderId="0" xfId="0" applyNumberFormat="1" applyFont="1" applyFill="1" applyBorder="1" applyAlignment="1" applyProtection="1">
      <alignment vertical="center" shrinkToFit="1"/>
    </xf>
    <xf numFmtId="0" fontId="27" fillId="2" borderId="0" xfId="0" applyFont="1" applyFill="1" applyBorder="1" applyAlignment="1" applyProtection="1">
      <alignment vertical="center" shrinkToFit="1"/>
      <protection locked="0"/>
    </xf>
    <xf numFmtId="0" fontId="27" fillId="2" borderId="3" xfId="0" applyFont="1" applyFill="1" applyBorder="1" applyAlignment="1" applyProtection="1">
      <alignment horizontal="center" vertical="center" shrinkToFit="1"/>
      <protection locked="0"/>
    </xf>
    <xf numFmtId="0" fontId="27" fillId="22" borderId="0" xfId="0" applyFont="1" applyFill="1" applyBorder="1" applyAlignment="1" applyProtection="1">
      <alignment horizontal="left" vertical="center"/>
      <protection locked="0"/>
    </xf>
    <xf numFmtId="195" fontId="27" fillId="0" borderId="3" xfId="5" applyNumberFormat="1" applyFont="1" applyFill="1" applyBorder="1" applyAlignment="1" applyProtection="1">
      <alignment horizontal="center" vertical="center" shrinkToFit="1"/>
    </xf>
    <xf numFmtId="195" fontId="27" fillId="0" borderId="30" xfId="5" applyNumberFormat="1" applyFont="1" applyFill="1" applyBorder="1" applyAlignment="1" applyProtection="1">
      <alignment horizontal="center" vertical="center" shrinkToFit="1"/>
    </xf>
    <xf numFmtId="180" fontId="39" fillId="4" borderId="3" xfId="5" applyNumberFormat="1" applyFont="1" applyFill="1" applyBorder="1" applyAlignment="1" applyProtection="1">
      <alignment vertical="center" shrinkToFit="1"/>
      <protection locked="0"/>
    </xf>
    <xf numFmtId="180" fontId="39" fillId="4" borderId="30" xfId="5" applyNumberFormat="1" applyFont="1" applyFill="1" applyBorder="1" applyAlignment="1" applyProtection="1">
      <alignment vertical="center" shrinkToFit="1"/>
      <protection locked="0"/>
    </xf>
    <xf numFmtId="180" fontId="39" fillId="3" borderId="30" xfId="5" applyNumberFormat="1" applyFont="1" applyFill="1" applyBorder="1" applyAlignment="1" applyProtection="1">
      <alignment vertical="center" shrinkToFit="1"/>
    </xf>
    <xf numFmtId="0" fontId="27" fillId="2" borderId="0" xfId="0" applyFont="1" applyFill="1" applyBorder="1" applyAlignment="1" applyProtection="1">
      <alignment horizontal="center" vertical="center" wrapText="1"/>
      <protection locked="0"/>
    </xf>
    <xf numFmtId="190" fontId="27" fillId="2" borderId="0" xfId="5" applyNumberFormat="1" applyFont="1" applyFill="1" applyBorder="1" applyAlignment="1" applyProtection="1">
      <alignment horizontal="right" vertical="center" wrapText="1"/>
      <protection locked="0"/>
    </xf>
    <xf numFmtId="190" fontId="27" fillId="2" borderId="0" xfId="5" applyNumberFormat="1" applyFont="1" applyFill="1" applyBorder="1" applyAlignment="1" applyProtection="1">
      <alignment horizontal="right" vertical="center"/>
      <protection locked="0"/>
    </xf>
    <xf numFmtId="0" fontId="128" fillId="2" borderId="0" xfId="0" applyFont="1" applyFill="1" applyAlignment="1" applyProtection="1">
      <alignment vertical="center"/>
      <protection locked="0"/>
    </xf>
    <xf numFmtId="0" fontId="128" fillId="2" borderId="0" xfId="0" applyFont="1" applyFill="1" applyAlignment="1" applyProtection="1">
      <alignment horizontal="left" vertical="center"/>
      <protection locked="0"/>
    </xf>
    <xf numFmtId="0" fontId="2" fillId="0" borderId="0" xfId="0" applyFont="1" applyAlignment="1">
      <alignment vertical="center"/>
    </xf>
    <xf numFmtId="0" fontId="27" fillId="0" borderId="0" xfId="0" applyFont="1">
      <alignment vertical="center"/>
    </xf>
    <xf numFmtId="180" fontId="42" fillId="30" borderId="0" xfId="4" applyNumberFormat="1" applyFont="1" applyFill="1" applyBorder="1" applyAlignment="1" applyProtection="1">
      <alignment vertical="center"/>
    </xf>
    <xf numFmtId="180" fontId="42" fillId="17" borderId="8" xfId="4" applyNumberFormat="1" applyFont="1" applyFill="1" applyBorder="1" applyAlignment="1" applyProtection="1">
      <alignment vertical="center"/>
      <protection locked="0"/>
    </xf>
    <xf numFmtId="180" fontId="42" fillId="17" borderId="23" xfId="4" applyNumberFormat="1" applyFont="1" applyFill="1" applyBorder="1" applyAlignment="1" applyProtection="1">
      <alignment vertical="center"/>
      <protection locked="0"/>
    </xf>
    <xf numFmtId="180" fontId="42" fillId="41" borderId="8" xfId="4" applyNumberFormat="1" applyFont="1" applyFill="1" applyBorder="1" applyAlignment="1" applyProtection="1">
      <alignment vertical="center"/>
    </xf>
    <xf numFmtId="0" fontId="2" fillId="2" borderId="23" xfId="0" applyFont="1" applyFill="1" applyBorder="1">
      <alignment vertical="center"/>
    </xf>
    <xf numFmtId="180" fontId="42" fillId="40" borderId="8" xfId="4" applyNumberFormat="1" applyFont="1" applyFill="1" applyBorder="1" applyAlignment="1" applyProtection="1">
      <alignment vertical="center"/>
      <protection locked="0"/>
    </xf>
    <xf numFmtId="180" fontId="42" fillId="33" borderId="8" xfId="4" applyNumberFormat="1" applyFont="1" applyFill="1" applyBorder="1" applyAlignment="1" applyProtection="1">
      <alignment vertical="center"/>
    </xf>
    <xf numFmtId="180" fontId="42" fillId="40" borderId="8" xfId="4" applyNumberFormat="1" applyFont="1" applyFill="1" applyBorder="1" applyAlignment="1" applyProtection="1">
      <alignment vertical="center"/>
    </xf>
    <xf numFmtId="0" fontId="2" fillId="33" borderId="0" xfId="0" applyFont="1" applyFill="1">
      <alignment vertical="center"/>
    </xf>
    <xf numFmtId="0" fontId="74" fillId="33" borderId="0" xfId="0" applyFont="1" applyFill="1">
      <alignment vertical="center"/>
    </xf>
    <xf numFmtId="0" fontId="74" fillId="33" borderId="0" xfId="0" applyFont="1" applyFill="1" applyAlignment="1">
      <alignment vertical="center" wrapText="1"/>
    </xf>
    <xf numFmtId="0" fontId="2" fillId="33" borderId="192" xfId="0" applyFont="1" applyFill="1" applyBorder="1" applyAlignment="1">
      <alignment horizontal="right" vertical="center"/>
    </xf>
    <xf numFmtId="0" fontId="2" fillId="33" borderId="195" xfId="0" applyFont="1" applyFill="1" applyBorder="1" applyAlignment="1">
      <alignment horizontal="left" vertical="center"/>
    </xf>
    <xf numFmtId="0" fontId="2" fillId="33" borderId="174" xfId="0" applyFont="1" applyFill="1" applyBorder="1" applyAlignment="1">
      <alignment horizontal="center" vertical="center" wrapText="1"/>
    </xf>
    <xf numFmtId="0" fontId="2" fillId="33" borderId="196" xfId="0" applyFont="1" applyFill="1" applyBorder="1" applyAlignment="1">
      <alignment horizontal="center" vertical="center" wrapText="1"/>
    </xf>
    <xf numFmtId="10" fontId="1" fillId="33" borderId="174" xfId="0" applyNumberFormat="1" applyFont="1" applyFill="1" applyBorder="1" applyAlignment="1">
      <alignment horizontal="right" vertical="center"/>
    </xf>
    <xf numFmtId="10" fontId="1" fillId="33" borderId="196" xfId="0" applyNumberFormat="1" applyFont="1" applyFill="1" applyBorder="1" applyAlignment="1">
      <alignment horizontal="right" vertical="center"/>
    </xf>
    <xf numFmtId="49" fontId="2" fillId="33" borderId="195" xfId="0" applyNumberFormat="1" applyFont="1" applyFill="1" applyBorder="1" applyAlignment="1">
      <alignment horizontal="left" vertical="center"/>
    </xf>
    <xf numFmtId="10" fontId="1" fillId="33" borderId="196" xfId="0" applyNumberFormat="1" applyFont="1" applyFill="1" applyBorder="1" applyAlignment="1">
      <alignment horizontal="right" vertical="center" wrapText="1"/>
    </xf>
    <xf numFmtId="49" fontId="2" fillId="33" borderId="197" xfId="0" applyNumberFormat="1" applyFont="1" applyFill="1" applyBorder="1" applyAlignment="1">
      <alignment horizontal="left" vertical="center"/>
    </xf>
    <xf numFmtId="10" fontId="1" fillId="33" borderId="198" xfId="0" applyNumberFormat="1" applyFont="1" applyFill="1" applyBorder="1" applyAlignment="1">
      <alignment horizontal="right" vertical="center"/>
    </xf>
    <xf numFmtId="10" fontId="1" fillId="33" borderId="199" xfId="0" applyNumberFormat="1" applyFont="1" applyFill="1" applyBorder="1" applyAlignment="1">
      <alignment horizontal="right" vertical="center" wrapText="1"/>
    </xf>
    <xf numFmtId="0" fontId="12" fillId="0" borderId="0" xfId="2" applyProtection="1">
      <alignment vertical="center"/>
      <protection locked="0"/>
    </xf>
    <xf numFmtId="0" fontId="2" fillId="2" borderId="8" xfId="0" applyFont="1" applyFill="1" applyBorder="1" applyAlignment="1" applyProtection="1">
      <alignment horizontal="center" vertical="center"/>
      <protection locked="0"/>
    </xf>
    <xf numFmtId="180" fontId="42" fillId="3" borderId="9" xfId="0" applyNumberFormat="1" applyFont="1" applyFill="1" applyBorder="1" applyAlignment="1" applyProtection="1">
      <alignment vertical="center" shrinkToFit="1"/>
    </xf>
    <xf numFmtId="0" fontId="12" fillId="0" borderId="0" xfId="2" applyNumberFormat="1" applyFont="1" applyFill="1" applyBorder="1" applyProtection="1">
      <alignment vertical="center"/>
      <protection locked="0"/>
    </xf>
    <xf numFmtId="180" fontId="42" fillId="0" borderId="8" xfId="0" applyNumberFormat="1" applyFont="1" applyFill="1" applyBorder="1" applyAlignment="1" applyProtection="1">
      <alignment vertical="center" shrinkToFit="1"/>
    </xf>
    <xf numFmtId="180" fontId="2" fillId="2" borderId="8" xfId="0" applyNumberFormat="1" applyFont="1" applyFill="1" applyBorder="1" applyAlignment="1" applyProtection="1">
      <alignment vertical="center" wrapText="1" shrinkToFit="1"/>
      <protection locked="0"/>
    </xf>
    <xf numFmtId="180" fontId="2" fillId="0" borderId="8" xfId="0" applyNumberFormat="1" applyFont="1" applyFill="1" applyBorder="1" applyAlignment="1" applyProtection="1">
      <alignment vertical="center" wrapText="1" shrinkToFit="1"/>
      <protection locked="0"/>
    </xf>
    <xf numFmtId="0" fontId="2" fillId="0" borderId="68" xfId="0" applyFont="1" applyBorder="1" applyAlignment="1" applyProtection="1">
      <alignment vertical="center"/>
      <protection locked="0"/>
    </xf>
    <xf numFmtId="0" fontId="2" fillId="22" borderId="0" xfId="0" applyFont="1" applyFill="1">
      <alignment vertical="center"/>
    </xf>
    <xf numFmtId="180" fontId="132" fillId="0" borderId="0" xfId="4" applyFont="1" applyFill="1" applyBorder="1">
      <alignment vertical="center"/>
    </xf>
    <xf numFmtId="0" fontId="2" fillId="33" borderId="0" xfId="0" applyFont="1" applyFill="1" applyProtection="1">
      <alignment vertical="center"/>
      <protection locked="0"/>
    </xf>
    <xf numFmtId="0" fontId="42" fillId="0" borderId="200" xfId="0" applyFont="1" applyBorder="1" applyProtection="1">
      <alignment vertical="center"/>
      <protection locked="0"/>
    </xf>
    <xf numFmtId="0" fontId="42" fillId="0" borderId="201" xfId="0" applyFont="1" applyBorder="1" applyProtection="1">
      <alignment vertical="center"/>
      <protection locked="0"/>
    </xf>
    <xf numFmtId="0" fontId="2" fillId="16" borderId="0" xfId="0" applyFont="1" applyFill="1" applyProtection="1">
      <alignment vertical="center"/>
      <protection locked="0"/>
    </xf>
    <xf numFmtId="0" fontId="2" fillId="0" borderId="0" xfId="0" applyFont="1" applyFill="1" applyAlignment="1">
      <alignment horizontal="right" vertical="center"/>
    </xf>
    <xf numFmtId="180" fontId="42" fillId="0" borderId="93" xfId="4" applyFont="1" applyFill="1" applyBorder="1">
      <alignment vertical="center"/>
    </xf>
    <xf numFmtId="0" fontId="11" fillId="0" borderId="93" xfId="2" applyFont="1" applyFill="1" applyBorder="1">
      <alignment vertical="center"/>
    </xf>
    <xf numFmtId="0" fontId="0" fillId="0" borderId="93" xfId="0" applyFill="1" applyBorder="1">
      <alignment vertical="center"/>
    </xf>
    <xf numFmtId="176" fontId="0" fillId="0" borderId="93" xfId="0" applyNumberFormat="1" applyFill="1" applyBorder="1" applyAlignment="1">
      <alignment horizontal="right" vertical="center"/>
    </xf>
    <xf numFmtId="0" fontId="133" fillId="4" borderId="0" xfId="0" applyFont="1" applyFill="1" applyAlignment="1">
      <alignment horizontal="left" vertical="center"/>
    </xf>
    <xf numFmtId="180" fontId="42" fillId="0" borderId="8" xfId="0" applyNumberFormat="1" applyFont="1" applyFill="1" applyBorder="1" applyAlignment="1" applyProtection="1">
      <alignment vertical="center"/>
      <protection locked="0"/>
    </xf>
    <xf numFmtId="180" fontId="42" fillId="0" borderId="63" xfId="0" applyNumberFormat="1" applyFont="1" applyFill="1" applyBorder="1" applyAlignment="1" applyProtection="1">
      <alignment vertical="center"/>
      <protection locked="0"/>
    </xf>
    <xf numFmtId="180" fontId="42" fillId="0" borderId="93" xfId="4" applyFont="1" applyFill="1" applyBorder="1">
      <alignment vertical="center"/>
    </xf>
    <xf numFmtId="49" fontId="0" fillId="0" borderId="0" xfId="0" applyNumberFormat="1" applyFill="1" applyAlignment="1">
      <alignment vertical="center"/>
    </xf>
    <xf numFmtId="49" fontId="2" fillId="15" borderId="93" xfId="0" applyNumberFormat="1" applyFont="1" applyFill="1" applyBorder="1" applyAlignment="1">
      <alignment vertical="center"/>
    </xf>
    <xf numFmtId="0" fontId="0" fillId="0" borderId="0" xfId="0" applyFill="1" applyAlignment="1">
      <alignment vertical="center"/>
    </xf>
    <xf numFmtId="49" fontId="2" fillId="15" borderId="93" xfId="0" applyNumberFormat="1" applyFont="1" applyFill="1" applyBorder="1" applyAlignment="1">
      <alignment horizontal="left" vertical="center"/>
    </xf>
    <xf numFmtId="49" fontId="2" fillId="15" borderId="93" xfId="0" applyNumberFormat="1" applyFont="1" applyFill="1" applyBorder="1" applyAlignment="1">
      <alignment vertical="center"/>
    </xf>
    <xf numFmtId="49" fontId="2" fillId="15" borderId="116" xfId="0" applyNumberFormat="1" applyFont="1" applyFill="1" applyBorder="1" applyAlignment="1">
      <alignment vertical="center"/>
    </xf>
    <xf numFmtId="49" fontId="2" fillId="0" borderId="0" xfId="0" applyNumberFormat="1" applyFont="1" applyFill="1" applyAlignment="1">
      <alignment vertical="center"/>
    </xf>
    <xf numFmtId="49" fontId="2" fillId="15" borderId="3" xfId="0" applyNumberFormat="1" applyFont="1" applyFill="1" applyBorder="1" applyAlignment="1">
      <alignment vertical="center"/>
    </xf>
    <xf numFmtId="49" fontId="2" fillId="15" borderId="116" xfId="0" applyNumberFormat="1" applyFont="1" applyFill="1" applyBorder="1" applyAlignment="1">
      <alignment vertical="center"/>
    </xf>
    <xf numFmtId="49" fontId="2" fillId="0" borderId="0" xfId="0" applyNumberFormat="1" applyFont="1" applyFill="1" applyBorder="1" applyAlignment="1">
      <alignment vertical="center"/>
    </xf>
    <xf numFmtId="49" fontId="2" fillId="0" borderId="0" xfId="0" applyNumberFormat="1" applyFont="1" applyFill="1" applyAlignment="1">
      <alignment vertical="center"/>
    </xf>
    <xf numFmtId="49" fontId="2" fillId="15" borderId="115" xfId="0" applyNumberFormat="1" applyFont="1" applyFill="1" applyBorder="1" applyAlignment="1">
      <alignment horizontal="left" vertical="center"/>
    </xf>
    <xf numFmtId="49" fontId="2" fillId="0" borderId="0" xfId="0" applyNumberFormat="1" applyFont="1" applyFill="1" applyAlignment="1" applyProtection="1">
      <alignment vertical="center"/>
      <protection locked="0"/>
    </xf>
    <xf numFmtId="0" fontId="0" fillId="0" borderId="0" xfId="0" applyNumberFormat="1" applyFill="1" applyAlignment="1">
      <alignment vertical="center"/>
    </xf>
    <xf numFmtId="0" fontId="2" fillId="15" borderId="115" xfId="0" applyNumberFormat="1" applyFont="1" applyFill="1" applyBorder="1" applyAlignment="1">
      <alignment vertical="center"/>
    </xf>
    <xf numFmtId="0" fontId="0" fillId="0" borderId="93" xfId="0" applyFill="1" applyBorder="1" applyAlignment="1">
      <alignment vertical="center"/>
    </xf>
    <xf numFmtId="0" fontId="0" fillId="0" borderId="0" xfId="0" applyFill="1" applyBorder="1" applyAlignment="1">
      <alignment vertical="center"/>
    </xf>
    <xf numFmtId="0" fontId="25" fillId="0" borderId="0" xfId="0" applyNumberFormat="1" applyFont="1" applyFill="1" applyBorder="1" applyAlignment="1">
      <alignment vertical="center" wrapText="1"/>
    </xf>
    <xf numFmtId="0" fontId="2" fillId="0" borderId="0" xfId="0" applyNumberFormat="1" applyFont="1" applyFill="1" applyAlignment="1">
      <alignment vertical="center"/>
    </xf>
    <xf numFmtId="49" fontId="0" fillId="33" borderId="0" xfId="0" applyNumberFormat="1" applyFill="1" applyAlignment="1">
      <alignment vertical="center"/>
    </xf>
    <xf numFmtId="49" fontId="2" fillId="33" borderId="4"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115" xfId="0" applyNumberFormat="1" applyFont="1" applyFill="1" applyBorder="1" applyAlignment="1">
      <alignment vertical="center" wrapText="1"/>
    </xf>
    <xf numFmtId="49" fontId="2" fillId="33" borderId="93" xfId="0" applyNumberFormat="1" applyFont="1" applyFill="1" applyBorder="1" applyAlignment="1">
      <alignment vertical="center"/>
    </xf>
    <xf numFmtId="49" fontId="2" fillId="33" borderId="29" xfId="0" applyNumberFormat="1" applyFont="1" applyFill="1" applyBorder="1" applyAlignment="1">
      <alignment vertical="center" wrapText="1"/>
    </xf>
    <xf numFmtId="49" fontId="2" fillId="33" borderId="30" xfId="0" applyNumberFormat="1" applyFont="1" applyFill="1" applyBorder="1" applyAlignment="1">
      <alignment vertical="center" wrapText="1"/>
    </xf>
    <xf numFmtId="0" fontId="2" fillId="33" borderId="93" xfId="0" applyNumberFormat="1" applyFont="1" applyFill="1" applyBorder="1" applyAlignment="1">
      <alignment vertical="center" wrapText="1"/>
    </xf>
    <xf numFmtId="0" fontId="2" fillId="35" borderId="5" xfId="0" applyNumberFormat="1" applyFont="1" applyFill="1" applyBorder="1" applyAlignment="1">
      <alignment vertical="center" wrapText="1"/>
    </xf>
    <xf numFmtId="0" fontId="2" fillId="35" borderId="93"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33" borderId="115" xfId="0" applyNumberFormat="1" applyFont="1" applyFill="1" applyBorder="1" applyAlignment="1">
      <alignment vertical="center"/>
    </xf>
    <xf numFmtId="49" fontId="2" fillId="33" borderId="31"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15" borderId="93" xfId="0" applyNumberFormat="1" applyFont="1" applyFill="1" applyBorder="1" applyAlignment="1">
      <alignment vertical="center"/>
    </xf>
    <xf numFmtId="49" fontId="2" fillId="15" borderId="93" xfId="0" applyNumberFormat="1" applyFont="1" applyFill="1" applyBorder="1" applyAlignment="1">
      <alignment vertical="center"/>
    </xf>
    <xf numFmtId="49" fontId="2" fillId="15" borderId="93" xfId="0" applyNumberFormat="1" applyFont="1" applyFill="1" applyBorder="1" applyAlignment="1">
      <alignment vertical="center" wrapText="1"/>
    </xf>
    <xf numFmtId="49" fontId="2" fillId="15" borderId="115" xfId="0" applyNumberFormat="1" applyFont="1" applyFill="1" applyBorder="1" applyAlignment="1">
      <alignment vertical="center"/>
    </xf>
    <xf numFmtId="49" fontId="2" fillId="15" borderId="3" xfId="0" applyNumberFormat="1" applyFont="1" applyFill="1" applyBorder="1" applyAlignment="1" applyProtection="1">
      <alignment vertical="center"/>
      <protection locked="0"/>
    </xf>
    <xf numFmtId="49" fontId="2" fillId="15" borderId="3" xfId="0" applyNumberFormat="1" applyFont="1" applyFill="1" applyBorder="1" applyAlignment="1" applyProtection="1">
      <alignment vertical="center" wrapText="1"/>
      <protection locked="0"/>
    </xf>
    <xf numFmtId="0" fontId="0" fillId="33" borderId="93" xfId="0" applyFill="1" applyBorder="1" applyAlignment="1">
      <alignment vertical="center"/>
    </xf>
    <xf numFmtId="49" fontId="2" fillId="33" borderId="93" xfId="0" applyNumberFormat="1" applyFont="1" applyFill="1" applyBorder="1" applyAlignment="1">
      <alignment vertical="center" wrapText="1"/>
    </xf>
    <xf numFmtId="49" fontId="2" fillId="33" borderId="116" xfId="0" applyNumberFormat="1" applyFont="1" applyFill="1" applyBorder="1" applyAlignment="1">
      <alignment vertical="center"/>
    </xf>
    <xf numFmtId="49" fontId="2" fillId="33" borderId="205" xfId="0" applyNumberFormat="1" applyFont="1" applyFill="1" applyBorder="1" applyAlignment="1">
      <alignment horizontal="left" vertical="center"/>
    </xf>
    <xf numFmtId="49" fontId="2" fillId="33" borderId="115" xfId="0" applyNumberFormat="1" applyFont="1" applyFill="1" applyBorder="1" applyAlignment="1">
      <alignment vertical="center" wrapText="1"/>
    </xf>
    <xf numFmtId="49"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left" vertical="center" wrapText="1"/>
    </xf>
    <xf numFmtId="49" fontId="2" fillId="33" borderId="116" xfId="0" applyNumberFormat="1" applyFont="1" applyFill="1" applyBorder="1" applyAlignment="1">
      <alignment vertical="center"/>
    </xf>
    <xf numFmtId="49" fontId="2" fillId="33" borderId="3" xfId="0" applyNumberFormat="1" applyFont="1" applyFill="1" applyBorder="1" applyAlignment="1" applyProtection="1">
      <alignment vertical="center" wrapText="1"/>
      <protection locked="0"/>
    </xf>
    <xf numFmtId="49" fontId="2" fillId="33" borderId="116" xfId="0" applyNumberFormat="1" applyFont="1" applyFill="1" applyBorder="1" applyAlignment="1" applyProtection="1">
      <alignment vertical="center"/>
      <protection locked="0"/>
    </xf>
    <xf numFmtId="49" fontId="2" fillId="33" borderId="93" xfId="0" applyNumberFormat="1" applyFont="1" applyFill="1" applyBorder="1" applyAlignment="1">
      <alignment vertical="center"/>
    </xf>
    <xf numFmtId="49" fontId="2" fillId="33" borderId="93" xfId="0" applyNumberFormat="1" applyFont="1" applyFill="1" applyBorder="1" applyAlignment="1" applyProtection="1">
      <alignment vertical="center"/>
      <protection locked="0"/>
    </xf>
    <xf numFmtId="49" fontId="2" fillId="0" borderId="93" xfId="0" applyNumberFormat="1" applyFont="1" applyFill="1" applyBorder="1" applyAlignment="1">
      <alignment vertical="center"/>
    </xf>
    <xf numFmtId="49" fontId="2" fillId="33" borderId="3" xfId="0" applyNumberFormat="1" applyFont="1" applyFill="1" applyBorder="1" applyAlignment="1">
      <alignment vertical="center"/>
    </xf>
    <xf numFmtId="49" fontId="2" fillId="32" borderId="93" xfId="0" applyNumberFormat="1" applyFont="1" applyFill="1" applyBorder="1" applyAlignment="1">
      <alignment vertical="center" wrapText="1"/>
    </xf>
    <xf numFmtId="0" fontId="2" fillId="0" borderId="0" xfId="0" applyFont="1" applyFill="1" applyBorder="1" applyProtection="1">
      <alignment vertical="center"/>
      <protection locked="0"/>
    </xf>
    <xf numFmtId="49" fontId="0" fillId="0" borderId="0" xfId="0" applyNumberFormat="1" applyFill="1" applyBorder="1" applyAlignment="1">
      <alignment vertical="center"/>
    </xf>
    <xf numFmtId="49" fontId="42" fillId="15" borderId="93" xfId="0" applyNumberFormat="1" applyFont="1" applyFill="1" applyBorder="1" applyAlignment="1">
      <alignment vertical="center" wrapText="1"/>
    </xf>
    <xf numFmtId="0" fontId="39" fillId="0" borderId="93" xfId="0" applyFont="1" applyFill="1" applyBorder="1" applyAlignment="1">
      <alignment vertical="center"/>
    </xf>
    <xf numFmtId="0" fontId="42" fillId="0" borderId="93" xfId="0" applyFont="1" applyFill="1" applyBorder="1" applyAlignment="1">
      <alignment vertical="center"/>
    </xf>
    <xf numFmtId="49" fontId="42" fillId="15" borderId="93" xfId="0" applyNumberFormat="1" applyFont="1" applyFill="1" applyBorder="1" applyAlignment="1">
      <alignment vertical="center"/>
    </xf>
    <xf numFmtId="49" fontId="42" fillId="15" borderId="116" xfId="0" applyNumberFormat="1" applyFont="1" applyFill="1" applyBorder="1" applyAlignment="1">
      <alignment vertical="center"/>
    </xf>
    <xf numFmtId="49" fontId="2" fillId="15" borderId="118" xfId="0" applyNumberFormat="1" applyFont="1" applyFill="1" applyBorder="1" applyAlignment="1">
      <alignment vertical="center"/>
    </xf>
    <xf numFmtId="49" fontId="2" fillId="33" borderId="3" xfId="0" applyNumberFormat="1" applyFont="1" applyFill="1" applyBorder="1" applyAlignment="1">
      <alignment horizontal="center" vertical="center" wrapText="1"/>
    </xf>
    <xf numFmtId="49" fontId="2" fillId="35" borderId="93" xfId="0" applyNumberFormat="1" applyFont="1" applyFill="1" applyBorder="1" applyAlignment="1">
      <alignment vertical="center"/>
    </xf>
    <xf numFmtId="49" fontId="42" fillId="15" borderId="93" xfId="0" applyNumberFormat="1" applyFont="1" applyFill="1" applyBorder="1" applyAlignment="1">
      <alignment vertical="center"/>
    </xf>
    <xf numFmtId="49" fontId="42" fillId="15" borderId="93" xfId="0" applyNumberFormat="1" applyFont="1" applyFill="1" applyBorder="1" applyAlignment="1">
      <alignment vertical="center" wrapText="1"/>
    </xf>
    <xf numFmtId="49" fontId="42" fillId="15" borderId="116" xfId="0" applyNumberFormat="1" applyFont="1" applyFill="1" applyBorder="1" applyAlignment="1">
      <alignment vertical="center"/>
    </xf>
    <xf numFmtId="49" fontId="42" fillId="0" borderId="0" xfId="0" applyNumberFormat="1" applyFont="1" applyFill="1" applyAlignment="1">
      <alignment vertical="center"/>
    </xf>
    <xf numFmtId="49" fontId="42" fillId="15" borderId="118" xfId="0" applyNumberFormat="1" applyFont="1" applyFill="1" applyBorder="1" applyAlignment="1">
      <alignment vertical="center"/>
    </xf>
    <xf numFmtId="49" fontId="42" fillId="15" borderId="3" xfId="0" applyNumberFormat="1" applyFont="1" applyFill="1" applyBorder="1" applyAlignment="1">
      <alignment vertical="center"/>
    </xf>
    <xf numFmtId="49" fontId="42" fillId="15" borderId="115" xfId="0" applyNumberFormat="1" applyFont="1" applyFill="1" applyBorder="1" applyAlignment="1">
      <alignment vertical="center"/>
    </xf>
    <xf numFmtId="49" fontId="2" fillId="33" borderId="205" xfId="0" applyNumberFormat="1" applyFont="1" applyFill="1" applyBorder="1" applyAlignment="1">
      <alignment horizontal="left" vertical="center" wrapText="1"/>
    </xf>
    <xf numFmtId="49" fontId="2" fillId="33" borderId="3" xfId="0" applyNumberFormat="1" applyFont="1" applyFill="1" applyBorder="1" applyAlignment="1">
      <alignment horizontal="left" vertical="center" wrapText="1"/>
    </xf>
    <xf numFmtId="49" fontId="2" fillId="15" borderId="3" xfId="0" applyNumberFormat="1" applyFont="1" applyFill="1" applyBorder="1" applyAlignment="1">
      <alignment vertical="center"/>
    </xf>
    <xf numFmtId="49" fontId="2" fillId="33" borderId="3" xfId="0" applyNumberFormat="1" applyFont="1" applyFill="1" applyBorder="1" applyAlignment="1">
      <alignment vertical="center" wrapText="1"/>
    </xf>
    <xf numFmtId="49" fontId="2" fillId="0" borderId="0" xfId="0" applyNumberFormat="1" applyFont="1" applyFill="1" applyBorder="1" applyAlignment="1">
      <alignment vertical="center"/>
    </xf>
    <xf numFmtId="49" fontId="42" fillId="15" borderId="3" xfId="0" applyNumberFormat="1" applyFont="1" applyFill="1" applyBorder="1" applyAlignment="1">
      <alignment vertical="center"/>
    </xf>
    <xf numFmtId="49" fontId="42" fillId="15" borderId="3" xfId="0" applyNumberFormat="1" applyFont="1" applyFill="1" applyBorder="1" applyAlignment="1">
      <alignment vertical="center" wrapText="1"/>
    </xf>
    <xf numFmtId="49" fontId="2" fillId="32" borderId="93" xfId="0" applyNumberFormat="1" applyFont="1" applyFill="1" applyBorder="1" applyAlignment="1">
      <alignment horizontal="center" vertical="center" wrapText="1"/>
    </xf>
    <xf numFmtId="180" fontId="42" fillId="0" borderId="4" xfId="0" applyNumberFormat="1" applyFont="1" applyBorder="1" applyProtection="1">
      <alignment vertical="center"/>
      <protection locked="0"/>
    </xf>
    <xf numFmtId="49" fontId="2" fillId="33"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wrapText="1"/>
      <protection locked="0"/>
    </xf>
    <xf numFmtId="49" fontId="0" fillId="33" borderId="0" xfId="0" applyNumberFormat="1" applyFill="1" applyBorder="1" applyAlignment="1">
      <alignment vertical="center"/>
    </xf>
    <xf numFmtId="49" fontId="2" fillId="33" borderId="0" xfId="0" applyNumberFormat="1" applyFont="1" applyFill="1" applyBorder="1" applyAlignment="1">
      <alignment vertical="center"/>
    </xf>
    <xf numFmtId="49" fontId="42" fillId="15" borderId="3" xfId="0" applyNumberFormat="1" applyFont="1" applyFill="1" applyBorder="1" applyAlignment="1">
      <alignment horizontal="center" vertical="center"/>
    </xf>
    <xf numFmtId="49" fontId="42" fillId="0" borderId="93" xfId="0" applyNumberFormat="1" applyFont="1" applyFill="1" applyBorder="1" applyAlignment="1">
      <alignment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xf>
    <xf numFmtId="189" fontId="83" fillId="15" borderId="93" xfId="0" applyNumberFormat="1" applyFont="1" applyFill="1" applyBorder="1" applyAlignment="1">
      <alignment horizontal="center" vertical="center" wrapText="1"/>
    </xf>
    <xf numFmtId="49" fontId="10" fillId="27" borderId="93" xfId="0" applyNumberFormat="1" applyFont="1" applyFill="1" applyBorder="1" applyAlignment="1">
      <alignment vertical="center"/>
    </xf>
    <xf numFmtId="49" fontId="74" fillId="0" borderId="93" xfId="0" applyNumberFormat="1" applyFont="1" applyBorder="1" applyAlignment="1">
      <alignment vertical="center"/>
    </xf>
    <xf numFmtId="0" fontId="25" fillId="33" borderId="93" xfId="0" applyFont="1" applyFill="1" applyBorder="1">
      <alignment vertical="center"/>
    </xf>
    <xf numFmtId="0" fontId="51" fillId="33" borderId="209" xfId="0" applyFont="1" applyFill="1" applyBorder="1" applyAlignment="1">
      <alignment vertical="center" wrapText="1"/>
    </xf>
    <xf numFmtId="0" fontId="51" fillId="33" borderId="210" xfId="0" applyFont="1" applyFill="1" applyBorder="1" applyAlignment="1">
      <alignment vertical="center" wrapText="1"/>
    </xf>
    <xf numFmtId="0" fontId="51" fillId="33" borderId="210" xfId="0" applyFont="1" applyFill="1" applyBorder="1" applyAlignment="1">
      <alignment vertical="center"/>
    </xf>
    <xf numFmtId="0" fontId="51" fillId="33" borderId="207" xfId="0" applyFont="1" applyFill="1" applyBorder="1" applyAlignment="1">
      <alignment vertical="center" wrapText="1"/>
    </xf>
    <xf numFmtId="0" fontId="2" fillId="33" borderId="115" xfId="0" applyFont="1" applyFill="1" applyBorder="1" applyAlignment="1">
      <alignment horizontal="center" vertical="center" wrapText="1"/>
    </xf>
    <xf numFmtId="180" fontId="42" fillId="32" borderId="93" xfId="4" applyFont="1" applyFill="1" applyBorder="1">
      <alignment vertical="center"/>
    </xf>
    <xf numFmtId="196" fontId="2" fillId="0" borderId="93" xfId="0" applyNumberFormat="1" applyFont="1" applyFill="1" applyBorder="1" applyAlignment="1">
      <alignment vertical="center" shrinkToFi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11" fillId="0" borderId="93" xfId="0" applyFont="1" applyBorder="1" applyAlignment="1" applyProtection="1"/>
    <xf numFmtId="0" fontId="24" fillId="0" borderId="0" xfId="0" applyFont="1" applyFill="1" applyBorder="1" applyAlignment="1" applyProtection="1"/>
    <xf numFmtId="0" fontId="16" fillId="3" borderId="219" xfId="0" applyFont="1" applyFill="1" applyBorder="1" applyProtection="1">
      <alignment vertical="center"/>
    </xf>
    <xf numFmtId="0" fontId="74" fillId="0" borderId="0" xfId="0" applyFont="1" applyFill="1">
      <alignment vertical="center"/>
    </xf>
    <xf numFmtId="0" fontId="17" fillId="4" borderId="0" xfId="0" applyFont="1" applyFill="1" applyAlignment="1" applyProtection="1">
      <alignment wrapText="1"/>
      <protection locked="0"/>
    </xf>
    <xf numFmtId="0" fontId="136" fillId="0" borderId="0" xfId="0" applyFont="1" applyProtection="1">
      <alignment vertical="center"/>
      <protection locked="0"/>
    </xf>
    <xf numFmtId="0" fontId="137" fillId="0" borderId="0" xfId="0" applyFont="1" applyProtection="1">
      <alignment vertical="center"/>
      <protection locked="0"/>
    </xf>
    <xf numFmtId="31" fontId="112" fillId="0" borderId="0" xfId="0" applyNumberFormat="1" applyFont="1" applyProtection="1">
      <alignment vertical="center"/>
      <protection locked="0"/>
    </xf>
    <xf numFmtId="0" fontId="128" fillId="0" borderId="0" xfId="0" applyFont="1" applyBorder="1" applyAlignment="1">
      <alignment horizontal="center" vertical="center" wrapText="1"/>
    </xf>
    <xf numFmtId="0" fontId="139" fillId="0" borderId="0" xfId="0" applyFont="1" applyBorder="1" applyAlignment="1" applyProtection="1">
      <protection locked="0"/>
    </xf>
    <xf numFmtId="0" fontId="139" fillId="0" borderId="0" xfId="0" applyFont="1" applyAlignment="1" applyProtection="1">
      <alignment horizontal="left" indent="2"/>
      <protection locked="0"/>
    </xf>
    <xf numFmtId="0" fontId="139" fillId="0" borderId="0" xfId="0" applyFont="1" applyBorder="1" applyAlignment="1" applyProtection="1">
      <alignment vertical="top"/>
      <protection locked="0"/>
    </xf>
    <xf numFmtId="180" fontId="74" fillId="0" borderId="0" xfId="4" applyFill="1" applyBorder="1" applyAlignment="1" applyProtection="1">
      <alignment horizontal="left" vertical="center"/>
    </xf>
    <xf numFmtId="180" fontId="74" fillId="0" borderId="0" xfId="4" applyFill="1" applyBorder="1" applyAlignment="1" applyProtection="1">
      <alignment vertical="center"/>
    </xf>
    <xf numFmtId="9" fontId="74" fillId="0" borderId="0" xfId="1" applyFill="1" applyBorder="1" applyAlignment="1" applyProtection="1">
      <alignment vertical="center"/>
    </xf>
    <xf numFmtId="180" fontId="74" fillId="0" borderId="0" xfId="4" applyFill="1" applyBorder="1" applyProtection="1">
      <alignment vertical="center"/>
    </xf>
    <xf numFmtId="0" fontId="140" fillId="0" borderId="0" xfId="0" applyFont="1" applyFill="1" applyAlignment="1" applyProtection="1">
      <protection locked="0"/>
    </xf>
    <xf numFmtId="0" fontId="140" fillId="0" borderId="0" xfId="0" applyFont="1" applyFill="1" applyBorder="1" applyAlignment="1" applyProtection="1">
      <alignment horizontal="left" vertical="center"/>
      <protection locked="0"/>
    </xf>
    <xf numFmtId="0" fontId="140" fillId="0" borderId="0" xfId="0" applyFont="1" applyFill="1" applyAlignment="1" applyProtection="1">
      <protection locked="0"/>
    </xf>
    <xf numFmtId="0" fontId="128" fillId="0" borderId="0" xfId="0" applyFont="1" applyFill="1" applyBorder="1" applyAlignment="1" applyProtection="1">
      <alignment horizontal="justify" wrapText="1"/>
      <protection locked="0"/>
    </xf>
    <xf numFmtId="31" fontId="140" fillId="0" borderId="0" xfId="0" applyNumberFormat="1" applyFont="1" applyFill="1" applyBorder="1" applyAlignment="1" applyProtection="1">
      <alignment horizontal="center"/>
      <protection locked="0"/>
    </xf>
    <xf numFmtId="0" fontId="140" fillId="0" borderId="0" xfId="0" applyFont="1" applyFill="1" applyBorder="1" applyAlignment="1" applyProtection="1">
      <alignment horizontal="right"/>
      <protection locked="0"/>
    </xf>
    <xf numFmtId="0" fontId="140" fillId="0" borderId="0" xfId="0" applyFont="1" applyFill="1" applyProtection="1">
      <alignment vertical="center"/>
      <protection locked="0"/>
    </xf>
    <xf numFmtId="0" fontId="140" fillId="0" borderId="0" xfId="0" applyFont="1" applyFill="1" applyBorder="1" applyAlignment="1" applyProtection="1">
      <protection locked="0"/>
    </xf>
    <xf numFmtId="0" fontId="127" fillId="0" borderId="0" xfId="0" applyFont="1" applyFill="1" applyBorder="1" applyAlignment="1" applyProtection="1">
      <protection locked="0"/>
    </xf>
    <xf numFmtId="0" fontId="140" fillId="0" borderId="0" xfId="0" applyFont="1" applyFill="1" applyBorder="1" applyAlignment="1" applyProtection="1">
      <alignment horizontal="center" vertical="center"/>
      <protection locked="0"/>
    </xf>
    <xf numFmtId="0" fontId="0" fillId="0" borderId="0" xfId="0" applyFill="1" applyAlignment="1" applyProtection="1">
      <alignment horizontal="left" vertical="center"/>
      <protection locked="0"/>
    </xf>
    <xf numFmtId="0" fontId="138" fillId="0" borderId="0" xfId="0" applyFont="1" applyFill="1" applyBorder="1" applyAlignment="1" applyProtection="1">
      <alignment horizontal="left"/>
      <protection locked="0"/>
    </xf>
    <xf numFmtId="0" fontId="140" fillId="0" borderId="0" xfId="0" applyFont="1" applyFill="1" applyBorder="1" applyAlignment="1" applyProtection="1">
      <alignment horizontal="center" vertical="top"/>
      <protection locked="0"/>
    </xf>
    <xf numFmtId="0" fontId="140" fillId="0" borderId="0" xfId="0" applyFont="1" applyFill="1" applyBorder="1" applyAlignment="1" applyProtection="1">
      <alignment vertical="top"/>
      <protection locked="0"/>
    </xf>
    <xf numFmtId="0" fontId="128" fillId="0" borderId="0" xfId="0" applyFont="1" applyFill="1" applyBorder="1" applyAlignment="1" applyProtection="1">
      <alignment vertical="center"/>
      <protection locked="0"/>
    </xf>
    <xf numFmtId="0" fontId="140" fillId="0" borderId="0" xfId="0" applyFont="1" applyFill="1" applyBorder="1" applyAlignment="1" applyProtection="1">
      <alignment horizontal="right" vertical="center"/>
      <protection locked="0"/>
    </xf>
    <xf numFmtId="0" fontId="128" fillId="0" borderId="0" xfId="0" applyFont="1" applyFill="1" applyBorder="1" applyAlignment="1" applyProtection="1">
      <alignment vertical="center"/>
    </xf>
    <xf numFmtId="31" fontId="140" fillId="0" borderId="0" xfId="0" applyNumberFormat="1" applyFont="1" applyFill="1" applyProtection="1">
      <alignment vertical="center"/>
      <protection locked="0"/>
    </xf>
    <xf numFmtId="0" fontId="0" fillId="0" borderId="0" xfId="0" applyFont="1" applyFill="1">
      <alignment vertical="center"/>
    </xf>
    <xf numFmtId="0" fontId="139" fillId="0" borderId="0" xfId="0" applyFont="1" applyFill="1" applyBorder="1" applyAlignment="1" applyProtection="1">
      <protection locked="0"/>
    </xf>
    <xf numFmtId="0" fontId="139" fillId="0" borderId="0" xfId="0" applyFont="1" applyFill="1" applyAlignment="1" applyProtection="1">
      <alignment horizontal="left" indent="2"/>
      <protection locked="0"/>
    </xf>
    <xf numFmtId="0" fontId="139" fillId="0" borderId="0" xfId="0" applyFont="1" applyFill="1" applyBorder="1" applyAlignment="1" applyProtection="1">
      <alignment vertical="top"/>
      <protection locked="0"/>
    </xf>
    <xf numFmtId="0" fontId="12" fillId="0" borderId="0" xfId="2" applyNumberFormat="1" applyFont="1" applyFill="1" applyBorder="1" applyAlignment="1" applyProtection="1">
      <alignment vertical="justify"/>
      <protection locked="0"/>
    </xf>
    <xf numFmtId="0" fontId="130" fillId="0" borderId="0" xfId="0" applyFont="1" applyAlignment="1">
      <alignment vertical="justify"/>
    </xf>
    <xf numFmtId="0" fontId="140" fillId="12" borderId="0" xfId="0" applyFont="1" applyFill="1" applyBorder="1" applyAlignment="1" applyProtection="1">
      <alignment horizontal="left" vertical="justify" wrapText="1"/>
    </xf>
    <xf numFmtId="197" fontId="145" fillId="0" borderId="0" xfId="0" applyNumberFormat="1" applyFont="1" applyFill="1" applyAlignment="1" applyProtection="1">
      <alignment horizontal="right"/>
      <protection locked="0"/>
    </xf>
    <xf numFmtId="0" fontId="140" fillId="0" borderId="0" xfId="0" applyFont="1" applyFill="1" applyAlignment="1" applyProtection="1">
      <alignment vertical="center"/>
      <protection locked="0"/>
    </xf>
    <xf numFmtId="49" fontId="0" fillId="0" borderId="0" xfId="0" applyNumberFormat="1" applyAlignment="1">
      <alignment vertical="center"/>
    </xf>
    <xf numFmtId="0" fontId="74" fillId="0" borderId="0" xfId="0" applyNumberFormat="1" applyFont="1" applyAlignment="1">
      <alignment vertical="center"/>
    </xf>
    <xf numFmtId="31" fontId="0" fillId="0" borderId="0" xfId="0" applyNumberFormat="1" applyAlignment="1">
      <alignment vertical="center"/>
    </xf>
    <xf numFmtId="0" fontId="53" fillId="0" borderId="93" xfId="0" applyNumberFormat="1" applyFont="1" applyBorder="1" applyAlignment="1">
      <alignment horizontal="left" vertical="center" wrapText="1"/>
    </xf>
    <xf numFmtId="31" fontId="53" fillId="0" borderId="93" xfId="0" applyNumberFormat="1" applyFont="1" applyBorder="1" applyAlignment="1">
      <alignment horizontal="left" vertical="center" wrapText="1"/>
    </xf>
    <xf numFmtId="0" fontId="74" fillId="0" borderId="0" xfId="0" applyFont="1" applyAlignment="1" applyProtection="1">
      <protection locked="0"/>
    </xf>
    <xf numFmtId="0" fontId="74" fillId="0" borderId="0" xfId="0" applyFont="1" applyProtection="1">
      <alignment vertical="center"/>
      <protection locked="0"/>
    </xf>
    <xf numFmtId="0" fontId="0" fillId="0" borderId="0" xfId="0" applyAlignment="1" applyProtection="1">
      <alignment horizontal="distributed"/>
      <protection locked="0"/>
    </xf>
    <xf numFmtId="0" fontId="68" fillId="0" borderId="0" xfId="0" applyFont="1" applyAlignment="1" applyProtection="1">
      <alignment horizontal="distributed" vertical="center"/>
      <protection locked="0"/>
    </xf>
    <xf numFmtId="0" fontId="2" fillId="0" borderId="93" xfId="0" applyFont="1" applyBorder="1" applyAlignment="1">
      <alignment horizontal="center" vertical="center" shrinkToFit="1"/>
    </xf>
    <xf numFmtId="49" fontId="2" fillId="0" borderId="110" xfId="0" applyNumberFormat="1" applyFont="1" applyBorder="1" applyAlignment="1">
      <alignment horizontal="center" vertical="center" shrinkToFit="1"/>
    </xf>
    <xf numFmtId="0" fontId="2" fillId="0" borderId="110" xfId="0" applyFont="1" applyBorder="1" applyAlignment="1">
      <alignment horizontal="center" vertical="center" shrinkToFit="1"/>
    </xf>
    <xf numFmtId="180" fontId="42" fillId="0" borderId="93" xfId="4" applyFont="1" applyBorder="1" applyAlignment="1">
      <alignment horizontal="center" vertical="center" shrinkToFit="1"/>
    </xf>
    <xf numFmtId="0" fontId="2" fillId="32" borderId="93" xfId="0" applyFont="1" applyFill="1" applyBorder="1" applyAlignment="1">
      <alignment horizontal="center" vertical="center" shrinkToFit="1"/>
    </xf>
    <xf numFmtId="0" fontId="2" fillId="35" borderId="110" xfId="0" applyFont="1" applyFill="1" applyBorder="1" applyAlignment="1">
      <alignment horizontal="center" vertical="center" shrinkToFit="1"/>
    </xf>
    <xf numFmtId="180" fontId="42" fillId="32" borderId="93" xfId="4" applyFont="1" applyFill="1" applyBorder="1" applyAlignment="1">
      <alignment horizontal="center" vertical="center" shrinkToFit="1"/>
    </xf>
    <xf numFmtId="180" fontId="42" fillId="32" borderId="109" xfId="4" quotePrefix="1" applyFont="1" applyFill="1" applyBorder="1" applyAlignment="1">
      <alignment vertical="center" shrinkToFit="1"/>
    </xf>
    <xf numFmtId="180" fontId="42" fillId="32" borderId="109" xfId="4" applyFont="1" applyFill="1" applyBorder="1" applyAlignment="1">
      <alignment vertical="center" shrinkToFit="1"/>
    </xf>
    <xf numFmtId="0" fontId="68" fillId="33" borderId="0" xfId="0" applyFont="1" applyFill="1" applyAlignment="1">
      <alignment vertical="top" wrapText="1"/>
    </xf>
    <xf numFmtId="0" fontId="74" fillId="33" borderId="0" xfId="0" applyFont="1" applyFill="1" applyAlignment="1">
      <alignment vertical="center" wrapText="1"/>
    </xf>
    <xf numFmtId="180" fontId="4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0" fontId="2" fillId="0" borderId="0" xfId="0" applyFont="1" applyBorder="1" applyAlignment="1">
      <alignment vertical="center" wrapText="1"/>
    </xf>
    <xf numFmtId="0" fontId="2" fillId="0" borderId="1" xfId="0" applyFont="1" applyBorder="1" applyAlignment="1">
      <alignment vertical="center" wrapText="1"/>
    </xf>
    <xf numFmtId="180" fontId="42" fillId="0" borderId="8" xfId="0" applyNumberFormat="1" applyFont="1" applyBorder="1" applyAlignment="1" applyProtection="1">
      <alignment vertical="center"/>
      <protection locked="0"/>
    </xf>
    <xf numFmtId="0" fontId="2" fillId="2" borderId="12"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8" xfId="0" applyFont="1" applyFill="1" applyBorder="1" applyAlignment="1">
      <alignment horizontal="center" vertical="center"/>
    </xf>
    <xf numFmtId="0" fontId="2" fillId="0" borderId="1" xfId="0" applyFont="1" applyBorder="1" applyAlignment="1">
      <alignment vertical="center" wrapText="1"/>
    </xf>
    <xf numFmtId="0" fontId="2" fillId="0" borderId="0" xfId="0" applyFont="1" applyBorder="1" applyAlignment="1">
      <alignment vertical="center" wrapText="1"/>
    </xf>
    <xf numFmtId="0" fontId="2" fillId="2" borderId="12"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32" borderId="109" xfId="0" quotePrefix="1" applyNumberFormat="1" applyFont="1" applyFill="1" applyBorder="1" applyAlignment="1">
      <alignment horizontal="right" vertical="center" shrinkToFit="1"/>
    </xf>
    <xf numFmtId="0" fontId="2" fillId="0" borderId="225" xfId="0" applyFont="1" applyBorder="1" applyAlignment="1">
      <alignment horizontal="center" vertical="center"/>
    </xf>
    <xf numFmtId="180" fontId="42" fillId="0" borderId="225" xfId="0" applyNumberFormat="1" applyFont="1" applyBorder="1" applyAlignment="1">
      <alignment vertical="center"/>
    </xf>
    <xf numFmtId="180" fontId="42" fillId="0" borderId="8" xfId="0" applyNumberFormat="1" applyFont="1" applyBorder="1" applyAlignment="1">
      <alignment horizontal="center" vertical="center"/>
    </xf>
    <xf numFmtId="180" fontId="42" fillId="0" borderId="19" xfId="0" applyNumberFormat="1" applyFont="1" applyFill="1" applyBorder="1" applyAlignment="1">
      <alignment vertical="center" wrapText="1"/>
    </xf>
    <xf numFmtId="180" fontId="42" fillId="0" borderId="8" xfId="0" applyNumberFormat="1" applyFont="1" applyFill="1" applyBorder="1" applyAlignment="1">
      <alignment vertical="center" wrapText="1"/>
    </xf>
    <xf numFmtId="180" fontId="42" fillId="0" borderId="63" xfId="0" applyNumberFormat="1" applyFont="1" applyFill="1" applyBorder="1" applyAlignment="1">
      <alignment vertical="center"/>
    </xf>
    <xf numFmtId="180" fontId="42" fillId="0" borderId="8" xfId="0" applyNumberFormat="1" applyFont="1" applyFill="1" applyBorder="1" applyAlignment="1">
      <alignment vertical="center"/>
    </xf>
    <xf numFmtId="180" fontId="42" fillId="0" borderId="227" xfId="0" applyNumberFormat="1" applyFont="1" applyBorder="1" applyAlignment="1">
      <alignment vertical="center"/>
    </xf>
    <xf numFmtId="180" fontId="42" fillId="3" borderId="226" xfId="0" applyNumberFormat="1" applyFont="1" applyFill="1" applyBorder="1" applyAlignment="1">
      <alignment vertical="center"/>
    </xf>
    <xf numFmtId="180" fontId="42" fillId="0" borderId="227" xfId="0" applyNumberFormat="1" applyFont="1" applyBorder="1" applyAlignment="1">
      <alignment horizontal="center" vertical="center"/>
    </xf>
    <xf numFmtId="9" fontId="74" fillId="0" borderId="19" xfId="1" applyBorder="1">
      <alignment vertical="center"/>
    </xf>
    <xf numFmtId="9" fontId="74" fillId="0" borderId="8" xfId="1" applyBorder="1">
      <alignment vertical="center"/>
    </xf>
    <xf numFmtId="9" fontId="74" fillId="0" borderId="225" xfId="1" applyBorder="1">
      <alignment vertical="center"/>
    </xf>
    <xf numFmtId="9" fontId="74" fillId="0" borderId="63" xfId="1" applyBorder="1">
      <alignment vertical="center"/>
    </xf>
    <xf numFmtId="14" fontId="42" fillId="0" borderId="19" xfId="0" applyNumberFormat="1" applyFont="1" applyBorder="1" applyAlignment="1">
      <alignment vertical="center"/>
    </xf>
    <xf numFmtId="14" fontId="42" fillId="0" borderId="8" xfId="0" applyNumberFormat="1" applyFont="1" applyBorder="1" applyAlignment="1">
      <alignment vertical="center"/>
    </xf>
    <xf numFmtId="14" fontId="42" fillId="0" borderId="225" xfId="0" applyNumberFormat="1" applyFont="1" applyBorder="1" applyAlignment="1">
      <alignment vertical="center"/>
    </xf>
    <xf numFmtId="14" fontId="42" fillId="0" borderId="63" xfId="0" applyNumberFormat="1" applyFont="1" applyBorder="1" applyAlignment="1">
      <alignment horizontal="center" vertical="center"/>
    </xf>
    <xf numFmtId="14" fontId="42" fillId="0" borderId="8" xfId="0" applyNumberFormat="1" applyFont="1" applyBorder="1" applyAlignment="1">
      <alignment horizontal="center" vertical="center"/>
    </xf>
    <xf numFmtId="10" fontId="2" fillId="0" borderId="19" xfId="1" applyNumberFormat="1" applyFont="1" applyBorder="1">
      <alignment vertical="center"/>
    </xf>
    <xf numFmtId="10" fontId="2" fillId="0" borderId="8" xfId="1" applyNumberFormat="1" applyFont="1" applyBorder="1">
      <alignment vertical="center"/>
    </xf>
    <xf numFmtId="10" fontId="2" fillId="0" borderId="225" xfId="1" applyNumberFormat="1" applyFont="1" applyBorder="1">
      <alignment vertical="center"/>
    </xf>
    <xf numFmtId="10" fontId="2" fillId="3" borderId="12" xfId="1" applyNumberFormat="1" applyFont="1" applyFill="1" applyBorder="1">
      <alignment vertical="center"/>
    </xf>
    <xf numFmtId="10" fontId="2" fillId="0" borderId="63" xfId="1" applyNumberFormat="1" applyFont="1" applyBorder="1">
      <alignment vertical="center"/>
    </xf>
    <xf numFmtId="0" fontId="147" fillId="0" borderId="0" xfId="9" applyFont="1" applyAlignment="1">
      <alignment vertical="center" wrapText="1"/>
    </xf>
    <xf numFmtId="0" fontId="148" fillId="0" borderId="0" xfId="9" applyFont="1" applyAlignment="1">
      <alignment vertical="center" wrapText="1"/>
    </xf>
    <xf numFmtId="0" fontId="148" fillId="0" borderId="0" xfId="9" applyFont="1" applyAlignment="1">
      <alignment vertical="center"/>
    </xf>
    <xf numFmtId="43" fontId="148" fillId="30" borderId="231" xfId="10" applyFont="1" applyFill="1" applyBorder="1" applyAlignment="1">
      <alignment vertical="center" wrapText="1"/>
    </xf>
    <xf numFmtId="0" fontId="148" fillId="33" borderId="232" xfId="9" applyFont="1" applyFill="1" applyBorder="1" applyAlignment="1">
      <alignment horizontal="left" vertical="center" wrapText="1"/>
    </xf>
    <xf numFmtId="43" fontId="148" fillId="0" borderId="233" xfId="10" applyFont="1" applyFill="1" applyBorder="1" applyAlignment="1">
      <alignment vertical="center" wrapText="1"/>
    </xf>
    <xf numFmtId="0" fontId="148" fillId="33" borderId="132" xfId="9" applyFont="1" applyFill="1" applyBorder="1" applyAlignment="1">
      <alignment horizontal="left" vertical="center" wrapText="1"/>
    </xf>
    <xf numFmtId="43" fontId="148" fillId="30" borderId="233" xfId="10" applyFont="1" applyFill="1" applyBorder="1" applyAlignment="1">
      <alignment vertical="center" wrapText="1"/>
    </xf>
    <xf numFmtId="0" fontId="148" fillId="33" borderId="132" xfId="9" quotePrefix="1" applyFont="1" applyFill="1" applyBorder="1" applyAlignment="1">
      <alignment horizontal="left" vertical="center" wrapText="1"/>
    </xf>
    <xf numFmtId="0" fontId="148" fillId="0" borderId="0" xfId="9" applyFont="1" applyAlignment="1">
      <alignment horizontal="justify" vertical="center" wrapText="1"/>
    </xf>
    <xf numFmtId="0" fontId="154" fillId="33" borderId="93" xfId="9" applyFont="1" applyFill="1" applyBorder="1" applyAlignment="1">
      <alignment horizontal="left" vertical="center" wrapText="1"/>
    </xf>
    <xf numFmtId="0" fontId="148" fillId="33" borderId="93" xfId="9" applyFont="1" applyFill="1" applyBorder="1" applyAlignment="1">
      <alignment vertical="center" wrapText="1"/>
    </xf>
    <xf numFmtId="0" fontId="149" fillId="33" borderId="234" xfId="9" applyFont="1" applyFill="1" applyBorder="1" applyAlignment="1">
      <alignment horizontal="center" vertical="center" wrapText="1"/>
    </xf>
    <xf numFmtId="0" fontId="149" fillId="33" borderId="237" xfId="9" applyFont="1" applyFill="1" applyBorder="1" applyAlignment="1">
      <alignment horizontal="center" vertical="center" wrapText="1"/>
    </xf>
    <xf numFmtId="0" fontId="148" fillId="33" borderId="0" xfId="9" applyFont="1" applyFill="1" applyAlignment="1">
      <alignment horizontal="right" vertical="center"/>
    </xf>
    <xf numFmtId="0" fontId="148" fillId="33" borderId="0" xfId="9" applyFont="1" applyFill="1" applyBorder="1" applyAlignment="1">
      <alignment horizontal="left" vertical="center" wrapText="1"/>
    </xf>
    <xf numFmtId="0" fontId="148" fillId="33" borderId="0" xfId="9" applyFont="1" applyFill="1" applyAlignment="1">
      <alignment vertical="center" wrapText="1"/>
    </xf>
    <xf numFmtId="0" fontId="149" fillId="33" borderId="0" xfId="9" applyFont="1" applyFill="1" applyAlignment="1">
      <alignment vertical="center" wrapText="1"/>
    </xf>
    <xf numFmtId="0" fontId="149" fillId="33" borderId="0" xfId="9" applyFont="1" applyFill="1" applyAlignment="1">
      <alignment vertical="center"/>
    </xf>
    <xf numFmtId="0" fontId="157" fillId="33" borderId="0" xfId="9" applyFont="1" applyFill="1" applyAlignment="1">
      <alignment vertical="center"/>
    </xf>
    <xf numFmtId="43" fontId="148" fillId="32" borderId="233" xfId="10" applyFont="1" applyFill="1" applyBorder="1" applyAlignment="1">
      <alignment vertical="center" wrapText="1"/>
    </xf>
    <xf numFmtId="0" fontId="12" fillId="0" borderId="93" xfId="2" applyFill="1" applyBorder="1" applyProtection="1">
      <alignment vertical="center"/>
    </xf>
    <xf numFmtId="0" fontId="12" fillId="0" borderId="93" xfId="2" applyBorder="1">
      <alignment vertical="center"/>
    </xf>
    <xf numFmtId="43" fontId="2" fillId="0" borderId="71" xfId="0" applyNumberFormat="1" applyFont="1" applyFill="1" applyBorder="1" applyProtection="1">
      <alignment vertical="center"/>
      <protection locked="0"/>
    </xf>
    <xf numFmtId="0" fontId="74" fillId="5" borderId="119" xfId="0" applyFont="1" applyFill="1" applyBorder="1" applyAlignment="1" applyProtection="1">
      <alignment horizontal="center"/>
    </xf>
    <xf numFmtId="31" fontId="6" fillId="0" borderId="0" xfId="0" applyNumberFormat="1" applyFont="1" applyBorder="1" applyAlignment="1" applyProtection="1">
      <alignment horizontal="center"/>
      <protection locked="0"/>
    </xf>
    <xf numFmtId="0" fontId="6" fillId="0" borderId="0" xfId="0" applyFont="1" applyBorder="1" applyAlignment="1" applyProtection="1">
      <alignment horizontal="center"/>
      <protection locked="0"/>
    </xf>
    <xf numFmtId="0" fontId="7" fillId="0" borderId="0" xfId="0" applyFont="1" applyBorder="1" applyAlignment="1" applyProtection="1">
      <alignment horizontal="center"/>
      <protection locked="0"/>
    </xf>
    <xf numFmtId="0" fontId="0" fillId="0" borderId="20" xfId="0" applyBorder="1" applyAlignment="1" applyProtection="1">
      <protection locked="0"/>
    </xf>
    <xf numFmtId="0" fontId="0" fillId="5" borderId="20" xfId="0" applyFont="1" applyFill="1" applyBorder="1" applyAlignment="1" applyProtection="1">
      <alignment horizontal="center"/>
    </xf>
    <xf numFmtId="0" fontId="0" fillId="5" borderId="21" xfId="0" applyFill="1" applyBorder="1" applyAlignment="1" applyProtection="1">
      <alignment horizontal="center"/>
    </xf>
    <xf numFmtId="0" fontId="0" fillId="5" borderId="21" xfId="0" applyNumberFormat="1" applyFill="1" applyBorder="1" applyAlignment="1" applyProtection="1">
      <alignment horizontal="center"/>
    </xf>
    <xf numFmtId="49" fontId="0" fillId="5" borderId="21" xfId="0" applyNumberFormat="1" applyFill="1" applyBorder="1" applyAlignment="1" applyProtection="1">
      <alignment horizontal="center"/>
    </xf>
    <xf numFmtId="0" fontId="0" fillId="0" borderId="0" xfId="0" applyFont="1" applyBorder="1" applyAlignment="1" applyProtection="1">
      <alignment horizontal="left"/>
      <protection locked="0"/>
    </xf>
    <xf numFmtId="31" fontId="74" fillId="5" borderId="119" xfId="0" applyNumberFormat="1" applyFont="1" applyFill="1" applyBorder="1" applyAlignment="1" applyProtection="1">
      <alignment horizontal="center"/>
    </xf>
    <xf numFmtId="0" fontId="0" fillId="2" borderId="7" xfId="0" applyFill="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2" borderId="10" xfId="0" applyFill="1" applyBorder="1" applyAlignment="1" applyProtection="1">
      <alignment horizontal="center" vertical="center"/>
      <protection locked="0"/>
    </xf>
    <xf numFmtId="0" fontId="0" fillId="0" borderId="12" xfId="0" applyBorder="1" applyAlignment="1" applyProtection="1">
      <alignment horizontal="center" vertical="center"/>
      <protection locked="0"/>
    </xf>
    <xf numFmtId="0" fontId="0" fillId="0" borderId="22" xfId="0" applyBorder="1" applyAlignment="1" applyProtection="1">
      <alignment horizontal="center" vertical="center"/>
      <protection locked="0"/>
    </xf>
    <xf numFmtId="0" fontId="0" fillId="2" borderId="73" xfId="0" applyFill="1" applyBorder="1" applyAlignment="1" applyProtection="1">
      <alignment horizontal="center" vertical="center"/>
      <protection locked="0"/>
    </xf>
    <xf numFmtId="0" fontId="0" fillId="0" borderId="68" xfId="0" applyBorder="1" applyAlignment="1" applyProtection="1">
      <alignment horizontal="center" vertical="center"/>
      <protection locked="0"/>
    </xf>
    <xf numFmtId="0" fontId="0" fillId="0" borderId="81" xfId="0" applyBorder="1" applyAlignment="1" applyProtection="1">
      <alignment horizontal="center" vertical="center"/>
      <protection locked="0"/>
    </xf>
    <xf numFmtId="0" fontId="0" fillId="0" borderId="25" xfId="0" applyBorder="1" applyAlignment="1" applyProtection="1">
      <alignment horizontal="center" vertical="center"/>
      <protection locked="0"/>
    </xf>
    <xf numFmtId="0" fontId="0" fillId="0" borderId="8" xfId="0" applyFont="1" applyBorder="1" applyAlignment="1" applyProtection="1">
      <alignment horizontal="center" vertical="center"/>
      <protection locked="0"/>
    </xf>
    <xf numFmtId="0" fontId="0" fillId="5" borderId="12" xfId="0" applyNumberFormat="1" applyFont="1" applyFill="1" applyBorder="1" applyAlignment="1" applyProtection="1">
      <alignment horizontal="center" vertical="center"/>
    </xf>
    <xf numFmtId="0" fontId="0" fillId="2" borderId="31" xfId="0" applyFont="1" applyFill="1" applyBorder="1" applyAlignment="1" applyProtection="1">
      <alignment horizontal="center" vertical="center"/>
      <protection locked="0"/>
    </xf>
    <xf numFmtId="0" fontId="0" fillId="0" borderId="1" xfId="0" applyFont="1" applyBorder="1" applyAlignment="1" applyProtection="1">
      <protection locked="0"/>
    </xf>
    <xf numFmtId="0" fontId="9" fillId="2" borderId="0" xfId="0" applyFont="1" applyFill="1" applyBorder="1" applyAlignment="1" applyProtection="1">
      <alignment horizontal="center"/>
      <protection locked="0"/>
    </xf>
    <xf numFmtId="0" fontId="0" fillId="2" borderId="6" xfId="0" applyFont="1" applyFill="1" applyBorder="1" applyAlignment="1" applyProtection="1">
      <alignment horizontal="center" vertical="center"/>
      <protection locked="0"/>
    </xf>
    <xf numFmtId="0" fontId="0" fillId="5" borderId="19" xfId="0" applyFont="1" applyFill="1" applyBorder="1" applyAlignment="1" applyProtection="1">
      <alignment vertical="center" wrapText="1"/>
    </xf>
    <xf numFmtId="0" fontId="0" fillId="2" borderId="19" xfId="0" applyFont="1" applyFill="1" applyBorder="1" applyAlignment="1" applyProtection="1">
      <alignment horizontal="center" vertical="center"/>
      <protection locked="0"/>
    </xf>
    <xf numFmtId="0" fontId="0" fillId="2" borderId="8" xfId="0" applyFont="1" applyFill="1" applyBorder="1" applyAlignment="1" applyProtection="1">
      <alignment horizontal="center" vertical="center"/>
      <protection locked="0"/>
    </xf>
    <xf numFmtId="0" fontId="0" fillId="7" borderId="8" xfId="0" applyNumberFormat="1" applyFont="1" applyFill="1" applyBorder="1" applyAlignment="1" applyProtection="1">
      <alignment horizontal="center" vertical="center"/>
      <protection locked="0"/>
    </xf>
    <xf numFmtId="0" fontId="0" fillId="5" borderId="8" xfId="0" applyNumberFormat="1" applyFont="1" applyFill="1" applyBorder="1" applyAlignment="1" applyProtection="1">
      <alignment horizontal="center" vertical="center"/>
    </xf>
    <xf numFmtId="0" fontId="0" fillId="2" borderId="80" xfId="0" applyFont="1" applyFill="1" applyBorder="1" applyAlignment="1" applyProtection="1">
      <alignment horizontal="center" vertical="center"/>
      <protection locked="0"/>
    </xf>
    <xf numFmtId="49" fontId="2" fillId="0" borderId="22" xfId="0" applyNumberFormat="1" applyFont="1" applyFill="1" applyBorder="1" applyAlignment="1" applyProtection="1">
      <alignment horizontal="center" vertical="center"/>
      <protection locked="0"/>
    </xf>
    <xf numFmtId="0" fontId="0" fillId="2" borderId="12" xfId="0" applyFont="1" applyFill="1" applyBorder="1" applyAlignment="1" applyProtection="1">
      <alignment horizontal="center" vertical="center"/>
      <protection locked="0"/>
    </xf>
    <xf numFmtId="0" fontId="9" fillId="2" borderId="0" xfId="0" applyFont="1" applyFill="1" applyBorder="1" applyAlignment="1" applyProtection="1">
      <alignment horizontal="center" vertical="center"/>
      <protection locked="0"/>
    </xf>
    <xf numFmtId="0" fontId="0" fillId="2" borderId="20" xfId="0" applyFont="1" applyFill="1" applyBorder="1" applyAlignment="1" applyProtection="1">
      <alignment horizontal="center" vertical="center" wrapText="1"/>
      <protection locked="0"/>
    </xf>
    <xf numFmtId="0" fontId="0" fillId="5" borderId="20" xfId="0" applyFill="1" applyBorder="1" applyAlignment="1" applyProtection="1">
      <alignment vertical="center"/>
    </xf>
    <xf numFmtId="0" fontId="0" fillId="5" borderId="20" xfId="0" applyNumberFormat="1" applyFont="1" applyFill="1" applyBorder="1" applyAlignment="1" applyProtection="1">
      <alignment horizontal="left" vertical="center"/>
    </xf>
    <xf numFmtId="0" fontId="0" fillId="5" borderId="20" xfId="0" applyFont="1" applyFill="1" applyBorder="1" applyAlignment="1" applyProtection="1">
      <alignment vertical="center"/>
    </xf>
    <xf numFmtId="0" fontId="0" fillId="0" borderId="31" xfId="0" applyFont="1" applyBorder="1" applyAlignment="1" applyProtection="1">
      <alignment horizontal="center" vertical="center" wrapText="1"/>
      <protection locked="0"/>
    </xf>
    <xf numFmtId="0" fontId="0" fillId="2" borderId="3" xfId="0" applyFont="1" applyFill="1" applyBorder="1" applyAlignment="1" applyProtection="1">
      <alignment horizontal="center" vertical="center" wrapText="1"/>
      <protection locked="0"/>
    </xf>
    <xf numFmtId="0" fontId="16" fillId="0" borderId="4" xfId="0" applyFont="1" applyBorder="1" applyAlignment="1" applyProtection="1">
      <alignment horizontal="left" wrapText="1"/>
      <protection locked="0"/>
    </xf>
    <xf numFmtId="0" fontId="16" fillId="5" borderId="32" xfId="0" applyFont="1" applyFill="1" applyBorder="1" applyAlignment="1" applyProtection="1">
      <alignment horizontal="left" wrapText="1"/>
    </xf>
    <xf numFmtId="0" fontId="16" fillId="0" borderId="80" xfId="0" applyFont="1" applyFill="1" applyBorder="1" applyAlignment="1" applyProtection="1">
      <alignment wrapText="1"/>
      <protection locked="0"/>
    </xf>
    <xf numFmtId="0" fontId="16" fillId="2" borderId="94" xfId="0" applyFont="1" applyFill="1" applyBorder="1" applyAlignment="1" applyProtection="1">
      <alignment vertical="center" wrapText="1"/>
      <protection locked="0"/>
    </xf>
    <xf numFmtId="0" fontId="0" fillId="2" borderId="4" xfId="0" applyFont="1" applyFill="1" applyBorder="1" applyAlignment="1" applyProtection="1">
      <alignment horizontal="center" vertical="center"/>
      <protection locked="0"/>
    </xf>
    <xf numFmtId="0" fontId="0" fillId="2" borderId="32" xfId="0" applyFont="1" applyFill="1" applyBorder="1" applyAlignment="1" applyProtection="1">
      <alignment horizontal="center" vertical="center"/>
      <protection locked="0"/>
    </xf>
    <xf numFmtId="0" fontId="16" fillId="14" borderId="13" xfId="0" applyFont="1" applyFill="1" applyBorder="1" applyAlignment="1" applyProtection="1">
      <alignment horizontal="center" wrapText="1"/>
      <protection locked="0"/>
    </xf>
    <xf numFmtId="0" fontId="16" fillId="14" borderId="66" xfId="0" applyFont="1" applyFill="1" applyBorder="1" applyAlignment="1" applyProtection="1">
      <alignment horizontal="center" wrapText="1"/>
      <protection locked="0"/>
    </xf>
    <xf numFmtId="176" fontId="16" fillId="12" borderId="63" xfId="0" applyNumberFormat="1" applyFont="1" applyFill="1" applyBorder="1" applyAlignment="1" applyProtection="1">
      <alignment horizontal="center" wrapText="1"/>
      <protection locked="0"/>
    </xf>
    <xf numFmtId="176" fontId="16" fillId="12" borderId="72" xfId="0" applyNumberFormat="1" applyFont="1" applyFill="1" applyBorder="1" applyAlignment="1" applyProtection="1">
      <alignment horizontal="center" wrapText="1"/>
      <protection locked="0"/>
    </xf>
    <xf numFmtId="0" fontId="16" fillId="7" borderId="94" xfId="0" applyFont="1" applyFill="1" applyBorder="1" applyAlignment="1" applyProtection="1">
      <alignment wrapText="1"/>
    </xf>
    <xf numFmtId="176" fontId="16" fillId="12" borderId="8" xfId="0" applyNumberFormat="1" applyFont="1" applyFill="1" applyBorder="1" applyAlignment="1" applyProtection="1">
      <alignment horizontal="center" wrapText="1"/>
      <protection locked="0"/>
    </xf>
    <xf numFmtId="176" fontId="16" fillId="12" borderId="9" xfId="0" applyNumberFormat="1" applyFont="1" applyFill="1" applyBorder="1" applyAlignment="1" applyProtection="1">
      <alignment horizontal="center" wrapText="1"/>
      <protection locked="0"/>
    </xf>
    <xf numFmtId="0" fontId="16" fillId="14" borderId="36" xfId="0" applyFont="1" applyFill="1" applyBorder="1" applyAlignment="1" applyProtection="1">
      <alignment horizontal="center" wrapText="1"/>
      <protection locked="0"/>
    </xf>
    <xf numFmtId="0" fontId="16" fillId="14" borderId="15" xfId="0" applyFont="1" applyFill="1" applyBorder="1" applyAlignment="1" applyProtection="1">
      <alignment horizontal="center" wrapText="1"/>
      <protection locked="0"/>
    </xf>
    <xf numFmtId="0" fontId="21" fillId="2" borderId="0" xfId="0" applyFont="1" applyFill="1" applyBorder="1" applyAlignment="1" applyProtection="1">
      <alignment horizontal="center"/>
      <protection locked="0"/>
    </xf>
    <xf numFmtId="0" fontId="9" fillId="2" borderId="0" xfId="0" applyFont="1" applyFill="1" applyBorder="1" applyAlignment="1" applyProtection="1">
      <protection locked="0"/>
    </xf>
    <xf numFmtId="0" fontId="0" fillId="2" borderId="0" xfId="0" applyFont="1" applyFill="1" applyBorder="1" applyAlignment="1" applyProtection="1">
      <alignment horizontal="right"/>
      <protection locked="0"/>
    </xf>
    <xf numFmtId="0" fontId="0" fillId="5" borderId="3" xfId="0" applyFont="1" applyFill="1" applyBorder="1" applyAlignment="1" applyProtection="1">
      <alignment vertical="center" wrapText="1"/>
    </xf>
    <xf numFmtId="0" fontId="0" fillId="0" borderId="4" xfId="0" applyFont="1" applyBorder="1" applyAlignment="1" applyProtection="1">
      <alignment horizontal="center" vertical="center" wrapText="1"/>
      <protection locked="0"/>
    </xf>
    <xf numFmtId="0" fontId="16" fillId="5" borderId="31" xfId="0" applyFont="1" applyFill="1" applyBorder="1" applyAlignment="1" applyProtection="1">
      <alignment horizontal="left" wrapText="1"/>
    </xf>
    <xf numFmtId="0" fontId="16" fillId="0" borderId="32" xfId="0" applyFont="1" applyBorder="1" applyAlignment="1" applyProtection="1">
      <alignment horizontal="left" wrapText="1"/>
      <protection locked="0"/>
    </xf>
    <xf numFmtId="0" fontId="0" fillId="2" borderId="30" xfId="0" applyFont="1" applyFill="1" applyBorder="1" applyAlignment="1" applyProtection="1">
      <alignment horizontal="center" vertical="center" wrapText="1"/>
      <protection locked="0"/>
    </xf>
    <xf numFmtId="0" fontId="12" fillId="0" borderId="1" xfId="2" applyBorder="1" applyProtection="1">
      <alignment vertical="center"/>
      <protection locked="0"/>
    </xf>
    <xf numFmtId="0" fontId="12" fillId="0" borderId="0" xfId="2" applyProtection="1">
      <alignment vertical="center"/>
      <protection locked="0"/>
    </xf>
    <xf numFmtId="0" fontId="16" fillId="0" borderId="95" xfId="0" applyFont="1" applyFill="1" applyBorder="1" applyAlignment="1" applyProtection="1">
      <alignment wrapText="1"/>
      <protection locked="0"/>
    </xf>
    <xf numFmtId="0" fontId="16" fillId="14" borderId="71" xfId="0" applyFont="1" applyFill="1" applyBorder="1" applyAlignment="1" applyProtection="1">
      <alignment horizontal="center" wrapText="1"/>
      <protection locked="0"/>
    </xf>
    <xf numFmtId="0" fontId="16" fillId="14" borderId="63" xfId="0" applyFont="1" applyFill="1" applyBorder="1" applyAlignment="1" applyProtection="1">
      <alignment horizontal="center" wrapText="1"/>
      <protection locked="0"/>
    </xf>
    <xf numFmtId="0" fontId="0" fillId="2" borderId="29" xfId="0" applyFont="1" applyFill="1" applyBorder="1" applyAlignment="1" applyProtection="1">
      <alignment horizontal="center" vertical="center"/>
      <protection locked="0"/>
    </xf>
    <xf numFmtId="0" fontId="0" fillId="0" borderId="37" xfId="0" applyFont="1" applyFill="1" applyBorder="1" applyAlignment="1" applyProtection="1">
      <alignment vertical="center"/>
      <protection locked="0"/>
    </xf>
    <xf numFmtId="0" fontId="0" fillId="2" borderId="1" xfId="0" applyFont="1" applyFill="1" applyBorder="1" applyAlignment="1" applyProtection="1">
      <alignment horizontal="center" vertical="center"/>
      <protection locked="0"/>
    </xf>
    <xf numFmtId="0" fontId="0" fillId="0" borderId="2" xfId="0" applyFont="1" applyFill="1" applyBorder="1" applyAlignment="1" applyProtection="1">
      <alignment vertical="center"/>
      <protection locked="0"/>
    </xf>
    <xf numFmtId="0" fontId="16" fillId="2" borderId="33" xfId="0" applyFont="1" applyFill="1" applyBorder="1" applyAlignment="1" applyProtection="1">
      <alignment horizontal="center" vertical="center" textRotation="255" wrapText="1"/>
      <protection locked="0"/>
    </xf>
    <xf numFmtId="0" fontId="2" fillId="2" borderId="34" xfId="0" applyFont="1" applyFill="1" applyBorder="1" applyAlignment="1" applyProtection="1">
      <alignment vertical="top" wrapText="1"/>
      <protection locked="0"/>
    </xf>
    <xf numFmtId="0" fontId="2" fillId="0" borderId="34" xfId="0" applyFont="1" applyBorder="1" applyAlignment="1" applyProtection="1">
      <alignment horizontal="center" vertical="top" wrapText="1"/>
      <protection locked="0"/>
    </xf>
    <xf numFmtId="0" fontId="16" fillId="0" borderId="59" xfId="0" applyFont="1" applyBorder="1" applyAlignment="1" applyProtection="1">
      <alignment horizontal="center" wrapText="1"/>
      <protection locked="0"/>
    </xf>
    <xf numFmtId="0" fontId="16" fillId="0" borderId="35" xfId="0" applyFont="1" applyBorder="1" applyAlignment="1" applyProtection="1">
      <alignment horizontal="center" vertical="center"/>
      <protection locked="0"/>
    </xf>
    <xf numFmtId="0" fontId="16" fillId="0" borderId="67" xfId="0" applyFont="1" applyBorder="1" applyAlignment="1" applyProtection="1">
      <alignment horizontal="center" wrapText="1"/>
      <protection locked="0"/>
    </xf>
    <xf numFmtId="0" fontId="16" fillId="0" borderId="89" xfId="0" applyFont="1" applyBorder="1" applyAlignment="1" applyProtection="1">
      <alignment wrapText="1"/>
      <protection locked="0"/>
    </xf>
    <xf numFmtId="0" fontId="0" fillId="2" borderId="96" xfId="0" applyFont="1" applyFill="1" applyBorder="1" applyAlignment="1" applyProtection="1">
      <alignment vertical="center"/>
      <protection locked="0"/>
    </xf>
    <xf numFmtId="0" fontId="0" fillId="2" borderId="97" xfId="0" applyFont="1" applyFill="1" applyBorder="1" applyAlignment="1" applyProtection="1">
      <alignment horizontal="center" vertical="center"/>
      <protection locked="0"/>
    </xf>
    <xf numFmtId="0" fontId="0" fillId="0" borderId="81" xfId="0" applyFont="1" applyFill="1" applyBorder="1" applyAlignment="1" applyProtection="1">
      <alignment vertical="center"/>
      <protection locked="0"/>
    </xf>
    <xf numFmtId="0" fontId="0" fillId="2" borderId="3" xfId="0" applyFont="1" applyFill="1" applyBorder="1" applyAlignment="1" applyProtection="1">
      <alignment horizontal="center" vertical="center"/>
      <protection locked="0"/>
    </xf>
    <xf numFmtId="0" fontId="16" fillId="2" borderId="19" xfId="0" applyFont="1" applyFill="1" applyBorder="1" applyAlignment="1" applyProtection="1">
      <alignment horizontal="center" vertical="center"/>
      <protection locked="0"/>
    </xf>
    <xf numFmtId="0" fontId="16" fillId="2" borderId="10" xfId="0" applyFont="1" applyFill="1" applyBorder="1" applyAlignment="1" applyProtection="1">
      <alignment horizontal="center" vertical="center" textRotation="255" wrapText="1"/>
      <protection locked="0"/>
    </xf>
    <xf numFmtId="0" fontId="2" fillId="2" borderId="12" xfId="0" applyFont="1" applyFill="1" applyBorder="1" applyAlignment="1" applyProtection="1">
      <alignment vertical="top" wrapText="1"/>
      <protection locked="0"/>
    </xf>
    <xf numFmtId="0" fontId="2" fillId="0" borderId="12" xfId="0" applyFont="1" applyBorder="1" applyAlignment="1" applyProtection="1">
      <alignment horizontal="center" vertical="top" wrapText="1"/>
      <protection locked="0"/>
    </xf>
    <xf numFmtId="0" fontId="16" fillId="0" borderId="68" xfId="0" applyFont="1" applyBorder="1" applyAlignment="1" applyProtection="1">
      <alignment horizontal="center" wrapText="1"/>
      <protection locked="0"/>
    </xf>
    <xf numFmtId="0" fontId="16" fillId="0" borderId="22" xfId="0" applyFont="1" applyBorder="1" applyAlignment="1" applyProtection="1">
      <alignment horizontal="center" vertical="center"/>
      <protection locked="0"/>
    </xf>
    <xf numFmtId="0" fontId="9" fillId="2" borderId="0" xfId="0" applyFont="1" applyFill="1" applyBorder="1" applyAlignment="1" applyProtection="1">
      <alignment horizontal="center" vertical="top"/>
      <protection locked="0"/>
    </xf>
    <xf numFmtId="0" fontId="16" fillId="5" borderId="6" xfId="0" applyFont="1" applyFill="1" applyBorder="1" applyAlignment="1" applyProtection="1">
      <alignment vertical="center"/>
    </xf>
    <xf numFmtId="0" fontId="16" fillId="2" borderId="7" xfId="0" applyFont="1" applyFill="1" applyBorder="1" applyAlignment="1" applyProtection="1">
      <alignment vertical="center"/>
      <protection locked="0"/>
    </xf>
    <xf numFmtId="0" fontId="16" fillId="5" borderId="8" xfId="0" applyFont="1" applyFill="1" applyBorder="1" applyAlignment="1" applyProtection="1">
      <alignment horizontal="center" vertical="center" wrapText="1"/>
    </xf>
    <xf numFmtId="49" fontId="16" fillId="5" borderId="22" xfId="0" applyNumberFormat="1" applyFont="1" applyFill="1" applyBorder="1" applyAlignment="1" applyProtection="1">
      <alignment horizontal="center" vertical="center"/>
    </xf>
    <xf numFmtId="0" fontId="16" fillId="5" borderId="16" xfId="0" applyFont="1" applyFill="1" applyBorder="1" applyAlignment="1" applyProtection="1">
      <alignment horizontal="center" vertical="center" shrinkToFit="1"/>
    </xf>
    <xf numFmtId="0" fontId="23" fillId="0" borderId="0" xfId="0" applyFont="1" applyBorder="1" applyAlignment="1" applyProtection="1">
      <alignment horizontal="left" wrapText="1"/>
      <protection locked="0"/>
    </xf>
    <xf numFmtId="0" fontId="23" fillId="0" borderId="0" xfId="0" applyFont="1" applyBorder="1" applyAlignment="1" applyProtection="1">
      <alignment horizontal="left"/>
      <protection locked="0"/>
    </xf>
    <xf numFmtId="0" fontId="23" fillId="5" borderId="0" xfId="0" applyFont="1" applyFill="1" applyBorder="1" applyAlignment="1" applyProtection="1">
      <alignment horizontal="left"/>
    </xf>
    <xf numFmtId="0" fontId="23" fillId="5" borderId="0" xfId="0" applyFont="1" applyFill="1" applyBorder="1" applyAlignment="1" applyProtection="1">
      <alignment horizontal="center"/>
      <protection locked="0"/>
    </xf>
    <xf numFmtId="0" fontId="23" fillId="0" borderId="0" xfId="0" applyFont="1" applyBorder="1" applyAlignment="1" applyProtection="1">
      <alignment wrapText="1"/>
      <protection locked="0"/>
    </xf>
    <xf numFmtId="0" fontId="23" fillId="12" borderId="0" xfId="0" applyFont="1" applyFill="1" applyBorder="1" applyAlignment="1" applyProtection="1">
      <alignment wrapText="1"/>
      <protection locked="0"/>
    </xf>
    <xf numFmtId="0" fontId="9" fillId="0" borderId="0" xfId="0" applyFont="1" applyBorder="1" applyAlignment="1" applyProtection="1">
      <alignment horizontal="center"/>
      <protection locked="0"/>
    </xf>
    <xf numFmtId="0" fontId="23" fillId="5" borderId="0" xfId="0" applyFont="1" applyFill="1" applyBorder="1" applyAlignment="1" applyProtection="1">
      <alignment horizontal="right"/>
    </xf>
    <xf numFmtId="0" fontId="23" fillId="0" borderId="0" xfId="0" applyFont="1" applyAlignment="1" applyProtection="1">
      <alignment horizontal="left"/>
      <protection locked="0"/>
    </xf>
    <xf numFmtId="0" fontId="23" fillId="5" borderId="119" xfId="0" applyFont="1" applyFill="1" applyBorder="1" applyAlignment="1" applyProtection="1">
      <alignment horizontal="left"/>
    </xf>
    <xf numFmtId="0" fontId="23" fillId="0" borderId="0" xfId="0" applyFont="1" applyAlignment="1" applyProtection="1">
      <alignment horizontal="center"/>
      <protection locked="0"/>
    </xf>
    <xf numFmtId="0" fontId="23" fillId="5" borderId="111" xfId="0" applyNumberFormat="1" applyFont="1" applyFill="1" applyBorder="1" applyAlignment="1" applyProtection="1">
      <alignment horizontal="left"/>
    </xf>
    <xf numFmtId="0" fontId="16" fillId="32" borderId="9" xfId="0" applyNumberFormat="1" applyFont="1" applyFill="1" applyBorder="1" applyAlignment="1" applyProtection="1">
      <alignment horizontal="center" vertical="center"/>
      <protection locked="0"/>
    </xf>
    <xf numFmtId="49" fontId="16" fillId="25" borderId="9" xfId="0" applyNumberFormat="1" applyFont="1" applyFill="1" applyBorder="1" applyAlignment="1" applyProtection="1">
      <alignment horizontal="center"/>
      <protection locked="0"/>
    </xf>
    <xf numFmtId="0" fontId="16" fillId="25" borderId="9" xfId="0" applyNumberFormat="1" applyFont="1" applyFill="1" applyBorder="1" applyAlignment="1" applyProtection="1">
      <alignment horizontal="center"/>
      <protection locked="0"/>
    </xf>
    <xf numFmtId="176" fontId="16" fillId="17" borderId="9" xfId="0" applyNumberFormat="1" applyFont="1" applyFill="1" applyBorder="1" applyAlignment="1" applyProtection="1">
      <alignment horizontal="center"/>
      <protection locked="0"/>
    </xf>
    <xf numFmtId="0" fontId="12" fillId="7" borderId="9" xfId="2" applyNumberFormat="1" applyFont="1" applyFill="1" applyBorder="1" applyAlignment="1" applyProtection="1">
      <alignment horizontal="center"/>
    </xf>
    <xf numFmtId="0" fontId="16" fillId="6" borderId="9" xfId="2" applyNumberFormat="1" applyFont="1" applyFill="1" applyBorder="1" applyAlignment="1" applyProtection="1">
      <alignment horizontal="center"/>
      <protection locked="0"/>
    </xf>
    <xf numFmtId="0" fontId="16" fillId="6" borderId="9" xfId="0" applyFont="1" applyFill="1" applyBorder="1" applyAlignment="1" applyProtection="1">
      <alignment horizontal="center"/>
      <protection locked="0"/>
    </xf>
    <xf numFmtId="49" fontId="16" fillId="25" borderId="9" xfId="0" applyNumberFormat="1" applyFont="1" applyFill="1" applyBorder="1" applyAlignment="1" applyProtection="1">
      <alignment horizontal="center"/>
    </xf>
    <xf numFmtId="0" fontId="16" fillId="25" borderId="9" xfId="0" applyNumberFormat="1" applyFont="1" applyFill="1" applyBorder="1" applyAlignment="1" applyProtection="1">
      <alignment horizontal="center"/>
    </xf>
    <xf numFmtId="49" fontId="16" fillId="38" borderId="9" xfId="0" applyNumberFormat="1" applyFont="1" applyFill="1" applyBorder="1" applyAlignment="1" applyProtection="1">
      <alignment horizontal="center" vertical="center"/>
      <protection locked="0"/>
    </xf>
    <xf numFmtId="0" fontId="16" fillId="38" borderId="9" xfId="0" applyNumberFormat="1" applyFont="1" applyFill="1" applyBorder="1" applyAlignment="1" applyProtection="1">
      <alignment horizontal="center" vertical="center"/>
      <protection locked="0"/>
    </xf>
    <xf numFmtId="49" fontId="16" fillId="38" borderId="9" xfId="1" applyNumberFormat="1" applyFont="1" applyFill="1" applyBorder="1" applyAlignment="1" applyProtection="1">
      <alignment horizontal="center"/>
      <protection locked="0"/>
    </xf>
    <xf numFmtId="0" fontId="16" fillId="38" borderId="9" xfId="1" applyNumberFormat="1" applyFont="1" applyFill="1" applyBorder="1" applyAlignment="1" applyProtection="1">
      <alignment horizontal="center"/>
      <protection locked="0"/>
    </xf>
    <xf numFmtId="0" fontId="17" fillId="0" borderId="93" xfId="0" applyFont="1" applyBorder="1" applyAlignment="1">
      <alignment horizontal="center" vertical="center"/>
    </xf>
    <xf numFmtId="49" fontId="53" fillId="0" borderId="93" xfId="0" applyNumberFormat="1" applyFont="1" applyFill="1" applyBorder="1" applyAlignment="1">
      <alignment horizontal="left" vertical="center" wrapText="1"/>
    </xf>
    <xf numFmtId="49" fontId="16" fillId="25" borderId="9" xfId="0" applyNumberFormat="1" applyFont="1" applyFill="1" applyBorder="1" applyAlignment="1" applyProtection="1">
      <alignment horizontal="center" vertical="center"/>
      <protection locked="0"/>
    </xf>
    <xf numFmtId="0" fontId="16" fillId="25" borderId="9" xfId="0" applyNumberFormat="1" applyFont="1" applyFill="1" applyBorder="1" applyAlignment="1" applyProtection="1">
      <alignment horizontal="center" vertical="center"/>
      <protection locked="0"/>
    </xf>
    <xf numFmtId="49" fontId="20" fillId="25" borderId="9" xfId="0" applyNumberFormat="1" applyFont="1" applyFill="1" applyBorder="1" applyAlignment="1" applyProtection="1">
      <alignment horizontal="center" vertical="center" wrapText="1"/>
      <protection locked="0"/>
    </xf>
    <xf numFmtId="0" fontId="20" fillId="25" borderId="9" xfId="0" applyNumberFormat="1" applyFont="1" applyFill="1" applyBorder="1" applyAlignment="1" applyProtection="1">
      <alignment horizontal="center" vertical="center" wrapText="1"/>
      <protection locked="0"/>
    </xf>
    <xf numFmtId="49" fontId="20" fillId="25" borderId="223" xfId="0" applyNumberFormat="1" applyFont="1" applyFill="1" applyBorder="1" applyAlignment="1" applyProtection="1">
      <alignment horizontal="center" vertical="center" wrapText="1"/>
      <protection locked="0"/>
    </xf>
    <xf numFmtId="0" fontId="20" fillId="25" borderId="223" xfId="0" applyNumberFormat="1" applyFont="1" applyFill="1" applyBorder="1" applyAlignment="1" applyProtection="1">
      <alignment horizontal="center" vertical="center" wrapText="1"/>
      <protection locked="0"/>
    </xf>
    <xf numFmtId="0" fontId="20" fillId="25" borderId="224" xfId="0" applyNumberFormat="1" applyFont="1" applyFill="1" applyBorder="1" applyAlignment="1" applyProtection="1">
      <alignment horizontal="center" vertical="center" wrapText="1"/>
      <protection locked="0"/>
    </xf>
    <xf numFmtId="0" fontId="20" fillId="4" borderId="9" xfId="0" applyFont="1" applyFill="1" applyBorder="1" applyAlignment="1" applyProtection="1">
      <alignment horizontal="center"/>
      <protection locked="0"/>
    </xf>
    <xf numFmtId="0" fontId="20" fillId="4" borderId="22" xfId="0" applyFont="1" applyFill="1" applyBorder="1" applyAlignment="1" applyProtection="1">
      <alignment horizontal="center"/>
      <protection locked="0"/>
    </xf>
    <xf numFmtId="49" fontId="16" fillId="4" borderId="217" xfId="0" applyNumberFormat="1" applyFont="1" applyFill="1" applyBorder="1" applyAlignment="1" applyProtection="1">
      <alignment horizontal="center"/>
      <protection locked="0"/>
    </xf>
    <xf numFmtId="49" fontId="16" fillId="4" borderId="221" xfId="0" applyNumberFormat="1" applyFont="1" applyFill="1" applyBorder="1" applyAlignment="1" applyProtection="1">
      <alignment horizontal="center"/>
      <protection locked="0"/>
    </xf>
    <xf numFmtId="49" fontId="16" fillId="4" borderId="220" xfId="0" applyNumberFormat="1" applyFont="1" applyFill="1" applyBorder="1" applyAlignment="1" applyProtection="1">
      <alignment horizontal="center"/>
      <protection locked="0"/>
    </xf>
    <xf numFmtId="49" fontId="16" fillId="4" borderId="222" xfId="0" applyNumberFormat="1" applyFont="1" applyFill="1" applyBorder="1" applyAlignment="1" applyProtection="1">
      <alignment horizontal="center"/>
      <protection locked="0"/>
    </xf>
    <xf numFmtId="49" fontId="16" fillId="4" borderId="218" xfId="0" applyNumberFormat="1" applyFont="1" applyFill="1" applyBorder="1" applyAlignment="1" applyProtection="1">
      <alignment horizontal="center"/>
      <protection locked="0"/>
    </xf>
    <xf numFmtId="0" fontId="20" fillId="25" borderId="217" xfId="0" applyNumberFormat="1" applyFont="1" applyFill="1" applyBorder="1" applyAlignment="1" applyProtection="1">
      <alignment horizontal="center" vertical="center" wrapText="1"/>
      <protection locked="0"/>
    </xf>
    <xf numFmtId="0" fontId="20" fillId="25" borderId="220" xfId="0" applyNumberFormat="1" applyFont="1" applyFill="1" applyBorder="1" applyAlignment="1" applyProtection="1">
      <alignment horizontal="center" vertical="center" wrapText="1"/>
      <protection locked="0"/>
    </xf>
    <xf numFmtId="0" fontId="20" fillId="25" borderId="218" xfId="0" applyNumberFormat="1" applyFont="1" applyFill="1" applyBorder="1" applyAlignment="1" applyProtection="1">
      <alignment horizontal="center" vertical="center" wrapText="1"/>
      <protection locked="0"/>
    </xf>
    <xf numFmtId="0" fontId="16" fillId="6" borderId="23" xfId="2" applyNumberFormat="1" applyFont="1" applyFill="1" applyBorder="1" applyAlignment="1" applyProtection="1">
      <alignment horizontal="center"/>
      <protection locked="0"/>
    </xf>
    <xf numFmtId="0" fontId="16" fillId="6" borderId="24" xfId="2" applyNumberFormat="1" applyFont="1" applyFill="1" applyBorder="1" applyAlignment="1" applyProtection="1">
      <alignment horizontal="center"/>
      <protection locked="0"/>
    </xf>
    <xf numFmtId="0" fontId="16" fillId="6" borderId="25" xfId="2" applyNumberFormat="1" applyFont="1" applyFill="1" applyBorder="1" applyAlignment="1" applyProtection="1">
      <alignment horizontal="center"/>
      <protection locked="0"/>
    </xf>
    <xf numFmtId="0" fontId="16" fillId="4" borderId="9" xfId="0" applyFont="1" applyFill="1" applyBorder="1" applyAlignment="1" applyProtection="1">
      <alignment horizontal="center"/>
      <protection locked="0"/>
    </xf>
    <xf numFmtId="49" fontId="16" fillId="17" borderId="9" xfId="0" applyNumberFormat="1" applyFont="1" applyFill="1" applyBorder="1" applyAlignment="1" applyProtection="1">
      <alignment horizontal="right" vertical="center"/>
      <protection locked="0"/>
    </xf>
    <xf numFmtId="0" fontId="16" fillId="17" borderId="9" xfId="0" applyNumberFormat="1" applyFont="1" applyFill="1" applyBorder="1" applyAlignment="1" applyProtection="1">
      <alignment horizontal="right" vertical="center"/>
      <protection locked="0"/>
    </xf>
    <xf numFmtId="49" fontId="16" fillId="4" borderId="9" xfId="0" applyNumberFormat="1" applyFont="1" applyFill="1" applyBorder="1" applyAlignment="1" applyProtection="1">
      <alignment horizontal="right" vertical="center"/>
      <protection locked="0"/>
    </xf>
    <xf numFmtId="0" fontId="16" fillId="7" borderId="9" xfId="0" applyFont="1" applyFill="1" applyBorder="1" applyAlignment="1" applyProtection="1">
      <alignment horizontal="center"/>
    </xf>
    <xf numFmtId="0" fontId="16" fillId="0" borderId="9" xfId="0" applyNumberFormat="1" applyFont="1" applyFill="1" applyBorder="1" applyAlignment="1" applyProtection="1">
      <alignment horizontal="center" vertical="center"/>
      <protection locked="0"/>
    </xf>
    <xf numFmtId="0" fontId="9" fillId="0" borderId="0" xfId="0" applyFont="1" applyBorder="1" applyAlignment="1" applyProtection="1">
      <alignment horizontal="center" vertical="center"/>
      <protection locked="0"/>
    </xf>
    <xf numFmtId="49" fontId="16" fillId="25" borderId="61" xfId="0" applyNumberFormat="1" applyFont="1" applyFill="1" applyBorder="1" applyAlignment="1" applyProtection="1">
      <alignment horizontal="center" vertical="center"/>
      <protection locked="0"/>
    </xf>
    <xf numFmtId="0" fontId="16" fillId="25" borderId="75" xfId="0" applyNumberFormat="1" applyFont="1" applyFill="1" applyBorder="1" applyAlignment="1" applyProtection="1">
      <alignment horizontal="center" vertical="center"/>
      <protection locked="0"/>
    </xf>
    <xf numFmtId="0" fontId="16" fillId="25" borderId="80" xfId="0" applyNumberFormat="1" applyFont="1" applyFill="1" applyBorder="1" applyAlignment="1" applyProtection="1">
      <alignment horizontal="center" vertical="center"/>
      <protection locked="0"/>
    </xf>
    <xf numFmtId="31" fontId="16" fillId="7" borderId="9" xfId="0" applyNumberFormat="1" applyFont="1" applyFill="1" applyBorder="1" applyAlignment="1" applyProtection="1">
      <alignment horizontal="center" vertical="center"/>
    </xf>
    <xf numFmtId="0" fontId="16" fillId="6" borderId="9" xfId="0" applyNumberFormat="1" applyFont="1" applyFill="1" applyBorder="1" applyAlignment="1" applyProtection="1">
      <alignment horizontal="center" vertical="center"/>
      <protection locked="0"/>
    </xf>
    <xf numFmtId="49" fontId="16" fillId="0" borderId="9" xfId="0" applyNumberFormat="1" applyFont="1" applyFill="1" applyBorder="1" applyAlignment="1" applyProtection="1">
      <alignment horizontal="center" vertical="center"/>
      <protection locked="0"/>
    </xf>
    <xf numFmtId="31" fontId="16" fillId="3" borderId="9" xfId="0" applyNumberFormat="1" applyFont="1" applyFill="1" applyBorder="1" applyAlignment="1" applyProtection="1">
      <alignment horizontal="center" vertical="center"/>
    </xf>
    <xf numFmtId="0" fontId="123" fillId="33" borderId="0" xfId="0" applyFont="1" applyFill="1" applyAlignment="1" applyProtection="1">
      <alignment horizontal="left" vertical="center"/>
      <protection locked="0"/>
    </xf>
    <xf numFmtId="0" fontId="23" fillId="33" borderId="177" xfId="0" applyFont="1" applyFill="1" applyBorder="1" applyAlignment="1" applyProtection="1">
      <alignment horizontal="center" wrapText="1"/>
      <protection locked="0"/>
    </xf>
    <xf numFmtId="0" fontId="23" fillId="33" borderId="178" xfId="0" applyFont="1" applyFill="1" applyBorder="1" applyAlignment="1" applyProtection="1">
      <alignment horizontal="center" wrapText="1"/>
      <protection locked="0"/>
    </xf>
    <xf numFmtId="0" fontId="94" fillId="33" borderId="0" xfId="0" applyFont="1" applyFill="1" applyAlignment="1" applyProtection="1">
      <alignment horizontal="left" vertical="center"/>
      <protection locked="0"/>
    </xf>
    <xf numFmtId="0" fontId="122" fillId="33" borderId="0" xfId="0" applyFont="1" applyFill="1" applyAlignment="1" applyProtection="1">
      <alignment horizontal="center" vertical="center"/>
      <protection locked="0"/>
    </xf>
    <xf numFmtId="0" fontId="124" fillId="33" borderId="0" xfId="0" applyFont="1" applyFill="1" applyAlignment="1" applyProtection="1">
      <alignment horizontal="left" vertical="center"/>
      <protection locked="0"/>
    </xf>
    <xf numFmtId="0" fontId="125" fillId="33" borderId="0" xfId="0" applyFont="1" applyFill="1" applyAlignment="1" applyProtection="1">
      <alignment horizontal="left" vertical="center"/>
      <protection locked="0"/>
    </xf>
    <xf numFmtId="0" fontId="23" fillId="33" borderId="175" xfId="0" applyFont="1" applyFill="1" applyBorder="1" applyAlignment="1" applyProtection="1">
      <alignment horizontal="center" wrapText="1"/>
      <protection locked="0"/>
    </xf>
    <xf numFmtId="0" fontId="23" fillId="33" borderId="171" xfId="0" applyFont="1" applyFill="1" applyBorder="1" applyAlignment="1" applyProtection="1">
      <alignment horizontal="center" wrapText="1"/>
      <protection locked="0"/>
    </xf>
    <xf numFmtId="0" fontId="23" fillId="33" borderId="131" xfId="0" applyFont="1" applyFill="1" applyBorder="1" applyAlignment="1" applyProtection="1">
      <alignment horizontal="center" wrapText="1"/>
      <protection locked="0"/>
    </xf>
    <xf numFmtId="0" fontId="23" fillId="33" borderId="137" xfId="0" applyFont="1" applyFill="1" applyBorder="1" applyAlignment="1" applyProtection="1">
      <alignment horizontal="center" wrapText="1"/>
      <protection locked="0"/>
    </xf>
    <xf numFmtId="0" fontId="23" fillId="33" borderId="171" xfId="0" applyFont="1" applyFill="1" applyBorder="1" applyAlignment="1" applyProtection="1">
      <alignment horizontal="left" wrapText="1"/>
      <protection locked="0"/>
    </xf>
    <xf numFmtId="0" fontId="23" fillId="33" borderId="131" xfId="0" applyFont="1" applyFill="1" applyBorder="1" applyAlignment="1" applyProtection="1">
      <alignment horizontal="left" wrapText="1"/>
      <protection locked="0"/>
    </xf>
    <xf numFmtId="0" fontId="23" fillId="33" borderId="137" xfId="0" applyFont="1" applyFill="1" applyBorder="1" applyAlignment="1" applyProtection="1">
      <alignment horizontal="left" wrapText="1"/>
      <protection locked="0"/>
    </xf>
    <xf numFmtId="0" fontId="57" fillId="33" borderId="171" xfId="0" applyFont="1" applyFill="1" applyBorder="1" applyAlignment="1" applyProtection="1">
      <alignment horizontal="left" wrapText="1"/>
      <protection locked="0"/>
    </xf>
    <xf numFmtId="0" fontId="57" fillId="33" borderId="131" xfId="0" applyFont="1" applyFill="1" applyBorder="1" applyAlignment="1" applyProtection="1">
      <alignment horizontal="left" wrapText="1"/>
      <protection locked="0"/>
    </xf>
    <xf numFmtId="0" fontId="57" fillId="33" borderId="137" xfId="0" applyFont="1" applyFill="1" applyBorder="1" applyAlignment="1" applyProtection="1">
      <alignment horizontal="left" wrapText="1"/>
      <protection locked="0"/>
    </xf>
    <xf numFmtId="0" fontId="23" fillId="33" borderId="173" xfId="0" applyFont="1" applyFill="1" applyBorder="1" applyAlignment="1" applyProtection="1">
      <alignment horizontal="center" wrapText="1"/>
      <protection locked="0"/>
    </xf>
    <xf numFmtId="0" fontId="23" fillId="33" borderId="127" xfId="0" applyFont="1" applyFill="1" applyBorder="1" applyAlignment="1" applyProtection="1">
      <alignment horizontal="center" wrapText="1"/>
      <protection locked="0"/>
    </xf>
    <xf numFmtId="0" fontId="23" fillId="33" borderId="172" xfId="0" applyFont="1" applyFill="1" applyBorder="1" applyAlignment="1" applyProtection="1">
      <alignment horizontal="center" wrapText="1"/>
      <protection locked="0"/>
    </xf>
    <xf numFmtId="0" fontId="23" fillId="33" borderId="179" xfId="0" applyFont="1" applyFill="1" applyBorder="1" applyAlignment="1" applyProtection="1">
      <alignment horizontal="center" wrapText="1"/>
      <protection locked="0"/>
    </xf>
    <xf numFmtId="0" fontId="23" fillId="33" borderId="180" xfId="0" applyFont="1" applyFill="1" applyBorder="1" applyAlignment="1" applyProtection="1">
      <alignment horizontal="center" wrapText="1"/>
      <protection locked="0"/>
    </xf>
    <xf numFmtId="0" fontId="23" fillId="33" borderId="171" xfId="0" applyFont="1" applyFill="1" applyBorder="1" applyAlignment="1" applyProtection="1">
      <alignment horizontal="justify" wrapText="1"/>
      <protection locked="0"/>
    </xf>
    <xf numFmtId="0" fontId="23" fillId="33" borderId="137" xfId="0" applyFont="1" applyFill="1" applyBorder="1" applyAlignment="1" applyProtection="1">
      <alignment horizontal="justify" wrapText="1"/>
      <protection locked="0"/>
    </xf>
    <xf numFmtId="0" fontId="0" fillId="33" borderId="128" xfId="0" applyFill="1" applyBorder="1" applyProtection="1">
      <alignment vertical="center"/>
      <protection locked="0"/>
    </xf>
    <xf numFmtId="0" fontId="0" fillId="33" borderId="172" xfId="0" applyFill="1" applyBorder="1" applyProtection="1">
      <alignment vertical="center"/>
      <protection locked="0"/>
    </xf>
    <xf numFmtId="0" fontId="0" fillId="33" borderId="175" xfId="0" applyFill="1" applyBorder="1" applyProtection="1">
      <alignment vertical="center"/>
      <protection locked="0"/>
    </xf>
    <xf numFmtId="0" fontId="0" fillId="33" borderId="126" xfId="0" applyFill="1" applyBorder="1" applyProtection="1">
      <alignment vertical="center"/>
      <protection locked="0"/>
    </xf>
    <xf numFmtId="0" fontId="0" fillId="33" borderId="174" xfId="0" applyFill="1" applyBorder="1" applyProtection="1">
      <alignment vertical="center"/>
      <protection locked="0"/>
    </xf>
    <xf numFmtId="0" fontId="23" fillId="33" borderId="177" xfId="0" applyFont="1" applyFill="1" applyBorder="1" applyAlignment="1" applyProtection="1">
      <alignment horizontal="justify" wrapText="1"/>
      <protection locked="0"/>
    </xf>
    <xf numFmtId="0" fontId="23" fillId="33" borderId="178" xfId="0" applyFont="1" applyFill="1" applyBorder="1" applyAlignment="1" applyProtection="1">
      <alignment horizontal="justify" wrapText="1"/>
      <protection locked="0"/>
    </xf>
    <xf numFmtId="0" fontId="119" fillId="33" borderId="126" xfId="0" applyFont="1" applyFill="1" applyBorder="1" applyAlignment="1" applyProtection="1">
      <alignment horizontal="center"/>
      <protection locked="0"/>
    </xf>
    <xf numFmtId="0" fontId="120" fillId="33" borderId="171" xfId="0" applyFont="1" applyFill="1" applyBorder="1" applyAlignment="1" applyProtection="1">
      <alignment horizontal="center" wrapText="1"/>
      <protection locked="0"/>
    </xf>
    <xf numFmtId="0" fontId="120" fillId="33" borderId="137" xfId="0" applyFont="1" applyFill="1" applyBorder="1" applyAlignment="1" applyProtection="1">
      <alignment horizontal="center" wrapText="1"/>
      <protection locked="0"/>
    </xf>
    <xf numFmtId="0" fontId="120" fillId="33" borderId="127" xfId="0" applyFont="1" applyFill="1" applyBorder="1" applyAlignment="1" applyProtection="1">
      <alignment horizontal="center" wrapText="1"/>
      <protection locked="0"/>
    </xf>
    <xf numFmtId="0" fontId="120" fillId="33" borderId="128" xfId="0" applyFont="1" applyFill="1" applyBorder="1" applyAlignment="1" applyProtection="1">
      <alignment horizontal="center" wrapText="1"/>
      <protection locked="0"/>
    </xf>
    <xf numFmtId="0" fontId="120" fillId="33" borderId="172" xfId="0" applyFont="1" applyFill="1" applyBorder="1" applyAlignment="1" applyProtection="1">
      <alignment horizontal="center" wrapText="1"/>
      <protection locked="0"/>
    </xf>
    <xf numFmtId="0" fontId="120" fillId="33" borderId="175" xfId="0" applyFont="1" applyFill="1" applyBorder="1" applyAlignment="1" applyProtection="1">
      <alignment horizontal="center" wrapText="1"/>
      <protection locked="0"/>
    </xf>
    <xf numFmtId="0" fontId="120" fillId="33" borderId="126" xfId="0" applyFont="1" applyFill="1" applyBorder="1" applyAlignment="1" applyProtection="1">
      <alignment horizontal="center" wrapText="1"/>
      <protection locked="0"/>
    </xf>
    <xf numFmtId="0" fontId="120" fillId="33" borderId="174" xfId="0" applyFont="1" applyFill="1" applyBorder="1" applyAlignment="1" applyProtection="1">
      <alignment horizontal="center" wrapText="1"/>
      <protection locked="0"/>
    </xf>
    <xf numFmtId="0" fontId="119" fillId="33" borderId="0" xfId="0" applyFont="1" applyFill="1" applyAlignment="1" applyProtection="1">
      <alignment horizontal="center"/>
      <protection locked="0"/>
    </xf>
    <xf numFmtId="0" fontId="115" fillId="33" borderId="119" xfId="0" applyFont="1" applyFill="1" applyBorder="1" applyAlignment="1" applyProtection="1">
      <alignment horizontal="center" vertical="center"/>
    </xf>
    <xf numFmtId="186" fontId="0" fillId="33" borderId="109" xfId="0" applyNumberFormat="1" applyFill="1" applyBorder="1" applyAlignment="1" applyProtection="1">
      <alignment horizontal="left" vertical="center" wrapText="1"/>
    </xf>
    <xf numFmtId="186" fontId="0" fillId="33" borderId="111" xfId="0" applyNumberFormat="1" applyFill="1" applyBorder="1" applyAlignment="1" applyProtection="1">
      <alignment horizontal="left" vertical="center"/>
    </xf>
    <xf numFmtId="189" fontId="0" fillId="33" borderId="121" xfId="0" applyNumberFormat="1" applyFill="1" applyBorder="1" applyAlignment="1" applyProtection="1">
      <alignment horizontal="left" vertical="center" wrapText="1"/>
    </xf>
    <xf numFmtId="0" fontId="118" fillId="33" borderId="0" xfId="0" applyFont="1" applyFill="1" applyAlignment="1" applyProtection="1">
      <alignment horizontal="center"/>
    </xf>
    <xf numFmtId="0" fontId="119" fillId="33" borderId="126" xfId="0" applyFont="1" applyFill="1" applyBorder="1" applyAlignment="1" applyProtection="1">
      <alignment horizontal="center"/>
    </xf>
    <xf numFmtId="0" fontId="119" fillId="33" borderId="0" xfId="0" applyFont="1" applyFill="1" applyBorder="1" applyAlignment="1" applyProtection="1">
      <alignment horizontal="center"/>
    </xf>
    <xf numFmtId="0" fontId="120" fillId="33" borderId="171" xfId="0" applyFont="1" applyFill="1" applyBorder="1" applyAlignment="1" applyProtection="1">
      <alignment horizontal="center" vertical="center" wrapText="1"/>
    </xf>
    <xf numFmtId="0" fontId="120" fillId="33" borderId="137" xfId="0" applyFont="1" applyFill="1" applyBorder="1" applyAlignment="1" applyProtection="1">
      <alignment horizontal="center" vertical="center" wrapText="1"/>
    </xf>
    <xf numFmtId="0" fontId="120" fillId="33" borderId="127" xfId="0" applyFont="1" applyFill="1" applyBorder="1" applyAlignment="1" applyProtection="1">
      <alignment horizontal="center" vertical="center" wrapText="1"/>
    </xf>
    <xf numFmtId="0" fontId="120" fillId="33" borderId="128" xfId="0" applyFont="1" applyFill="1" applyBorder="1" applyAlignment="1" applyProtection="1">
      <alignment horizontal="center" vertical="center" wrapText="1"/>
    </xf>
    <xf numFmtId="0" fontId="120" fillId="33" borderId="175" xfId="0" applyFont="1" applyFill="1" applyBorder="1" applyAlignment="1" applyProtection="1">
      <alignment horizontal="center" vertical="center" wrapText="1"/>
    </xf>
    <xf numFmtId="0" fontId="120" fillId="33" borderId="126" xfId="0" applyFont="1" applyFill="1" applyBorder="1" applyAlignment="1" applyProtection="1">
      <alignment horizontal="center" vertical="center" wrapText="1"/>
    </xf>
    <xf numFmtId="0" fontId="0" fillId="33" borderId="171" xfId="0" applyFill="1" applyBorder="1" applyAlignment="1" applyProtection="1">
      <alignment horizontal="center" vertical="center"/>
    </xf>
    <xf numFmtId="0" fontId="0" fillId="33" borderId="131" xfId="0" applyFill="1" applyBorder="1" applyAlignment="1" applyProtection="1">
      <alignment horizontal="center" vertical="center"/>
    </xf>
    <xf numFmtId="0" fontId="0" fillId="33" borderId="137" xfId="0" applyFill="1" applyBorder="1" applyAlignment="1" applyProtection="1">
      <alignment horizontal="center" vertical="center"/>
    </xf>
    <xf numFmtId="0" fontId="0" fillId="33" borderId="176" xfId="0" applyFill="1" applyBorder="1" applyAlignment="1" applyProtection="1">
      <alignment horizontal="center" vertical="center"/>
    </xf>
    <xf numFmtId="0" fontId="0" fillId="33" borderId="176" xfId="0" applyFill="1" applyBorder="1" applyAlignment="1" applyProtection="1">
      <alignment horizontal="left" vertical="center" wrapText="1"/>
    </xf>
    <xf numFmtId="0" fontId="0" fillId="33" borderId="171" xfId="0" applyFill="1" applyBorder="1" applyAlignment="1" applyProtection="1">
      <alignment horizontal="center" vertical="center" wrapText="1"/>
    </xf>
    <xf numFmtId="0" fontId="0" fillId="33" borderId="131" xfId="0" applyFill="1" applyBorder="1" applyAlignment="1" applyProtection="1">
      <alignment horizontal="center" vertical="center" wrapText="1"/>
    </xf>
    <xf numFmtId="0" fontId="0" fillId="33" borderId="137" xfId="0" applyFill="1" applyBorder="1" applyAlignment="1" applyProtection="1">
      <alignment horizontal="center" vertical="center" wrapText="1"/>
    </xf>
    <xf numFmtId="0" fontId="5" fillId="5" borderId="0" xfId="0" applyFont="1" applyFill="1" applyBorder="1" applyAlignment="1" applyProtection="1">
      <alignment vertical="center"/>
    </xf>
    <xf numFmtId="0" fontId="0" fillId="0" borderId="0" xfId="0" applyFont="1" applyBorder="1" applyAlignment="1" applyProtection="1">
      <alignment vertical="center"/>
      <protection locked="0"/>
    </xf>
    <xf numFmtId="0" fontId="27" fillId="0" borderId="0" xfId="0" applyFont="1" applyBorder="1" applyAlignment="1">
      <alignment horizontal="center" vertical="center"/>
    </xf>
    <xf numFmtId="0" fontId="2" fillId="0" borderId="8" xfId="0" applyFont="1" applyFill="1" applyBorder="1" applyAlignment="1" applyProtection="1">
      <alignment horizontal="center" vertical="center"/>
      <protection locked="0"/>
    </xf>
    <xf numFmtId="0" fontId="2" fillId="2" borderId="96" xfId="0" applyFont="1" applyFill="1" applyBorder="1" applyAlignment="1" applyProtection="1">
      <alignment horizontal="left" vertical="center"/>
      <protection locked="0"/>
    </xf>
    <xf numFmtId="0" fontId="2" fillId="0" borderId="98" xfId="0" applyFont="1" applyBorder="1" applyAlignment="1" applyProtection="1">
      <alignment horizontal="left" vertical="top" wrapText="1"/>
      <protection locked="0"/>
    </xf>
    <xf numFmtId="0" fontId="2" fillId="5" borderId="98" xfId="0" applyFont="1" applyFill="1" applyBorder="1" applyAlignment="1" applyProtection="1">
      <alignment horizontal="center" vertical="center" wrapText="1"/>
    </xf>
    <xf numFmtId="0" fontId="2" fillId="2" borderId="7" xfId="0"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49" fontId="2" fillId="5" borderId="22" xfId="0" applyNumberFormat="1"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187" fontId="2" fillId="3" borderId="9" xfId="0" applyNumberFormat="1" applyFont="1" applyFill="1" applyBorder="1" applyAlignment="1" applyProtection="1">
      <alignment horizontal="center" vertical="center"/>
      <protection locked="0"/>
    </xf>
    <xf numFmtId="0" fontId="2" fillId="2" borderId="3" xfId="0" applyFont="1" applyFill="1" applyBorder="1" applyAlignment="1" applyProtection="1">
      <alignment horizontal="center" vertical="center"/>
      <protection locked="0"/>
    </xf>
    <xf numFmtId="0" fontId="2" fillId="5" borderId="98" xfId="0" applyFont="1" applyFill="1" applyBorder="1" applyAlignment="1" applyProtection="1">
      <alignment horizontal="center" vertical="center"/>
    </xf>
    <xf numFmtId="0" fontId="2" fillId="5" borderId="19" xfId="0" applyFont="1" applyFill="1" applyBorder="1" applyAlignment="1" applyProtection="1">
      <alignment vertical="center"/>
    </xf>
    <xf numFmtId="0" fontId="2" fillId="2" borderId="19" xfId="0" applyFont="1" applyFill="1" applyBorder="1" applyAlignment="1" applyProtection="1">
      <alignment horizontal="center" vertical="center"/>
      <protection locked="0"/>
    </xf>
    <xf numFmtId="31" fontId="2" fillId="5" borderId="12" xfId="0" applyNumberFormat="1" applyFont="1" applyFill="1" applyBorder="1" applyAlignment="1" applyProtection="1">
      <alignment vertical="center"/>
    </xf>
    <xf numFmtId="0" fontId="2" fillId="2" borderId="12" xfId="0" applyFont="1" applyFill="1" applyBorder="1" applyAlignment="1" applyProtection="1">
      <alignment horizontal="center" vertical="center"/>
      <protection locked="0"/>
    </xf>
    <xf numFmtId="0" fontId="0" fillId="2" borderId="36" xfId="0" applyFont="1" applyFill="1" applyBorder="1" applyAlignment="1" applyProtection="1">
      <alignment vertical="center"/>
      <protection locked="0"/>
    </xf>
    <xf numFmtId="0" fontId="0" fillId="6" borderId="9" xfId="0" applyFill="1" applyBorder="1" applyAlignment="1" applyProtection="1">
      <alignment horizontal="center" vertical="center"/>
      <protection locked="0"/>
    </xf>
    <xf numFmtId="0" fontId="0" fillId="2" borderId="30" xfId="0" applyFont="1" applyFill="1" applyBorder="1" applyAlignment="1" applyProtection="1">
      <alignment vertical="center"/>
      <protection locked="0"/>
    </xf>
    <xf numFmtId="0" fontId="0" fillId="0" borderId="35" xfId="0" applyFont="1" applyBorder="1" applyAlignment="1" applyProtection="1">
      <alignment horizontal="center" vertical="center"/>
      <protection locked="0"/>
    </xf>
    <xf numFmtId="0" fontId="0" fillId="2" borderId="6" xfId="0" applyFont="1" applyFill="1" applyBorder="1" applyAlignment="1" applyProtection="1">
      <alignment vertical="center"/>
      <protection locked="0"/>
    </xf>
    <xf numFmtId="0" fontId="0" fillId="6" borderId="11" xfId="0" applyFill="1" applyBorder="1" applyAlignment="1" applyProtection="1">
      <alignment horizontal="center" vertical="center"/>
      <protection locked="0"/>
    </xf>
    <xf numFmtId="0" fontId="0" fillId="2" borderId="7" xfId="0" applyFont="1" applyFill="1" applyBorder="1" applyAlignment="1" applyProtection="1">
      <alignment vertical="center"/>
      <protection locked="0"/>
    </xf>
    <xf numFmtId="0" fontId="0" fillId="6" borderId="8" xfId="0" applyFill="1" applyBorder="1" applyAlignment="1" applyProtection="1">
      <alignment vertical="center"/>
      <protection locked="0"/>
    </xf>
    <xf numFmtId="0" fontId="0" fillId="2" borderId="10" xfId="0" applyFont="1" applyFill="1" applyBorder="1" applyAlignment="1" applyProtection="1">
      <alignment vertical="center"/>
      <protection locked="0"/>
    </xf>
    <xf numFmtId="0" fontId="0" fillId="6" borderId="12" xfId="0" applyFill="1" applyBorder="1" applyAlignment="1" applyProtection="1">
      <alignment vertical="center"/>
      <protection locked="0"/>
    </xf>
    <xf numFmtId="0" fontId="0" fillId="6" borderId="19" xfId="0" applyFill="1" applyBorder="1" applyAlignment="1" applyProtection="1">
      <alignment vertical="center"/>
      <protection locked="0"/>
    </xf>
    <xf numFmtId="0" fontId="0" fillId="2" borderId="33" xfId="0" applyFont="1" applyFill="1" applyBorder="1" applyAlignment="1" applyProtection="1">
      <alignment horizontal="center" vertical="center"/>
      <protection locked="0"/>
    </xf>
    <xf numFmtId="0" fontId="0" fillId="2" borderId="11" xfId="0" applyFont="1" applyFill="1" applyBorder="1" applyAlignment="1" applyProtection="1">
      <alignment horizontal="center" vertical="center"/>
      <protection locked="0"/>
    </xf>
    <xf numFmtId="0" fontId="0" fillId="2" borderId="31" xfId="0" applyFill="1" applyBorder="1" applyAlignment="1" applyProtection="1">
      <alignment horizontal="center" vertical="center"/>
      <protection locked="0"/>
    </xf>
    <xf numFmtId="0" fontId="0" fillId="5" borderId="19" xfId="0" applyFill="1" applyBorder="1" applyAlignment="1" applyProtection="1">
      <alignment vertical="center" wrapText="1"/>
    </xf>
    <xf numFmtId="0" fontId="0" fillId="2" borderId="19" xfId="0" applyFill="1" applyBorder="1" applyAlignment="1" applyProtection="1">
      <alignment horizontal="center" vertical="center"/>
      <protection locked="0"/>
    </xf>
    <xf numFmtId="0" fontId="0" fillId="7" borderId="8" xfId="0" applyNumberFormat="1" applyFill="1" applyBorder="1" applyAlignment="1" applyProtection="1">
      <alignment horizontal="center" vertical="center"/>
      <protection locked="0"/>
    </xf>
    <xf numFmtId="0" fontId="0" fillId="5" borderId="8" xfId="0" applyFill="1" applyBorder="1" applyAlignment="1" applyProtection="1">
      <alignment horizontal="center" vertical="center"/>
    </xf>
    <xf numFmtId="49" fontId="0" fillId="5" borderId="22" xfId="0" applyNumberFormat="1" applyFont="1" applyFill="1" applyBorder="1" applyAlignment="1" applyProtection="1">
      <alignment horizontal="center" vertical="center"/>
    </xf>
    <xf numFmtId="0" fontId="0" fillId="5" borderId="12" xfId="0" applyNumberFormat="1" applyFill="1" applyBorder="1" applyAlignment="1" applyProtection="1">
      <alignment horizontal="center" vertical="center"/>
    </xf>
    <xf numFmtId="0" fontId="0" fillId="5" borderId="12" xfId="0" applyFill="1" applyBorder="1" applyAlignment="1" applyProtection="1">
      <alignment horizontal="center" vertical="center"/>
    </xf>
    <xf numFmtId="0" fontId="2" fillId="2" borderId="0" xfId="0" applyFont="1" applyFill="1" applyBorder="1" applyAlignment="1" applyProtection="1">
      <alignment horizontal="center"/>
      <protection locked="0"/>
    </xf>
    <xf numFmtId="0" fontId="2" fillId="5" borderId="0" xfId="0" applyFont="1" applyFill="1" applyBorder="1" applyAlignment="1" applyProtection="1"/>
    <xf numFmtId="0" fontId="2" fillId="2" borderId="3" xfId="0" applyFont="1" applyFill="1" applyBorder="1" applyAlignment="1" applyProtection="1">
      <alignment horizontal="center" vertical="center" wrapText="1"/>
      <protection locked="0"/>
    </xf>
    <xf numFmtId="0" fontId="2" fillId="2" borderId="28" xfId="0" applyFont="1" applyFill="1" applyBorder="1" applyAlignment="1" applyProtection="1">
      <alignment vertical="center" wrapText="1"/>
      <protection locked="0"/>
    </xf>
    <xf numFmtId="0" fontId="2" fillId="0" borderId="5" xfId="0" applyFont="1" applyBorder="1" applyAlignment="1" applyProtection="1">
      <alignment vertical="center"/>
      <protection locked="0"/>
    </xf>
    <xf numFmtId="0" fontId="2" fillId="2" borderId="3" xfId="0" applyFont="1" applyFill="1" applyBorder="1" applyAlignment="1" applyProtection="1">
      <alignment vertical="center" wrapText="1"/>
      <protection locked="0"/>
    </xf>
    <xf numFmtId="0" fontId="2" fillId="0" borderId="0" xfId="0" applyFont="1" applyBorder="1" applyAlignment="1" applyProtection="1">
      <protection locked="0"/>
    </xf>
    <xf numFmtId="0" fontId="2" fillId="0" borderId="20" xfId="0" applyFont="1" applyBorder="1" applyAlignment="1" applyProtection="1">
      <alignment vertical="center"/>
      <protection locked="0"/>
    </xf>
    <xf numFmtId="0" fontId="2" fillId="0" borderId="28" xfId="0" applyFont="1" applyBorder="1" applyAlignment="1" applyProtection="1">
      <protection locked="0"/>
    </xf>
    <xf numFmtId="0" fontId="2" fillId="0" borderId="2" xfId="0" applyFont="1" applyBorder="1" applyAlignment="1" applyProtection="1">
      <alignment vertical="center"/>
      <protection locked="0"/>
    </xf>
    <xf numFmtId="0" fontId="2" fillId="0" borderId="37" xfId="0" applyFont="1" applyBorder="1" applyAlignment="1" applyProtection="1">
      <protection locked="0"/>
    </xf>
    <xf numFmtId="0" fontId="2" fillId="2" borderId="30" xfId="0" applyFont="1" applyFill="1" applyBorder="1" applyAlignment="1" applyProtection="1">
      <alignment vertical="center"/>
      <protection locked="0"/>
    </xf>
    <xf numFmtId="0" fontId="2" fillId="2" borderId="0" xfId="0" applyFont="1" applyFill="1" applyBorder="1" applyAlignment="1" applyProtection="1">
      <protection locked="0"/>
    </xf>
    <xf numFmtId="0" fontId="2" fillId="2" borderId="31" xfId="0" applyFont="1" applyFill="1" applyBorder="1" applyAlignment="1" applyProtection="1">
      <protection locked="0"/>
    </xf>
    <xf numFmtId="0" fontId="2" fillId="0" borderId="28" xfId="0" applyFont="1" applyBorder="1" applyAlignment="1" applyProtection="1">
      <alignment vertical="center"/>
      <protection locked="0"/>
    </xf>
    <xf numFmtId="0" fontId="2" fillId="2" borderId="27" xfId="0" applyFont="1" applyFill="1" applyBorder="1" applyAlignment="1" applyProtection="1">
      <protection locked="0"/>
    </xf>
    <xf numFmtId="0" fontId="2" fillId="2" borderId="3" xfId="0" applyFont="1" applyFill="1" applyBorder="1" applyAlignment="1" applyProtection="1">
      <alignment vertical="top"/>
      <protection locked="0"/>
    </xf>
    <xf numFmtId="0" fontId="2" fillId="0" borderId="21" xfId="0" applyFont="1" applyBorder="1" applyAlignment="1" applyProtection="1">
      <protection locked="0"/>
    </xf>
    <xf numFmtId="0" fontId="2" fillId="2" borderId="31" xfId="0" applyFont="1" applyFill="1" applyBorder="1" applyAlignment="1" applyProtection="1">
      <alignment vertical="top"/>
      <protection locked="0"/>
    </xf>
    <xf numFmtId="0" fontId="2" fillId="2" borderId="4" xfId="0" applyFont="1" applyFill="1" applyBorder="1" applyAlignment="1" applyProtection="1">
      <alignment horizontal="center" vertical="center" wrapText="1"/>
      <protection locked="0"/>
    </xf>
    <xf numFmtId="0" fontId="2" fillId="2" borderId="4" xfId="0" applyFont="1" applyFill="1" applyBorder="1" applyAlignment="1" applyProtection="1">
      <protection locked="0"/>
    </xf>
    <xf numFmtId="0" fontId="2" fillId="2" borderId="37" xfId="0" applyFont="1" applyFill="1" applyBorder="1" applyAlignment="1" applyProtection="1">
      <alignment vertical="center" wrapText="1"/>
      <protection locked="0"/>
    </xf>
    <xf numFmtId="0" fontId="2" fillId="0" borderId="2" xfId="0" applyFont="1" applyBorder="1" applyAlignment="1" applyProtection="1">
      <alignment vertical="top"/>
      <protection locked="0"/>
    </xf>
    <xf numFmtId="0" fontId="2" fillId="0" borderId="31" xfId="0" applyFont="1" applyBorder="1" applyAlignment="1" applyProtection="1">
      <alignment horizontal="center"/>
      <protection locked="0"/>
    </xf>
    <xf numFmtId="0" fontId="2" fillId="2" borderId="2" xfId="0" applyFont="1" applyFill="1" applyBorder="1" applyAlignment="1" applyProtection="1">
      <alignment vertical="center" wrapText="1"/>
      <protection locked="0"/>
    </xf>
    <xf numFmtId="0" fontId="2" fillId="0" borderId="37" xfId="0" applyFont="1" applyBorder="1" applyAlignment="1" applyProtection="1">
      <alignment vertical="center"/>
      <protection locked="0"/>
    </xf>
    <xf numFmtId="0" fontId="2" fillId="2" borderId="3" xfId="0" applyFont="1" applyFill="1" applyBorder="1" applyAlignment="1" applyProtection="1">
      <protection locked="0"/>
    </xf>
    <xf numFmtId="0" fontId="2" fillId="0" borderId="28" xfId="0" applyFont="1" applyBorder="1" applyAlignment="1" applyProtection="1">
      <alignment vertical="top"/>
      <protection locked="0"/>
    </xf>
    <xf numFmtId="0" fontId="2" fillId="5" borderId="13" xfId="0" applyFont="1" applyFill="1" applyBorder="1" applyAlignment="1" applyProtection="1"/>
    <xf numFmtId="0" fontId="2" fillId="2" borderId="32" xfId="0" applyFont="1" applyFill="1" applyBorder="1" applyAlignment="1" applyProtection="1">
      <alignment vertical="center" wrapText="1"/>
      <protection locked="0"/>
    </xf>
    <xf numFmtId="0" fontId="2" fillId="0" borderId="1" xfId="0" applyFont="1" applyBorder="1" applyAlignment="1" applyProtection="1">
      <alignment vertical="top"/>
      <protection locked="0"/>
    </xf>
    <xf numFmtId="0" fontId="2" fillId="0" borderId="32" xfId="0" applyFont="1" applyBorder="1" applyAlignment="1" applyProtection="1">
      <alignment horizontal="center"/>
      <protection locked="0"/>
    </xf>
    <xf numFmtId="0" fontId="2" fillId="0" borderId="2" xfId="0" applyFont="1" applyBorder="1" applyAlignment="1" applyProtection="1">
      <protection locked="0"/>
    </xf>
    <xf numFmtId="0" fontId="9" fillId="2" borderId="0" xfId="0" applyFont="1" applyFill="1" applyBorder="1" applyAlignment="1" applyProtection="1">
      <alignment horizontal="center" vertical="center"/>
    </xf>
    <xf numFmtId="0" fontId="0" fillId="2" borderId="0" xfId="0" applyFont="1" applyFill="1" applyBorder="1" applyAlignment="1" applyProtection="1">
      <alignment horizontal="left"/>
      <protection locked="0"/>
    </xf>
    <xf numFmtId="0" fontId="2" fillId="2" borderId="20" xfId="0" applyFont="1" applyFill="1" applyBorder="1" applyAlignment="1" applyProtection="1">
      <alignment horizontal="right"/>
      <protection locked="0"/>
    </xf>
    <xf numFmtId="49" fontId="2" fillId="5" borderId="20" xfId="0" applyNumberFormat="1" applyFont="1" applyFill="1" applyBorder="1" applyAlignment="1" applyProtection="1">
      <alignment horizontal="center"/>
    </xf>
    <xf numFmtId="0" fontId="2" fillId="0" borderId="21" xfId="0" applyFont="1" applyBorder="1" applyAlignment="1" applyProtection="1">
      <alignment vertical="center"/>
      <protection locked="0"/>
    </xf>
    <xf numFmtId="0" fontId="2" fillId="2" borderId="10" xfId="0" applyFont="1" applyFill="1" applyBorder="1" applyAlignment="1" applyProtection="1">
      <alignment horizontal="center"/>
      <protection locked="0"/>
    </xf>
    <xf numFmtId="0" fontId="2" fillId="2" borderId="12" xfId="0" applyFont="1" applyFill="1" applyBorder="1" applyAlignment="1" applyProtection="1">
      <alignment horizontal="center"/>
      <protection locked="0"/>
    </xf>
    <xf numFmtId="0" fontId="2" fillId="0" borderId="27" xfId="0" applyFont="1" applyBorder="1" applyAlignment="1" applyProtection="1">
      <protection locked="0"/>
    </xf>
    <xf numFmtId="0" fontId="2" fillId="5" borderId="66" xfId="0" applyFont="1" applyFill="1" applyBorder="1" applyAlignment="1" applyProtection="1"/>
    <xf numFmtId="0" fontId="2" fillId="2" borderId="35" xfId="0" applyFont="1" applyFill="1" applyBorder="1" applyAlignment="1" applyProtection="1">
      <alignment horizontal="center" vertical="center"/>
      <protection locked="0"/>
    </xf>
    <xf numFmtId="0" fontId="0" fillId="0" borderId="4" xfId="0" applyFont="1" applyBorder="1" applyAlignment="1" applyProtection="1">
      <alignment vertical="top" wrapText="1"/>
      <protection locked="0"/>
    </xf>
    <xf numFmtId="0" fontId="0" fillId="0" borderId="3" xfId="0" applyFont="1" applyBorder="1" applyAlignment="1" applyProtection="1">
      <alignment horizontal="left" vertical="top"/>
      <protection locked="0"/>
    </xf>
    <xf numFmtId="0" fontId="0" fillId="0" borderId="31" xfId="0" applyFont="1" applyBorder="1" applyAlignment="1" applyProtection="1">
      <alignment vertical="top" wrapText="1"/>
      <protection locked="0"/>
    </xf>
    <xf numFmtId="0" fontId="0" fillId="5" borderId="30" xfId="0" applyFont="1" applyFill="1" applyBorder="1" applyAlignment="1" applyProtection="1">
      <alignment vertical="center"/>
    </xf>
    <xf numFmtId="0" fontId="0" fillId="5" borderId="3" xfId="0" applyFont="1" applyFill="1" applyBorder="1" applyAlignment="1" applyProtection="1">
      <alignment horizontal="left" vertical="center"/>
    </xf>
    <xf numFmtId="0" fontId="16" fillId="0" borderId="32" xfId="0" applyFont="1" applyBorder="1" applyAlignment="1" applyProtection="1">
      <alignment vertical="center"/>
      <protection locked="0"/>
    </xf>
    <xf numFmtId="0" fontId="16" fillId="5" borderId="34" xfId="0" applyFont="1" applyFill="1" applyBorder="1" applyAlignment="1" applyProtection="1">
      <alignment vertical="center"/>
    </xf>
    <xf numFmtId="0" fontId="16" fillId="2" borderId="99" xfId="0" applyFont="1" applyFill="1" applyBorder="1" applyAlignment="1" applyProtection="1">
      <alignment horizontal="center" vertical="center"/>
      <protection locked="0"/>
    </xf>
    <xf numFmtId="0" fontId="16" fillId="2" borderId="100" xfId="0" applyFont="1" applyFill="1" applyBorder="1" applyAlignment="1" applyProtection="1">
      <alignment horizontal="center" vertical="center"/>
      <protection locked="0"/>
    </xf>
    <xf numFmtId="0" fontId="16" fillId="7" borderId="25" xfId="0" applyFont="1" applyFill="1" applyBorder="1" applyAlignment="1" applyProtection="1">
      <alignment vertical="center"/>
      <protection locked="0"/>
    </xf>
    <xf numFmtId="0" fontId="16" fillId="5" borderId="7" xfId="0" applyFont="1" applyFill="1" applyBorder="1" applyAlignment="1" applyProtection="1">
      <alignment horizontal="left" vertical="center"/>
    </xf>
    <xf numFmtId="0" fontId="16" fillId="5" borderId="9" xfId="0" applyFont="1" applyFill="1" applyBorder="1" applyAlignment="1" applyProtection="1">
      <alignment horizontal="left" vertical="center"/>
    </xf>
    <xf numFmtId="0" fontId="16" fillId="0" borderId="14" xfId="0" applyFont="1" applyBorder="1" applyAlignment="1" applyProtection="1">
      <alignment horizontal="center" vertical="center"/>
      <protection locked="0"/>
    </xf>
    <xf numFmtId="0" fontId="16" fillId="0" borderId="10" xfId="0" applyFont="1" applyBorder="1" applyAlignment="1" applyProtection="1">
      <alignment horizontal="left" vertical="center"/>
      <protection locked="0"/>
    </xf>
    <xf numFmtId="0" fontId="16" fillId="0" borderId="22" xfId="0" applyFont="1" applyBorder="1" applyAlignment="1" applyProtection="1">
      <alignment horizontal="left" vertical="center"/>
      <protection locked="0"/>
    </xf>
    <xf numFmtId="0" fontId="16" fillId="5" borderId="25" xfId="0" applyFont="1" applyFill="1" applyBorder="1" applyAlignment="1" applyProtection="1">
      <alignment vertical="center"/>
    </xf>
    <xf numFmtId="0" fontId="16" fillId="0" borderId="4" xfId="0" applyFont="1" applyBorder="1" applyAlignment="1" applyProtection="1">
      <alignment vertical="center"/>
      <protection locked="0"/>
    </xf>
    <xf numFmtId="0" fontId="16" fillId="2" borderId="30" xfId="0" applyFont="1" applyFill="1" applyBorder="1" applyAlignment="1" applyProtection="1">
      <alignment horizontal="center" vertical="center"/>
      <protection locked="0"/>
    </xf>
    <xf numFmtId="0" fontId="16" fillId="2" borderId="3" xfId="0" applyFont="1" applyFill="1" applyBorder="1" applyAlignment="1" applyProtection="1">
      <alignment horizontal="center" vertical="center"/>
      <protection locked="0"/>
    </xf>
    <xf numFmtId="0" fontId="10" fillId="2" borderId="92" xfId="0" applyFont="1" applyFill="1" applyBorder="1" applyAlignment="1" applyProtection="1">
      <alignment vertical="center"/>
      <protection locked="0"/>
    </xf>
    <xf numFmtId="0" fontId="10" fillId="2" borderId="101" xfId="0" applyFont="1" applyFill="1" applyBorder="1" applyAlignment="1" applyProtection="1">
      <alignment horizontal="center" vertical="center"/>
      <protection locked="0"/>
    </xf>
    <xf numFmtId="0" fontId="9" fillId="2" borderId="0" xfId="0" applyFont="1" applyFill="1" applyBorder="1" applyAlignment="1" applyProtection="1">
      <alignment horizontal="center" vertical="center" wrapText="1"/>
      <protection locked="0"/>
    </xf>
    <xf numFmtId="0" fontId="31" fillId="2" borderId="0" xfId="0" applyFont="1" applyFill="1" applyBorder="1" applyAlignment="1" applyProtection="1">
      <alignment horizontal="center" vertical="center" wrapText="1" shrinkToFit="1"/>
      <protection locked="0"/>
    </xf>
    <xf numFmtId="0" fontId="0" fillId="5" borderId="38" xfId="0" applyFont="1" applyFill="1" applyBorder="1" applyAlignment="1" applyProtection="1">
      <alignment wrapText="1" shrinkToFit="1"/>
    </xf>
    <xf numFmtId="0" fontId="0" fillId="2" borderId="38" xfId="0" applyFont="1" applyFill="1" applyBorder="1" applyAlignment="1" applyProtection="1">
      <alignment horizontal="center" wrapText="1" shrinkToFit="1"/>
      <protection locked="0"/>
    </xf>
    <xf numFmtId="0" fontId="10" fillId="2" borderId="92" xfId="0" applyFont="1" applyFill="1" applyBorder="1" applyAlignment="1" applyProtection="1">
      <alignment horizontal="center" vertical="center"/>
      <protection locked="0"/>
    </xf>
    <xf numFmtId="0" fontId="0" fillId="2" borderId="101" xfId="0" applyFont="1" applyFill="1" applyBorder="1" applyAlignment="1" applyProtection="1">
      <alignment vertical="center"/>
      <protection locked="0"/>
    </xf>
    <xf numFmtId="0" fontId="0" fillId="2" borderId="92" xfId="0" applyFont="1" applyFill="1" applyBorder="1" applyAlignment="1" applyProtection="1">
      <alignment horizontal="center" vertical="center"/>
      <protection locked="0"/>
    </xf>
    <xf numFmtId="0" fontId="0" fillId="2" borderId="102" xfId="0" applyFont="1" applyFill="1" applyBorder="1" applyAlignment="1" applyProtection="1">
      <alignment vertical="center" wrapText="1"/>
      <protection locked="0"/>
    </xf>
    <xf numFmtId="0" fontId="0" fillId="2" borderId="102" xfId="0" applyFont="1" applyFill="1" applyBorder="1" applyAlignment="1" applyProtection="1">
      <alignment vertical="center"/>
      <protection locked="0"/>
    </xf>
    <xf numFmtId="0" fontId="16" fillId="2" borderId="103" xfId="0" applyFont="1" applyFill="1" applyBorder="1" applyAlignment="1" applyProtection="1">
      <alignment vertical="center" wrapText="1"/>
      <protection locked="0"/>
    </xf>
    <xf numFmtId="0" fontId="0" fillId="7" borderId="3" xfId="0" applyFont="1" applyFill="1" applyBorder="1" applyAlignment="1" applyProtection="1">
      <alignment horizontal="center" vertical="center"/>
    </xf>
    <xf numFmtId="0" fontId="0" fillId="0" borderId="3" xfId="0" applyFont="1" applyBorder="1" applyAlignment="1" applyProtection="1">
      <alignment horizontal="center" vertical="center"/>
      <protection locked="0"/>
    </xf>
    <xf numFmtId="0" fontId="0" fillId="2" borderId="0" xfId="0" applyFont="1" applyFill="1" applyBorder="1" applyAlignment="1" applyProtection="1">
      <alignment horizontal="center"/>
      <protection locked="0"/>
    </xf>
    <xf numFmtId="0" fontId="0" fillId="5" borderId="20" xfId="0" applyFont="1" applyFill="1" applyBorder="1" applyAlignment="1" applyProtection="1">
      <alignment horizontal="center" shrinkToFit="1"/>
    </xf>
    <xf numFmtId="0" fontId="0" fillId="5" borderId="0" xfId="0" applyFont="1" applyFill="1" applyBorder="1" applyAlignment="1" applyProtection="1">
      <alignment horizontal="left"/>
    </xf>
    <xf numFmtId="0" fontId="16" fillId="0" borderId="29" xfId="0" applyFont="1" applyFill="1" applyBorder="1" applyAlignment="1" applyProtection="1">
      <alignment horizontal="center" vertical="top" wrapText="1"/>
      <protection locked="0"/>
    </xf>
    <xf numFmtId="0" fontId="2" fillId="2" borderId="0" xfId="0" applyFont="1" applyFill="1" applyBorder="1" applyAlignment="1" applyProtection="1">
      <alignment vertical="center"/>
      <protection locked="0"/>
    </xf>
    <xf numFmtId="0" fontId="2" fillId="0" borderId="0" xfId="0" applyFont="1" applyFill="1" applyBorder="1" applyAlignment="1" applyProtection="1">
      <alignment horizontal="center"/>
      <protection locked="0"/>
    </xf>
    <xf numFmtId="0" fontId="16" fillId="5" borderId="19" xfId="0" applyFont="1" applyFill="1" applyBorder="1" applyAlignment="1" applyProtection="1">
      <alignment vertical="center"/>
    </xf>
    <xf numFmtId="31" fontId="16" fillId="5" borderId="11" xfId="0" applyNumberFormat="1" applyFont="1" applyFill="1" applyBorder="1" applyAlignment="1" applyProtection="1">
      <alignment horizontal="center" vertical="center"/>
    </xf>
    <xf numFmtId="31" fontId="16" fillId="0" borderId="12" xfId="0" applyNumberFormat="1" applyFont="1" applyFill="1" applyBorder="1" applyAlignment="1" applyProtection="1">
      <alignment vertical="center"/>
    </xf>
    <xf numFmtId="0" fontId="16" fillId="5" borderId="22" xfId="0" applyFont="1" applyFill="1" applyBorder="1" applyAlignment="1" applyProtection="1">
      <alignment horizontal="center" vertical="center"/>
    </xf>
    <xf numFmtId="0" fontId="16" fillId="2" borderId="26" xfId="0" applyFont="1" applyFill="1" applyBorder="1" applyAlignment="1" applyProtection="1">
      <alignment horizontal="center" vertical="center" wrapText="1"/>
      <protection locked="0"/>
    </xf>
    <xf numFmtId="0" fontId="16" fillId="0" borderId="28" xfId="0" applyFont="1" applyFill="1" applyBorder="1" applyAlignment="1" applyProtection="1">
      <alignment horizontal="center" vertical="top"/>
      <protection locked="0"/>
    </xf>
    <xf numFmtId="0" fontId="16" fillId="2" borderId="6" xfId="0" applyFont="1" applyFill="1" applyBorder="1" applyAlignment="1" applyProtection="1">
      <alignment vertical="center"/>
      <protection locked="0"/>
    </xf>
    <xf numFmtId="0" fontId="16" fillId="7" borderId="11" xfId="0" applyNumberFormat="1" applyFont="1" applyFill="1" applyBorder="1" applyAlignment="1" applyProtection="1">
      <alignment horizontal="center"/>
      <protection locked="0"/>
    </xf>
    <xf numFmtId="0" fontId="0" fillId="0" borderId="0" xfId="0" applyBorder="1" applyAlignment="1" applyProtection="1">
      <protection locked="0"/>
    </xf>
    <xf numFmtId="0" fontId="0" fillId="0" borderId="0" xfId="0" applyFont="1" applyBorder="1" applyAlignment="1" applyProtection="1">
      <protection locked="0"/>
    </xf>
    <xf numFmtId="0" fontId="0" fillId="0" borderId="0" xfId="0" applyFont="1" applyBorder="1" applyAlignment="1" applyProtection="1">
      <alignment wrapText="1"/>
      <protection locked="0"/>
    </xf>
    <xf numFmtId="0" fontId="2" fillId="3" borderId="104" xfId="0" applyFont="1" applyFill="1" applyBorder="1" applyAlignment="1" applyProtection="1">
      <alignment vertical="center"/>
    </xf>
    <xf numFmtId="0" fontId="2" fillId="0" borderId="37" xfId="0" applyFont="1" applyFill="1" applyBorder="1" applyAlignment="1" applyProtection="1">
      <alignment vertical="center"/>
      <protection locked="0"/>
    </xf>
    <xf numFmtId="0" fontId="2" fillId="3" borderId="105" xfId="0" applyFont="1" applyFill="1" applyBorder="1" applyAlignment="1" applyProtection="1">
      <alignment vertical="center"/>
    </xf>
    <xf numFmtId="0" fontId="2" fillId="3" borderId="2" xfId="0" applyFont="1" applyFill="1" applyBorder="1" applyAlignment="1" applyProtection="1">
      <alignment vertical="center"/>
    </xf>
    <xf numFmtId="0" fontId="0" fillId="0" borderId="1" xfId="0" applyFont="1" applyFill="1" applyBorder="1" applyAlignment="1" applyProtection="1">
      <alignment vertical="center"/>
      <protection locked="0"/>
    </xf>
    <xf numFmtId="0" fontId="2" fillId="2" borderId="33" xfId="0" applyFont="1" applyFill="1" applyBorder="1" applyAlignment="1" applyProtection="1">
      <alignment horizontal="center" vertical="center"/>
      <protection locked="0"/>
    </xf>
    <xf numFmtId="0" fontId="2" fillId="3" borderId="106" xfId="0" applyFont="1" applyFill="1" applyBorder="1" applyAlignment="1" applyProtection="1">
      <alignment vertical="center"/>
    </xf>
    <xf numFmtId="0" fontId="2" fillId="3" borderId="28" xfId="0" applyFont="1" applyFill="1" applyBorder="1" applyAlignment="1" applyProtection="1">
      <alignment vertical="center"/>
    </xf>
    <xf numFmtId="0" fontId="0" fillId="0" borderId="1" xfId="0" applyFont="1" applyFill="1" applyBorder="1" applyAlignment="1" applyProtection="1">
      <protection locked="0"/>
    </xf>
    <xf numFmtId="0" fontId="2" fillId="0" borderId="8" xfId="0" applyFont="1" applyBorder="1" applyAlignment="1" applyProtection="1">
      <alignment horizontal="center" vertical="center"/>
      <protection locked="0"/>
    </xf>
    <xf numFmtId="179" fontId="2" fillId="0" borderId="8" xfId="0" applyNumberFormat="1" applyFont="1" applyBorder="1" applyAlignment="1" applyProtection="1">
      <alignment horizontal="center" vertical="center"/>
      <protection locked="0"/>
    </xf>
    <xf numFmtId="0" fontId="2" fillId="3" borderId="8" xfId="0" applyFont="1" applyFill="1" applyBorder="1" applyAlignment="1" applyProtection="1">
      <alignment vertical="center"/>
    </xf>
    <xf numFmtId="0" fontId="43" fillId="0" borderId="1" xfId="0" applyFont="1" applyFill="1" applyBorder="1" applyAlignment="1" applyProtection="1">
      <alignment horizontal="center" wrapText="1"/>
      <protection locked="0"/>
    </xf>
    <xf numFmtId="0" fontId="2" fillId="0" borderId="19" xfId="0" applyFont="1" applyBorder="1" applyAlignment="1" applyProtection="1">
      <alignment horizontal="center" vertical="center"/>
      <protection locked="0"/>
    </xf>
    <xf numFmtId="179" fontId="2" fillId="0" borderId="19" xfId="0" applyNumberFormat="1" applyFont="1" applyBorder="1" applyAlignment="1" applyProtection="1">
      <alignment horizontal="center" vertical="center"/>
      <protection locked="0"/>
    </xf>
    <xf numFmtId="0" fontId="2" fillId="3" borderId="59" xfId="0" applyFont="1" applyFill="1" applyBorder="1" applyAlignment="1" applyProtection="1">
      <alignment vertical="center"/>
    </xf>
    <xf numFmtId="0" fontId="2" fillId="5" borderId="12"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wrapText="1"/>
      <protection locked="0"/>
    </xf>
    <xf numFmtId="0" fontId="2" fillId="2" borderId="6" xfId="0" applyFont="1" applyFill="1" applyBorder="1" applyAlignment="1" applyProtection="1">
      <alignment horizontal="center" vertical="center"/>
      <protection locked="0"/>
    </xf>
    <xf numFmtId="0" fontId="2" fillId="5" borderId="66" xfId="0" applyFont="1" applyFill="1" applyBorder="1" applyAlignment="1" applyProtection="1">
      <alignment vertical="center"/>
    </xf>
    <xf numFmtId="0" fontId="2" fillId="7" borderId="19" xfId="0" applyNumberFormat="1" applyFont="1" applyFill="1" applyBorder="1" applyAlignment="1" applyProtection="1">
      <alignment horizontal="center" vertical="center"/>
      <protection locked="0"/>
    </xf>
    <xf numFmtId="0" fontId="2" fillId="5" borderId="59" xfId="0" applyNumberFormat="1" applyFont="1" applyFill="1" applyBorder="1" applyAlignment="1" applyProtection="1">
      <alignment horizontal="center" vertical="center"/>
    </xf>
    <xf numFmtId="49" fontId="2" fillId="5" borderId="35" xfId="0" applyNumberFormat="1" applyFont="1" applyFill="1" applyBorder="1" applyAlignment="1" applyProtection="1">
      <alignment horizontal="center" vertical="center"/>
    </xf>
    <xf numFmtId="31" fontId="2" fillId="5" borderId="16" xfId="0" applyNumberFormat="1" applyFont="1" applyFill="1" applyBorder="1" applyAlignment="1" applyProtection="1">
      <alignment vertical="center"/>
    </xf>
    <xf numFmtId="0" fontId="9" fillId="2" borderId="0" xfId="0" applyFont="1" applyFill="1" applyBorder="1" applyAlignment="1">
      <alignment horizontal="left"/>
    </xf>
    <xf numFmtId="0" fontId="2" fillId="5" borderId="0" xfId="0" applyFont="1" applyFill="1" applyBorder="1" applyAlignment="1" applyProtection="1">
      <alignment horizontal="left" vertical="center"/>
    </xf>
    <xf numFmtId="4" fontId="2" fillId="5" borderId="0" xfId="0" applyNumberFormat="1" applyFont="1" applyFill="1" applyBorder="1" applyAlignment="1" applyProtection="1">
      <alignment horizontal="center" vertical="center"/>
    </xf>
    <xf numFmtId="0" fontId="0" fillId="2" borderId="31" xfId="0" applyFont="1" applyFill="1" applyBorder="1" applyAlignment="1">
      <alignment horizontal="center" vertical="center"/>
    </xf>
    <xf numFmtId="0" fontId="2" fillId="3" borderId="31" xfId="0" applyFont="1" applyFill="1" applyBorder="1" applyAlignment="1" applyProtection="1">
      <alignment horizontal="center"/>
    </xf>
    <xf numFmtId="0" fontId="2" fillId="3" borderId="3" xfId="0" applyFont="1" applyFill="1" applyBorder="1" applyAlignment="1" applyProtection="1">
      <alignment horizontal="center"/>
    </xf>
    <xf numFmtId="0" fontId="2" fillId="5" borderId="0" xfId="0" applyFont="1" applyFill="1" applyBorder="1" applyAlignment="1" applyProtection="1">
      <alignment horizontal="left"/>
    </xf>
    <xf numFmtId="188" fontId="2" fillId="5" borderId="20" xfId="0" applyNumberFormat="1" applyFont="1" applyFill="1" applyBorder="1" applyAlignment="1" applyProtection="1">
      <alignment horizontal="center"/>
    </xf>
    <xf numFmtId="0" fontId="0" fillId="2" borderId="0" xfId="0" applyFont="1" applyFill="1" applyBorder="1" applyAlignment="1">
      <alignment vertical="top" wrapText="1"/>
    </xf>
    <xf numFmtId="0" fontId="2" fillId="2" borderId="7" xfId="0" applyFont="1" applyFill="1" applyBorder="1" applyAlignment="1" applyProtection="1">
      <alignment horizontal="center" vertical="center" textRotation="255"/>
      <protection locked="0"/>
    </xf>
    <xf numFmtId="0" fontId="51" fillId="2" borderId="10" xfId="0" applyFont="1" applyFill="1" applyBorder="1" applyAlignment="1" applyProtection="1">
      <alignment horizontal="center" vertical="center" wrapText="1"/>
      <protection locked="0"/>
    </xf>
    <xf numFmtId="0" fontId="51" fillId="0" borderId="22" xfId="0" applyFont="1" applyBorder="1" applyAlignment="1" applyProtection="1">
      <protection locked="0"/>
    </xf>
    <xf numFmtId="180" fontId="2" fillId="2" borderId="8" xfId="0" applyNumberFormat="1" applyFont="1" applyFill="1" applyBorder="1" applyAlignment="1" applyProtection="1">
      <alignment horizontal="center" vertical="center" wrapText="1" shrinkToFit="1"/>
      <protection locked="0"/>
    </xf>
    <xf numFmtId="180" fontId="2" fillId="0" borderId="8" xfId="0" applyNumberFormat="1" applyFont="1" applyFill="1" applyBorder="1" applyAlignment="1" applyProtection="1">
      <alignment horizontal="center" vertical="center" wrapText="1" shrinkToFit="1"/>
      <protection locked="0"/>
    </xf>
    <xf numFmtId="180" fontId="42" fillId="7" borderId="8" xfId="0" applyNumberFormat="1" applyFont="1" applyFill="1" applyBorder="1" applyAlignment="1" applyProtection="1">
      <alignment horizontal="center" vertical="center" shrinkToFit="1"/>
      <protection locked="0"/>
    </xf>
    <xf numFmtId="180" fontId="2" fillId="2" borderId="68" xfId="0" applyNumberFormat="1" applyFont="1" applyFill="1" applyBorder="1" applyAlignment="1" applyProtection="1">
      <alignment horizontal="center" vertical="center" wrapText="1" shrinkToFit="1"/>
      <protection locked="0"/>
    </xf>
    <xf numFmtId="180" fontId="2" fillId="2" borderId="63" xfId="0" applyNumberFormat="1" applyFont="1" applyFill="1" applyBorder="1" applyAlignment="1" applyProtection="1">
      <alignment horizontal="center" vertical="center" wrapText="1" shrinkToFit="1"/>
      <protection locked="0"/>
    </xf>
    <xf numFmtId="180" fontId="2" fillId="0" borderId="68" xfId="0" applyNumberFormat="1" applyFont="1" applyFill="1" applyBorder="1" applyAlignment="1" applyProtection="1">
      <alignment horizontal="center" vertical="center" wrapText="1" shrinkToFit="1"/>
      <protection locked="0"/>
    </xf>
    <xf numFmtId="180" fontId="2" fillId="0" borderId="63" xfId="0" applyNumberFormat="1" applyFont="1" applyFill="1" applyBorder="1" applyAlignment="1" applyProtection="1">
      <alignment horizontal="center" vertical="center" wrapText="1" shrinkToFit="1"/>
      <protection locked="0"/>
    </xf>
    <xf numFmtId="180" fontId="42" fillId="7" borderId="68" xfId="0" applyNumberFormat="1" applyFont="1" applyFill="1" applyBorder="1" applyAlignment="1" applyProtection="1">
      <alignment horizontal="center" vertical="center" shrinkToFit="1"/>
      <protection locked="0"/>
    </xf>
    <xf numFmtId="180" fontId="42" fillId="7" borderId="63" xfId="0" applyNumberFormat="1" applyFont="1" applyFill="1" applyBorder="1" applyAlignment="1" applyProtection="1">
      <alignment horizontal="center" vertical="center" shrinkToFit="1"/>
      <protection locked="0"/>
    </xf>
    <xf numFmtId="0" fontId="2" fillId="2" borderId="11"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wrapText="1"/>
      <protection locked="0"/>
    </xf>
    <xf numFmtId="0" fontId="2" fillId="2" borderId="8" xfId="0" applyFont="1" applyFill="1" applyBorder="1" applyAlignment="1" applyProtection="1">
      <alignment horizontal="center" vertical="center" wrapText="1"/>
      <protection locked="0"/>
    </xf>
    <xf numFmtId="0" fontId="2" fillId="4" borderId="64" xfId="0" applyFont="1" applyFill="1" applyBorder="1" applyAlignment="1" applyProtection="1">
      <alignment horizontal="center" vertical="center" wrapText="1"/>
      <protection locked="0"/>
    </xf>
    <xf numFmtId="0" fontId="2" fillId="4" borderId="2" xfId="0" applyFont="1" applyFill="1" applyBorder="1" applyAlignment="1" applyProtection="1">
      <alignment horizontal="center" vertical="center" wrapText="1"/>
      <protection locked="0"/>
    </xf>
    <xf numFmtId="0" fontId="2" fillId="4" borderId="62" xfId="0" applyFont="1" applyFill="1" applyBorder="1" applyAlignment="1" applyProtection="1">
      <alignment horizontal="center" vertical="center" wrapText="1"/>
      <protection locked="0"/>
    </xf>
    <xf numFmtId="0" fontId="2" fillId="4" borderId="108" xfId="0" applyFont="1" applyFill="1" applyBorder="1" applyAlignment="1" applyProtection="1">
      <alignment horizontal="center" vertical="center" wrapText="1"/>
      <protection locked="0"/>
    </xf>
    <xf numFmtId="0" fontId="2" fillId="4" borderId="8" xfId="0" applyFont="1" applyFill="1" applyBorder="1" applyAlignment="1" applyProtection="1">
      <alignment horizontal="center" vertical="center" wrapText="1"/>
      <protection locked="0"/>
    </xf>
    <xf numFmtId="0" fontId="2" fillId="4" borderId="9" xfId="0" applyFont="1" applyFill="1" applyBorder="1" applyAlignment="1" applyProtection="1">
      <alignment horizontal="center" vertical="center" wrapText="1"/>
      <protection locked="0"/>
    </xf>
    <xf numFmtId="0" fontId="2" fillId="3" borderId="27" xfId="0" applyFont="1" applyFill="1" applyBorder="1" applyAlignment="1" applyProtection="1">
      <alignment horizontal="left" vertical="center"/>
    </xf>
    <xf numFmtId="0" fontId="2" fillId="3" borderId="28" xfId="0" applyFont="1" applyFill="1" applyBorder="1" applyAlignment="1" applyProtection="1">
      <alignment horizontal="left" vertical="center"/>
    </xf>
    <xf numFmtId="0" fontId="2" fillId="2" borderId="96" xfId="0" applyFont="1" applyFill="1" applyBorder="1" applyAlignment="1" applyProtection="1">
      <alignment horizontal="center" vertical="center" wrapText="1"/>
      <protection locked="0"/>
    </xf>
    <xf numFmtId="0" fontId="53" fillId="0" borderId="0" xfId="0" applyFont="1" applyBorder="1" applyAlignment="1" applyProtection="1">
      <alignment vertical="center" wrapText="1"/>
      <protection locked="0"/>
    </xf>
    <xf numFmtId="0" fontId="53" fillId="0" borderId="0" xfId="0" applyFont="1" applyFill="1" applyBorder="1" applyAlignment="1" applyProtection="1">
      <alignment vertical="center" wrapText="1"/>
      <protection locked="0"/>
    </xf>
    <xf numFmtId="0" fontId="2" fillId="3" borderId="95" xfId="0" applyFont="1" applyFill="1" applyBorder="1" applyAlignment="1" applyProtection="1">
      <alignment horizontal="center" vertical="center"/>
    </xf>
    <xf numFmtId="0" fontId="2" fillId="0" borderId="1" xfId="0" applyFont="1" applyBorder="1" applyAlignment="1" applyProtection="1">
      <alignment vertical="center" wrapText="1"/>
      <protection locked="0"/>
    </xf>
    <xf numFmtId="0" fontId="2" fillId="0" borderId="100" xfId="0" applyFont="1" applyBorder="1" applyAlignment="1" applyProtection="1">
      <alignment vertical="center"/>
      <protection locked="0"/>
    </xf>
    <xf numFmtId="0" fontId="2" fillId="2" borderId="98" xfId="0" applyFont="1" applyFill="1" applyBorder="1" applyAlignment="1" applyProtection="1">
      <alignment horizontal="center" vertical="center" wrapText="1"/>
      <protection locked="0"/>
    </xf>
    <xf numFmtId="0" fontId="2" fillId="7" borderId="26" xfId="0" applyFont="1" applyFill="1" applyBorder="1" applyAlignment="1" applyProtection="1">
      <alignment horizontal="right" vertical="center"/>
      <protection locked="0"/>
    </xf>
    <xf numFmtId="0" fontId="2" fillId="7" borderId="27" xfId="0" applyFont="1" applyFill="1" applyBorder="1" applyAlignment="1" applyProtection="1">
      <alignment horizontal="right" vertical="center"/>
      <protection locked="0"/>
    </xf>
    <xf numFmtId="0" fontId="2" fillId="3" borderId="10" xfId="0" applyFont="1" applyFill="1" applyBorder="1" applyAlignment="1" applyProtection="1">
      <alignment horizontal="center" vertical="center"/>
    </xf>
    <xf numFmtId="0" fontId="2" fillId="0" borderId="12" xfId="0" applyFont="1" applyFill="1" applyBorder="1" applyAlignment="1" applyProtection="1">
      <alignment horizontal="center" vertical="center" shrinkToFit="1"/>
      <protection locked="0"/>
    </xf>
    <xf numFmtId="180" fontId="42" fillId="0" borderId="9" xfId="0" applyNumberFormat="1" applyFont="1" applyFill="1" applyBorder="1" applyAlignment="1" applyProtection="1">
      <alignment vertical="center" shrinkToFit="1"/>
      <protection locked="0"/>
    </xf>
    <xf numFmtId="180" fontId="42" fillId="3" borderId="35" xfId="0" applyNumberFormat="1" applyFont="1" applyFill="1" applyBorder="1" applyAlignment="1" applyProtection="1">
      <alignment vertical="center"/>
    </xf>
    <xf numFmtId="0" fontId="2" fillId="3" borderId="7" xfId="0" applyFont="1" applyFill="1" applyBorder="1" applyAlignment="1" applyProtection="1">
      <alignment horizontal="center" vertical="center"/>
    </xf>
    <xf numFmtId="0" fontId="2" fillId="0" borderId="8" xfId="0" applyFont="1" applyFill="1" applyBorder="1" applyAlignment="1" applyProtection="1">
      <alignment horizontal="center" vertical="center" shrinkToFit="1"/>
      <protection locked="0"/>
    </xf>
    <xf numFmtId="10" fontId="74" fillId="0" borderId="9" xfId="1" applyNumberFormat="1" applyFill="1" applyBorder="1" applyProtection="1">
      <alignment vertical="center"/>
    </xf>
    <xf numFmtId="180" fontId="42" fillId="3" borderId="9" xfId="0" applyNumberFormat="1" applyFont="1" applyFill="1" applyBorder="1" applyAlignment="1" applyProtection="1">
      <alignment vertical="center" shrinkToFit="1"/>
    </xf>
    <xf numFmtId="180" fontId="42" fillId="5" borderId="9" xfId="0" applyNumberFormat="1" applyFont="1" applyFill="1" applyBorder="1" applyAlignment="1" applyProtection="1">
      <alignment vertical="center" shrinkToFit="1"/>
    </xf>
    <xf numFmtId="180" fontId="42" fillId="0" borderId="9" xfId="0" applyNumberFormat="1" applyFont="1" applyFill="1" applyBorder="1" applyAlignment="1" applyProtection="1">
      <alignment vertical="center"/>
      <protection locked="0"/>
    </xf>
    <xf numFmtId="180" fontId="2" fillId="2" borderId="8" xfId="0" applyNumberFormat="1" applyFont="1" applyFill="1" applyBorder="1" applyAlignment="1" applyProtection="1">
      <alignment horizontal="center" vertical="center"/>
    </xf>
    <xf numFmtId="0" fontId="63" fillId="2" borderId="7" xfId="0" applyFont="1" applyFill="1" applyBorder="1" applyAlignment="1" applyProtection="1">
      <alignment horizontal="center" vertical="center" wrapText="1"/>
      <protection locked="0"/>
    </xf>
    <xf numFmtId="180" fontId="42" fillId="28" borderId="23" xfId="0" applyNumberFormat="1" applyFont="1" applyFill="1" applyBorder="1" applyAlignment="1" applyProtection="1">
      <alignment horizontal="center" vertical="center"/>
    </xf>
    <xf numFmtId="180" fontId="42" fillId="28" borderId="15" xfId="0" applyNumberFormat="1" applyFont="1" applyFill="1" applyBorder="1" applyAlignment="1" applyProtection="1">
      <alignment horizontal="center" vertical="center"/>
    </xf>
    <xf numFmtId="180" fontId="2" fillId="2" borderId="17" xfId="0" applyNumberFormat="1" applyFont="1" applyFill="1" applyBorder="1" applyAlignment="1" applyProtection="1">
      <alignment horizontal="center" vertical="center"/>
    </xf>
    <xf numFmtId="180" fontId="2" fillId="2" borderId="16" xfId="0" applyNumberFormat="1" applyFont="1" applyFill="1" applyBorder="1" applyAlignment="1" applyProtection="1">
      <alignment horizontal="center" vertical="center"/>
    </xf>
    <xf numFmtId="180" fontId="42" fillId="3" borderId="8" xfId="0" applyNumberFormat="1" applyFont="1" applyFill="1" applyBorder="1" applyAlignment="1" applyProtection="1">
      <alignment horizontal="center" vertical="center"/>
    </xf>
    <xf numFmtId="0" fontId="2" fillId="2" borderId="11" xfId="0" applyFont="1" applyFill="1" applyBorder="1" applyAlignment="1" applyProtection="1">
      <alignment horizontal="center" vertical="center" wrapText="1"/>
      <protection locked="0"/>
    </xf>
    <xf numFmtId="180" fontId="42" fillId="4" borderId="9" xfId="0" applyNumberFormat="1" applyFont="1" applyFill="1" applyBorder="1" applyAlignment="1" applyProtection="1">
      <alignment vertical="center" shrinkToFit="1"/>
      <protection locked="0"/>
    </xf>
    <xf numFmtId="180" fontId="42" fillId="0" borderId="8" xfId="0" applyNumberFormat="1" applyFont="1" applyFill="1" applyBorder="1" applyAlignment="1" applyProtection="1">
      <alignment horizontal="center" vertical="center"/>
      <protection locked="0"/>
    </xf>
    <xf numFmtId="179" fontId="42" fillId="3" borderId="8" xfId="0" applyNumberFormat="1" applyFont="1" applyFill="1" applyBorder="1" applyAlignment="1" applyProtection="1">
      <alignment horizontal="center" vertical="center"/>
    </xf>
    <xf numFmtId="0" fontId="2" fillId="2" borderId="3" xfId="0" applyFont="1" applyFill="1" applyBorder="1" applyAlignment="1" applyProtection="1">
      <alignment vertical="center"/>
      <protection locked="0"/>
    </xf>
    <xf numFmtId="3" fontId="2" fillId="2" borderId="19" xfId="0" applyNumberFormat="1" applyFont="1" applyFill="1" applyBorder="1" applyAlignment="1" applyProtection="1">
      <alignment horizontal="center" vertical="center"/>
      <protection locked="0"/>
    </xf>
    <xf numFmtId="180" fontId="42" fillId="5" borderId="8" xfId="0" applyNumberFormat="1" applyFont="1" applyFill="1" applyBorder="1" applyAlignment="1" applyProtection="1">
      <alignment horizontal="center" vertical="center"/>
    </xf>
    <xf numFmtId="0" fontId="9" fillId="2" borderId="20" xfId="0" applyFont="1" applyFill="1" applyBorder="1" applyAlignment="1" applyProtection="1">
      <alignment horizontal="center" vertical="center"/>
      <protection locked="0"/>
    </xf>
    <xf numFmtId="0" fontId="2" fillId="5" borderId="6" xfId="0" applyFont="1" applyFill="1" applyBorder="1" applyAlignment="1" applyProtection="1">
      <alignment horizontal="left" vertical="center" wrapText="1"/>
    </xf>
    <xf numFmtId="49" fontId="2" fillId="5" borderId="22" xfId="0" applyNumberFormat="1" applyFont="1" applyFill="1" applyBorder="1" applyAlignment="1" applyProtection="1">
      <alignment horizontal="center" vertical="center"/>
    </xf>
    <xf numFmtId="0" fontId="2" fillId="5" borderId="10" xfId="0" applyFont="1" applyFill="1" applyBorder="1" applyAlignment="1" applyProtection="1">
      <alignment horizontal="left" vertical="center"/>
    </xf>
    <xf numFmtId="0" fontId="2" fillId="2" borderId="107" xfId="0" applyFont="1" applyFill="1" applyBorder="1" applyAlignment="1" applyProtection="1">
      <alignment horizontal="center" vertical="center"/>
      <protection locked="0"/>
    </xf>
    <xf numFmtId="0" fontId="2" fillId="3" borderId="22" xfId="0" applyFont="1" applyFill="1" applyBorder="1" applyAlignment="1" applyProtection="1">
      <alignment horizontal="center" vertical="center"/>
    </xf>
    <xf numFmtId="0" fontId="2" fillId="0" borderId="0" xfId="0" applyFont="1" applyBorder="1" applyAlignment="1" applyProtection="1">
      <alignment vertical="center" wrapText="1"/>
      <protection locked="0"/>
    </xf>
    <xf numFmtId="0" fontId="2" fillId="2" borderId="10" xfId="0" applyFont="1" applyFill="1" applyBorder="1" applyAlignment="1" applyProtection="1">
      <alignment horizontal="center" vertical="center"/>
    </xf>
    <xf numFmtId="180" fontId="2" fillId="2" borderId="12" xfId="0" applyNumberFormat="1" applyFont="1" applyFill="1" applyBorder="1" applyAlignment="1" applyProtection="1">
      <alignment horizontal="center" vertical="center"/>
    </xf>
    <xf numFmtId="180" fontId="42" fillId="3" borderId="12" xfId="0" applyNumberFormat="1" applyFont="1" applyFill="1" applyBorder="1" applyAlignment="1" applyProtection="1">
      <alignment horizontal="center" vertical="center"/>
    </xf>
    <xf numFmtId="0" fontId="2" fillId="0" borderId="22" xfId="0" applyFont="1" applyFill="1" applyBorder="1" applyAlignment="1" applyProtection="1">
      <alignment horizontal="center" vertical="center"/>
      <protection locked="0"/>
    </xf>
    <xf numFmtId="0" fontId="2" fillId="2" borderId="6" xfId="0" applyFont="1" applyFill="1" applyBorder="1" applyAlignment="1" applyProtection="1">
      <alignment horizontal="center" vertical="center" wrapText="1"/>
      <protection locked="0"/>
    </xf>
    <xf numFmtId="0" fontId="2" fillId="7" borderId="60" xfId="0" applyFont="1" applyFill="1" applyBorder="1" applyAlignment="1" applyProtection="1">
      <alignment horizontal="right" vertical="center"/>
      <protection locked="0"/>
    </xf>
    <xf numFmtId="0" fontId="51" fillId="0" borderId="72" xfId="0" applyFont="1" applyBorder="1" applyAlignment="1" applyProtection="1">
      <alignment vertical="center"/>
      <protection locked="0"/>
    </xf>
    <xf numFmtId="0" fontId="2" fillId="2" borderId="73" xfId="0" applyFont="1" applyFill="1" applyBorder="1" applyAlignment="1" applyProtection="1">
      <alignment horizontal="center" vertical="center"/>
    </xf>
    <xf numFmtId="180" fontId="2" fillId="2" borderId="68" xfId="0" applyNumberFormat="1" applyFont="1" applyFill="1" applyBorder="1" applyAlignment="1" applyProtection="1">
      <alignment horizontal="center" vertical="center"/>
    </xf>
    <xf numFmtId="180" fontId="42" fillId="3" borderId="68" xfId="0" applyNumberFormat="1" applyFont="1" applyFill="1" applyBorder="1" applyAlignment="1" applyProtection="1">
      <alignment vertical="center"/>
    </xf>
    <xf numFmtId="0" fontId="2" fillId="0" borderId="74" xfId="0" applyFont="1" applyFill="1" applyBorder="1" applyAlignment="1" applyProtection="1">
      <alignment vertical="center"/>
      <protection locked="0"/>
    </xf>
    <xf numFmtId="0" fontId="2" fillId="2" borderId="73" xfId="0" applyFont="1" applyFill="1" applyBorder="1" applyAlignment="1" applyProtection="1">
      <alignment horizontal="center" vertical="center"/>
      <protection locked="0"/>
    </xf>
    <xf numFmtId="180" fontId="42" fillId="5" borderId="68" xfId="0" applyNumberFormat="1" applyFont="1" applyFill="1" applyBorder="1" applyAlignment="1" applyProtection="1">
      <alignment horizontal="center" vertical="center"/>
    </xf>
    <xf numFmtId="0" fontId="2" fillId="0" borderId="74" xfId="0" applyFont="1" applyFill="1" applyBorder="1" applyAlignment="1" applyProtection="1">
      <alignment horizontal="center" vertical="center"/>
      <protection locked="0"/>
    </xf>
    <xf numFmtId="0" fontId="2" fillId="0" borderId="9" xfId="0" applyFont="1" applyFill="1" applyBorder="1" applyAlignment="1" applyProtection="1">
      <alignment vertical="center"/>
      <protection locked="0"/>
    </xf>
    <xf numFmtId="0" fontId="2" fillId="2" borderId="7" xfId="0" applyFont="1" applyFill="1" applyBorder="1" applyAlignment="1" applyProtection="1">
      <alignment horizontal="center" vertical="center"/>
    </xf>
    <xf numFmtId="180" fontId="42" fillId="3" borderId="8" xfId="0" applyNumberFormat="1" applyFont="1" applyFill="1" applyBorder="1" applyAlignment="1" applyProtection="1">
      <alignment vertical="center"/>
    </xf>
    <xf numFmtId="180" fontId="42" fillId="5" borderId="8" xfId="0" applyNumberFormat="1" applyFont="1" applyFill="1" applyBorder="1" applyAlignment="1" applyProtection="1">
      <alignment vertical="center"/>
    </xf>
    <xf numFmtId="0" fontId="12" fillId="0" borderId="1" xfId="2" applyNumberFormat="1" applyFont="1" applyFill="1" applyBorder="1" applyAlignment="1" applyProtection="1">
      <protection locked="0"/>
    </xf>
    <xf numFmtId="180" fontId="42" fillId="0" borderId="8" xfId="0" applyNumberFormat="1" applyFont="1" applyFill="1" applyBorder="1" applyAlignment="1" applyProtection="1">
      <alignment vertical="center"/>
      <protection locked="0"/>
    </xf>
    <xf numFmtId="0" fontId="2" fillId="2" borderId="33" xfId="0" applyFont="1" applyFill="1" applyBorder="1" applyAlignment="1" applyProtection="1">
      <alignment horizontal="center" vertical="center" wrapText="1"/>
      <protection locked="0"/>
    </xf>
    <xf numFmtId="0" fontId="2" fillId="2" borderId="35" xfId="0" applyFont="1" applyFill="1" applyBorder="1" applyAlignment="1" applyProtection="1">
      <alignment horizontal="center" vertical="center" wrapText="1"/>
      <protection locked="0"/>
    </xf>
    <xf numFmtId="0" fontId="2" fillId="0" borderId="11" xfId="0" applyFont="1" applyFill="1" applyBorder="1" applyAlignment="1" applyProtection="1">
      <alignment vertical="center"/>
      <protection locked="0"/>
    </xf>
    <xf numFmtId="180" fontId="42" fillId="3" borderId="59" xfId="0" applyNumberFormat="1" applyFont="1" applyFill="1" applyBorder="1" applyAlignment="1" applyProtection="1">
      <alignment vertical="center"/>
    </xf>
    <xf numFmtId="180" fontId="42" fillId="5" borderId="1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protection locked="0"/>
    </xf>
    <xf numFmtId="0" fontId="0" fillId="5" borderId="19" xfId="0" applyFill="1" applyBorder="1" applyAlignment="1" applyProtection="1">
      <alignment vertical="center"/>
    </xf>
    <xf numFmtId="0" fontId="2" fillId="5" borderId="8" xfId="0" applyFont="1" applyFill="1" applyBorder="1" applyAlignment="1" applyProtection="1">
      <alignment horizontal="center" vertical="center"/>
    </xf>
    <xf numFmtId="0" fontId="2" fillId="5" borderId="12" xfId="0" applyFont="1" applyFill="1" applyBorder="1" applyAlignment="1" applyProtection="1">
      <alignment horizontal="center" vertical="center"/>
    </xf>
    <xf numFmtId="0" fontId="2" fillId="2" borderId="10" xfId="0" applyFont="1" applyFill="1" applyBorder="1" applyAlignment="1" applyProtection="1">
      <alignment horizontal="center" vertical="center" wrapText="1"/>
      <protection locked="0"/>
    </xf>
    <xf numFmtId="0" fontId="2" fillId="7" borderId="60" xfId="0" applyFont="1" applyFill="1" applyBorder="1" applyAlignment="1" applyProtection="1">
      <alignment horizontal="right" vertical="top" wrapText="1"/>
      <protection locked="0"/>
    </xf>
    <xf numFmtId="0" fontId="2" fillId="3" borderId="28" xfId="0" applyFont="1" applyFill="1" applyBorder="1" applyAlignment="1" applyProtection="1">
      <alignment horizontal="left" vertical="top" wrapText="1"/>
    </xf>
    <xf numFmtId="0" fontId="2" fillId="0" borderId="72" xfId="0" applyFont="1" applyBorder="1" applyAlignment="1" applyProtection="1">
      <alignment vertical="top" wrapText="1"/>
      <protection locked="0"/>
    </xf>
    <xf numFmtId="0" fontId="2" fillId="2" borderId="71" xfId="0" applyFont="1" applyFill="1" applyBorder="1" applyAlignment="1" applyProtection="1">
      <alignment horizontal="center" vertical="center"/>
      <protection locked="0"/>
    </xf>
    <xf numFmtId="0" fontId="2" fillId="3" borderId="11" xfId="0" applyFont="1" applyFill="1" applyBorder="1" applyAlignment="1" applyProtection="1">
      <alignment horizontal="center" vertical="center"/>
    </xf>
    <xf numFmtId="0" fontId="2" fillId="3" borderId="9" xfId="0" applyFont="1" applyFill="1" applyBorder="1" applyAlignment="1" applyProtection="1">
      <alignment horizontal="center" vertical="center"/>
    </xf>
    <xf numFmtId="0" fontId="9" fillId="2" borderId="20" xfId="0" applyFont="1" applyFill="1" applyBorder="1" applyAlignment="1" applyProtection="1">
      <alignment horizontal="center" vertical="top"/>
      <protection locked="0"/>
    </xf>
    <xf numFmtId="0" fontId="0" fillId="0" borderId="0" xfId="0" applyFont="1" applyBorder="1" applyAlignment="1" applyProtection="1">
      <alignment horizontal="center" vertical="center"/>
      <protection locked="0"/>
    </xf>
    <xf numFmtId="0" fontId="2" fillId="5" borderId="10" xfId="0" applyFont="1" applyFill="1" applyBorder="1" applyAlignment="1" applyProtection="1">
      <alignment horizontal="center" vertical="center"/>
    </xf>
    <xf numFmtId="0" fontId="2" fillId="2" borderId="63" xfId="0" applyFont="1" applyFill="1" applyBorder="1" applyAlignment="1" applyProtection="1">
      <alignment horizontal="center" vertical="center"/>
      <protection locked="0"/>
    </xf>
    <xf numFmtId="0" fontId="43" fillId="0" borderId="1" xfId="2" applyNumberFormat="1" applyFont="1" applyFill="1" applyBorder="1" applyAlignment="1" applyProtection="1">
      <alignment vertical="center" wrapText="1"/>
      <protection locked="0"/>
    </xf>
    <xf numFmtId="0" fontId="2" fillId="2" borderId="19" xfId="0" applyFont="1" applyFill="1" applyBorder="1" applyAlignment="1" applyProtection="1">
      <alignment horizontal="center" vertical="center" wrapText="1"/>
      <protection locked="0"/>
    </xf>
    <xf numFmtId="180" fontId="2" fillId="2" borderId="19" xfId="0" applyNumberFormat="1" applyFont="1" applyFill="1" applyBorder="1" applyAlignment="1" applyProtection="1">
      <alignment horizontal="center" vertical="center" wrapText="1"/>
      <protection locked="0"/>
    </xf>
    <xf numFmtId="0" fontId="2" fillId="2" borderId="63" xfId="0" applyFont="1" applyFill="1" applyBorder="1" applyAlignment="1" applyProtection="1">
      <alignment horizontal="center" vertical="center" wrapText="1"/>
      <protection locked="0"/>
    </xf>
    <xf numFmtId="180" fontId="2" fillId="2" borderId="59" xfId="0" applyNumberFormat="1" applyFont="1" applyFill="1" applyBorder="1" applyAlignment="1" applyProtection="1">
      <alignment horizontal="center" vertical="center" wrapText="1"/>
      <protection locked="0"/>
    </xf>
    <xf numFmtId="180" fontId="2" fillId="2" borderId="63" xfId="0" applyNumberFormat="1" applyFont="1" applyFill="1" applyBorder="1" applyAlignment="1" applyProtection="1">
      <alignment horizontal="center" vertical="center" wrapText="1"/>
      <protection locked="0"/>
    </xf>
    <xf numFmtId="0" fontId="2" fillId="5" borderId="10" xfId="0" applyFont="1" applyFill="1" applyBorder="1" applyAlignment="1" applyProtection="1">
      <alignment vertical="center"/>
    </xf>
    <xf numFmtId="0" fontId="2" fillId="5" borderId="68" xfId="0" applyFont="1" applyFill="1" applyBorder="1" applyAlignment="1" applyProtection="1">
      <alignment horizontal="center" vertical="center"/>
    </xf>
    <xf numFmtId="0" fontId="2" fillId="5" borderId="6" xfId="0" applyFont="1" applyFill="1" applyBorder="1" applyAlignment="1" applyProtection="1">
      <alignment vertical="center"/>
    </xf>
    <xf numFmtId="0" fontId="2" fillId="7" borderId="19" xfId="0" applyFont="1" applyFill="1" applyBorder="1" applyAlignment="1" applyProtection="1">
      <alignment horizontal="center" vertical="center"/>
      <protection locked="0"/>
    </xf>
    <xf numFmtId="0" fontId="2" fillId="5" borderId="19" xfId="0" applyFont="1" applyFill="1" applyBorder="1" applyAlignment="1" applyProtection="1">
      <alignment horizontal="center" vertical="center"/>
    </xf>
    <xf numFmtId="0" fontId="2" fillId="2" borderId="60" xfId="0" applyFont="1" applyFill="1" applyBorder="1" applyAlignment="1" applyProtection="1">
      <alignment horizontal="center" vertical="center"/>
      <protection locked="0"/>
    </xf>
    <xf numFmtId="0" fontId="2" fillId="0" borderId="70" xfId="0" applyFont="1" applyFill="1" applyBorder="1" applyAlignment="1" applyProtection="1">
      <alignment horizontal="center" vertical="center"/>
      <protection locked="0"/>
    </xf>
    <xf numFmtId="0" fontId="2" fillId="0" borderId="0" xfId="0" applyFont="1" applyBorder="1" applyAlignment="1">
      <alignment horizontal="right" vertical="center"/>
    </xf>
    <xf numFmtId="0" fontId="2" fillId="3" borderId="35" xfId="0" applyFont="1" applyFill="1" applyBorder="1" applyAlignment="1" applyProtection="1">
      <alignment horizontal="center" vertical="center" wrapText="1"/>
    </xf>
    <xf numFmtId="0" fontId="2" fillId="3" borderId="28" xfId="0" applyFont="1" applyFill="1" applyBorder="1" applyAlignment="1" applyProtection="1">
      <alignment horizontal="left" vertical="center" wrapText="1"/>
    </xf>
    <xf numFmtId="0" fontId="2" fillId="3" borderId="34" xfId="0" applyFont="1" applyFill="1" applyBorder="1" applyAlignment="1" applyProtection="1">
      <alignment horizontal="center" vertical="center" wrapText="1"/>
    </xf>
    <xf numFmtId="0" fontId="2" fillId="3" borderId="22" xfId="0" applyFont="1" applyFill="1" applyBorder="1" applyAlignment="1" applyProtection="1">
      <alignment horizontal="center" vertical="center" wrapText="1"/>
    </xf>
    <xf numFmtId="0" fontId="2" fillId="3" borderId="12" xfId="0" applyFont="1" applyFill="1" applyBorder="1" applyAlignment="1" applyProtection="1">
      <alignment horizontal="center" vertical="center" wrapText="1"/>
    </xf>
    <xf numFmtId="0" fontId="2" fillId="2" borderId="6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protection locked="0"/>
    </xf>
    <xf numFmtId="0" fontId="2" fillId="7" borderId="60" xfId="0" applyFont="1" applyFill="1" applyBorder="1" applyAlignment="1" applyProtection="1">
      <alignment horizontal="right" vertical="center" wrapText="1"/>
      <protection locked="0"/>
    </xf>
    <xf numFmtId="0" fontId="2" fillId="2" borderId="60" xfId="0" applyFont="1" applyFill="1" applyBorder="1" applyAlignment="1" applyProtection="1">
      <alignment horizontal="center" vertical="center" wrapText="1"/>
      <protection locked="0"/>
    </xf>
    <xf numFmtId="0" fontId="2" fillId="2" borderId="27" xfId="0" applyFont="1" applyFill="1" applyBorder="1" applyAlignment="1" applyProtection="1">
      <alignment horizontal="center" vertical="center" wrapText="1"/>
      <protection locked="0"/>
    </xf>
    <xf numFmtId="0" fontId="2" fillId="2" borderId="106" xfId="0" applyFont="1" applyFill="1" applyBorder="1" applyAlignment="1" applyProtection="1">
      <alignment horizontal="center" vertical="center" wrapText="1"/>
      <protection locked="0"/>
    </xf>
    <xf numFmtId="0" fontId="52" fillId="5" borderId="12" xfId="0" applyNumberFormat="1" applyFont="1" applyFill="1" applyBorder="1" applyAlignment="1" applyProtection="1">
      <alignment horizontal="center" vertical="center"/>
    </xf>
    <xf numFmtId="0" fontId="2" fillId="5" borderId="6" xfId="0" applyFont="1" applyFill="1" applyBorder="1" applyAlignment="1" applyProtection="1">
      <alignment horizontal="left" vertical="center"/>
    </xf>
    <xf numFmtId="0" fontId="52" fillId="5" borderId="19" xfId="0" applyNumberFormat="1" applyFont="1" applyFill="1" applyBorder="1" applyAlignment="1" applyProtection="1">
      <alignment horizontal="center" vertical="center"/>
    </xf>
    <xf numFmtId="0" fontId="2" fillId="2" borderId="94" xfId="0" applyFont="1" applyFill="1" applyBorder="1" applyAlignment="1" applyProtection="1">
      <alignment vertical="center"/>
      <protection locked="0"/>
    </xf>
    <xf numFmtId="0" fontId="2" fillId="3" borderId="74" xfId="0" applyFont="1" applyFill="1" applyBorder="1" applyAlignment="1" applyProtection="1">
      <alignment horizontal="center" vertical="center" wrapText="1"/>
    </xf>
    <xf numFmtId="0" fontId="2" fillId="3" borderId="90" xfId="0" applyFont="1" applyFill="1" applyBorder="1" applyAlignment="1" applyProtection="1">
      <alignment horizontal="center" vertical="center" wrapText="1"/>
    </xf>
    <xf numFmtId="0" fontId="2" fillId="3" borderId="34" xfId="0" applyFont="1" applyFill="1" applyBorder="1" applyAlignment="1" applyProtection="1">
      <alignment horizontal="center" vertical="center" shrinkToFit="1"/>
    </xf>
    <xf numFmtId="180" fontId="2" fillId="3" borderId="35" xfId="0" applyNumberFormat="1" applyFont="1" applyFill="1" applyBorder="1" applyAlignment="1" applyProtection="1">
      <alignment horizontal="center" vertical="center" shrinkToFit="1"/>
    </xf>
    <xf numFmtId="0" fontId="2" fillId="0" borderId="72" xfId="0" applyFont="1" applyBorder="1" applyAlignment="1" applyProtection="1">
      <alignment vertical="center"/>
      <protection locked="0"/>
    </xf>
    <xf numFmtId="0" fontId="52" fillId="2" borderId="94" xfId="0" applyFont="1" applyFill="1" applyBorder="1" applyAlignment="1" applyProtection="1">
      <alignment vertical="center"/>
      <protection locked="0"/>
    </xf>
    <xf numFmtId="0" fontId="12" fillId="0" borderId="1" xfId="2" applyNumberFormat="1" applyFont="1" applyFill="1" applyBorder="1" applyAlignment="1" applyProtection="1">
      <alignment vertical="center"/>
      <protection locked="0"/>
    </xf>
    <xf numFmtId="0" fontId="2" fillId="2" borderId="8" xfId="0" applyFont="1" applyFill="1" applyBorder="1" applyAlignment="1" applyProtection="1">
      <alignment vertical="center"/>
      <protection locked="0"/>
    </xf>
    <xf numFmtId="0" fontId="2" fillId="2" borderId="12" xfId="0" applyFont="1" applyFill="1" applyBorder="1" applyAlignment="1" applyProtection="1">
      <alignment vertical="center"/>
      <protection locked="0"/>
    </xf>
    <xf numFmtId="0" fontId="2" fillId="2" borderId="96" xfId="0" applyFont="1" applyFill="1" applyBorder="1" applyAlignment="1" applyProtection="1">
      <alignment vertical="center"/>
      <protection locked="0"/>
    </xf>
    <xf numFmtId="0" fontId="2" fillId="5" borderId="6" xfId="0" applyFont="1" applyFill="1" applyBorder="1" applyAlignment="1" applyProtection="1">
      <alignment vertical="center" wrapText="1"/>
    </xf>
    <xf numFmtId="0" fontId="2" fillId="5" borderId="10" xfId="0" applyFont="1" applyFill="1" applyBorder="1" applyAlignment="1" applyProtection="1">
      <alignment vertical="center" wrapText="1"/>
    </xf>
    <xf numFmtId="0" fontId="75" fillId="2" borderId="70" xfId="0" applyFont="1" applyFill="1" applyBorder="1" applyAlignment="1">
      <alignment horizontal="center" vertical="center" wrapText="1"/>
    </xf>
    <xf numFmtId="0" fontId="75" fillId="2" borderId="72" xfId="0" applyFont="1" applyFill="1" applyBorder="1" applyAlignment="1">
      <alignment horizontal="center" vertical="center" wrapText="1"/>
    </xf>
    <xf numFmtId="180" fontId="42" fillId="13" borderId="12" xfId="0" applyNumberFormat="1" applyFont="1" applyFill="1" applyBorder="1" applyAlignment="1">
      <alignment horizontal="center" vertical="center"/>
    </xf>
    <xf numFmtId="180" fontId="42" fillId="0" borderId="8" xfId="0" applyNumberFormat="1" applyFont="1" applyBorder="1" applyAlignment="1">
      <alignment horizontal="center" vertical="center"/>
    </xf>
    <xf numFmtId="0" fontId="2" fillId="7" borderId="8" xfId="0" applyNumberFormat="1" applyFont="1" applyFill="1" applyBorder="1" applyAlignment="1" applyProtection="1">
      <alignment horizontal="center" vertical="center"/>
      <protection locked="0"/>
    </xf>
    <xf numFmtId="49" fontId="2" fillId="0" borderId="22" xfId="0" applyNumberFormat="1" applyFont="1" applyFill="1" applyBorder="1" applyAlignment="1" applyProtection="1">
      <alignment horizontal="center" vertical="center"/>
    </xf>
    <xf numFmtId="49" fontId="2" fillId="0" borderId="1" xfId="0" applyNumberFormat="1" applyFont="1" applyBorder="1" applyAlignment="1" applyProtection="1">
      <alignment vertical="center" wrapText="1"/>
      <protection locked="0"/>
    </xf>
    <xf numFmtId="0" fontId="2" fillId="2" borderId="8" xfId="0" applyFont="1" applyFill="1" applyBorder="1" applyAlignment="1" applyProtection="1">
      <alignment horizontal="right" vertical="center"/>
    </xf>
    <xf numFmtId="0" fontId="2" fillId="0" borderId="1" xfId="0" applyFont="1" applyBorder="1" applyAlignment="1" applyProtection="1">
      <alignment wrapText="1"/>
      <protection locked="0"/>
    </xf>
    <xf numFmtId="0" fontId="2" fillId="2" borderId="6" xfId="0" applyFont="1" applyFill="1" applyBorder="1" applyAlignment="1" applyProtection="1">
      <alignment horizontal="right" vertical="center"/>
    </xf>
    <xf numFmtId="0" fontId="2" fillId="2" borderId="8" xfId="0" applyFont="1" applyFill="1" applyBorder="1" applyAlignment="1" applyProtection="1">
      <alignment horizontal="right" vertical="center"/>
      <protection locked="0"/>
    </xf>
    <xf numFmtId="180" fontId="42" fillId="5" borderId="12" xfId="0" applyNumberFormat="1" applyFont="1" applyFill="1" applyBorder="1" applyAlignment="1" applyProtection="1">
      <alignment vertical="center"/>
    </xf>
    <xf numFmtId="0" fontId="2" fillId="3" borderId="34" xfId="0" applyNumberFormat="1" applyFont="1" applyFill="1" applyBorder="1" applyAlignment="1" applyProtection="1">
      <alignment horizontal="center" vertical="center"/>
    </xf>
    <xf numFmtId="180" fontId="42" fillId="0" borderId="12" xfId="0" applyNumberFormat="1" applyFont="1" applyFill="1" applyBorder="1" applyAlignment="1" applyProtection="1">
      <alignment vertical="center"/>
      <protection locked="0"/>
    </xf>
    <xf numFmtId="0" fontId="2" fillId="2" borderId="97" xfId="0" applyFont="1" applyFill="1" applyBorder="1" applyAlignment="1" applyProtection="1">
      <alignment horizontal="center" vertical="center"/>
      <protection locked="0"/>
    </xf>
    <xf numFmtId="0" fontId="2" fillId="2" borderId="76" xfId="0" applyFont="1" applyFill="1" applyBorder="1" applyAlignment="1" applyProtection="1">
      <alignment horizontal="center" vertical="center"/>
      <protection locked="0"/>
    </xf>
    <xf numFmtId="0" fontId="2" fillId="2" borderId="138" xfId="0" applyFont="1" applyFill="1" applyBorder="1" applyAlignment="1" applyProtection="1">
      <alignment horizontal="center" vertical="center"/>
      <protection locked="0"/>
    </xf>
    <xf numFmtId="0" fontId="2" fillId="2" borderId="1" xfId="0" applyFont="1" applyFill="1" applyBorder="1" applyAlignment="1" applyProtection="1">
      <alignment horizontal="center" vertical="center"/>
      <protection locked="0"/>
    </xf>
    <xf numFmtId="0" fontId="2" fillId="2" borderId="0" xfId="0" applyFont="1" applyFill="1" applyBorder="1" applyAlignment="1" applyProtection="1">
      <alignment horizontal="center" vertical="center"/>
      <protection locked="0"/>
    </xf>
    <xf numFmtId="0" fontId="2" fillId="2" borderId="105" xfId="0" applyFont="1" applyFill="1" applyBorder="1" applyAlignment="1" applyProtection="1">
      <alignment horizontal="center" vertical="center"/>
      <protection locked="0"/>
    </xf>
    <xf numFmtId="0" fontId="2" fillId="2" borderId="29" xfId="0" applyFont="1" applyFill="1" applyBorder="1" applyAlignment="1" applyProtection="1">
      <alignment horizontal="center" vertical="center"/>
      <protection locked="0"/>
    </xf>
    <xf numFmtId="0" fontId="2" fillId="2" borderId="20" xfId="0" applyFont="1" applyFill="1" applyBorder="1" applyAlignment="1" applyProtection="1">
      <alignment horizontal="center" vertical="center"/>
      <protection locked="0"/>
    </xf>
    <xf numFmtId="0" fontId="2" fillId="2" borderId="104" xfId="0" applyFont="1" applyFill="1" applyBorder="1" applyAlignment="1" applyProtection="1">
      <alignment horizontal="center" vertical="center"/>
      <protection locked="0"/>
    </xf>
    <xf numFmtId="0" fontId="51" fillId="2" borderId="17" xfId="0" applyFont="1" applyFill="1" applyBorder="1" applyAlignment="1" applyProtection="1">
      <alignment horizontal="right" vertical="center"/>
    </xf>
    <xf numFmtId="0" fontId="51" fillId="2" borderId="18" xfId="0" applyFont="1" applyFill="1" applyBorder="1" applyAlignment="1" applyProtection="1">
      <alignment horizontal="right" vertical="center"/>
    </xf>
    <xf numFmtId="0" fontId="51" fillId="2" borderId="16" xfId="0" applyFont="1" applyFill="1" applyBorder="1" applyAlignment="1" applyProtection="1">
      <alignment horizontal="right" vertical="center"/>
    </xf>
    <xf numFmtId="0" fontId="2" fillId="3" borderId="74" xfId="0" applyFont="1" applyFill="1" applyBorder="1" applyAlignment="1" applyProtection="1">
      <alignment horizontal="center" vertical="center"/>
    </xf>
    <xf numFmtId="0" fontId="2" fillId="3" borderId="78" xfId="0" applyFont="1" applyFill="1" applyBorder="1" applyAlignment="1" applyProtection="1">
      <alignment horizontal="center" vertical="center"/>
    </xf>
    <xf numFmtId="0" fontId="2" fillId="3" borderId="90" xfId="0" applyFont="1" applyFill="1" applyBorder="1" applyAlignment="1" applyProtection="1">
      <alignment horizontal="center" vertical="center"/>
    </xf>
    <xf numFmtId="0" fontId="2" fillId="2" borderId="19" xfId="0" applyFont="1" applyFill="1" applyBorder="1" applyAlignment="1" applyProtection="1">
      <alignment vertical="center"/>
      <protection locked="0"/>
    </xf>
    <xf numFmtId="180" fontId="42" fillId="3" borderId="19" xfId="0" applyNumberFormat="1" applyFont="1" applyFill="1" applyBorder="1" applyAlignment="1" applyProtection="1">
      <alignment vertical="center"/>
    </xf>
    <xf numFmtId="0" fontId="2" fillId="2" borderId="10" xfId="0" applyFont="1" applyFill="1" applyBorder="1" applyAlignment="1" applyProtection="1">
      <alignment vertical="center"/>
    </xf>
    <xf numFmtId="180" fontId="42" fillId="3" borderId="12" xfId="0" applyNumberFormat="1" applyFont="1" applyFill="1" applyBorder="1" applyAlignment="1" applyProtection="1">
      <alignment vertical="center"/>
    </xf>
    <xf numFmtId="0" fontId="2" fillId="2" borderId="7" xfId="0" applyFont="1" applyFill="1" applyBorder="1" applyAlignment="1" applyProtection="1">
      <alignment vertical="center"/>
    </xf>
    <xf numFmtId="180" fontId="42" fillId="0" borderId="8" xfId="0" applyNumberFormat="1" applyFont="1" applyBorder="1" applyAlignment="1" applyProtection="1">
      <alignment vertical="center"/>
      <protection locked="0"/>
    </xf>
    <xf numFmtId="0" fontId="2" fillId="2" borderId="6" xfId="0" applyFont="1" applyFill="1" applyBorder="1" applyAlignment="1" applyProtection="1">
      <alignment vertical="center"/>
    </xf>
    <xf numFmtId="0" fontId="2" fillId="2" borderId="6" xfId="0" applyFont="1" applyFill="1" applyBorder="1" applyAlignment="1" applyProtection="1">
      <alignment vertical="center"/>
      <protection locked="0"/>
    </xf>
    <xf numFmtId="0" fontId="2" fillId="0" borderId="12" xfId="0" applyFont="1" applyBorder="1" applyAlignment="1" applyProtection="1">
      <alignment vertical="center"/>
      <protection locked="0"/>
    </xf>
    <xf numFmtId="180" fontId="42" fillId="0" borderId="12" xfId="0" applyNumberFormat="1" applyFont="1" applyBorder="1" applyAlignment="1" applyProtection="1">
      <alignment vertical="center"/>
      <protection locked="0"/>
    </xf>
    <xf numFmtId="0" fontId="2" fillId="0" borderId="10" xfId="0" applyFont="1" applyFill="1" applyBorder="1" applyAlignment="1" applyProtection="1">
      <alignment vertical="center"/>
      <protection locked="0"/>
    </xf>
    <xf numFmtId="0" fontId="2" fillId="0" borderId="10" xfId="0" applyFont="1" applyBorder="1" applyAlignment="1" applyProtection="1">
      <alignment vertical="center"/>
      <protection locked="0"/>
    </xf>
    <xf numFmtId="0" fontId="2" fillId="0" borderId="7" xfId="0" applyFont="1" applyBorder="1" applyAlignment="1" applyProtection="1">
      <alignment vertical="center"/>
      <protection locked="0"/>
    </xf>
    <xf numFmtId="0" fontId="2" fillId="0" borderId="8" xfId="0" applyFont="1" applyBorder="1" applyAlignment="1" applyProtection="1">
      <alignment vertical="center"/>
      <protection locked="0"/>
    </xf>
    <xf numFmtId="180" fontId="42" fillId="0" borderId="8" xfId="0" applyNumberFormat="1" applyFont="1" applyFill="1" applyBorder="1" applyAlignment="1" applyProtection="1">
      <alignment vertical="center"/>
    </xf>
    <xf numFmtId="0" fontId="2" fillId="2" borderId="69" xfId="0" applyFont="1" applyFill="1" applyBorder="1" applyAlignment="1" applyProtection="1">
      <alignment horizontal="center" vertical="center"/>
      <protection locked="0"/>
    </xf>
    <xf numFmtId="0" fontId="2" fillId="3" borderId="35" xfId="0" applyFont="1" applyFill="1" applyBorder="1" applyAlignment="1" applyProtection="1">
      <alignment horizontal="center" vertical="center"/>
    </xf>
    <xf numFmtId="180" fontId="2" fillId="7" borderId="60" xfId="0" applyNumberFormat="1" applyFont="1" applyFill="1" applyBorder="1" applyAlignment="1" applyProtection="1">
      <alignment horizontal="right" vertical="center"/>
      <protection locked="0"/>
    </xf>
    <xf numFmtId="0" fontId="2" fillId="0" borderId="72" xfId="0" applyFont="1" applyFill="1" applyBorder="1" applyAlignment="1" applyProtection="1">
      <alignment horizontal="center" vertical="center"/>
      <protection locked="0"/>
    </xf>
    <xf numFmtId="180" fontId="2" fillId="3" borderId="28" xfId="0" applyNumberFormat="1" applyFont="1" applyFill="1" applyBorder="1" applyAlignment="1" applyProtection="1">
      <alignment horizontal="left" vertical="center"/>
    </xf>
    <xf numFmtId="180" fontId="42" fillId="5" borderId="89" xfId="0" applyNumberFormat="1" applyFont="1" applyFill="1" applyBorder="1" applyAlignment="1" applyProtection="1">
      <alignment horizontal="center" vertical="center"/>
    </xf>
    <xf numFmtId="180" fontId="42" fillId="3" borderId="34" xfId="0" applyNumberFormat="1" applyFont="1" applyFill="1" applyBorder="1" applyAlignment="1" applyProtection="1">
      <alignment horizontal="center" vertical="center"/>
    </xf>
    <xf numFmtId="0" fontId="2" fillId="2" borderId="33" xfId="0" applyFont="1" applyFill="1" applyBorder="1" applyAlignment="1">
      <alignment horizontal="center" vertical="center"/>
    </xf>
    <xf numFmtId="0" fontId="2" fillId="3" borderId="34" xfId="0" applyNumberFormat="1" applyFont="1" applyFill="1" applyBorder="1" applyAlignment="1">
      <alignment horizontal="center" vertical="center"/>
    </xf>
    <xf numFmtId="180" fontId="2" fillId="0" borderId="35" xfId="0" applyNumberFormat="1" applyFont="1" applyFill="1" applyBorder="1" applyAlignment="1">
      <alignment vertical="center"/>
    </xf>
    <xf numFmtId="0" fontId="12" fillId="0" borderId="1" xfId="2" applyNumberFormat="1" applyFont="1" applyFill="1" applyBorder="1" applyAlignment="1" applyProtection="1"/>
    <xf numFmtId="0" fontId="2" fillId="0" borderId="9" xfId="0" applyFont="1" applyFill="1" applyBorder="1" applyAlignment="1" applyProtection="1">
      <alignment vertical="center"/>
    </xf>
    <xf numFmtId="0" fontId="2" fillId="0" borderId="1" xfId="0" applyFont="1" applyBorder="1" applyAlignment="1">
      <alignment wrapText="1"/>
    </xf>
    <xf numFmtId="0" fontId="2" fillId="0" borderId="22" xfId="0" applyFont="1" applyFill="1" applyBorder="1" applyAlignment="1" applyProtection="1">
      <alignment vertical="center"/>
    </xf>
    <xf numFmtId="0" fontId="2" fillId="3" borderId="28" xfId="0" applyFont="1" applyFill="1" applyBorder="1" applyAlignment="1">
      <alignment horizontal="left" vertical="center"/>
    </xf>
    <xf numFmtId="180" fontId="42" fillId="0" borderId="12" xfId="0" applyNumberFormat="1" applyFont="1" applyFill="1" applyBorder="1" applyAlignment="1">
      <alignment vertical="center"/>
    </xf>
    <xf numFmtId="180" fontId="2" fillId="0" borderId="74" xfId="0" applyNumberFormat="1" applyFont="1" applyFill="1" applyBorder="1" applyAlignment="1">
      <alignment vertical="center"/>
    </xf>
    <xf numFmtId="0" fontId="2" fillId="2" borderId="10" xfId="0" applyFont="1" applyFill="1" applyBorder="1" applyAlignment="1">
      <alignment horizontal="center" vertical="center"/>
    </xf>
    <xf numFmtId="0" fontId="2" fillId="3" borderId="22" xfId="0" applyFont="1" applyFill="1" applyBorder="1" applyAlignment="1">
      <alignment horizontal="center" vertical="center"/>
    </xf>
    <xf numFmtId="0" fontId="2" fillId="0" borderId="0" xfId="0" applyFont="1" applyBorder="1" applyAlignment="1">
      <alignment wrapText="1"/>
    </xf>
    <xf numFmtId="0" fontId="2" fillId="0" borderId="35" xfId="0" applyFont="1" applyFill="1" applyBorder="1" applyAlignment="1" applyProtection="1">
      <alignment vertical="center"/>
    </xf>
    <xf numFmtId="0" fontId="2" fillId="2" borderId="6" xfId="0" applyFont="1" applyFill="1" applyBorder="1" applyAlignment="1">
      <alignment vertical="center"/>
    </xf>
    <xf numFmtId="0" fontId="2" fillId="0" borderId="11" xfId="0" applyFont="1" applyFill="1" applyBorder="1" applyAlignment="1">
      <alignment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0" borderId="9" xfId="0" applyFont="1" applyFill="1" applyBorder="1" applyAlignment="1">
      <alignment vertical="center"/>
    </xf>
    <xf numFmtId="0" fontId="2" fillId="2" borderId="6" xfId="0" applyFont="1" applyFill="1" applyBorder="1" applyAlignment="1">
      <alignment horizontal="center" vertical="center" wrapText="1"/>
    </xf>
    <xf numFmtId="0" fontId="2" fillId="0" borderId="72" xfId="0" applyFont="1" applyBorder="1" applyAlignment="1">
      <alignment vertical="center"/>
    </xf>
    <xf numFmtId="0" fontId="2" fillId="2" borderId="73"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xf>
    <xf numFmtId="0" fontId="2" fillId="2" borderId="34" xfId="0" applyFont="1" applyFill="1" applyBorder="1" applyAlignment="1">
      <alignment horizontal="center" vertical="center" wrapText="1"/>
    </xf>
    <xf numFmtId="0" fontId="2" fillId="2" borderId="35" xfId="0" applyFont="1" applyFill="1" applyBorder="1" applyAlignment="1" applyProtection="1">
      <alignment horizontal="center" vertical="center"/>
    </xf>
    <xf numFmtId="0" fontId="2" fillId="0" borderId="11" xfId="0" applyFont="1" applyFill="1" applyBorder="1" applyAlignment="1" applyProtection="1">
      <alignment vertical="center"/>
    </xf>
    <xf numFmtId="0" fontId="2" fillId="2" borderId="3" xfId="0" applyFont="1" applyFill="1" applyBorder="1" applyAlignment="1">
      <alignment horizontal="center" vertical="center"/>
    </xf>
    <xf numFmtId="0" fontId="9" fillId="2" borderId="0" xfId="0" applyFont="1" applyFill="1" applyBorder="1" applyAlignment="1">
      <alignment horizontal="center"/>
    </xf>
    <xf numFmtId="0" fontId="2" fillId="2" borderId="6" xfId="0" applyFont="1" applyFill="1" applyBorder="1" applyAlignment="1">
      <alignment horizontal="center" vertical="center"/>
    </xf>
    <xf numFmtId="0" fontId="2" fillId="5" borderId="19" xfId="0" applyFont="1" applyFill="1" applyBorder="1" applyAlignment="1">
      <alignment vertical="center"/>
    </xf>
    <xf numFmtId="0" fontId="2" fillId="2" borderId="11" xfId="0" applyFont="1" applyFill="1" applyBorder="1" applyAlignment="1">
      <alignment horizontal="center" vertical="center"/>
    </xf>
    <xf numFmtId="31" fontId="2" fillId="5" borderId="12" xfId="0" applyNumberFormat="1" applyFont="1" applyFill="1" applyBorder="1" applyAlignment="1">
      <alignment vertical="center"/>
    </xf>
    <xf numFmtId="49" fontId="2" fillId="5" borderId="90" xfId="0" applyNumberFormat="1" applyFont="1" applyFill="1" applyBorder="1" applyAlignment="1">
      <alignment horizontal="center" vertical="center"/>
    </xf>
    <xf numFmtId="0" fontId="2" fillId="3" borderId="35" xfId="0" applyNumberFormat="1" applyFont="1" applyFill="1" applyBorder="1" applyAlignment="1" applyProtection="1">
      <alignment horizontal="center" vertical="center"/>
    </xf>
    <xf numFmtId="0" fontId="2" fillId="0" borderId="108" xfId="0" applyFont="1" applyBorder="1" applyAlignment="1" applyProtection="1">
      <alignment vertical="center"/>
      <protection locked="0"/>
    </xf>
    <xf numFmtId="180" fontId="42" fillId="5" borderId="68" xfId="0" applyNumberFormat="1" applyFont="1" applyFill="1" applyBorder="1" applyAlignment="1" applyProtection="1">
      <alignment vertical="center"/>
    </xf>
    <xf numFmtId="180" fontId="42" fillId="0" borderId="68" xfId="0" applyNumberFormat="1" applyFont="1" applyFill="1" applyBorder="1" applyAlignment="1" applyProtection="1">
      <alignment vertical="center"/>
      <protection locked="0"/>
    </xf>
    <xf numFmtId="180" fontId="42" fillId="3" borderId="22" xfId="0" applyNumberFormat="1" applyFont="1" applyFill="1" applyBorder="1" applyAlignment="1" applyProtection="1">
      <alignment vertical="center"/>
    </xf>
    <xf numFmtId="0" fontId="2" fillId="2" borderId="9" xfId="0" applyFont="1" applyFill="1" applyBorder="1" applyAlignment="1" applyProtection="1">
      <alignment horizontal="center" vertical="center"/>
      <protection locked="0"/>
    </xf>
    <xf numFmtId="0" fontId="2" fillId="2" borderId="33" xfId="0" applyFont="1" applyFill="1" applyBorder="1" applyAlignment="1" applyProtection="1">
      <alignment vertical="center" wrapText="1"/>
      <protection locked="0"/>
    </xf>
    <xf numFmtId="0" fontId="2" fillId="13" borderId="22" xfId="0" applyFont="1" applyFill="1" applyBorder="1" applyAlignment="1" applyProtection="1">
      <alignment horizontal="center" vertical="center"/>
    </xf>
    <xf numFmtId="180" fontId="42" fillId="13" borderId="8" xfId="0" applyNumberFormat="1" applyFont="1" applyFill="1" applyBorder="1" applyAlignment="1">
      <alignment vertical="center"/>
    </xf>
    <xf numFmtId="180" fontId="42" fillId="13" borderId="19" xfId="0" applyNumberFormat="1" applyFont="1" applyFill="1" applyBorder="1" applyAlignment="1">
      <alignment vertical="center"/>
    </xf>
    <xf numFmtId="0" fontId="2" fillId="2" borderId="13" xfId="0" applyFont="1" applyFill="1" applyBorder="1" applyAlignment="1" applyProtection="1">
      <alignment horizontal="center" vertical="center" wrapText="1"/>
      <protection locked="0"/>
    </xf>
    <xf numFmtId="0" fontId="2" fillId="0" borderId="72" xfId="0" applyFont="1" applyBorder="1" applyAlignment="1" applyProtection="1">
      <alignment horizontal="center" vertical="top" wrapText="1"/>
      <protection locked="0"/>
    </xf>
    <xf numFmtId="0" fontId="2" fillId="5" borderId="13" xfId="0" applyFont="1" applyFill="1" applyBorder="1" applyAlignment="1" applyProtection="1">
      <alignment vertical="center" wrapText="1"/>
    </xf>
    <xf numFmtId="0" fontId="2" fillId="5" borderId="8" xfId="0" applyNumberFormat="1" applyFont="1" applyFill="1" applyBorder="1" applyAlignment="1" applyProtection="1">
      <alignment horizontal="center" vertical="center"/>
    </xf>
    <xf numFmtId="0" fontId="2" fillId="5" borderId="14" xfId="0" applyFont="1" applyFill="1" applyBorder="1" applyAlignment="1" applyProtection="1">
      <alignment vertical="center"/>
    </xf>
    <xf numFmtId="0" fontId="51" fillId="3" borderId="8" xfId="0" applyFont="1" applyFill="1" applyBorder="1" applyAlignment="1" applyProtection="1">
      <alignment vertical="center"/>
    </xf>
    <xf numFmtId="0" fontId="51" fillId="31" borderId="8" xfId="0" applyFont="1" applyFill="1" applyBorder="1" applyAlignment="1" applyProtection="1">
      <alignment vertical="center"/>
    </xf>
    <xf numFmtId="0" fontId="51" fillId="5" borderId="8" xfId="0" applyFont="1" applyFill="1" applyBorder="1" applyAlignment="1" applyProtection="1">
      <alignment vertical="center"/>
    </xf>
    <xf numFmtId="0" fontId="2" fillId="0" borderId="12" xfId="0" applyFont="1" applyFill="1" applyBorder="1" applyAlignment="1" applyProtection="1">
      <alignment vertical="center"/>
    </xf>
    <xf numFmtId="0" fontId="2" fillId="3" borderId="23" xfId="0" applyFont="1" applyFill="1" applyBorder="1" applyAlignment="1" applyProtection="1">
      <alignment horizontal="left" vertical="center"/>
    </xf>
    <xf numFmtId="0" fontId="2" fillId="3" borderId="15" xfId="0" applyFont="1" applyFill="1" applyBorder="1" applyAlignment="1" applyProtection="1">
      <alignment horizontal="left" vertical="center"/>
    </xf>
    <xf numFmtId="0" fontId="2" fillId="4" borderId="68" xfId="0" applyFont="1" applyFill="1" applyBorder="1" applyAlignment="1" applyProtection="1">
      <alignment vertical="center"/>
      <protection locked="0"/>
    </xf>
    <xf numFmtId="0" fontId="2" fillId="3" borderId="19" xfId="0" applyFont="1" applyFill="1" applyBorder="1" applyAlignment="1" applyProtection="1">
      <alignment vertical="center"/>
    </xf>
    <xf numFmtId="0" fontId="63" fillId="31" borderId="8" xfId="0" applyFont="1" applyFill="1" applyBorder="1" applyAlignment="1" applyProtection="1">
      <alignment vertical="center"/>
    </xf>
    <xf numFmtId="0" fontId="2" fillId="5" borderId="8" xfId="0" applyFont="1" applyFill="1" applyBorder="1" applyAlignment="1" applyProtection="1">
      <alignment vertical="center" shrinkToFit="1"/>
    </xf>
    <xf numFmtId="0" fontId="2" fillId="3" borderId="8" xfId="0" applyFont="1" applyFill="1" applyBorder="1" applyAlignment="1" applyProtection="1">
      <alignment vertical="center" shrinkToFit="1"/>
    </xf>
    <xf numFmtId="0" fontId="2" fillId="32" borderId="8" xfId="0" applyFont="1" applyFill="1" applyBorder="1" applyAlignment="1" applyProtection="1">
      <alignment vertical="center"/>
    </xf>
    <xf numFmtId="0" fontId="2" fillId="4" borderId="67" xfId="0" applyFont="1" applyFill="1" applyBorder="1" applyAlignment="1" applyProtection="1">
      <alignment horizontal="center" vertical="center"/>
      <protection locked="0"/>
    </xf>
    <xf numFmtId="0" fontId="2" fillId="2" borderId="91" xfId="0" applyFont="1" applyFill="1" applyBorder="1" applyAlignment="1" applyProtection="1">
      <alignment horizontal="center" vertical="center"/>
      <protection locked="0"/>
    </xf>
    <xf numFmtId="0" fontId="2" fillId="4" borderId="77" xfId="0" applyFont="1" applyFill="1" applyBorder="1" applyAlignment="1" applyProtection="1">
      <alignment vertical="center"/>
      <protection locked="0"/>
    </xf>
    <xf numFmtId="0" fontId="2" fillId="4" borderId="82" xfId="0" applyFont="1" applyFill="1" applyBorder="1" applyAlignment="1" applyProtection="1">
      <alignment vertical="center"/>
      <protection locked="0"/>
    </xf>
    <xf numFmtId="0" fontId="2" fillId="4" borderId="77" xfId="0" applyFont="1" applyFill="1" applyBorder="1" applyAlignment="1" applyProtection="1">
      <alignment horizontal="center" vertical="center"/>
      <protection locked="0"/>
    </xf>
    <xf numFmtId="0" fontId="2" fillId="4" borderId="82" xfId="0" applyFont="1" applyFill="1" applyBorder="1" applyAlignment="1" applyProtection="1">
      <alignment horizontal="center" vertical="center"/>
      <protection locked="0"/>
    </xf>
    <xf numFmtId="0" fontId="2" fillId="3" borderId="17" xfId="0" applyFont="1" applyFill="1" applyBorder="1" applyAlignment="1" applyProtection="1">
      <alignment horizontal="left" vertical="center"/>
    </xf>
    <xf numFmtId="0" fontId="2" fillId="3" borderId="16" xfId="0" applyFont="1" applyFill="1" applyBorder="1" applyAlignment="1" applyProtection="1">
      <alignment horizontal="left" vertical="center"/>
    </xf>
    <xf numFmtId="0" fontId="63" fillId="3" borderId="23" xfId="0" applyFont="1" applyFill="1" applyBorder="1" applyAlignment="1" applyProtection="1">
      <alignment horizontal="left" vertical="center"/>
    </xf>
    <xf numFmtId="0" fontId="63" fillId="3" borderId="15" xfId="0" applyFont="1" applyFill="1" applyBorder="1" applyAlignment="1" applyProtection="1">
      <alignment horizontal="left" vertical="center"/>
    </xf>
    <xf numFmtId="177" fontId="42" fillId="0" borderId="152" xfId="0" applyNumberFormat="1" applyFont="1" applyBorder="1" applyAlignment="1">
      <alignment horizontal="center" vertical="center"/>
    </xf>
    <xf numFmtId="177" fontId="42" fillId="0" borderId="152" xfId="0" applyNumberFormat="1" applyFont="1" applyBorder="1" applyAlignment="1">
      <alignment horizontal="center" vertical="center" wrapText="1"/>
    </xf>
    <xf numFmtId="177" fontId="42" fillId="0" borderId="93" xfId="0" applyNumberFormat="1" applyFont="1" applyBorder="1" applyAlignment="1">
      <alignment horizontal="center" vertical="center"/>
    </xf>
    <xf numFmtId="177" fontId="42" fillId="12" borderId="152" xfId="0" applyNumberFormat="1" applyFont="1" applyFill="1" applyBorder="1" applyAlignment="1">
      <alignment horizontal="center" vertical="center"/>
    </xf>
    <xf numFmtId="177" fontId="42" fillId="12" borderId="152" xfId="0" applyNumberFormat="1" applyFont="1" applyFill="1" applyBorder="1" applyAlignment="1">
      <alignment horizontal="center" vertical="center" wrapText="1"/>
    </xf>
    <xf numFmtId="177" fontId="42" fillId="0" borderId="169" xfId="0" applyNumberFormat="1" applyFont="1" applyBorder="1" applyAlignment="1">
      <alignment horizontal="center" vertical="center"/>
    </xf>
    <xf numFmtId="177" fontId="42" fillId="0" borderId="169" xfId="0" applyNumberFormat="1" applyFont="1" applyBorder="1" applyAlignment="1">
      <alignment horizontal="center" vertical="center" wrapText="1"/>
    </xf>
    <xf numFmtId="0" fontId="2" fillId="14" borderId="165" xfId="0" applyFont="1" applyFill="1" applyBorder="1" applyAlignment="1">
      <alignment horizontal="center" vertical="center" wrapText="1"/>
    </xf>
    <xf numFmtId="0" fontId="2" fillId="14" borderId="162" xfId="0" applyFont="1" applyFill="1" applyBorder="1" applyAlignment="1">
      <alignment horizontal="center" vertical="center" wrapText="1"/>
    </xf>
    <xf numFmtId="0" fontId="25" fillId="0" borderId="166" xfId="0" applyFont="1" applyBorder="1" applyAlignment="1">
      <alignment horizontal="center" vertical="top" wrapText="1"/>
    </xf>
    <xf numFmtId="0" fontId="25" fillId="0" borderId="167" xfId="0" applyFont="1" applyBorder="1" applyAlignment="1">
      <alignment horizontal="center" vertical="top" wrapText="1"/>
    </xf>
    <xf numFmtId="0" fontId="68" fillId="0" borderId="109" xfId="0" applyFont="1" applyBorder="1" applyAlignment="1">
      <alignment horizontal="center" vertical="center" wrapText="1"/>
    </xf>
    <xf numFmtId="0" fontId="68" fillId="0" borderId="110" xfId="0" applyFont="1" applyBorder="1" applyAlignment="1">
      <alignment horizontal="center" vertical="center" wrapText="1"/>
    </xf>
    <xf numFmtId="177" fontId="42" fillId="12" borderId="161" xfId="0" applyNumberFormat="1" applyFont="1" applyFill="1" applyBorder="1" applyAlignment="1">
      <alignment horizontal="center" vertical="center"/>
    </xf>
    <xf numFmtId="177" fontId="42" fillId="12" borderId="154" xfId="0" applyNumberFormat="1" applyFont="1" applyFill="1" applyBorder="1" applyAlignment="1">
      <alignment horizontal="center" vertical="center"/>
    </xf>
    <xf numFmtId="177" fontId="42" fillId="0" borderId="162" xfId="0" applyNumberFormat="1" applyFont="1" applyBorder="1" applyAlignment="1">
      <alignment horizontal="center" vertical="center"/>
    </xf>
    <xf numFmtId="177" fontId="42" fillId="12" borderId="162" xfId="0" applyNumberFormat="1" applyFont="1" applyFill="1" applyBorder="1" applyAlignment="1">
      <alignment horizontal="center" vertical="center"/>
    </xf>
    <xf numFmtId="0" fontId="2" fillId="14" borderId="164" xfId="0" applyFont="1" applyFill="1" applyBorder="1" applyAlignment="1">
      <alignment horizontal="center" vertical="center" wrapText="1"/>
    </xf>
    <xf numFmtId="0" fontId="2" fillId="14" borderId="156" xfId="0" applyFont="1" applyFill="1" applyBorder="1" applyAlignment="1">
      <alignment horizontal="center" vertical="center" wrapText="1"/>
    </xf>
    <xf numFmtId="177" fontId="42" fillId="0" borderId="168" xfId="0" applyNumberFormat="1" applyFont="1" applyBorder="1" applyAlignment="1">
      <alignment horizontal="center" vertical="center"/>
    </xf>
    <xf numFmtId="0" fontId="2" fillId="14" borderId="163" xfId="0" applyFont="1" applyFill="1" applyBorder="1" applyAlignment="1">
      <alignment horizontal="center" vertical="center" wrapText="1"/>
    </xf>
    <xf numFmtId="0" fontId="2" fillId="14" borderId="93" xfId="0" applyFont="1" applyFill="1" applyBorder="1" applyAlignment="1">
      <alignment horizontal="center" vertical="center" wrapText="1"/>
    </xf>
    <xf numFmtId="177" fontId="42" fillId="12" borderId="154" xfId="0" applyNumberFormat="1" applyFont="1" applyFill="1" applyBorder="1" applyAlignment="1">
      <alignment horizontal="center" vertical="center" wrapText="1"/>
    </xf>
    <xf numFmtId="0" fontId="9" fillId="14" borderId="0" xfId="0" applyFont="1" applyFill="1" applyBorder="1" applyAlignment="1">
      <alignment horizontal="center" vertical="center"/>
    </xf>
    <xf numFmtId="49" fontId="2" fillId="12" borderId="60" xfId="0" applyNumberFormat="1" applyFont="1" applyFill="1" applyBorder="1" applyAlignment="1">
      <alignment vertical="center"/>
    </xf>
    <xf numFmtId="49" fontId="2" fillId="12" borderId="27" xfId="0" applyNumberFormat="1" applyFont="1" applyFill="1" applyBorder="1" applyAlignment="1">
      <alignment vertical="center"/>
    </xf>
    <xf numFmtId="49" fontId="2" fillId="12" borderId="28" xfId="0" applyNumberFormat="1" applyFont="1" applyFill="1" applyBorder="1" applyAlignment="1">
      <alignment vertical="center"/>
    </xf>
    <xf numFmtId="49" fontId="2" fillId="12" borderId="17" xfId="0" applyNumberFormat="1" applyFont="1" applyFill="1" applyBorder="1" applyAlignment="1">
      <alignment vertical="center"/>
    </xf>
    <xf numFmtId="0" fontId="2" fillId="12" borderId="95" xfId="0" applyNumberFormat="1" applyFont="1" applyFill="1" applyBorder="1" applyAlignment="1">
      <alignment vertical="center"/>
    </xf>
    <xf numFmtId="0" fontId="2" fillId="2" borderId="112" xfId="0" applyFont="1" applyFill="1" applyBorder="1" applyAlignment="1" applyProtection="1">
      <alignment horizontal="center" vertical="center"/>
      <protection locked="0"/>
    </xf>
    <xf numFmtId="0" fontId="2" fillId="2" borderId="113" xfId="0" applyFont="1" applyFill="1" applyBorder="1" applyAlignment="1" applyProtection="1">
      <alignment horizontal="center" vertical="center"/>
      <protection locked="0"/>
    </xf>
    <xf numFmtId="0" fontId="2" fillId="2" borderId="114" xfId="0" applyFont="1" applyFill="1" applyBorder="1" applyAlignment="1" applyProtection="1">
      <alignment horizontal="center" vertical="center"/>
      <protection locked="0"/>
    </xf>
    <xf numFmtId="0" fontId="2" fillId="12" borderId="19" xfId="0" applyFont="1" applyFill="1" applyBorder="1" applyAlignment="1">
      <alignment vertical="center"/>
    </xf>
    <xf numFmtId="0" fontId="2" fillId="12" borderId="12" xfId="0" applyFont="1" applyFill="1" applyBorder="1" applyAlignment="1">
      <alignment vertical="center"/>
    </xf>
    <xf numFmtId="0" fontId="2" fillId="0" borderId="158" xfId="0" applyFont="1" applyBorder="1" applyAlignment="1">
      <alignment horizontal="center" vertical="center" wrapText="1"/>
    </xf>
    <xf numFmtId="0" fontId="2" fillId="0" borderId="159" xfId="0" applyFont="1" applyBorder="1" applyAlignment="1">
      <alignment horizontal="center" vertical="center" wrapText="1"/>
    </xf>
    <xf numFmtId="0" fontId="2" fillId="0" borderId="156" xfId="0" applyFont="1" applyBorder="1" applyAlignment="1">
      <alignment horizontal="center" vertical="center" wrapText="1"/>
    </xf>
    <xf numFmtId="0" fontId="2" fillId="0" borderId="152" xfId="0" applyFont="1" applyBorder="1" applyAlignment="1">
      <alignment horizontal="center" vertical="center" wrapText="1"/>
    </xf>
    <xf numFmtId="0" fontId="2" fillId="0" borderId="153" xfId="0" applyFont="1" applyFill="1" applyBorder="1" applyAlignment="1">
      <alignment horizontal="center" vertical="center" wrapText="1"/>
    </xf>
    <xf numFmtId="0" fontId="2" fillId="0" borderId="154" xfId="0" applyFont="1" applyFill="1" applyBorder="1" applyAlignment="1">
      <alignment horizontal="center" vertical="center" wrapText="1"/>
    </xf>
    <xf numFmtId="0" fontId="2" fillId="0" borderId="156" xfId="0" applyFont="1" applyFill="1" applyBorder="1" applyAlignment="1">
      <alignment horizontal="center" vertical="center" wrapText="1"/>
    </xf>
    <xf numFmtId="0" fontId="2" fillId="0" borderId="152" xfId="0" applyFont="1" applyFill="1" applyBorder="1" applyAlignment="1">
      <alignment horizontal="center" vertical="center" wrapText="1"/>
    </xf>
    <xf numFmtId="0" fontId="0" fillId="14" borderId="115" xfId="0" applyFill="1" applyBorder="1" applyAlignment="1">
      <alignment horizontal="center" vertical="center"/>
    </xf>
    <xf numFmtId="0" fontId="0" fillId="14" borderId="116" xfId="0" applyFill="1" applyBorder="1" applyAlignment="1">
      <alignment horizontal="center" vertical="center"/>
    </xf>
    <xf numFmtId="49" fontId="2" fillId="12" borderId="61" xfId="0" applyNumberFormat="1" applyFont="1" applyFill="1" applyBorder="1" applyAlignment="1">
      <alignment vertical="center"/>
    </xf>
    <xf numFmtId="0" fontId="2" fillId="12" borderId="80" xfId="0" applyNumberFormat="1" applyFont="1" applyFill="1" applyBorder="1" applyAlignment="1">
      <alignment vertical="center"/>
    </xf>
    <xf numFmtId="49" fontId="2" fillId="12" borderId="23" xfId="0" applyNumberFormat="1" applyFont="1" applyFill="1" applyBorder="1" applyAlignment="1">
      <alignment vertical="center"/>
    </xf>
    <xf numFmtId="49" fontId="2" fillId="12" borderId="25" xfId="0" applyNumberFormat="1" applyFont="1" applyFill="1" applyBorder="1" applyAlignment="1">
      <alignment vertical="center"/>
    </xf>
    <xf numFmtId="49" fontId="2" fillId="12" borderId="95" xfId="0" applyNumberFormat="1" applyFont="1" applyFill="1" applyBorder="1" applyAlignment="1">
      <alignment vertical="center"/>
    </xf>
    <xf numFmtId="0" fontId="2" fillId="12" borderId="8" xfId="0" applyFont="1" applyFill="1" applyBorder="1" applyAlignment="1">
      <alignment vertical="center"/>
    </xf>
    <xf numFmtId="49" fontId="2" fillId="12" borderId="12" xfId="0" applyNumberFormat="1" applyFont="1" applyFill="1" applyBorder="1" applyAlignment="1">
      <alignment vertical="center"/>
    </xf>
    <xf numFmtId="0" fontId="9" fillId="33" borderId="0" xfId="0" applyFont="1" applyFill="1" applyBorder="1" applyAlignment="1">
      <alignment horizontal="right" vertical="center"/>
    </xf>
    <xf numFmtId="0" fontId="2" fillId="33" borderId="93" xfId="0" applyFont="1" applyFill="1" applyBorder="1" applyAlignment="1">
      <alignment horizontal="center" vertical="center"/>
    </xf>
    <xf numFmtId="0" fontId="74" fillId="33" borderId="0" xfId="0" applyFont="1" applyFill="1" applyAlignment="1">
      <alignment horizontal="left" vertical="center"/>
    </xf>
    <xf numFmtId="0" fontId="68" fillId="33" borderId="111"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8" xfId="0" applyFont="1" applyFill="1" applyBorder="1" applyAlignment="1">
      <alignment horizontal="center" vertical="center"/>
    </xf>
    <xf numFmtId="0" fontId="2" fillId="33" borderId="116"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116"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68" fillId="33" borderId="110" xfId="0" applyFont="1" applyFill="1" applyBorder="1" applyAlignment="1">
      <alignment horizontal="center" vertical="center"/>
    </xf>
    <xf numFmtId="0" fontId="2" fillId="33" borderId="118" xfId="0" applyFont="1" applyFill="1" applyBorder="1" applyAlignment="1">
      <alignment horizontal="center" vertical="center" wrapText="1"/>
    </xf>
    <xf numFmtId="0" fontId="2" fillId="33" borderId="109" xfId="0" applyFont="1" applyFill="1" applyBorder="1" applyAlignment="1">
      <alignment horizontal="center" vertical="center"/>
    </xf>
    <xf numFmtId="0" fontId="2" fillId="33" borderId="111" xfId="0" applyFont="1" applyFill="1" applyBorder="1" applyAlignment="1">
      <alignment horizontal="center" vertical="center"/>
    </xf>
    <xf numFmtId="0" fontId="2" fillId="33" borderId="110" xfId="0" applyFont="1" applyFill="1" applyBorder="1" applyAlignment="1">
      <alignment horizontal="center" vertical="center"/>
    </xf>
    <xf numFmtId="0" fontId="74" fillId="0" borderId="0" xfId="0" applyFont="1" applyFill="1" applyAlignment="1">
      <alignment wrapText="1"/>
    </xf>
    <xf numFmtId="0" fontId="2" fillId="33" borderId="115" xfId="0" applyNumberFormat="1" applyFont="1" applyFill="1" applyBorder="1" applyAlignment="1" applyProtection="1">
      <alignment horizontal="center" vertical="center" wrapText="1"/>
    </xf>
    <xf numFmtId="0" fontId="2" fillId="33" borderId="118" xfId="0" applyNumberFormat="1" applyFont="1" applyFill="1" applyBorder="1" applyAlignment="1" applyProtection="1">
      <alignment horizontal="center" vertical="center" wrapText="1"/>
    </xf>
    <xf numFmtId="0" fontId="2" fillId="33" borderId="115" xfId="0" applyNumberFormat="1" applyFont="1" applyFill="1" applyBorder="1" applyAlignment="1" applyProtection="1">
      <alignment horizontal="center" vertical="center"/>
    </xf>
    <xf numFmtId="0" fontId="2" fillId="33" borderId="118" xfId="0" applyNumberFormat="1" applyFont="1" applyFill="1" applyBorder="1" applyAlignment="1" applyProtection="1">
      <alignment horizontal="center" vertical="center"/>
    </xf>
    <xf numFmtId="0" fontId="2" fillId="33" borderId="93" xfId="0" applyNumberFormat="1" applyFont="1" applyFill="1" applyBorder="1" applyAlignment="1" applyProtection="1">
      <alignment horizontal="center" vertical="center"/>
    </xf>
    <xf numFmtId="0" fontId="2" fillId="33" borderId="93" xfId="0" applyNumberFormat="1" applyFont="1" applyFill="1" applyBorder="1" applyAlignment="1" applyProtection="1">
      <alignment horizontal="center" vertical="center" wrapText="1"/>
    </xf>
    <xf numFmtId="0" fontId="2" fillId="33" borderId="120" xfId="0" applyNumberFormat="1" applyFont="1" applyFill="1" applyBorder="1" applyAlignment="1" applyProtection="1">
      <alignment horizontal="center" vertical="center" wrapText="1"/>
    </xf>
    <xf numFmtId="0" fontId="2" fillId="33" borderId="121" xfId="0" applyNumberFormat="1" applyFont="1" applyFill="1" applyBorder="1" applyAlignment="1" applyProtection="1">
      <alignment horizontal="center" vertical="center" wrapText="1"/>
    </xf>
    <xf numFmtId="0" fontId="2" fillId="33" borderId="122" xfId="0" applyNumberFormat="1" applyFont="1" applyFill="1" applyBorder="1" applyAlignment="1" applyProtection="1">
      <alignment horizontal="center" vertical="center" wrapText="1"/>
    </xf>
    <xf numFmtId="49" fontId="0" fillId="0" borderId="93" xfId="0" applyNumberFormat="1" applyBorder="1" applyAlignment="1">
      <alignment vertical="center"/>
    </xf>
    <xf numFmtId="49" fontId="10" fillId="27" borderId="93" xfId="0" applyNumberFormat="1" applyFont="1" applyFill="1" applyBorder="1" applyAlignment="1">
      <alignment vertical="center"/>
    </xf>
    <xf numFmtId="0" fontId="2" fillId="22" borderId="93" xfId="0" applyFont="1" applyFill="1" applyBorder="1" applyAlignment="1">
      <alignment horizontal="center" vertical="center"/>
    </xf>
    <xf numFmtId="0" fontId="51" fillId="33" borderId="156" xfId="0" applyFont="1" applyFill="1" applyBorder="1" applyAlignment="1">
      <alignment horizontal="center" vertical="center"/>
    </xf>
    <xf numFmtId="0" fontId="51" fillId="33" borderId="157" xfId="0" applyFont="1" applyFill="1" applyBorder="1" applyAlignment="1">
      <alignment horizontal="center" vertical="center" wrapText="1"/>
    </xf>
    <xf numFmtId="0" fontId="51" fillId="33" borderId="156" xfId="0" applyFont="1" applyFill="1" applyBorder="1" applyAlignment="1">
      <alignment horizontal="center" vertical="center" wrapText="1"/>
    </xf>
    <xf numFmtId="0" fontId="51" fillId="33" borderId="152" xfId="0" applyFont="1" applyFill="1" applyBorder="1" applyAlignment="1">
      <alignment horizontal="center" vertical="center" wrapText="1"/>
    </xf>
    <xf numFmtId="0" fontId="19" fillId="33" borderId="154" xfId="0" applyFont="1" applyFill="1" applyBorder="1" applyAlignment="1">
      <alignment horizontal="center" vertical="center" wrapText="1"/>
    </xf>
    <xf numFmtId="0" fontId="19" fillId="33" borderId="155" xfId="0" applyFont="1" applyFill="1" applyBorder="1" applyAlignment="1">
      <alignment horizontal="center" vertical="center" wrapText="1"/>
    </xf>
    <xf numFmtId="0" fontId="51" fillId="0" borderId="152" xfId="0" applyFont="1" applyFill="1" applyBorder="1" applyAlignment="1">
      <alignment horizontal="center" vertical="center"/>
    </xf>
    <xf numFmtId="0" fontId="51" fillId="33" borderId="152" xfId="0" applyFont="1" applyFill="1" applyBorder="1" applyAlignment="1">
      <alignment horizontal="center" vertical="center"/>
    </xf>
    <xf numFmtId="0" fontId="51" fillId="33" borderId="157" xfId="0" applyFont="1" applyFill="1" applyBorder="1" applyAlignment="1">
      <alignment horizontal="center" vertical="center"/>
    </xf>
    <xf numFmtId="0" fontId="51" fillId="35" borderId="152" xfId="0" applyFont="1" applyFill="1" applyBorder="1" applyAlignment="1">
      <alignment horizontal="center" vertical="center"/>
    </xf>
    <xf numFmtId="0" fontId="51" fillId="33" borderId="182" xfId="0" applyFont="1" applyFill="1" applyBorder="1" applyAlignment="1">
      <alignment horizontal="center" vertical="center" wrapText="1"/>
    </xf>
    <xf numFmtId="0" fontId="51" fillId="33" borderId="185" xfId="0" applyFont="1" applyFill="1" applyBorder="1" applyAlignment="1">
      <alignment horizontal="center" vertical="center" wrapText="1"/>
    </xf>
    <xf numFmtId="0" fontId="51" fillId="33" borderId="188" xfId="0" applyFont="1" applyFill="1" applyBorder="1" applyAlignment="1">
      <alignment horizontal="center" vertical="center" wrapText="1"/>
    </xf>
    <xf numFmtId="0" fontId="51" fillId="33" borderId="153" xfId="0" applyFont="1" applyFill="1" applyBorder="1" applyAlignment="1">
      <alignment horizontal="center" vertical="center"/>
    </xf>
    <xf numFmtId="0" fontId="51" fillId="33" borderId="155" xfId="0" applyFont="1" applyFill="1" applyBorder="1" applyAlignment="1">
      <alignment horizontal="center" vertical="center"/>
    </xf>
    <xf numFmtId="0" fontId="51" fillId="33" borderId="153" xfId="0" applyFont="1" applyFill="1" applyBorder="1" applyAlignment="1">
      <alignment horizontal="center" vertical="center" wrapText="1"/>
    </xf>
    <xf numFmtId="0" fontId="51" fillId="33" borderId="155" xfId="0" applyFont="1" applyFill="1" applyBorder="1" applyAlignment="1">
      <alignment horizontal="center" vertical="center" wrapText="1"/>
    </xf>
    <xf numFmtId="0" fontId="51" fillId="33" borderId="154" xfId="0" applyFont="1" applyFill="1" applyBorder="1" applyAlignment="1">
      <alignment horizontal="center" vertical="center"/>
    </xf>
    <xf numFmtId="0" fontId="51" fillId="33" borderId="183" xfId="0" applyFont="1" applyFill="1" applyBorder="1" applyAlignment="1">
      <alignment horizontal="center" vertical="center"/>
    </xf>
    <xf numFmtId="0" fontId="51" fillId="33" borderId="184" xfId="0" applyFont="1" applyFill="1" applyBorder="1" applyAlignment="1">
      <alignment horizontal="center" vertical="center"/>
    </xf>
    <xf numFmtId="0" fontId="51" fillId="33" borderId="186" xfId="0" applyFont="1" applyFill="1" applyBorder="1" applyAlignment="1">
      <alignment horizontal="center" vertical="center"/>
    </xf>
    <xf numFmtId="0" fontId="51" fillId="33" borderId="187" xfId="0" applyFont="1" applyFill="1" applyBorder="1" applyAlignment="1">
      <alignment horizontal="center" vertical="center"/>
    </xf>
    <xf numFmtId="0" fontId="51" fillId="33" borderId="189" xfId="0" applyFont="1" applyFill="1" applyBorder="1" applyAlignment="1">
      <alignment horizontal="center" vertical="center"/>
    </xf>
    <xf numFmtId="0" fontId="51" fillId="33" borderId="190" xfId="0" applyFont="1" applyFill="1" applyBorder="1" applyAlignment="1">
      <alignment horizontal="center" vertical="center"/>
    </xf>
    <xf numFmtId="0" fontId="51" fillId="33" borderId="152" xfId="0" applyFont="1" applyFill="1" applyBorder="1" applyAlignment="1">
      <alignment vertical="center"/>
    </xf>
    <xf numFmtId="0" fontId="51" fillId="33" borderId="157" xfId="0" applyFont="1" applyFill="1" applyBorder="1" applyAlignment="1">
      <alignment vertical="center"/>
    </xf>
    <xf numFmtId="0" fontId="55" fillId="33" borderId="159" xfId="0" applyFont="1" applyFill="1" applyBorder="1" applyAlignment="1">
      <alignment horizontal="center" vertical="center"/>
    </xf>
    <xf numFmtId="0" fontId="55" fillId="33" borderId="160" xfId="0" applyFont="1" applyFill="1" applyBorder="1" applyAlignment="1">
      <alignment horizontal="center" vertical="center"/>
    </xf>
    <xf numFmtId="0" fontId="51" fillId="33" borderId="109" xfId="0" applyFont="1" applyFill="1" applyBorder="1" applyAlignment="1">
      <alignment vertical="center"/>
    </xf>
    <xf numFmtId="0" fontId="51" fillId="33" borderId="111" xfId="0" applyFont="1" applyFill="1" applyBorder="1" applyAlignment="1">
      <alignment vertical="center"/>
    </xf>
    <xf numFmtId="0" fontId="51" fillId="33" borderId="119" xfId="0" applyFont="1" applyFill="1" applyBorder="1" applyAlignment="1">
      <alignment vertical="center"/>
    </xf>
    <xf numFmtId="0" fontId="51" fillId="33" borderId="124" xfId="0" applyFont="1" applyFill="1" applyBorder="1" applyAlignment="1">
      <alignment vertical="center"/>
    </xf>
    <xf numFmtId="0" fontId="51" fillId="33" borderId="154" xfId="0" applyFont="1" applyFill="1" applyBorder="1" applyAlignment="1">
      <alignment vertical="center"/>
    </xf>
    <xf numFmtId="0" fontId="51" fillId="33" borderId="155" xfId="0" applyFont="1" applyFill="1" applyBorder="1" applyAlignment="1">
      <alignment vertical="center"/>
    </xf>
    <xf numFmtId="0" fontId="74" fillId="33" borderId="0" xfId="0" applyFont="1" applyFill="1" applyAlignment="1">
      <alignment vertical="center"/>
    </xf>
    <xf numFmtId="0" fontId="26" fillId="33" borderId="111" xfId="0" applyFont="1" applyFill="1" applyBorder="1" applyAlignment="1">
      <alignment vertical="center"/>
    </xf>
    <xf numFmtId="0" fontId="74" fillId="0" borderId="0" xfId="0" applyFont="1" applyAlignment="1">
      <alignment wrapText="1"/>
    </xf>
    <xf numFmtId="0" fontId="74" fillId="33" borderId="0" xfId="0" applyFont="1" applyFill="1" applyBorder="1" applyAlignment="1">
      <alignment horizontal="left" vertical="center"/>
    </xf>
    <xf numFmtId="0" fontId="10" fillId="33" borderId="111" xfId="0" applyFont="1" applyFill="1" applyBorder="1" applyAlignment="1">
      <alignment horizontal="center" vertical="center"/>
    </xf>
    <xf numFmtId="0" fontId="74" fillId="0" borderId="0" xfId="0" applyFont="1" applyAlignment="1">
      <alignment vertical="center" wrapText="1"/>
    </xf>
    <xf numFmtId="0" fontId="74" fillId="33" borderId="116" xfId="0" applyFont="1" applyFill="1" applyBorder="1" applyAlignment="1">
      <alignment horizontal="center" vertical="center" wrapText="1"/>
    </xf>
    <xf numFmtId="0" fontId="2" fillId="33" borderId="123" xfId="0" applyFont="1" applyFill="1" applyBorder="1" applyAlignment="1">
      <alignment horizontal="center" vertical="center"/>
    </xf>
    <xf numFmtId="0" fontId="74" fillId="33" borderId="119" xfId="0" applyFont="1" applyFill="1" applyBorder="1" applyAlignment="1">
      <alignment horizontal="right" vertical="center"/>
    </xf>
    <xf numFmtId="0" fontId="0" fillId="33" borderId="119" xfId="0" applyFill="1" applyBorder="1" applyAlignment="1">
      <alignment horizontal="right" vertical="center"/>
    </xf>
    <xf numFmtId="0" fontId="0" fillId="33" borderId="110" xfId="0" applyFill="1" applyBorder="1" applyAlignment="1"/>
    <xf numFmtId="0" fontId="2" fillId="0" borderId="115" xfId="0" applyFont="1" applyFill="1" applyBorder="1" applyAlignment="1">
      <alignment horizontal="center" vertical="center"/>
    </xf>
    <xf numFmtId="0" fontId="2" fillId="0" borderId="118" xfId="0" applyFont="1" applyFill="1" applyBorder="1" applyAlignment="1">
      <alignment horizontal="center" vertical="center"/>
    </xf>
    <xf numFmtId="0" fontId="2" fillId="33" borderId="121" xfId="0" applyFont="1" applyFill="1" applyBorder="1" applyAlignment="1">
      <alignment horizontal="center" vertical="center"/>
    </xf>
    <xf numFmtId="0" fontId="2" fillId="33" borderId="109" xfId="0" applyFont="1" applyFill="1" applyBorder="1" applyAlignment="1">
      <alignment horizontal="center" vertical="center" wrapText="1"/>
    </xf>
    <xf numFmtId="0" fontId="2" fillId="33" borderId="110" xfId="0" applyFont="1" applyFill="1" applyBorder="1" applyAlignment="1">
      <alignment horizontal="center" vertical="center" wrapText="1"/>
    </xf>
    <xf numFmtId="0" fontId="25" fillId="33" borderId="109" xfId="0" applyFont="1" applyFill="1" applyBorder="1" applyAlignment="1">
      <alignment vertical="center"/>
    </xf>
    <xf numFmtId="0" fontId="25" fillId="33" borderId="111" xfId="0" applyFont="1" applyFill="1" applyBorder="1" applyAlignment="1">
      <alignment vertical="center"/>
    </xf>
    <xf numFmtId="0" fontId="25" fillId="33" borderId="110" xfId="0" applyFont="1" applyFill="1" applyBorder="1" applyAlignment="1">
      <alignment vertical="center"/>
    </xf>
    <xf numFmtId="0" fontId="2" fillId="22" borderId="0" xfId="0" applyFont="1" applyFill="1" applyAlignment="1">
      <alignment horizontal="center" vertical="center" wrapText="1"/>
    </xf>
    <xf numFmtId="0" fontId="2" fillId="33" borderId="121" xfId="0" applyFont="1" applyFill="1" applyBorder="1" applyAlignment="1">
      <alignment horizontal="left" vertical="center"/>
    </xf>
    <xf numFmtId="0" fontId="74" fillId="33" borderId="0" xfId="0" applyFont="1" applyFill="1" applyBorder="1" applyAlignment="1">
      <alignment vertical="center" wrapText="1"/>
    </xf>
    <xf numFmtId="0" fontId="74" fillId="33" borderId="0" xfId="0" applyFont="1" applyFill="1" applyAlignment="1">
      <alignment vertical="center" wrapText="1"/>
    </xf>
    <xf numFmtId="0" fontId="2" fillId="33" borderId="193" xfId="0" applyFont="1" applyFill="1" applyBorder="1" applyAlignment="1">
      <alignment horizontal="center" vertical="center"/>
    </xf>
    <xf numFmtId="0" fontId="2" fillId="33" borderId="194" xfId="0" applyFont="1" applyFill="1" applyBorder="1" applyAlignment="1">
      <alignment horizontal="center" vertical="center"/>
    </xf>
    <xf numFmtId="0" fontId="2" fillId="33" borderId="109" xfId="0" applyFont="1" applyFill="1" applyBorder="1" applyAlignment="1">
      <alignment horizontal="left" vertical="center"/>
    </xf>
    <xf numFmtId="0" fontId="2" fillId="33" borderId="111" xfId="0" applyFont="1" applyFill="1" applyBorder="1" applyAlignment="1">
      <alignment horizontal="left" vertical="center"/>
    </xf>
    <xf numFmtId="0" fontId="0" fillId="33" borderId="93" xfId="0" applyFill="1" applyBorder="1" applyAlignment="1">
      <alignment horizontal="center" vertical="center" wrapText="1"/>
    </xf>
    <xf numFmtId="0" fontId="74" fillId="33" borderId="93" xfId="0" applyFont="1" applyFill="1" applyBorder="1" applyAlignment="1">
      <alignment horizontal="center" vertical="center"/>
    </xf>
    <xf numFmtId="0" fontId="2" fillId="33" borderId="93" xfId="0" applyFont="1" applyFill="1" applyBorder="1" applyAlignment="1" applyProtection="1">
      <alignment horizontal="center" vertical="center" wrapText="1"/>
      <protection hidden="1"/>
    </xf>
    <xf numFmtId="0" fontId="2" fillId="33" borderId="109" xfId="0" applyFont="1" applyFill="1" applyBorder="1" applyAlignment="1" applyProtection="1">
      <alignment horizontal="left" vertical="center" wrapText="1"/>
      <protection hidden="1"/>
    </xf>
    <xf numFmtId="0" fontId="2" fillId="33" borderId="111" xfId="0" applyFont="1" applyFill="1" applyBorder="1" applyAlignment="1" applyProtection="1">
      <alignment horizontal="left" vertical="center" wrapText="1"/>
      <protection hidden="1"/>
    </xf>
    <xf numFmtId="0" fontId="2" fillId="33" borderId="120" xfId="0" applyFont="1" applyFill="1" applyBorder="1" applyAlignment="1" applyProtection="1">
      <alignment horizontal="center" vertical="center" wrapText="1"/>
      <protection hidden="1"/>
    </xf>
    <xf numFmtId="0" fontId="2" fillId="33" borderId="125" xfId="0" applyFont="1" applyFill="1" applyBorder="1" applyAlignment="1" applyProtection="1">
      <alignment horizontal="center" vertical="center" wrapText="1"/>
      <protection hidden="1"/>
    </xf>
    <xf numFmtId="0" fontId="2" fillId="33" borderId="123" xfId="0" applyFont="1" applyFill="1" applyBorder="1" applyAlignment="1" applyProtection="1">
      <alignment horizontal="center" vertical="center" wrapText="1"/>
      <protection hidden="1"/>
    </xf>
    <xf numFmtId="180" fontId="42" fillId="0" borderId="93" xfId="4" applyFont="1" applyFill="1" applyBorder="1">
      <alignment vertical="center"/>
    </xf>
    <xf numFmtId="0" fontId="2" fillId="33" borderId="93" xfId="0" applyFont="1" applyFill="1" applyBorder="1" applyAlignment="1">
      <alignment vertical="center"/>
    </xf>
    <xf numFmtId="0" fontId="53" fillId="33" borderId="93" xfId="0" applyFont="1" applyFill="1" applyBorder="1" applyAlignment="1">
      <alignment horizontal="left" vertical="center"/>
    </xf>
    <xf numFmtId="0" fontId="2" fillId="33" borderId="93" xfId="0" applyFont="1" applyFill="1" applyBorder="1" applyAlignment="1">
      <alignment horizontal="left" vertical="center"/>
    </xf>
    <xf numFmtId="0" fontId="1" fillId="0" borderId="0" xfId="0" applyFont="1" applyFill="1" applyAlignment="1">
      <alignment vertical="center" wrapText="1"/>
    </xf>
    <xf numFmtId="0" fontId="68" fillId="33" borderId="111" xfId="0" applyFont="1" applyFill="1" applyBorder="1" applyAlignment="1">
      <alignment horizontal="center" vertical="center" wrapText="1"/>
    </xf>
    <xf numFmtId="0" fontId="68" fillId="33" borderId="110" xfId="0" applyFont="1" applyFill="1" applyBorder="1" applyAlignment="1">
      <alignment horizontal="center" vertical="center" wrapText="1"/>
    </xf>
    <xf numFmtId="0" fontId="2" fillId="33" borderId="120" xfId="0" applyFont="1" applyFill="1" applyBorder="1" applyAlignment="1">
      <alignment horizontal="center" vertical="center" wrapText="1"/>
    </xf>
    <xf numFmtId="0" fontId="2" fillId="33" borderId="121" xfId="0" applyFont="1" applyFill="1" applyBorder="1" applyAlignment="1">
      <alignment horizontal="center" vertical="center" wrapText="1"/>
    </xf>
    <xf numFmtId="0" fontId="2" fillId="33" borderId="122" xfId="0" applyFont="1" applyFill="1" applyBorder="1" applyAlignment="1">
      <alignment horizontal="center" vertical="center" wrapText="1"/>
    </xf>
    <xf numFmtId="0" fontId="2" fillId="0" borderId="93" xfId="0" applyFont="1" applyBorder="1" applyAlignment="1">
      <alignment horizontal="center" vertical="center" wrapText="1"/>
    </xf>
    <xf numFmtId="180" fontId="42" fillId="32" borderId="93" xfId="4" applyFont="1" applyFill="1" applyBorder="1">
      <alignment vertical="center"/>
    </xf>
    <xf numFmtId="0" fontId="2" fillId="33" borderId="93" xfId="0" applyFont="1" applyFill="1" applyBorder="1" applyAlignment="1">
      <alignment horizontal="center" vertical="center" textRotation="255" wrapText="1"/>
    </xf>
    <xf numFmtId="0" fontId="68" fillId="33" borderId="0" xfId="0" applyFont="1" applyFill="1" applyBorder="1" applyAlignment="1">
      <alignment horizontal="center" vertical="center" wrapText="1"/>
    </xf>
    <xf numFmtId="0" fontId="2" fillId="30" borderId="0" xfId="0" applyFont="1" applyFill="1" applyAlignment="1">
      <alignment horizontal="center" vertical="center"/>
    </xf>
    <xf numFmtId="0" fontId="2" fillId="30" borderId="0" xfId="0" applyFont="1" applyFill="1" applyBorder="1" applyAlignment="1">
      <alignment horizontal="left" vertical="center"/>
    </xf>
    <xf numFmtId="0" fontId="2" fillId="30" borderId="0" xfId="0" applyFont="1" applyFill="1" applyBorder="1" applyAlignment="1" applyProtection="1">
      <alignment horizontal="center" vertical="center"/>
      <protection hidden="1"/>
    </xf>
    <xf numFmtId="0" fontId="2" fillId="5" borderId="20" xfId="0" applyFont="1" applyFill="1" applyBorder="1" applyAlignment="1" applyProtection="1"/>
    <xf numFmtId="0" fontId="2" fillId="5" borderId="20" xfId="0" applyFont="1" applyFill="1" applyBorder="1" applyAlignment="1" applyProtection="1">
      <alignment vertical="center"/>
    </xf>
    <xf numFmtId="0" fontId="2" fillId="2" borderId="20" xfId="0" applyFont="1" applyFill="1" applyBorder="1" applyAlignment="1" applyProtection="1">
      <alignment horizontal="right" vertical="center"/>
      <protection locked="0"/>
    </xf>
    <xf numFmtId="0" fontId="25" fillId="4" borderId="38" xfId="0" applyFont="1" applyFill="1" applyBorder="1" applyAlignment="1">
      <alignment horizontal="center" vertical="center"/>
    </xf>
    <xf numFmtId="0" fontId="60" fillId="4" borderId="117" xfId="0" applyFont="1" applyFill="1" applyBorder="1" applyAlignment="1">
      <alignment horizontal="center" vertical="center" wrapText="1"/>
    </xf>
    <xf numFmtId="0" fontId="60" fillId="4" borderId="145" xfId="2" applyNumberFormat="1" applyFont="1" applyFill="1" applyBorder="1" applyAlignment="1" applyProtection="1">
      <alignment horizontal="center" vertical="center" wrapText="1"/>
    </xf>
    <xf numFmtId="0" fontId="60" fillId="4" borderId="146" xfId="2" applyNumberFormat="1" applyFont="1" applyFill="1" applyBorder="1" applyAlignment="1" applyProtection="1">
      <alignment horizontal="center" vertical="center" wrapText="1"/>
    </xf>
    <xf numFmtId="0" fontId="60" fillId="0" borderId="23" xfId="0" applyFont="1" applyBorder="1" applyAlignment="1">
      <alignment horizontal="center" vertical="center"/>
    </xf>
    <xf numFmtId="0" fontId="60" fillId="0" borderId="15" xfId="0" applyFont="1" applyBorder="1" applyAlignment="1">
      <alignment horizontal="center" vertical="center"/>
    </xf>
    <xf numFmtId="0" fontId="60" fillId="4" borderId="150" xfId="2" applyNumberFormat="1" applyFont="1" applyFill="1" applyBorder="1" applyAlignment="1" applyProtection="1">
      <alignment horizontal="center" vertical="center" wrapText="1"/>
    </xf>
    <xf numFmtId="0" fontId="60" fillId="4" borderId="151" xfId="2" applyNumberFormat="1" applyFont="1" applyFill="1" applyBorder="1" applyAlignment="1" applyProtection="1">
      <alignment horizontal="center" vertical="center" wrapText="1"/>
    </xf>
    <xf numFmtId="0" fontId="60" fillId="4" borderId="62" xfId="2" applyNumberFormat="1" applyFont="1" applyFill="1" applyBorder="1" applyAlignment="1" applyProtection="1">
      <alignment horizontal="center" vertical="center" wrapText="1"/>
    </xf>
    <xf numFmtId="0" fontId="60" fillId="4" borderId="140" xfId="2" applyNumberFormat="1" applyFont="1" applyFill="1" applyBorder="1" applyAlignment="1" applyProtection="1">
      <alignment horizontal="center" vertical="center" wrapText="1"/>
    </xf>
    <xf numFmtId="0" fontId="61" fillId="4" borderId="147" xfId="0" applyFont="1" applyFill="1" applyBorder="1" applyAlignment="1">
      <alignment horizontal="center" vertical="center"/>
    </xf>
    <xf numFmtId="0" fontId="61" fillId="4" borderId="148" xfId="0" applyFont="1" applyFill="1" applyBorder="1" applyAlignment="1">
      <alignment horizontal="center" vertical="center"/>
    </xf>
    <xf numFmtId="0" fontId="61" fillId="4" borderId="143" xfId="0" applyFont="1" applyFill="1" applyBorder="1" applyAlignment="1">
      <alignment horizontal="center" vertical="center"/>
    </xf>
    <xf numFmtId="0" fontId="2" fillId="2" borderId="29" xfId="0" applyFont="1" applyFill="1" applyBorder="1" applyAlignment="1" applyProtection="1">
      <alignment horizontal="center"/>
      <protection locked="0"/>
    </xf>
    <xf numFmtId="0" fontId="2" fillId="3" borderId="22" xfId="0" applyFont="1" applyFill="1" applyBorder="1" applyAlignment="1" applyProtection="1">
      <alignment horizontal="center"/>
    </xf>
    <xf numFmtId="0" fontId="2" fillId="0" borderId="1" xfId="2" applyNumberFormat="1" applyFont="1" applyFill="1" applyBorder="1" applyAlignment="1" applyProtection="1">
      <alignment vertical="center" wrapText="1"/>
      <protection locked="0"/>
    </xf>
    <xf numFmtId="0" fontId="2" fillId="3" borderId="28" xfId="0" applyFont="1" applyFill="1" applyBorder="1" applyAlignment="1" applyProtection="1">
      <alignment horizontal="left"/>
    </xf>
    <xf numFmtId="0" fontId="2" fillId="3" borderId="11" xfId="0" applyFont="1" applyFill="1" applyBorder="1" applyAlignment="1" applyProtection="1">
      <alignment horizontal="center"/>
    </xf>
    <xf numFmtId="0" fontId="2" fillId="7" borderId="60" xfId="0" applyFont="1" applyFill="1" applyBorder="1" applyAlignment="1" applyProtection="1">
      <alignment horizontal="right"/>
      <protection locked="0"/>
    </xf>
    <xf numFmtId="0" fontId="2" fillId="0" borderId="78" xfId="0" applyFont="1" applyBorder="1" applyAlignment="1" applyProtection="1">
      <alignment vertical="top" wrapText="1"/>
      <protection locked="0"/>
    </xf>
    <xf numFmtId="0" fontId="2" fillId="5" borderId="19" xfId="0" applyFont="1" applyFill="1" applyBorder="1" applyAlignment="1" applyProtection="1">
      <alignment vertical="center" wrapText="1"/>
    </xf>
    <xf numFmtId="0" fontId="2" fillId="5" borderId="17" xfId="0" applyNumberFormat="1" applyFont="1" applyFill="1" applyBorder="1" applyAlignment="1" applyProtection="1">
      <alignment horizontal="center" vertical="center"/>
    </xf>
    <xf numFmtId="0" fontId="2" fillId="5" borderId="16" xfId="0" applyNumberFormat="1" applyFont="1" applyFill="1" applyBorder="1" applyAlignment="1" applyProtection="1">
      <alignment horizontal="center" vertical="center"/>
    </xf>
    <xf numFmtId="0" fontId="2" fillId="7" borderId="23" xfId="0" applyNumberFormat="1" applyFont="1" applyFill="1" applyBorder="1" applyAlignment="1" applyProtection="1">
      <alignment horizontal="center" vertical="center"/>
      <protection locked="0"/>
    </xf>
    <xf numFmtId="0" fontId="2" fillId="7" borderId="15" xfId="0" applyNumberFormat="1" applyFont="1" applyFill="1" applyBorder="1" applyAlignment="1" applyProtection="1">
      <alignment horizontal="center" vertical="center"/>
      <protection locked="0"/>
    </xf>
    <xf numFmtId="0" fontId="2" fillId="2" borderId="61" xfId="0" applyFont="1" applyFill="1" applyBorder="1" applyAlignment="1" applyProtection="1">
      <alignment horizontal="center" vertical="center"/>
      <protection locked="0"/>
    </xf>
    <xf numFmtId="0" fontId="2" fillId="2" borderId="66" xfId="0" applyFont="1" applyFill="1" applyBorder="1" applyAlignment="1" applyProtection="1">
      <alignment horizontal="center" vertical="center"/>
      <protection locked="0"/>
    </xf>
    <xf numFmtId="0" fontId="2" fillId="0" borderId="35" xfId="0" quotePrefix="1" applyFont="1" applyBorder="1" applyAlignment="1" applyProtection="1">
      <alignment vertical="top" wrapText="1"/>
      <protection locked="0"/>
    </xf>
    <xf numFmtId="0" fontId="2" fillId="0" borderId="35" xfId="0" applyFont="1" applyBorder="1" applyAlignment="1" applyProtection="1">
      <alignment vertical="top" wrapText="1"/>
      <protection locked="0"/>
    </xf>
    <xf numFmtId="180" fontId="2" fillId="3" borderId="63" xfId="0" applyNumberFormat="1" applyFont="1" applyFill="1" applyBorder="1" applyAlignment="1" applyProtection="1">
      <alignment horizontal="center" vertical="center"/>
    </xf>
    <xf numFmtId="180" fontId="2" fillId="3" borderId="72" xfId="0" applyNumberFormat="1" applyFont="1" applyFill="1" applyBorder="1" applyAlignment="1" applyProtection="1">
      <alignment horizontal="center" vertical="center"/>
    </xf>
    <xf numFmtId="180" fontId="2" fillId="3" borderId="68" xfId="0" applyNumberFormat="1" applyFont="1" applyFill="1" applyBorder="1" applyAlignment="1" applyProtection="1">
      <alignment horizontal="center" vertical="center"/>
    </xf>
    <xf numFmtId="180" fontId="2" fillId="3" borderId="74" xfId="0" applyNumberFormat="1" applyFont="1" applyFill="1" applyBorder="1" applyAlignment="1" applyProtection="1">
      <alignment horizontal="center" vertical="center"/>
    </xf>
    <xf numFmtId="0" fontId="2" fillId="0" borderId="0" xfId="0" applyFont="1" applyBorder="1" applyAlignment="1" applyProtection="1">
      <alignment horizontal="center" vertical="center"/>
      <protection locked="0"/>
    </xf>
    <xf numFmtId="185" fontId="2" fillId="5" borderId="22" xfId="0" applyNumberFormat="1" applyFont="1" applyFill="1" applyBorder="1" applyAlignment="1" applyProtection="1">
      <alignment horizontal="center" vertical="center"/>
      <protection locked="0"/>
    </xf>
    <xf numFmtId="0" fontId="2" fillId="4" borderId="90" xfId="0" applyFont="1" applyFill="1" applyBorder="1" applyAlignment="1" applyProtection="1">
      <alignment horizontal="center" vertical="top" wrapText="1"/>
      <protection locked="0"/>
    </xf>
    <xf numFmtId="0" fontId="2" fillId="0" borderId="70" xfId="0" applyFont="1" applyFill="1" applyBorder="1" applyAlignment="1" applyProtection="1">
      <alignment horizontal="center"/>
      <protection locked="0"/>
    </xf>
    <xf numFmtId="0" fontId="2" fillId="4" borderId="78" xfId="0" applyFont="1" applyFill="1" applyBorder="1" applyAlignment="1" applyProtection="1">
      <alignment horizontal="center" vertical="top" wrapText="1"/>
      <protection locked="0"/>
    </xf>
    <xf numFmtId="0" fontId="2" fillId="0" borderId="78" xfId="0" applyFont="1" applyFill="1" applyBorder="1" applyAlignment="1" applyProtection="1">
      <alignment horizontal="center" vertical="top" wrapText="1"/>
      <protection locked="0"/>
    </xf>
    <xf numFmtId="31" fontId="2" fillId="5" borderId="12" xfId="0" applyNumberFormat="1"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49" fontId="63" fillId="0" borderId="8" xfId="0" applyNumberFormat="1" applyFont="1" applyFill="1" applyBorder="1" applyAlignment="1" applyProtection="1">
      <alignment horizontal="center" vertical="center"/>
      <protection locked="0"/>
    </xf>
    <xf numFmtId="180" fontId="2" fillId="0" borderId="12" xfId="0" applyNumberFormat="1" applyFont="1" applyBorder="1" applyAlignment="1" applyProtection="1">
      <alignment vertical="center"/>
      <protection locked="0"/>
    </xf>
    <xf numFmtId="0" fontId="2" fillId="0" borderId="78" xfId="0" applyFont="1" applyBorder="1" applyAlignment="1" applyProtection="1">
      <alignment horizontal="center" vertical="center"/>
      <protection locked="0"/>
    </xf>
    <xf numFmtId="0" fontId="2" fillId="0" borderId="72" xfId="0" applyFont="1" applyBorder="1" applyAlignment="1" applyProtection="1">
      <alignment horizontal="center" vertical="center"/>
      <protection locked="0"/>
    </xf>
    <xf numFmtId="0" fontId="2" fillId="2" borderId="33" xfId="0" applyFont="1" applyFill="1" applyBorder="1" applyAlignment="1" applyProtection="1">
      <alignment vertical="center"/>
      <protection locked="0"/>
    </xf>
    <xf numFmtId="49" fontId="63" fillId="0" borderId="77" xfId="0" applyNumberFormat="1" applyFont="1" applyFill="1" applyBorder="1" applyAlignment="1" applyProtection="1">
      <alignment horizontal="center" vertical="center" wrapText="1"/>
      <protection locked="0"/>
    </xf>
    <xf numFmtId="49" fontId="63" fillId="0" borderId="82" xfId="0" applyNumberFormat="1" applyFont="1" applyFill="1" applyBorder="1" applyAlignment="1" applyProtection="1">
      <alignment horizontal="center" vertical="center" wrapText="1"/>
      <protection locked="0"/>
    </xf>
    <xf numFmtId="180" fontId="2" fillId="0" borderId="34" xfId="0" applyNumberFormat="1" applyFont="1" applyFill="1" applyBorder="1" applyAlignment="1" applyProtection="1">
      <alignment vertical="center"/>
    </xf>
    <xf numFmtId="0" fontId="2" fillId="6" borderId="28" xfId="0" applyFont="1" applyFill="1" applyBorder="1" applyAlignment="1" applyProtection="1">
      <alignment horizontal="center" vertical="center"/>
      <protection locked="0"/>
    </xf>
    <xf numFmtId="0" fontId="2" fillId="0" borderId="7" xfId="0" applyFont="1" applyFill="1" applyBorder="1" applyAlignment="1" applyProtection="1">
      <alignment vertical="center" wrapText="1"/>
      <protection locked="0"/>
    </xf>
    <xf numFmtId="180" fontId="2" fillId="0" borderId="8" xfId="0" applyNumberFormat="1" applyFont="1" applyBorder="1" applyAlignment="1" applyProtection="1">
      <alignment vertical="center"/>
      <protection locked="0"/>
    </xf>
    <xf numFmtId="0" fontId="2" fillId="2" borderId="7" xfId="0" applyFont="1" applyFill="1" applyBorder="1" applyAlignment="1" applyProtection="1">
      <alignment vertical="center" wrapText="1"/>
      <protection locked="0"/>
    </xf>
    <xf numFmtId="49" fontId="63" fillId="0" borderId="59" xfId="0" applyNumberFormat="1" applyFont="1" applyFill="1" applyBorder="1" applyAlignment="1" applyProtection="1">
      <alignment horizontal="center" vertical="center"/>
      <protection locked="0"/>
    </xf>
    <xf numFmtId="180" fontId="2" fillId="0" borderId="19" xfId="0" applyNumberFormat="1" applyFont="1" applyBorder="1" applyAlignment="1" applyProtection="1">
      <alignment vertical="center"/>
      <protection locked="0"/>
    </xf>
    <xf numFmtId="0" fontId="2" fillId="0" borderId="7" xfId="0" applyFont="1" applyFill="1" applyBorder="1" applyAlignment="1" applyProtection="1">
      <alignment horizontal="center" vertical="center"/>
      <protection locked="0"/>
    </xf>
    <xf numFmtId="49" fontId="63" fillId="0" borderId="68" xfId="0" applyNumberFormat="1" applyFont="1" applyFill="1" applyBorder="1" applyAlignment="1" applyProtection="1">
      <alignment horizontal="center" vertical="center"/>
      <protection locked="0"/>
    </xf>
    <xf numFmtId="0" fontId="2" fillId="2" borderId="7" xfId="0" applyFont="1" applyFill="1" applyBorder="1" applyAlignment="1" applyProtection="1">
      <alignment vertical="center"/>
      <protection locked="0"/>
    </xf>
    <xf numFmtId="0" fontId="2" fillId="2" borderId="6" xfId="0" applyFont="1" applyFill="1" applyBorder="1" applyAlignment="1" applyProtection="1">
      <alignment vertical="center" wrapText="1"/>
      <protection locked="0"/>
    </xf>
    <xf numFmtId="49" fontId="63" fillId="0" borderId="61" xfId="0" applyNumberFormat="1" applyFont="1" applyFill="1" applyBorder="1" applyAlignment="1" applyProtection="1">
      <alignment horizontal="center" vertical="center" shrinkToFit="1"/>
      <protection locked="0"/>
    </xf>
    <xf numFmtId="49" fontId="63" fillId="0" borderId="66" xfId="0" applyNumberFormat="1" applyFont="1" applyFill="1" applyBorder="1" applyAlignment="1" applyProtection="1">
      <alignment horizontal="center" vertical="center" shrinkToFit="1"/>
      <protection locked="0"/>
    </xf>
    <xf numFmtId="180" fontId="2" fillId="0" borderId="12" xfId="0" applyNumberFormat="1" applyFont="1" applyFill="1" applyBorder="1" applyAlignment="1" applyProtection="1">
      <alignment vertical="center"/>
    </xf>
    <xf numFmtId="49" fontId="63" fillId="0" borderId="19" xfId="0" applyNumberFormat="1" applyFont="1" applyFill="1" applyBorder="1" applyAlignment="1" applyProtection="1">
      <alignment horizontal="center" vertical="center"/>
      <protection locked="0"/>
    </xf>
    <xf numFmtId="0" fontId="2" fillId="0" borderId="7" xfId="0" applyFont="1" applyFill="1" applyBorder="1" applyAlignment="1" applyProtection="1">
      <alignment horizontal="center" vertical="center" wrapText="1"/>
      <protection locked="0"/>
    </xf>
    <xf numFmtId="0" fontId="2" fillId="0" borderId="19" xfId="0" applyFont="1" applyFill="1" applyBorder="1" applyAlignment="1" applyProtection="1">
      <alignment vertical="center"/>
      <protection locked="0"/>
    </xf>
    <xf numFmtId="0" fontId="2" fillId="5" borderId="23" xfId="0" applyNumberFormat="1" applyFont="1" applyFill="1" applyBorder="1" applyAlignment="1" applyProtection="1">
      <alignment horizontal="center" vertical="center"/>
      <protection locked="0"/>
    </xf>
    <xf numFmtId="0" fontId="2" fillId="7" borderId="8" xfId="0" applyFont="1" applyFill="1" applyBorder="1" applyAlignment="1" applyProtection="1">
      <alignment horizontal="center" vertical="center"/>
      <protection locked="0"/>
    </xf>
    <xf numFmtId="31" fontId="2" fillId="5" borderId="17" xfId="0" applyNumberFormat="1" applyFont="1" applyFill="1" applyBorder="1" applyAlignment="1" applyProtection="1">
      <alignment horizontal="center" vertical="center"/>
    </xf>
    <xf numFmtId="0" fontId="2" fillId="5" borderId="12" xfId="0" applyFont="1" applyFill="1" applyBorder="1" applyAlignment="1" applyProtection="1">
      <alignment horizontal="center" vertical="center"/>
      <protection locked="0"/>
    </xf>
    <xf numFmtId="0" fontId="2" fillId="2" borderId="30" xfId="0" applyFont="1" applyFill="1" applyBorder="1" applyAlignment="1" applyProtection="1">
      <alignment horizontal="center" vertical="center"/>
      <protection locked="0"/>
    </xf>
    <xf numFmtId="0" fontId="2" fillId="2" borderId="77" xfId="0" applyFont="1" applyFill="1" applyBorder="1" applyAlignment="1" applyProtection="1">
      <alignment horizontal="center" vertical="center"/>
      <protection locked="0"/>
    </xf>
    <xf numFmtId="0" fontId="2" fillId="5" borderId="12" xfId="0" applyNumberFormat="1" applyFont="1" applyFill="1" applyBorder="1" applyAlignment="1" applyProtection="1">
      <alignment horizontal="center"/>
    </xf>
    <xf numFmtId="0" fontId="2" fillId="2" borderId="20" xfId="0" applyFont="1" applyFill="1" applyBorder="1" applyAlignment="1" applyProtection="1">
      <protection locked="0"/>
    </xf>
    <xf numFmtId="0" fontId="2" fillId="5" borderId="69" xfId="0" applyFont="1" applyFill="1" applyBorder="1" applyAlignment="1" applyProtection="1">
      <alignment vertical="center"/>
    </xf>
    <xf numFmtId="0" fontId="2" fillId="5" borderId="19" xfId="0" applyNumberFormat="1" applyFont="1" applyFill="1" applyBorder="1" applyAlignment="1" applyProtection="1">
      <alignment horizontal="center"/>
    </xf>
    <xf numFmtId="0" fontId="2" fillId="2" borderId="71" xfId="0" applyFont="1" applyFill="1" applyBorder="1" applyAlignment="1" applyProtection="1">
      <alignment horizontal="center" vertical="center" wrapText="1"/>
      <protection locked="0"/>
    </xf>
    <xf numFmtId="0" fontId="2" fillId="7" borderId="64" xfId="0" applyFont="1" applyFill="1" applyBorder="1" applyAlignment="1" applyProtection="1">
      <alignment horizontal="right" vertical="top" wrapText="1"/>
      <protection locked="0"/>
    </xf>
    <xf numFmtId="0" fontId="2" fillId="3" borderId="2" xfId="0" applyFont="1" applyFill="1" applyBorder="1" applyAlignment="1" applyProtection="1">
      <alignment horizontal="left" vertical="top" wrapText="1"/>
    </xf>
    <xf numFmtId="0" fontId="2" fillId="0" borderId="72" xfId="0" quotePrefix="1" applyFont="1" applyBorder="1" applyAlignment="1" applyProtection="1">
      <alignment vertical="top" wrapText="1"/>
      <protection locked="0"/>
    </xf>
    <xf numFmtId="0" fontId="12" fillId="0" borderId="1" xfId="2" applyNumberFormat="1" applyFont="1" applyFill="1" applyBorder="1" applyAlignment="1" applyProtection="1">
      <alignment horizontal="center" vertical="center"/>
      <protection locked="0"/>
    </xf>
    <xf numFmtId="0" fontId="2" fillId="2" borderId="107" xfId="0" applyFont="1" applyFill="1" applyBorder="1" applyAlignment="1" applyProtection="1">
      <alignment horizontal="center" vertical="center" wrapText="1"/>
      <protection locked="0"/>
    </xf>
    <xf numFmtId="0" fontId="0" fillId="0" borderId="0" xfId="0" applyBorder="1" applyAlignment="1" applyProtection="1">
      <alignment horizontal="center" vertical="center"/>
      <protection locked="0"/>
    </xf>
    <xf numFmtId="0" fontId="2" fillId="2" borderId="70" xfId="0" applyFont="1" applyFill="1" applyBorder="1" applyAlignment="1" applyProtection="1">
      <alignment horizontal="center" vertical="center"/>
      <protection locked="0"/>
    </xf>
    <xf numFmtId="0" fontId="2" fillId="5" borderId="10" xfId="0" applyFont="1" applyFill="1" applyBorder="1" applyAlignment="1" applyProtection="1">
      <alignment vertical="center" shrinkToFit="1"/>
    </xf>
    <xf numFmtId="0" fontId="2" fillId="2" borderId="10" xfId="0" applyFont="1" applyFill="1" applyBorder="1" applyAlignment="1" applyProtection="1">
      <alignment vertical="top"/>
      <protection hidden="1"/>
    </xf>
    <xf numFmtId="0" fontId="2" fillId="13" borderId="17" xfId="0" applyFont="1" applyFill="1" applyBorder="1" applyAlignment="1" applyProtection="1">
      <alignment horizontal="center" vertical="center"/>
      <protection hidden="1"/>
    </xf>
    <xf numFmtId="0" fontId="2" fillId="13" borderId="18" xfId="0" applyFont="1" applyFill="1" applyBorder="1" applyAlignment="1" applyProtection="1">
      <alignment horizontal="center" vertical="center"/>
      <protection hidden="1"/>
    </xf>
    <xf numFmtId="0" fontId="2" fillId="13" borderId="95" xfId="0" applyFont="1" applyFill="1" applyBorder="1" applyAlignment="1" applyProtection="1">
      <alignment horizontal="center" vertical="center"/>
      <protection hidden="1"/>
    </xf>
    <xf numFmtId="0" fontId="2" fillId="2" borderId="33" xfId="0" applyFont="1" applyFill="1" applyBorder="1" applyAlignment="1" applyProtection="1">
      <alignment horizontal="center" vertical="center"/>
      <protection hidden="1"/>
    </xf>
    <xf numFmtId="0" fontId="2" fillId="2" borderId="6" xfId="0" applyFont="1" applyFill="1" applyBorder="1" applyAlignment="1" applyProtection="1">
      <alignment vertical="top"/>
      <protection hidden="1"/>
    </xf>
    <xf numFmtId="0" fontId="2" fillId="7" borderId="61" xfId="0" applyFont="1" applyFill="1" applyBorder="1" applyAlignment="1" applyProtection="1">
      <alignment horizontal="right" vertical="top"/>
      <protection hidden="1"/>
    </xf>
    <xf numFmtId="0" fontId="2" fillId="3" borderId="11" xfId="0" applyFont="1" applyFill="1" applyBorder="1" applyAlignment="1" applyProtection="1">
      <alignment horizontal="left" vertical="top"/>
      <protection hidden="1"/>
    </xf>
    <xf numFmtId="0" fontId="2" fillId="2" borderId="19" xfId="0" applyFont="1" applyFill="1" applyBorder="1" applyAlignment="1" applyProtection="1">
      <alignment horizontal="center" vertical="center"/>
      <protection hidden="1"/>
    </xf>
    <xf numFmtId="0" fontId="65" fillId="0" borderId="0" xfId="0" applyFont="1" applyBorder="1" applyAlignment="1" applyProtection="1">
      <alignment horizontal="center" vertical="center"/>
      <protection hidden="1"/>
    </xf>
    <xf numFmtId="49" fontId="2" fillId="2" borderId="22" xfId="0" applyNumberFormat="1" applyFont="1" applyFill="1" applyBorder="1" applyAlignment="1" applyProtection="1">
      <alignment horizontal="center" vertical="center"/>
    </xf>
    <xf numFmtId="189" fontId="2" fillId="2" borderId="19" xfId="0" applyNumberFormat="1" applyFont="1" applyFill="1" applyBorder="1" applyAlignment="1" applyProtection="1">
      <alignment horizontal="center" vertical="center"/>
      <protection hidden="1"/>
    </xf>
    <xf numFmtId="0" fontId="2" fillId="0" borderId="27" xfId="0" applyFont="1" applyBorder="1" applyAlignment="1" applyProtection="1">
      <alignment vertical="center"/>
      <protection hidden="1"/>
    </xf>
    <xf numFmtId="0" fontId="65" fillId="0" borderId="20" xfId="0" applyFont="1" applyBorder="1" applyAlignment="1" applyProtection="1">
      <alignment horizontal="center" vertical="center" wrapText="1"/>
      <protection hidden="1"/>
    </xf>
    <xf numFmtId="0" fontId="2" fillId="2" borderId="6" xfId="0" applyFont="1" applyFill="1" applyBorder="1" applyAlignment="1" applyProtection="1">
      <alignment horizontal="center" vertical="top" wrapText="1"/>
      <protection hidden="1"/>
    </xf>
    <xf numFmtId="0" fontId="2" fillId="7" borderId="19" xfId="0" applyFont="1" applyFill="1" applyBorder="1" applyAlignment="1" applyProtection="1">
      <alignment horizontal="right" vertical="top" wrapText="1"/>
      <protection hidden="1"/>
    </xf>
    <xf numFmtId="0" fontId="2" fillId="3" borderId="11" xfId="0" applyFont="1" applyFill="1" applyBorder="1" applyAlignment="1" applyProtection="1">
      <alignment horizontal="left" vertical="top" wrapText="1"/>
      <protection hidden="1"/>
    </xf>
    <xf numFmtId="0" fontId="2" fillId="2" borderId="10" xfId="0" applyFont="1" applyFill="1" applyBorder="1" applyAlignment="1" applyProtection="1">
      <alignment horizontal="center" vertical="top" wrapText="1"/>
      <protection hidden="1"/>
    </xf>
    <xf numFmtId="0" fontId="2" fillId="13" borderId="17" xfId="0" applyFont="1" applyFill="1" applyBorder="1" applyAlignment="1" applyProtection="1">
      <alignment horizontal="center" vertical="center" wrapText="1"/>
      <protection hidden="1"/>
    </xf>
    <xf numFmtId="0" fontId="2" fillId="13" borderId="18" xfId="0" applyFont="1" applyFill="1" applyBorder="1" applyAlignment="1" applyProtection="1">
      <alignment horizontal="center" vertical="center" wrapText="1"/>
      <protection hidden="1"/>
    </xf>
    <xf numFmtId="0" fontId="2" fillId="13" borderId="95" xfId="0" applyFont="1" applyFill="1" applyBorder="1" applyAlignment="1" applyProtection="1">
      <alignment horizontal="center" vertical="center" wrapText="1"/>
      <protection hidden="1"/>
    </xf>
    <xf numFmtId="0" fontId="2" fillId="2" borderId="26" xfId="0" applyFont="1" applyFill="1" applyBorder="1" applyAlignment="1" applyProtection="1">
      <alignment horizontal="center" vertical="center"/>
      <protection locked="0"/>
    </xf>
    <xf numFmtId="0" fontId="2" fillId="2" borderId="106" xfId="0" applyFont="1" applyFill="1" applyBorder="1" applyAlignment="1" applyProtection="1">
      <alignment horizontal="center" vertical="center"/>
      <protection locked="0"/>
    </xf>
    <xf numFmtId="0" fontId="2" fillId="2" borderId="99" xfId="0" applyFont="1" applyFill="1" applyBorder="1" applyAlignment="1" applyProtection="1">
      <alignment horizontal="center" vertical="center"/>
      <protection locked="0"/>
    </xf>
    <xf numFmtId="0" fontId="2" fillId="2" borderId="140" xfId="0" applyFont="1" applyFill="1" applyBorder="1" applyAlignment="1" applyProtection="1">
      <alignment horizontal="center" vertical="center"/>
      <protection locked="0"/>
    </xf>
    <xf numFmtId="0" fontId="2" fillId="30" borderId="79" xfId="0" applyFont="1" applyFill="1" applyBorder="1" applyAlignment="1" applyProtection="1">
      <alignment horizontal="center" vertical="center"/>
    </xf>
    <xf numFmtId="0" fontId="2" fillId="30" borderId="76" xfId="0" applyFont="1" applyFill="1" applyBorder="1" applyAlignment="1" applyProtection="1">
      <alignment horizontal="center" vertical="center"/>
    </xf>
    <xf numFmtId="0" fontId="2" fillId="30" borderId="81" xfId="0" applyFont="1" applyFill="1" applyBorder="1" applyAlignment="1" applyProtection="1">
      <alignment horizontal="center" vertical="center"/>
    </xf>
    <xf numFmtId="0" fontId="2" fillId="3" borderId="203" xfId="0" applyFont="1" applyFill="1" applyBorder="1" applyAlignment="1" applyProtection="1">
      <alignment horizontal="left" vertical="top" wrapText="1"/>
    </xf>
    <xf numFmtId="0" fontId="2" fillId="7" borderId="202" xfId="0" applyFont="1" applyFill="1" applyBorder="1" applyAlignment="1" applyProtection="1">
      <alignment horizontal="right" vertical="top" wrapText="1"/>
      <protection locked="0"/>
    </xf>
    <xf numFmtId="0" fontId="2" fillId="0" borderId="72" xfId="0" applyFont="1" applyFill="1" applyBorder="1" applyAlignment="1" applyProtection="1">
      <alignment vertical="top" wrapText="1"/>
      <protection locked="0"/>
    </xf>
    <xf numFmtId="0" fontId="2" fillId="2" borderId="73" xfId="0" applyFont="1" applyFill="1" applyBorder="1" applyAlignment="1" applyProtection="1">
      <alignment horizontal="center" vertical="center" wrapText="1"/>
      <protection locked="0"/>
    </xf>
    <xf numFmtId="0" fontId="2" fillId="2" borderId="91" xfId="0" applyFont="1" applyFill="1" applyBorder="1" applyAlignment="1" applyProtection="1">
      <alignment horizontal="center" vertical="center" wrapText="1"/>
      <protection locked="0"/>
    </xf>
    <xf numFmtId="0" fontId="0" fillId="0" borderId="0" xfId="0" applyFont="1" applyBorder="1" applyAlignment="1" applyProtection="1">
      <alignment horizontal="center" vertical="top"/>
      <protection locked="0"/>
    </xf>
    <xf numFmtId="0" fontId="2" fillId="30" borderId="11" xfId="0" applyFont="1" applyFill="1" applyBorder="1" applyAlignment="1" applyProtection="1">
      <alignment horizontal="center" vertical="center"/>
    </xf>
    <xf numFmtId="180" fontId="42" fillId="32" borderId="23" xfId="0" applyNumberFormat="1" applyFont="1" applyFill="1" applyBorder="1" applyAlignment="1" applyProtection="1">
      <alignment horizontal="center" vertical="center"/>
      <protection locked="0"/>
    </xf>
    <xf numFmtId="180" fontId="42" fillId="32" borderId="15" xfId="0" applyNumberFormat="1" applyFont="1" applyFill="1" applyBorder="1" applyAlignment="1" applyProtection="1">
      <alignment horizontal="center" vertical="center"/>
      <protection locked="0"/>
    </xf>
    <xf numFmtId="0" fontId="2" fillId="3" borderId="81" xfId="0" applyFont="1" applyFill="1" applyBorder="1" applyAlignment="1" applyProtection="1">
      <alignment vertical="center"/>
    </xf>
    <xf numFmtId="0" fontId="2" fillId="2" borderId="36" xfId="0" quotePrefix="1" applyFont="1" applyFill="1" applyBorder="1" applyAlignment="1" applyProtection="1">
      <alignment horizontal="center" vertical="center"/>
      <protection locked="0"/>
    </xf>
    <xf numFmtId="0" fontId="2" fillId="2" borderId="15" xfId="0" applyFont="1" applyFill="1" applyBorder="1" applyAlignment="1" applyProtection="1">
      <alignment horizontal="center" vertical="center"/>
      <protection locked="0"/>
    </xf>
    <xf numFmtId="180" fontId="42" fillId="32" borderId="19" xfId="0" applyNumberFormat="1" applyFont="1" applyFill="1" applyBorder="1" applyAlignment="1" applyProtection="1">
      <alignment vertical="center"/>
      <protection locked="0"/>
    </xf>
    <xf numFmtId="0" fontId="2" fillId="2" borderId="61" xfId="0" applyFont="1" applyFill="1" applyBorder="1" applyAlignment="1" applyProtection="1">
      <alignment horizontal="center" vertical="center" shrinkToFit="1"/>
      <protection locked="0"/>
    </xf>
    <xf numFmtId="0" fontId="2" fillId="2" borderId="66" xfId="0" applyFont="1" applyFill="1" applyBorder="1" applyAlignment="1" applyProtection="1">
      <alignment horizontal="center" vertical="center" shrinkToFit="1"/>
      <protection locked="0"/>
    </xf>
    <xf numFmtId="31" fontId="2" fillId="2" borderId="17" xfId="0" applyNumberFormat="1" applyFont="1" applyFill="1" applyBorder="1" applyAlignment="1" applyProtection="1">
      <alignment horizontal="center" vertical="center"/>
      <protection locked="0"/>
    </xf>
    <xf numFmtId="31" fontId="2" fillId="2" borderId="16" xfId="0" applyNumberFormat="1" applyFont="1" applyFill="1" applyBorder="1" applyAlignment="1" applyProtection="1">
      <alignment horizontal="center" vertical="center"/>
      <protection locked="0"/>
    </xf>
    <xf numFmtId="0" fontId="2" fillId="0" borderId="0" xfId="0" applyFont="1" applyBorder="1" applyAlignment="1">
      <alignment vertical="center" wrapText="1"/>
    </xf>
    <xf numFmtId="0" fontId="2" fillId="0" borderId="1" xfId="0" applyFont="1" applyBorder="1" applyAlignment="1">
      <alignment vertical="center" wrapText="1"/>
    </xf>
    <xf numFmtId="0" fontId="2" fillId="3" borderId="34" xfId="0" applyFont="1" applyFill="1" applyBorder="1" applyAlignment="1" applyProtection="1">
      <alignment horizontal="center" vertical="center"/>
    </xf>
    <xf numFmtId="180" fontId="2" fillId="3" borderId="5" xfId="0" applyNumberFormat="1" applyFont="1" applyFill="1" applyBorder="1" applyAlignment="1" applyProtection="1">
      <alignment horizontal="center" vertical="center"/>
    </xf>
    <xf numFmtId="180" fontId="42" fillId="3" borderId="34" xfId="0" applyNumberFormat="1" applyFont="1" applyFill="1" applyBorder="1" applyAlignment="1" applyProtection="1">
      <alignment vertical="center"/>
    </xf>
    <xf numFmtId="0" fontId="2" fillId="0" borderId="72" xfId="0" applyFont="1" applyBorder="1" applyAlignment="1" applyProtection="1">
      <alignment horizontal="left" vertical="top" wrapText="1"/>
      <protection locked="0"/>
    </xf>
    <xf numFmtId="49" fontId="2" fillId="0" borderId="19" xfId="0" applyNumberFormat="1" applyFont="1" applyBorder="1" applyAlignment="1" applyProtection="1">
      <alignment horizontal="center" vertical="center"/>
      <protection locked="0"/>
    </xf>
    <xf numFmtId="49" fontId="2" fillId="0" borderId="8" xfId="0" applyNumberFormat="1" applyFont="1" applyBorder="1" applyAlignment="1" applyProtection="1">
      <alignment horizontal="center" vertical="center"/>
      <protection locked="0"/>
    </xf>
    <xf numFmtId="0" fontId="2" fillId="3" borderId="61" xfId="0" applyFont="1" applyFill="1" applyBorder="1" applyAlignment="1" applyProtection="1">
      <alignment horizontal="center" vertical="center"/>
    </xf>
    <xf numFmtId="180" fontId="42" fillId="7" borderId="59" xfId="0" applyNumberFormat="1" applyFont="1" applyFill="1" applyBorder="1" applyAlignment="1" applyProtection="1">
      <alignment vertical="center"/>
      <protection locked="0"/>
    </xf>
    <xf numFmtId="0" fontId="2" fillId="3" borderId="23" xfId="0" applyFont="1" applyFill="1" applyBorder="1" applyAlignment="1" applyProtection="1">
      <alignment horizontal="center" vertical="center"/>
    </xf>
    <xf numFmtId="180" fontId="42" fillId="7" borderId="8" xfId="0" applyNumberFormat="1" applyFont="1" applyFill="1" applyBorder="1" applyAlignment="1" applyProtection="1">
      <alignment vertical="center"/>
      <protection locked="0"/>
    </xf>
    <xf numFmtId="0" fontId="2" fillId="3" borderId="8" xfId="0" applyFont="1" applyFill="1" applyBorder="1" applyAlignment="1" applyProtection="1">
      <alignment horizontal="center" vertical="center"/>
    </xf>
    <xf numFmtId="0" fontId="2" fillId="2" borderId="17" xfId="0" applyFont="1" applyFill="1" applyBorder="1" applyAlignment="1" applyProtection="1">
      <alignment horizontal="center" vertical="center"/>
      <protection locked="0"/>
    </xf>
    <xf numFmtId="0" fontId="2" fillId="5" borderId="13" xfId="0" applyFont="1" applyFill="1" applyBorder="1" applyAlignment="1" applyProtection="1">
      <alignment vertical="center" shrinkToFit="1"/>
    </xf>
    <xf numFmtId="49" fontId="26" fillId="5" borderId="0" xfId="0" applyNumberFormat="1" applyFont="1" applyFill="1" applyBorder="1" applyAlignment="1" applyProtection="1">
      <alignment horizontal="center"/>
    </xf>
    <xf numFmtId="0" fontId="12" fillId="0" borderId="0" xfId="2" applyNumberFormat="1" applyFont="1" applyFill="1" applyBorder="1" applyProtection="1">
      <alignment vertical="center"/>
      <protection locked="0"/>
    </xf>
    <xf numFmtId="0" fontId="26" fillId="0" borderId="0" xfId="0" applyFont="1" applyBorder="1" applyAlignment="1" applyProtection="1">
      <alignment horizontal="center"/>
      <protection locked="0"/>
    </xf>
    <xf numFmtId="0" fontId="0" fillId="0" borderId="0" xfId="0" applyFont="1" applyBorder="1" applyAlignment="1" applyProtection="1">
      <alignment horizontal="center"/>
      <protection locked="0"/>
    </xf>
    <xf numFmtId="0" fontId="0" fillId="5" borderId="0" xfId="0" applyFont="1" applyFill="1" applyBorder="1" applyAlignment="1" applyProtection="1">
      <alignment horizontal="center"/>
    </xf>
    <xf numFmtId="0" fontId="33" fillId="5" borderId="0" xfId="0" applyFont="1" applyFill="1" applyBorder="1" applyAlignment="1" applyProtection="1"/>
    <xf numFmtId="0" fontId="33" fillId="2" borderId="0" xfId="0" applyFont="1" applyFill="1" applyBorder="1" applyAlignment="1" applyProtection="1">
      <alignment horizontal="center"/>
      <protection locked="0"/>
    </xf>
    <xf numFmtId="49" fontId="0" fillId="5" borderId="0" xfId="0" applyNumberFormat="1" applyFont="1" applyFill="1" applyBorder="1" applyAlignment="1" applyProtection="1">
      <alignment horizontal="right" vertical="center"/>
    </xf>
    <xf numFmtId="0" fontId="9" fillId="2" borderId="109" xfId="0" applyFont="1" applyFill="1" applyBorder="1" applyAlignment="1" applyProtection="1">
      <alignment horizontal="center" vertical="center"/>
      <protection locked="0"/>
    </xf>
    <xf numFmtId="0" fontId="9" fillId="2" borderId="110" xfId="0" applyFont="1" applyFill="1" applyBorder="1" applyAlignment="1" applyProtection="1">
      <alignment horizontal="center" vertical="center"/>
      <protection locked="0"/>
    </xf>
    <xf numFmtId="0" fontId="0" fillId="2" borderId="109" xfId="0" applyFont="1" applyFill="1" applyBorder="1" applyAlignment="1" applyProtection="1">
      <alignment horizontal="center" vertical="center"/>
      <protection locked="0"/>
    </xf>
    <xf numFmtId="0" fontId="0" fillId="2" borderId="110" xfId="0" applyFont="1" applyFill="1" applyBorder="1" applyAlignment="1" applyProtection="1">
      <alignment horizontal="center" vertical="center"/>
      <protection locked="0"/>
    </xf>
    <xf numFmtId="0" fontId="0" fillId="0" borderId="0" xfId="0" applyFont="1" applyBorder="1" applyAlignment="1">
      <alignment horizontal="left" vertical="center"/>
    </xf>
    <xf numFmtId="0" fontId="2" fillId="2" borderId="1" xfId="0" applyFont="1" applyFill="1" applyBorder="1" applyAlignment="1" applyProtection="1">
      <alignment vertical="center" wrapText="1"/>
      <protection locked="0"/>
    </xf>
    <xf numFmtId="0" fontId="2" fillId="0" borderId="72" xfId="0" applyFont="1" applyFill="1" applyBorder="1" applyAlignment="1" applyProtection="1">
      <alignment vertical="center"/>
      <protection locked="0"/>
    </xf>
    <xf numFmtId="0" fontId="2" fillId="3" borderId="70" xfId="0" applyFont="1" applyFill="1" applyBorder="1" applyAlignment="1" applyProtection="1">
      <alignment horizontal="center" vertical="center"/>
    </xf>
    <xf numFmtId="0" fontId="2" fillId="2" borderId="1" xfId="0" applyFont="1" applyFill="1" applyBorder="1" applyAlignment="1" applyProtection="1">
      <alignment horizontal="left" vertical="top" wrapText="1"/>
      <protection locked="0"/>
    </xf>
    <xf numFmtId="180" fontId="42" fillId="0" borderId="12" xfId="0" applyNumberFormat="1" applyFont="1" applyFill="1" applyBorder="1" applyAlignment="1" applyProtection="1">
      <alignment horizontal="center" vertical="center" wrapText="1"/>
      <protection locked="0"/>
    </xf>
    <xf numFmtId="0" fontId="0" fillId="2" borderId="0" xfId="0" applyFont="1" applyFill="1" applyBorder="1" applyAlignment="1" applyProtection="1">
      <alignment horizontal="center" vertical="center"/>
      <protection locked="0"/>
    </xf>
    <xf numFmtId="0" fontId="2" fillId="2" borderId="0" xfId="0" applyFont="1" applyFill="1" applyBorder="1" applyAlignment="1" applyProtection="1">
      <alignment horizontal="left" vertical="top" wrapText="1"/>
      <protection locked="0"/>
    </xf>
    <xf numFmtId="0" fontId="2" fillId="0" borderId="36" xfId="0" applyFont="1" applyBorder="1" applyAlignment="1" applyProtection="1">
      <alignment vertical="center"/>
      <protection locked="0"/>
    </xf>
    <xf numFmtId="0" fontId="2" fillId="2" borderId="14" xfId="0" applyFont="1" applyFill="1" applyBorder="1" applyAlignment="1" applyProtection="1">
      <alignment horizontal="center" vertical="center"/>
      <protection locked="0"/>
    </xf>
    <xf numFmtId="180" fontId="42" fillId="3" borderId="16" xfId="0" applyNumberFormat="1" applyFont="1" applyFill="1" applyBorder="1" applyAlignment="1" applyProtection="1">
      <alignment vertical="center"/>
    </xf>
    <xf numFmtId="0" fontId="2" fillId="3" borderId="80" xfId="0" applyFont="1" applyFill="1" applyBorder="1" applyAlignment="1" applyProtection="1">
      <alignment horizontal="center" vertical="center"/>
    </xf>
    <xf numFmtId="0" fontId="2" fillId="3" borderId="81" xfId="0" applyFont="1" applyFill="1" applyBorder="1" applyAlignment="1" applyProtection="1">
      <alignment horizontal="left" vertical="center"/>
    </xf>
    <xf numFmtId="0" fontId="2" fillId="2" borderId="36" xfId="0" applyFont="1" applyFill="1" applyBorder="1" applyAlignment="1" applyProtection="1">
      <alignment vertical="center"/>
      <protection locked="0"/>
    </xf>
    <xf numFmtId="0" fontId="2" fillId="3" borderId="36" xfId="0" applyFont="1" applyFill="1" applyBorder="1" applyAlignment="1" applyProtection="1">
      <alignment vertical="center"/>
      <protection locked="0"/>
    </xf>
    <xf numFmtId="0" fontId="2" fillId="2" borderId="99" xfId="0" applyFont="1" applyFill="1" applyBorder="1" applyAlignment="1" applyProtection="1">
      <alignment vertical="center"/>
      <protection locked="0"/>
    </xf>
    <xf numFmtId="180" fontId="42" fillId="0" borderId="63" xfId="0" applyNumberFormat="1" applyFont="1" applyFill="1" applyBorder="1" applyAlignment="1" applyProtection="1">
      <alignment vertical="center"/>
      <protection locked="0"/>
    </xf>
    <xf numFmtId="0" fontId="2" fillId="2" borderId="10" xfId="0" applyFont="1" applyFill="1" applyBorder="1" applyAlignment="1">
      <alignment horizontal="center" vertical="center" wrapText="1"/>
    </xf>
    <xf numFmtId="0" fontId="2" fillId="0" borderId="22" xfId="0" applyFont="1" applyFill="1" applyBorder="1" applyAlignment="1">
      <alignment horizontal="center" vertical="center"/>
    </xf>
    <xf numFmtId="0" fontId="2" fillId="0" borderId="28" xfId="0" applyFont="1" applyFill="1" applyBorder="1" applyAlignment="1">
      <alignment horizontal="left" vertical="center"/>
    </xf>
    <xf numFmtId="0" fontId="2" fillId="0" borderId="72" xfId="0" applyFont="1" applyBorder="1" applyAlignment="1">
      <alignment horizontal="left" vertical="top" wrapText="1"/>
    </xf>
    <xf numFmtId="0" fontId="2" fillId="2" borderId="12" xfId="0" applyFont="1" applyFill="1" applyBorder="1" applyAlignment="1">
      <alignment horizontal="center" vertical="center"/>
    </xf>
    <xf numFmtId="0" fontId="2" fillId="2" borderId="107" xfId="0" applyFont="1" applyFill="1" applyBorder="1" applyAlignment="1">
      <alignment horizontal="center" vertical="center" wrapText="1"/>
    </xf>
    <xf numFmtId="0" fontId="2" fillId="0" borderId="34" xfId="0" applyFont="1" applyFill="1" applyBorder="1" applyAlignment="1">
      <alignment horizontal="center" vertical="center"/>
    </xf>
    <xf numFmtId="0" fontId="2" fillId="0" borderId="35" xfId="0" applyFont="1" applyFill="1" applyBorder="1" applyAlignment="1">
      <alignment horizontal="center" vertical="center"/>
    </xf>
    <xf numFmtId="0" fontId="9" fillId="2" borderId="20" xfId="0" applyFont="1" applyFill="1" applyBorder="1" applyAlignment="1">
      <alignment horizontal="center" vertical="top"/>
    </xf>
    <xf numFmtId="0" fontId="0" fillId="0" borderId="0" xfId="0" applyFont="1" applyBorder="1" applyAlignment="1">
      <alignment horizontal="center" vertical="center"/>
    </xf>
    <xf numFmtId="49" fontId="2" fillId="5" borderId="22" xfId="0" applyNumberFormat="1" applyFont="1" applyFill="1" applyBorder="1" applyAlignment="1">
      <alignment horizontal="center" vertical="center"/>
    </xf>
    <xf numFmtId="0" fontId="2" fillId="30" borderId="35" xfId="0" applyFont="1" applyFill="1" applyBorder="1" applyAlignment="1" applyProtection="1">
      <alignment horizontal="center" vertical="center"/>
    </xf>
    <xf numFmtId="0" fontId="2" fillId="2" borderId="61" xfId="0" applyFont="1" applyFill="1" applyBorder="1" applyAlignment="1">
      <alignment horizontal="center" vertical="center"/>
    </xf>
    <xf numFmtId="0" fontId="2" fillId="2" borderId="66" xfId="0" applyFont="1" applyFill="1" applyBorder="1" applyAlignment="1">
      <alignment horizontal="center" vertical="center"/>
    </xf>
    <xf numFmtId="0" fontId="2" fillId="2" borderId="229" xfId="0" applyFont="1" applyFill="1" applyBorder="1" applyAlignment="1">
      <alignment horizontal="center" vertical="center"/>
    </xf>
    <xf numFmtId="0" fontId="2" fillId="2" borderId="230" xfId="0" applyFont="1" applyFill="1" applyBorder="1" applyAlignment="1">
      <alignment horizontal="center" vertical="center"/>
    </xf>
    <xf numFmtId="0" fontId="2" fillId="0" borderId="228" xfId="0" applyFont="1" applyFill="1" applyBorder="1" applyAlignment="1">
      <alignment horizontal="center" vertical="center"/>
    </xf>
    <xf numFmtId="0" fontId="2" fillId="0" borderId="72" xfId="0" quotePrefix="1" applyFont="1" applyBorder="1" applyAlignment="1" applyProtection="1">
      <alignment vertical="center" wrapText="1"/>
      <protection locked="0"/>
    </xf>
    <xf numFmtId="0" fontId="2" fillId="0" borderId="72" xfId="0" applyFont="1" applyBorder="1" applyAlignment="1" applyProtection="1">
      <alignment vertical="center" wrapText="1"/>
      <protection locked="0"/>
    </xf>
    <xf numFmtId="0" fontId="2" fillId="3" borderId="9" xfId="0" applyFont="1" applyFill="1" applyBorder="1" applyAlignment="1" applyProtection="1">
      <alignment horizontal="center" vertical="center" wrapText="1"/>
    </xf>
    <xf numFmtId="0" fontId="2" fillId="2" borderId="19" xfId="0" applyFont="1" applyFill="1" applyBorder="1" applyAlignment="1" applyProtection="1">
      <alignment horizontal="center" vertical="center" shrinkToFit="1"/>
      <protection locked="0"/>
    </xf>
    <xf numFmtId="0" fontId="2" fillId="0" borderId="22" xfId="0" applyFont="1" applyBorder="1" applyAlignment="1" applyProtection="1">
      <alignment horizontal="center" vertical="center"/>
      <protection locked="0"/>
    </xf>
    <xf numFmtId="0" fontId="2" fillId="0" borderId="9" xfId="0" applyFont="1" applyBorder="1" applyAlignment="1" applyProtection="1">
      <alignment horizontal="center" vertical="center"/>
      <protection locked="0"/>
    </xf>
    <xf numFmtId="0" fontId="2" fillId="2" borderId="71" xfId="0" applyFont="1" applyFill="1" applyBorder="1" applyAlignment="1" applyProtection="1">
      <alignment vertical="center"/>
      <protection locked="0"/>
    </xf>
    <xf numFmtId="0" fontId="27" fillId="2" borderId="0" xfId="0" applyFont="1" applyFill="1" applyBorder="1" applyAlignment="1" applyProtection="1">
      <alignment horizontal="center" vertical="center"/>
      <protection locked="0"/>
    </xf>
    <xf numFmtId="0" fontId="9" fillId="5" borderId="0" xfId="0" applyFont="1" applyFill="1" applyBorder="1" applyAlignment="1" applyProtection="1">
      <alignment horizontal="center"/>
    </xf>
    <xf numFmtId="0" fontId="68" fillId="0" borderId="0" xfId="0" applyFont="1" applyAlignment="1" applyProtection="1">
      <alignment horizontal="distributed" vertical="center"/>
      <protection locked="0"/>
    </xf>
    <xf numFmtId="0" fontId="0" fillId="0" borderId="0" xfId="0" applyAlignment="1" applyProtection="1">
      <alignment horizontal="distributed"/>
      <protection locked="0"/>
    </xf>
    <xf numFmtId="0" fontId="74" fillId="0" borderId="0" xfId="0" applyFont="1" applyAlignment="1" applyProtection="1">
      <alignment horizontal="justify"/>
      <protection locked="0"/>
    </xf>
    <xf numFmtId="0" fontId="144" fillId="0" borderId="0" xfId="0" applyFont="1" applyBorder="1" applyAlignment="1" applyProtection="1">
      <alignment vertical="justify" wrapText="1"/>
      <protection locked="0"/>
    </xf>
    <xf numFmtId="0" fontId="140" fillId="12" borderId="0" xfId="0" applyFont="1" applyFill="1" applyBorder="1" applyAlignment="1" applyProtection="1">
      <alignment vertical="center" wrapText="1"/>
      <protection locked="0"/>
    </xf>
    <xf numFmtId="0" fontId="142" fillId="43" borderId="0" xfId="0" applyFont="1" applyFill="1" applyAlignment="1" applyProtection="1">
      <alignment horizontal="center" vertical="center"/>
      <protection locked="0"/>
    </xf>
    <xf numFmtId="0" fontId="143" fillId="12" borderId="0" xfId="0" applyFont="1" applyFill="1" applyAlignment="1" applyProtection="1">
      <alignment horizontal="center" vertical="center"/>
      <protection locked="0"/>
    </xf>
    <xf numFmtId="20" fontId="140" fillId="44" borderId="0" xfId="0" applyNumberFormat="1" applyFont="1" applyFill="1" applyBorder="1" applyAlignment="1" applyProtection="1">
      <alignment horizontal="left" vertical="center"/>
      <protection locked="0"/>
    </xf>
    <xf numFmtId="0" fontId="140" fillId="12" borderId="0" xfId="0" applyFont="1" applyFill="1" applyBorder="1" applyAlignment="1" applyProtection="1">
      <alignment horizontal="left" vertical="justify" wrapText="1"/>
    </xf>
    <xf numFmtId="0" fontId="140" fillId="43" borderId="0" xfId="0" applyFont="1" applyFill="1" applyBorder="1" applyAlignment="1" applyProtection="1">
      <alignment horizontal="left" vertical="justify" wrapText="1"/>
    </xf>
    <xf numFmtId="0" fontId="11" fillId="0" borderId="0" xfId="0" applyFont="1" applyBorder="1" applyAlignment="1" applyProtection="1">
      <alignment vertical="justify" wrapText="1"/>
      <protection locked="0"/>
    </xf>
    <xf numFmtId="0" fontId="0" fillId="14" borderId="0" xfId="0" applyFont="1" applyFill="1" applyBorder="1" applyAlignment="1" applyProtection="1">
      <alignment vertical="center"/>
      <protection locked="0"/>
    </xf>
    <xf numFmtId="0" fontId="0" fillId="14" borderId="0" xfId="0" applyFont="1" applyFill="1" applyBorder="1" applyAlignment="1" applyProtection="1">
      <alignment vertical="center" wrapText="1"/>
      <protection locked="0"/>
    </xf>
    <xf numFmtId="0" fontId="46" fillId="14" borderId="0" xfId="0" applyFont="1" applyFill="1" applyBorder="1" applyAlignment="1" applyProtection="1">
      <alignment horizontal="left" vertical="center" wrapText="1"/>
      <protection locked="0"/>
    </xf>
    <xf numFmtId="0" fontId="74" fillId="14" borderId="0" xfId="0" applyFont="1" applyFill="1" applyAlignment="1" applyProtection="1">
      <alignment vertical="center" wrapText="1"/>
      <protection locked="0"/>
    </xf>
    <xf numFmtId="188" fontId="2" fillId="0" borderId="0" xfId="0" applyNumberFormat="1" applyFont="1" applyFill="1" applyBorder="1" applyAlignment="1">
      <alignment horizontal="left" vertical="center" wrapText="1"/>
    </xf>
    <xf numFmtId="0" fontId="128" fillId="0" borderId="0" xfId="0" applyFont="1" applyBorder="1" applyAlignment="1">
      <alignment horizontal="center" vertical="center" wrapText="1"/>
    </xf>
    <xf numFmtId="186" fontId="74" fillId="42" borderId="0" xfId="4" applyNumberFormat="1" applyFill="1" applyBorder="1" applyAlignment="1" applyProtection="1">
      <alignment vertical="center"/>
    </xf>
    <xf numFmtId="0" fontId="2" fillId="0" borderId="0" xfId="0" applyFont="1" applyFill="1" applyAlignment="1" applyProtection="1">
      <alignment vertical="center"/>
      <protection locked="0"/>
    </xf>
    <xf numFmtId="0" fontId="14" fillId="0" borderId="0" xfId="0" applyFont="1" applyFill="1" applyAlignment="1" applyProtection="1">
      <alignment vertical="center"/>
      <protection locked="0"/>
    </xf>
    <xf numFmtId="0" fontId="140" fillId="0" borderId="0" xfId="0" applyFont="1" applyFill="1" applyAlignment="1" applyProtection="1">
      <alignment vertical="center"/>
      <protection locked="0"/>
    </xf>
    <xf numFmtId="0" fontId="0" fillId="0" borderId="0" xfId="0" applyFill="1" applyAlignment="1">
      <alignment vertical="center"/>
    </xf>
    <xf numFmtId="0" fontId="140" fillId="0" borderId="0" xfId="0" applyFont="1" applyFill="1" applyBorder="1" applyAlignment="1" applyProtection="1">
      <alignment vertical="center"/>
      <protection locked="0"/>
    </xf>
    <xf numFmtId="0" fontId="54" fillId="0" borderId="0" xfId="0" applyFont="1" applyBorder="1" applyAlignment="1">
      <alignment vertical="center" wrapText="1"/>
    </xf>
    <xf numFmtId="0" fontId="128" fillId="0" borderId="0" xfId="0" applyFont="1" applyFill="1" applyBorder="1" applyAlignment="1">
      <alignment vertical="center" wrapText="1"/>
    </xf>
    <xf numFmtId="0" fontId="2" fillId="0" borderId="0" xfId="0" applyFont="1" applyFill="1" applyAlignment="1" applyProtection="1">
      <alignment horizontal="justify" vertical="center"/>
      <protection locked="0"/>
    </xf>
    <xf numFmtId="9" fontId="74" fillId="42" borderId="0" xfId="1" applyFill="1" applyBorder="1" applyAlignment="1" applyProtection="1">
      <alignment vertical="center"/>
    </xf>
    <xf numFmtId="0" fontId="140" fillId="0" borderId="0" xfId="0" applyFont="1" applyFill="1" applyBorder="1" applyAlignment="1" applyProtection="1">
      <alignment horizontal="center" vertical="center"/>
      <protection locked="0"/>
    </xf>
    <xf numFmtId="0" fontId="141" fillId="0" borderId="0" xfId="0" applyFont="1" applyFill="1" applyBorder="1" applyAlignment="1" applyProtection="1">
      <alignment horizontal="center" vertical="top" wrapText="1"/>
      <protection locked="0"/>
    </xf>
    <xf numFmtId="0" fontId="51" fillId="0" borderId="0" xfId="0" applyFont="1" applyFill="1" applyAlignment="1">
      <alignment vertical="center" wrapText="1"/>
    </xf>
    <xf numFmtId="0" fontId="54" fillId="0" borderId="0" xfId="0" applyFont="1" applyBorder="1" applyAlignment="1">
      <alignment horizontal="left" vertical="center" wrapText="1"/>
    </xf>
    <xf numFmtId="0" fontId="25" fillId="2" borderId="0" xfId="0" applyFont="1" applyFill="1" applyBorder="1" applyAlignment="1" applyProtection="1">
      <alignment horizontal="left"/>
      <protection locked="0"/>
    </xf>
    <xf numFmtId="0" fontId="2" fillId="5" borderId="20" xfId="0" applyFont="1" applyFill="1" applyBorder="1" applyAlignment="1" applyProtection="1">
      <alignment horizontal="center"/>
    </xf>
    <xf numFmtId="0" fontId="2" fillId="2" borderId="0" xfId="0" applyFont="1" applyFill="1" applyBorder="1" applyAlignment="1" applyProtection="1">
      <alignment horizontal="right"/>
      <protection locked="0"/>
    </xf>
    <xf numFmtId="180" fontId="2" fillId="5"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shrinkToFit="1"/>
      <protection locked="0"/>
    </xf>
    <xf numFmtId="180" fontId="2" fillId="5" borderId="3" xfId="0" applyNumberFormat="1" applyFont="1" applyFill="1" applyBorder="1" applyAlignment="1" applyProtection="1">
      <alignment horizontal="left" vertical="center" wrapText="1"/>
    </xf>
    <xf numFmtId="0" fontId="2" fillId="5" borderId="3" xfId="0" applyNumberFormat="1" applyFont="1" applyFill="1" applyBorder="1" applyAlignment="1" applyProtection="1">
      <alignment horizontal="center" vertical="center" wrapText="1"/>
    </xf>
    <xf numFmtId="0" fontId="25" fillId="2" borderId="3" xfId="0" applyFont="1" applyFill="1" applyBorder="1" applyAlignment="1" applyProtection="1">
      <alignment horizontal="center" vertical="center" wrapText="1"/>
      <protection locked="0"/>
    </xf>
    <xf numFmtId="0" fontId="2" fillId="5" borderId="3" xfId="0" applyFont="1" applyFill="1" applyBorder="1" applyAlignment="1" applyProtection="1">
      <alignment horizontal="left" vertical="center" wrapText="1"/>
    </xf>
    <xf numFmtId="49" fontId="2" fillId="2" borderId="3" xfId="0" applyNumberFormat="1" applyFont="1" applyFill="1" applyBorder="1" applyAlignment="1" applyProtection="1">
      <alignment horizontal="center" vertical="center" wrapText="1"/>
      <protection locked="0"/>
    </xf>
    <xf numFmtId="0" fontId="2" fillId="2" borderId="3" xfId="0" applyFont="1" applyFill="1" applyBorder="1" applyAlignment="1" applyProtection="1">
      <alignment horizontal="center" wrapText="1"/>
      <protection locked="0"/>
    </xf>
    <xf numFmtId="180" fontId="2" fillId="5" borderId="3" xfId="0" applyNumberFormat="1" applyFont="1" applyFill="1" applyBorder="1" applyAlignment="1" applyProtection="1">
      <alignment horizontal="left" vertical="top" wrapText="1"/>
    </xf>
    <xf numFmtId="180" fontId="2" fillId="5" borderId="3" xfId="0" applyNumberFormat="1" applyFont="1" applyFill="1" applyBorder="1" applyAlignment="1" applyProtection="1">
      <alignment horizontal="center" vertical="center" shrinkToFit="1"/>
    </xf>
    <xf numFmtId="0" fontId="2" fillId="0" borderId="3" xfId="0" applyFont="1" applyBorder="1" applyAlignment="1" applyProtection="1">
      <alignment horizontal="center" wrapText="1"/>
      <protection locked="0"/>
    </xf>
    <xf numFmtId="180" fontId="2" fillId="3" borderId="3" xfId="4" applyNumberFormat="1" applyFont="1" applyFill="1" applyBorder="1" applyAlignment="1" applyProtection="1">
      <alignment horizontal="center" vertical="center" wrapText="1"/>
    </xf>
    <xf numFmtId="180" fontId="2" fillId="3" borderId="3" xfId="0" applyNumberFormat="1" applyFont="1" applyFill="1" applyBorder="1" applyAlignment="1" applyProtection="1">
      <alignment horizontal="center" vertical="center" wrapText="1"/>
    </xf>
    <xf numFmtId="178" fontId="2" fillId="5"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textRotation="255" wrapText="1"/>
      <protection locked="0"/>
    </xf>
    <xf numFmtId="0" fontId="9" fillId="5" borderId="0" xfId="0" applyFont="1" applyFill="1" applyBorder="1" applyAlignment="1" applyProtection="1">
      <alignment horizontal="center" vertical="center" shrinkToFit="1"/>
    </xf>
    <xf numFmtId="0" fontId="9" fillId="2" borderId="0" xfId="0" applyFont="1" applyFill="1" applyBorder="1" applyAlignment="1" applyProtection="1">
      <alignment horizontal="center" vertical="center" shrinkToFit="1"/>
      <protection locked="0"/>
    </xf>
    <xf numFmtId="0" fontId="27" fillId="5" borderId="0" xfId="0" applyFont="1" applyFill="1" applyBorder="1" applyAlignment="1" applyProtection="1">
      <alignment vertical="center" wrapText="1"/>
    </xf>
    <xf numFmtId="0" fontId="131" fillId="2" borderId="0" xfId="0" applyFont="1" applyFill="1" applyBorder="1" applyAlignment="1" applyProtection="1">
      <alignment vertical="center"/>
      <protection locked="0"/>
    </xf>
    <xf numFmtId="0" fontId="27" fillId="5" borderId="0" xfId="0" applyFont="1" applyFill="1" applyBorder="1" applyAlignment="1" applyProtection="1">
      <alignment vertical="center"/>
    </xf>
    <xf numFmtId="0" fontId="27" fillId="2" borderId="30" xfId="0" applyFont="1" applyFill="1" applyBorder="1" applyAlignment="1" applyProtection="1">
      <alignment horizontal="center" vertical="center"/>
      <protection locked="0"/>
    </xf>
    <xf numFmtId="0" fontId="27" fillId="2" borderId="5" xfId="0" applyFont="1" applyFill="1" applyBorder="1" applyAlignment="1" applyProtection="1">
      <alignment horizontal="center" vertical="center"/>
      <protection locked="0"/>
    </xf>
    <xf numFmtId="0" fontId="27" fillId="3" borderId="30" xfId="0" applyFont="1" applyFill="1" applyBorder="1" applyAlignment="1" applyProtection="1">
      <alignment vertical="center"/>
    </xf>
    <xf numFmtId="0" fontId="27" fillId="3" borderId="5" xfId="0" applyFont="1" applyFill="1" applyBorder="1" applyAlignment="1" applyProtection="1">
      <alignment vertical="center"/>
    </xf>
    <xf numFmtId="180" fontId="27" fillId="4" borderId="30" xfId="0" applyNumberFormat="1" applyFont="1" applyFill="1" applyBorder="1" applyAlignment="1" applyProtection="1">
      <alignment horizontal="center" vertical="center" shrinkToFit="1"/>
      <protection locked="0"/>
    </xf>
    <xf numFmtId="180" fontId="27" fillId="4" borderId="5" xfId="0" applyNumberFormat="1" applyFont="1" applyFill="1" applyBorder="1" applyAlignment="1" applyProtection="1">
      <alignment horizontal="center" vertical="center" shrinkToFit="1"/>
      <protection locked="0"/>
    </xf>
    <xf numFmtId="0" fontId="27" fillId="7" borderId="0" xfId="0" applyFont="1" applyFill="1" applyBorder="1" applyAlignment="1" applyProtection="1">
      <alignment vertical="center"/>
      <protection locked="0"/>
    </xf>
    <xf numFmtId="0" fontId="27" fillId="2" borderId="3" xfId="0" applyFont="1" applyFill="1" applyBorder="1" applyAlignment="1" applyProtection="1">
      <alignment horizontal="center" vertical="center"/>
      <protection locked="0"/>
    </xf>
    <xf numFmtId="0" fontId="27" fillId="3" borderId="3" xfId="0" applyFont="1" applyFill="1" applyBorder="1" applyAlignment="1" applyProtection="1">
      <alignment vertical="center"/>
    </xf>
    <xf numFmtId="0" fontId="27" fillId="4" borderId="30" xfId="0" applyFont="1" applyFill="1" applyBorder="1" applyAlignment="1" applyProtection="1">
      <alignment horizontal="center" vertical="center"/>
      <protection locked="0"/>
    </xf>
    <xf numFmtId="0" fontId="27" fillId="4" borderId="3" xfId="0" applyFont="1" applyFill="1" applyBorder="1" applyAlignment="1" applyProtection="1">
      <alignment vertical="center"/>
      <protection locked="0"/>
    </xf>
    <xf numFmtId="180" fontId="27" fillId="4" borderId="30" xfId="0" applyNumberFormat="1" applyFont="1" applyFill="1" applyBorder="1" applyAlignment="1" applyProtection="1">
      <alignment horizontal="center" vertical="center"/>
      <protection locked="0"/>
    </xf>
    <xf numFmtId="0" fontId="27" fillId="4" borderId="30" xfId="0" applyFont="1" applyFill="1" applyBorder="1" applyAlignment="1" applyProtection="1">
      <alignment vertical="center"/>
      <protection locked="0"/>
    </xf>
    <xf numFmtId="0" fontId="27" fillId="4" borderId="5" xfId="0" applyFont="1" applyFill="1" applyBorder="1" applyAlignment="1" applyProtection="1">
      <alignment vertical="center"/>
      <protection locked="0"/>
    </xf>
    <xf numFmtId="180" fontId="27" fillId="4" borderId="5" xfId="0" applyNumberFormat="1" applyFont="1" applyFill="1" applyBorder="1" applyAlignment="1" applyProtection="1">
      <alignment horizontal="center" vertical="center"/>
      <protection locked="0"/>
    </xf>
    <xf numFmtId="180" fontId="27" fillId="2" borderId="30" xfId="0" applyNumberFormat="1" applyFont="1" applyFill="1" applyBorder="1" applyAlignment="1" applyProtection="1">
      <alignment horizontal="center" vertical="center"/>
      <protection locked="0"/>
    </xf>
    <xf numFmtId="180" fontId="27" fillId="2" borderId="5" xfId="0" applyNumberFormat="1" applyFont="1" applyFill="1" applyBorder="1" applyAlignment="1" applyProtection="1">
      <alignment horizontal="center" vertical="center"/>
      <protection locked="0"/>
    </xf>
    <xf numFmtId="0" fontId="27" fillId="3" borderId="30" xfId="0" applyFont="1" applyFill="1" applyBorder="1" applyAlignment="1" applyProtection="1">
      <alignment vertical="center" shrinkToFit="1"/>
    </xf>
    <xf numFmtId="0" fontId="27" fillId="3" borderId="5" xfId="0" applyFont="1" applyFill="1" applyBorder="1" applyAlignment="1" applyProtection="1">
      <alignment vertical="center" shrinkToFit="1"/>
    </xf>
    <xf numFmtId="0" fontId="27" fillId="3" borderId="30" xfId="0" applyFont="1" applyFill="1" applyBorder="1" applyAlignment="1" applyProtection="1">
      <alignment vertical="center" wrapText="1"/>
    </xf>
    <xf numFmtId="0" fontId="27" fillId="3" borderId="5" xfId="0" applyFont="1" applyFill="1" applyBorder="1" applyAlignment="1" applyProtection="1">
      <alignment vertical="center" wrapText="1"/>
    </xf>
    <xf numFmtId="0" fontId="27" fillId="3" borderId="3" xfId="0" applyFont="1" applyFill="1" applyBorder="1" applyAlignment="1" applyProtection="1">
      <alignment vertical="center" shrinkToFit="1"/>
    </xf>
    <xf numFmtId="180" fontId="27" fillId="2" borderId="26" xfId="0" applyNumberFormat="1" applyFont="1" applyFill="1" applyBorder="1" applyAlignment="1" applyProtection="1">
      <alignment horizontal="center" vertical="center" shrinkToFit="1"/>
      <protection locked="0"/>
    </xf>
    <xf numFmtId="180" fontId="27" fillId="2" borderId="30" xfId="0" applyNumberFormat="1" applyFont="1" applyFill="1" applyBorder="1" applyAlignment="1" applyProtection="1">
      <alignment horizontal="center" vertical="center" shrinkToFit="1"/>
      <protection locked="0"/>
    </xf>
    <xf numFmtId="182" fontId="39" fillId="3" borderId="0" xfId="0" applyNumberFormat="1" applyFont="1" applyFill="1" applyBorder="1" applyAlignment="1" applyProtection="1">
      <alignment horizontal="center" vertical="center" shrinkToFit="1"/>
      <protection locked="0"/>
    </xf>
    <xf numFmtId="0" fontId="27" fillId="30" borderId="3" xfId="0" applyFont="1" applyFill="1" applyBorder="1" applyAlignment="1" applyProtection="1">
      <alignment vertical="center" shrinkToFit="1"/>
      <protection locked="0"/>
    </xf>
    <xf numFmtId="0" fontId="27" fillId="0" borderId="30" xfId="0" applyFont="1" applyFill="1" applyBorder="1" applyAlignment="1" applyProtection="1">
      <alignment vertical="center" shrinkToFit="1"/>
      <protection locked="0"/>
    </xf>
    <xf numFmtId="0" fontId="27" fillId="0" borderId="5" xfId="0" applyFont="1" applyFill="1" applyBorder="1" applyAlignment="1" applyProtection="1">
      <alignment vertical="center" shrinkToFit="1"/>
      <protection locked="0"/>
    </xf>
    <xf numFmtId="0" fontId="27" fillId="0" borderId="3" xfId="0" applyFont="1" applyFill="1" applyBorder="1" applyAlignment="1" applyProtection="1">
      <alignment horizontal="center" vertical="center" shrinkToFit="1"/>
      <protection locked="0"/>
    </xf>
    <xf numFmtId="0" fontId="27" fillId="2" borderId="3" xfId="0" applyFont="1" applyFill="1" applyBorder="1" applyAlignment="1" applyProtection="1">
      <alignment horizontal="center" vertical="center" shrinkToFit="1"/>
      <protection locked="0"/>
    </xf>
    <xf numFmtId="0" fontId="27" fillId="13" borderId="30" xfId="0" applyFont="1" applyFill="1" applyBorder="1" applyAlignment="1" applyProtection="1">
      <alignment vertical="center" shrinkToFit="1"/>
      <protection locked="0"/>
    </xf>
    <xf numFmtId="0" fontId="27" fillId="13" borderId="5" xfId="0" applyFont="1" applyFill="1" applyBorder="1" applyAlignment="1" applyProtection="1">
      <alignment vertical="center" shrinkToFit="1"/>
      <protection locked="0"/>
    </xf>
    <xf numFmtId="0" fontId="27" fillId="2" borderId="0" xfId="0" applyFont="1" applyFill="1" applyBorder="1" applyAlignment="1" applyProtection="1">
      <alignment vertical="center" wrapText="1"/>
      <protection locked="0"/>
    </xf>
    <xf numFmtId="182" fontId="39" fillId="3" borderId="0" xfId="0" applyNumberFormat="1" applyFont="1" applyFill="1" applyBorder="1" applyAlignment="1" applyProtection="1">
      <alignment horizontal="center" vertical="center" shrinkToFit="1"/>
    </xf>
    <xf numFmtId="0" fontId="27" fillId="5" borderId="0" xfId="0" applyFont="1" applyFill="1" applyBorder="1" applyAlignment="1" applyProtection="1">
      <alignment vertical="top" wrapText="1"/>
    </xf>
    <xf numFmtId="49" fontId="27" fillId="4" borderId="0" xfId="0" applyNumberFormat="1" applyFont="1" applyFill="1" applyBorder="1" applyAlignment="1" applyProtection="1">
      <alignment vertical="center" wrapText="1"/>
      <protection locked="0"/>
    </xf>
    <xf numFmtId="0" fontId="27" fillId="2" borderId="0" xfId="0" applyFont="1" applyFill="1" applyBorder="1" applyAlignment="1" applyProtection="1">
      <alignment vertical="center"/>
      <protection locked="0"/>
    </xf>
    <xf numFmtId="0" fontId="128" fillId="2" borderId="0" xfId="0" applyFont="1" applyFill="1" applyBorder="1" applyAlignment="1" applyProtection="1">
      <alignment horizontal="center" vertical="center"/>
      <protection locked="0"/>
    </xf>
    <xf numFmtId="49" fontId="128" fillId="5" borderId="0" xfId="0" applyNumberFormat="1" applyFont="1" applyFill="1" applyBorder="1" applyAlignment="1" applyProtection="1">
      <alignment horizontal="center" vertical="center"/>
    </xf>
    <xf numFmtId="0" fontId="128" fillId="5" borderId="0" xfId="0" applyNumberFormat="1" applyFont="1" applyFill="1" applyBorder="1" applyAlignment="1" applyProtection="1">
      <alignment horizontal="center" vertical="center"/>
    </xf>
    <xf numFmtId="0" fontId="51" fillId="2" borderId="3" xfId="0" applyFont="1" applyFill="1" applyBorder="1" applyAlignment="1" applyProtection="1">
      <alignment vertical="center" wrapText="1"/>
      <protection locked="0"/>
    </xf>
    <xf numFmtId="31" fontId="2" fillId="5" borderId="0" xfId="0" applyNumberFormat="1" applyFont="1" applyFill="1" applyBorder="1" applyAlignment="1" applyProtection="1">
      <alignment horizontal="center"/>
    </xf>
    <xf numFmtId="0" fontId="103" fillId="19" borderId="0" xfId="7" applyNumberFormat="1" applyFont="1" applyBorder="1" applyAlignment="1">
      <alignment horizontal="center" vertical="top" wrapText="1"/>
    </xf>
    <xf numFmtId="0" fontId="104" fillId="0" borderId="0" xfId="6" applyNumberFormat="1" applyFont="1" applyFill="1" applyBorder="1" applyAlignment="1">
      <alignment horizontal="left" vertical="center"/>
    </xf>
    <xf numFmtId="0" fontId="100" fillId="23" borderId="0" xfId="0" applyNumberFormat="1" applyFont="1" applyFill="1" applyAlignment="1">
      <alignment horizontal="center" vertical="center" wrapText="1"/>
    </xf>
    <xf numFmtId="0" fontId="99" fillId="24" borderId="0" xfId="0" applyNumberFormat="1" applyFont="1" applyFill="1" applyAlignment="1">
      <alignment horizontal="right" vertical="center" wrapText="1"/>
    </xf>
    <xf numFmtId="0" fontId="100" fillId="23" borderId="0" xfId="0" applyNumberFormat="1" applyFont="1" applyFill="1" applyAlignment="1">
      <alignment horizontal="right" vertical="center" wrapText="1"/>
    </xf>
    <xf numFmtId="0" fontId="100" fillId="23" borderId="0" xfId="0" applyNumberFormat="1" applyFont="1" applyFill="1" applyAlignment="1">
      <alignment horizontal="right" vertical="center"/>
    </xf>
    <xf numFmtId="0" fontId="105" fillId="20" borderId="0" xfId="8" applyNumberFormat="1" applyFont="1" applyBorder="1" applyAlignment="1">
      <alignment horizontal="center" vertical="center" wrapText="1"/>
    </xf>
    <xf numFmtId="0" fontId="101" fillId="23" borderId="0" xfId="0" applyFont="1" applyFill="1" applyAlignment="1">
      <alignment horizontal="center" vertical="center" wrapText="1"/>
    </xf>
    <xf numFmtId="0" fontId="102" fillId="24" borderId="0" xfId="0" applyFont="1" applyFill="1" applyAlignment="1">
      <alignment horizontal="center" vertical="top" wrapText="1"/>
    </xf>
    <xf numFmtId="0" fontId="83" fillId="0" borderId="115" xfId="0" applyFont="1" applyBorder="1" applyAlignment="1">
      <alignment horizontal="center" vertical="center" wrapText="1"/>
    </xf>
    <xf numFmtId="0" fontId="83" fillId="0" borderId="116" xfId="0" applyFont="1" applyBorder="1" applyAlignment="1">
      <alignment horizontal="center" vertical="center" wrapText="1"/>
    </xf>
    <xf numFmtId="0" fontId="25" fillId="0" borderId="134" xfId="0" applyFont="1" applyBorder="1" applyAlignment="1">
      <alignment horizontal="center" vertical="center"/>
    </xf>
    <xf numFmtId="0" fontId="2" fillId="0" borderId="135" xfId="0" applyFont="1" applyBorder="1" applyAlignment="1">
      <alignment horizontal="center" vertical="center"/>
    </xf>
    <xf numFmtId="0" fontId="74" fillId="0" borderId="0" xfId="0" applyFont="1" applyBorder="1" applyAlignment="1">
      <alignment horizontal="right" vertical="center"/>
    </xf>
    <xf numFmtId="49" fontId="74" fillId="0" borderId="0" xfId="0" applyNumberFormat="1" applyFont="1" applyBorder="1" applyAlignment="1">
      <alignment horizontal="right" vertical="center"/>
    </xf>
    <xf numFmtId="0" fontId="53" fillId="0" borderId="0" xfId="0" applyFont="1" applyAlignment="1">
      <alignment horizontal="left" vertical="top" wrapText="1"/>
    </xf>
    <xf numFmtId="0" fontId="53" fillId="0" borderId="0" xfId="0" applyFont="1" applyAlignment="1">
      <alignment horizontal="left" vertical="top"/>
    </xf>
    <xf numFmtId="0" fontId="2" fillId="0" borderId="130" xfId="0" applyFont="1" applyBorder="1" applyAlignment="1">
      <alignment horizontal="left" vertical="center" wrapText="1"/>
    </xf>
    <xf numFmtId="0" fontId="2" fillId="0" borderId="131" xfId="0" applyFont="1" applyBorder="1" applyAlignment="1">
      <alignment horizontal="left" vertical="center" wrapText="1"/>
    </xf>
    <xf numFmtId="0" fontId="2" fillId="0" borderId="137" xfId="0" applyFont="1" applyBorder="1" applyAlignment="1">
      <alignment horizontal="left" vertical="center" wrapText="1"/>
    </xf>
    <xf numFmtId="49" fontId="2" fillId="0" borderId="132" xfId="0" applyNumberFormat="1" applyFont="1" applyBorder="1" applyAlignment="1">
      <alignment horizontal="center" vertical="center" wrapText="1"/>
    </xf>
    <xf numFmtId="49" fontId="2" fillId="0" borderId="93" xfId="0" applyNumberFormat="1" applyFont="1" applyBorder="1" applyAlignment="1">
      <alignment horizontal="center" vertical="center" wrapText="1"/>
    </xf>
    <xf numFmtId="0" fontId="10" fillId="0" borderId="133" xfId="0" applyFont="1" applyBorder="1" applyAlignment="1">
      <alignment horizontal="center" vertical="center"/>
    </xf>
    <xf numFmtId="0" fontId="69" fillId="0" borderId="111" xfId="0" applyFont="1" applyBorder="1" applyAlignment="1">
      <alignment vertical="center"/>
    </xf>
    <xf numFmtId="49" fontId="2" fillId="0" borderId="132" xfId="0" applyNumberFormat="1" applyFont="1" applyBorder="1" applyAlignment="1">
      <alignment horizontal="center" vertical="center" textRotation="255"/>
    </xf>
    <xf numFmtId="49" fontId="53" fillId="0" borderId="132" xfId="0" applyNumberFormat="1" applyFont="1" applyBorder="1" applyAlignment="1">
      <alignment horizontal="center" vertical="center" textRotation="255"/>
    </xf>
    <xf numFmtId="0" fontId="83" fillId="0" borderId="120" xfId="0" applyFont="1" applyBorder="1" applyAlignment="1">
      <alignment horizontal="center" vertical="center" wrapText="1"/>
    </xf>
    <xf numFmtId="0" fontId="83" fillId="0" borderId="123" xfId="0" applyFont="1" applyBorder="1" applyAlignment="1">
      <alignment horizontal="center" vertical="center" wrapText="1"/>
    </xf>
    <xf numFmtId="0" fontId="25" fillId="0" borderId="120" xfId="0" applyFont="1" applyBorder="1" applyAlignment="1">
      <alignment horizontal="center" vertical="center"/>
    </xf>
    <xf numFmtId="0" fontId="25" fillId="0" borderId="121" xfId="0" applyFont="1" applyBorder="1" applyAlignment="1">
      <alignment horizontal="center" vertical="center"/>
    </xf>
    <xf numFmtId="0" fontId="70" fillId="0" borderId="122" xfId="0" applyFont="1" applyBorder="1" applyAlignment="1">
      <alignment horizontal="center" vertical="center"/>
    </xf>
    <xf numFmtId="0" fontId="67" fillId="0" borderId="0" xfId="0" applyFont="1" applyBorder="1" applyAlignment="1">
      <alignment horizontal="center" vertical="center" wrapText="1"/>
    </xf>
    <xf numFmtId="0" fontId="0" fillId="0" borderId="0" xfId="0" applyAlignment="1">
      <alignment vertical="center" wrapText="1"/>
    </xf>
    <xf numFmtId="0" fontId="10" fillId="0" borderId="127" xfId="0" applyFont="1" applyBorder="1" applyAlignment="1">
      <alignment horizontal="center" vertical="center" wrapText="1"/>
    </xf>
    <xf numFmtId="0" fontId="69" fillId="0" borderId="128" xfId="0" applyFont="1" applyBorder="1" applyAlignment="1">
      <alignment horizontal="center" vertical="center"/>
    </xf>
    <xf numFmtId="0" fontId="83" fillId="0" borderId="122" xfId="0" applyFont="1" applyBorder="1" applyAlignment="1">
      <alignment horizontal="center" vertical="center" wrapText="1"/>
    </xf>
    <xf numFmtId="0" fontId="83" fillId="0" borderId="124" xfId="0" applyFont="1" applyBorder="1" applyAlignment="1">
      <alignment horizontal="center" vertical="center" wrapText="1"/>
    </xf>
    <xf numFmtId="0" fontId="67" fillId="15" borderId="0" xfId="0" applyFont="1" applyFill="1" applyBorder="1" applyAlignment="1">
      <alignment horizontal="center" vertical="center" wrapText="1"/>
    </xf>
    <xf numFmtId="0" fontId="16" fillId="15" borderId="0" xfId="0" applyFont="1" applyFill="1" applyBorder="1" applyAlignment="1">
      <alignment horizontal="left" vertical="center" wrapText="1"/>
    </xf>
    <xf numFmtId="0" fontId="93" fillId="0" borderId="0" xfId="0" applyFont="1" applyBorder="1" applyAlignment="1">
      <alignment horizontal="center" vertical="center" wrapText="1"/>
    </xf>
    <xf numFmtId="0" fontId="89" fillId="0" borderId="0" xfId="0" applyFont="1" applyBorder="1" applyAlignment="1">
      <alignment vertical="center" wrapText="1"/>
    </xf>
    <xf numFmtId="0" fontId="0" fillId="0" borderId="0" xfId="0" applyBorder="1" applyAlignment="1">
      <alignment vertical="center" wrapText="1"/>
    </xf>
    <xf numFmtId="0" fontId="53" fillId="0" borderId="0" xfId="0" applyFont="1" applyBorder="1" applyAlignment="1">
      <alignment horizontal="right" vertical="center" wrapText="1"/>
    </xf>
    <xf numFmtId="49" fontId="83" fillId="0" borderId="93" xfId="0" applyNumberFormat="1" applyFont="1" applyBorder="1" applyAlignment="1">
      <alignment horizontal="center" vertical="center" wrapText="1"/>
    </xf>
    <xf numFmtId="189" fontId="83" fillId="0" borderId="93" xfId="0" applyNumberFormat="1" applyFont="1" applyBorder="1" applyAlignment="1">
      <alignment horizontal="center" vertical="center" wrapText="1"/>
    </xf>
    <xf numFmtId="0" fontId="83" fillId="0" borderId="93" xfId="0" applyFont="1" applyBorder="1" applyAlignment="1">
      <alignment horizontal="center" vertical="center" wrapText="1"/>
    </xf>
    <xf numFmtId="49" fontId="70" fillId="15" borderId="93" xfId="0" applyNumberFormat="1" applyFont="1" applyFill="1" applyBorder="1" applyAlignment="1">
      <alignment horizontal="center" vertical="center" wrapText="1"/>
    </xf>
    <xf numFmtId="0" fontId="90" fillId="0" borderId="119" xfId="0" applyFont="1" applyBorder="1" applyAlignment="1">
      <alignment horizontal="center" vertical="center" wrapText="1"/>
    </xf>
    <xf numFmtId="0" fontId="70" fillId="0" borderId="93" xfId="0" applyFont="1" applyBorder="1" applyAlignment="1">
      <alignment horizontal="center" vertical="center" wrapText="1"/>
    </xf>
    <xf numFmtId="0" fontId="17" fillId="0" borderId="0" xfId="0" applyFont="1" applyAlignment="1">
      <alignment horizontal="left" vertical="center" wrapText="1"/>
    </xf>
    <xf numFmtId="0" fontId="53" fillId="0" borderId="115" xfId="0" applyFont="1" applyBorder="1" applyAlignment="1">
      <alignment horizontal="center" vertical="center" wrapText="1"/>
    </xf>
    <xf numFmtId="0" fontId="53" fillId="0" borderId="116" xfId="0" applyFont="1" applyBorder="1" applyAlignment="1">
      <alignment horizontal="center" vertical="center" wrapText="1"/>
    </xf>
    <xf numFmtId="0" fontId="70" fillId="0" borderId="109" xfId="0" applyFont="1" applyBorder="1" applyAlignment="1">
      <alignment horizontal="left" vertical="center" wrapText="1"/>
    </xf>
    <xf numFmtId="0" fontId="70" fillId="0" borderId="110" xfId="0" applyFont="1" applyBorder="1" applyAlignment="1">
      <alignment horizontal="left" vertical="center" wrapText="1"/>
    </xf>
    <xf numFmtId="0" fontId="25" fillId="15" borderId="109" xfId="0" applyFont="1" applyFill="1" applyBorder="1" applyAlignment="1">
      <alignment horizontal="left" vertical="center" wrapText="1"/>
    </xf>
    <xf numFmtId="0" fontId="25" fillId="15" borderId="110" xfId="0" applyFont="1" applyFill="1" applyBorder="1" applyAlignment="1">
      <alignment horizontal="left" vertical="center" wrapText="1"/>
    </xf>
    <xf numFmtId="0" fontId="70" fillId="0" borderId="93" xfId="0" applyFont="1" applyBorder="1" applyAlignment="1">
      <alignment horizontal="left" vertical="center" wrapText="1"/>
    </xf>
    <xf numFmtId="0" fontId="90" fillId="0" borderId="119" xfId="0" applyFont="1" applyBorder="1" applyAlignment="1">
      <alignment horizontal="center" vertical="center"/>
    </xf>
    <xf numFmtId="0" fontId="70" fillId="15" borderId="109" xfId="0" applyFont="1" applyFill="1" applyBorder="1" applyAlignment="1">
      <alignment horizontal="left" vertical="center" wrapText="1"/>
    </xf>
    <xf numFmtId="0" fontId="70" fillId="15" borderId="110" xfId="0" applyFont="1" applyFill="1" applyBorder="1" applyAlignment="1">
      <alignment horizontal="left" vertical="center" wrapText="1"/>
    </xf>
    <xf numFmtId="0" fontId="90" fillId="0" borderId="0" xfId="0" applyFont="1" applyAlignment="1">
      <alignment horizontal="center" vertical="center"/>
    </xf>
    <xf numFmtId="0" fontId="70" fillId="0" borderId="109" xfId="0" applyFont="1" applyFill="1" applyBorder="1" applyAlignment="1">
      <alignment horizontal="left" vertical="center" wrapText="1"/>
    </xf>
    <xf numFmtId="0" fontId="70" fillId="0" borderId="110" xfId="0" applyFont="1" applyFill="1" applyBorder="1" applyAlignment="1">
      <alignment horizontal="left" vertical="center" wrapText="1"/>
    </xf>
    <xf numFmtId="0" fontId="90" fillId="15" borderId="119" xfId="0" applyFont="1" applyFill="1" applyBorder="1" applyAlignment="1">
      <alignment horizontal="center" vertical="center" wrapText="1"/>
    </xf>
    <xf numFmtId="0" fontId="70" fillId="15" borderId="111" xfId="0" applyFont="1" applyFill="1" applyBorder="1" applyAlignment="1">
      <alignment horizontal="left" vertical="center" wrapText="1"/>
    </xf>
    <xf numFmtId="0" fontId="13" fillId="15" borderId="93" xfId="0" applyFont="1" applyFill="1" applyBorder="1" applyAlignment="1">
      <alignment horizontal="left" vertical="center" wrapText="1"/>
    </xf>
    <xf numFmtId="0" fontId="53" fillId="15" borderId="93" xfId="0" applyNumberFormat="1" applyFont="1" applyFill="1" applyBorder="1" applyAlignment="1">
      <alignment horizontal="left" vertical="center" wrapText="1" indent="1"/>
    </xf>
    <xf numFmtId="0" fontId="83" fillId="15" borderId="109" xfId="0" applyFont="1" applyFill="1" applyBorder="1" applyAlignment="1">
      <alignment horizontal="left" vertical="center" wrapText="1"/>
    </xf>
    <xf numFmtId="0" fontId="83" fillId="15" borderId="111" xfId="0" applyFont="1" applyFill="1" applyBorder="1" applyAlignment="1">
      <alignment horizontal="left" vertical="center" wrapText="1"/>
    </xf>
    <xf numFmtId="0" fontId="83" fillId="15" borderId="110" xfId="0" applyFont="1" applyFill="1" applyBorder="1" applyAlignment="1">
      <alignment horizontal="left" vertical="center" wrapText="1"/>
    </xf>
    <xf numFmtId="0" fontId="53" fillId="15" borderId="93" xfId="0" applyFont="1" applyFill="1" applyBorder="1" applyAlignment="1">
      <alignment horizontal="left" vertical="center" wrapText="1"/>
    </xf>
    <xf numFmtId="49" fontId="53" fillId="15" borderId="93" xfId="0" applyNumberFormat="1" applyFont="1" applyFill="1" applyBorder="1" applyAlignment="1">
      <alignment horizontal="left" vertical="center" wrapText="1" indent="1"/>
    </xf>
    <xf numFmtId="0" fontId="53" fillId="15" borderId="109" xfId="0" applyNumberFormat="1" applyFont="1" applyFill="1" applyBorder="1" applyAlignment="1">
      <alignment horizontal="left" vertical="center" wrapText="1" indent="1"/>
    </xf>
    <xf numFmtId="0" fontId="53" fillId="15" borderId="110" xfId="0" applyNumberFormat="1" applyFont="1" applyFill="1" applyBorder="1" applyAlignment="1">
      <alignment horizontal="left" vertical="center" wrapText="1" indent="1"/>
    </xf>
    <xf numFmtId="49" fontId="13" fillId="15" borderId="109" xfId="0" applyNumberFormat="1" applyFont="1" applyFill="1" applyBorder="1" applyAlignment="1">
      <alignment horizontal="left" vertical="center" wrapText="1"/>
    </xf>
    <xf numFmtId="49" fontId="13" fillId="15" borderId="110" xfId="0" applyNumberFormat="1" applyFont="1" applyFill="1" applyBorder="1" applyAlignment="1">
      <alignment horizontal="left" vertical="center" wrapText="1"/>
    </xf>
    <xf numFmtId="0" fontId="53" fillId="15" borderId="93" xfId="0" applyNumberFormat="1" applyFont="1" applyFill="1" applyBorder="1" applyAlignment="1">
      <alignment horizontal="left" vertical="center" wrapText="1"/>
    </xf>
    <xf numFmtId="0" fontId="53" fillId="15" borderId="109" xfId="0" applyFont="1" applyFill="1" applyBorder="1" applyAlignment="1">
      <alignment horizontal="left" vertical="center" wrapText="1"/>
    </xf>
    <xf numFmtId="0" fontId="53" fillId="15" borderId="111" xfId="0" applyFont="1" applyFill="1" applyBorder="1" applyAlignment="1">
      <alignment horizontal="left" vertical="center" wrapText="1"/>
    </xf>
    <xf numFmtId="0" fontId="53" fillId="15" borderId="110" xfId="0" applyFont="1" applyFill="1" applyBorder="1" applyAlignment="1">
      <alignment horizontal="left" vertical="center" wrapText="1"/>
    </xf>
    <xf numFmtId="49" fontId="53" fillId="15" borderId="109" xfId="0" applyNumberFormat="1" applyFont="1" applyFill="1" applyBorder="1" applyAlignment="1">
      <alignment horizontal="center" vertical="center" wrapText="1"/>
    </xf>
    <xf numFmtId="49" fontId="53" fillId="15" borderId="110" xfId="0" applyNumberFormat="1" applyFont="1" applyFill="1" applyBorder="1" applyAlignment="1">
      <alignment horizontal="center" vertical="center" wrapText="1"/>
    </xf>
    <xf numFmtId="49" fontId="53" fillId="15" borderId="93" xfId="0" applyNumberFormat="1" applyFont="1" applyFill="1" applyBorder="1" applyAlignment="1">
      <alignment horizontal="left" vertical="center" wrapText="1"/>
    </xf>
    <xf numFmtId="0" fontId="53" fillId="21" borderId="0" xfId="0" applyFont="1" applyFill="1" applyAlignment="1">
      <alignment horizontal="left" vertical="center" wrapText="1"/>
    </xf>
    <xf numFmtId="0" fontId="90" fillId="15" borderId="93" xfId="0" applyFont="1" applyFill="1" applyBorder="1" applyAlignment="1">
      <alignment horizontal="center" vertical="center" wrapText="1"/>
    </xf>
    <xf numFmtId="0" fontId="20" fillId="0" borderId="93" xfId="0" applyFont="1" applyBorder="1" applyAlignment="1">
      <alignment horizontal="left" vertical="center" wrapText="1"/>
    </xf>
    <xf numFmtId="0" fontId="20" fillId="0" borderId="93" xfId="0" applyFont="1" applyBorder="1" applyAlignment="1">
      <alignment horizontal="left" vertical="center"/>
    </xf>
    <xf numFmtId="0" fontId="25" fillId="15" borderId="93" xfId="0" applyFont="1" applyFill="1" applyBorder="1" applyAlignment="1">
      <alignment horizontal="left" vertical="center" wrapText="1"/>
    </xf>
    <xf numFmtId="0" fontId="90" fillId="15" borderId="0" xfId="0" applyFont="1" applyFill="1" applyBorder="1" applyAlignment="1">
      <alignment horizontal="center" vertical="center" wrapText="1"/>
    </xf>
    <xf numFmtId="0" fontId="20" fillId="0" borderId="0" xfId="0" applyFont="1" applyBorder="1" applyAlignment="1">
      <alignment horizontal="left" vertical="center" wrapText="1"/>
    </xf>
    <xf numFmtId="0" fontId="20" fillId="0" borderId="0" xfId="0" applyFont="1" applyBorder="1" applyAlignment="1">
      <alignment horizontal="left" vertical="center"/>
    </xf>
    <xf numFmtId="0" fontId="70" fillId="15" borderId="93" xfId="0" applyFont="1" applyFill="1" applyBorder="1" applyAlignment="1">
      <alignment horizontal="left" vertical="center" wrapText="1"/>
    </xf>
    <xf numFmtId="0" fontId="68" fillId="33" borderId="93" xfId="0" applyFont="1" applyFill="1" applyBorder="1" applyAlignment="1">
      <alignment horizontal="center" vertical="center" wrapText="1"/>
    </xf>
    <xf numFmtId="0" fontId="0" fillId="33" borderId="0" xfId="0" applyFill="1" applyAlignment="1">
      <alignment vertical="center" wrapText="1"/>
    </xf>
    <xf numFmtId="49" fontId="0" fillId="0" borderId="93" xfId="0" applyNumberFormat="1" applyBorder="1" applyAlignment="1">
      <alignment horizontal="left" vertical="center"/>
    </xf>
    <xf numFmtId="0" fontId="0" fillId="0" borderId="93" xfId="0" applyBorder="1" applyAlignment="1">
      <alignment horizontal="left" vertical="center"/>
    </xf>
    <xf numFmtId="0" fontId="74" fillId="27" borderId="93" xfId="0" applyFont="1" applyFill="1" applyBorder="1" applyAlignment="1">
      <alignment horizontal="center" vertical="center"/>
    </xf>
    <xf numFmtId="0" fontId="0" fillId="27" borderId="93" xfId="0" applyFill="1" applyBorder="1" applyAlignment="1">
      <alignment horizontal="center" vertical="center"/>
    </xf>
    <xf numFmtId="0" fontId="2" fillId="33" borderId="120" xfId="0" applyFont="1" applyFill="1" applyBorder="1" applyAlignment="1">
      <alignment horizontal="left" vertical="center" wrapText="1"/>
    </xf>
    <xf numFmtId="0" fontId="2" fillId="33" borderId="122" xfId="0" applyFont="1" applyFill="1" applyBorder="1" applyAlignment="1">
      <alignment horizontal="left" vertical="center" wrapText="1"/>
    </xf>
    <xf numFmtId="0" fontId="2" fillId="35" borderId="109" xfId="0" applyFont="1" applyFill="1" applyBorder="1" applyAlignment="1">
      <alignment horizontal="center" vertical="center"/>
    </xf>
    <xf numFmtId="0" fontId="2" fillId="35" borderId="110" xfId="0" applyFont="1" applyFill="1" applyBorder="1" applyAlignment="1">
      <alignment horizontal="center" vertical="center"/>
    </xf>
    <xf numFmtId="0" fontId="2" fillId="35" borderId="109" xfId="0" applyFont="1" applyFill="1" applyBorder="1" applyAlignment="1" applyProtection="1">
      <alignment vertical="center" wrapText="1"/>
      <protection hidden="1"/>
    </xf>
    <xf numFmtId="0" fontId="2" fillId="35" borderId="111" xfId="0" applyFont="1" applyFill="1" applyBorder="1" applyAlignment="1" applyProtection="1">
      <alignment vertical="center" wrapText="1"/>
      <protection hidden="1"/>
    </xf>
    <xf numFmtId="0" fontId="2" fillId="35" borderId="110" xfId="0" applyFont="1" applyFill="1" applyBorder="1" applyAlignment="1" applyProtection="1">
      <alignment vertical="center" wrapText="1"/>
      <protection hidden="1"/>
    </xf>
    <xf numFmtId="0" fontId="2" fillId="35" borderId="109" xfId="0" applyFont="1" applyFill="1" applyBorder="1" applyAlignment="1">
      <alignment vertical="center" wrapText="1"/>
    </xf>
    <xf numFmtId="0" fontId="2" fillId="35" borderId="111" xfId="0" applyFont="1" applyFill="1" applyBorder="1" applyAlignment="1">
      <alignment vertical="center" wrapText="1"/>
    </xf>
    <xf numFmtId="0" fontId="2" fillId="35" borderId="110" xfId="0" applyFont="1" applyFill="1" applyBorder="1" applyAlignment="1">
      <alignment vertical="center" wrapText="1"/>
    </xf>
    <xf numFmtId="0" fontId="2" fillId="35" borderId="109" xfId="0" applyFont="1" applyFill="1" applyBorder="1" applyAlignment="1">
      <alignment horizontal="left" vertical="center" wrapText="1"/>
    </xf>
    <xf numFmtId="0" fontId="2" fillId="35" borderId="111" xfId="0" applyFont="1" applyFill="1" applyBorder="1" applyAlignment="1">
      <alignment horizontal="left" vertical="center" wrapText="1"/>
    </xf>
    <xf numFmtId="0" fontId="2" fillId="35" borderId="110" xfId="0" applyFont="1" applyFill="1" applyBorder="1" applyAlignment="1">
      <alignment horizontal="left" vertical="center" wrapText="1"/>
    </xf>
    <xf numFmtId="0" fontId="2" fillId="33" borderId="93" xfId="0" applyFont="1" applyFill="1" applyBorder="1" applyAlignment="1">
      <alignment horizontal="left" vertical="center" wrapText="1"/>
    </xf>
    <xf numFmtId="0" fontId="2" fillId="35" borderId="93" xfId="0" applyFont="1" applyFill="1" applyBorder="1" applyAlignment="1">
      <alignment horizontal="left" vertical="center" wrapText="1"/>
    </xf>
    <xf numFmtId="0" fontId="25" fillId="33" borderId="109" xfId="0" applyFont="1" applyFill="1" applyBorder="1" applyAlignment="1">
      <alignment horizontal="center" vertical="center" wrapText="1"/>
    </xf>
    <xf numFmtId="0" fontId="25" fillId="33" borderId="111" xfId="0" applyFont="1" applyFill="1" applyBorder="1" applyAlignment="1">
      <alignment horizontal="center" vertical="center" wrapText="1"/>
    </xf>
    <xf numFmtId="0" fontId="25" fillId="33" borderId="110" xfId="0" applyFont="1" applyFill="1" applyBorder="1" applyAlignment="1">
      <alignment horizontal="center" vertical="center" wrapText="1"/>
    </xf>
    <xf numFmtId="0" fontId="2" fillId="32" borderId="109" xfId="0" applyFont="1" applyFill="1" applyBorder="1" applyAlignment="1">
      <alignment horizontal="center" vertical="center" wrapText="1"/>
    </xf>
    <xf numFmtId="0" fontId="2" fillId="32" borderId="111" xfId="0" applyFont="1" applyFill="1" applyBorder="1" applyAlignment="1">
      <alignment horizontal="center" vertical="center" wrapText="1"/>
    </xf>
    <xf numFmtId="0" fontId="2" fillId="32" borderId="110" xfId="0" applyFont="1" applyFill="1" applyBorder="1" applyAlignment="1">
      <alignment horizontal="center" vertical="center" wrapText="1"/>
    </xf>
    <xf numFmtId="0" fontId="2" fillId="0" borderId="93" xfId="0" applyFont="1" applyFill="1" applyBorder="1" applyAlignment="1">
      <alignment horizontal="center" vertical="center"/>
    </xf>
    <xf numFmtId="0" fontId="2" fillId="35" borderId="120" xfId="0" applyFont="1" applyFill="1" applyBorder="1" applyAlignment="1">
      <alignment horizontal="left" vertical="center" wrapText="1"/>
    </xf>
    <xf numFmtId="0" fontId="2" fillId="35" borderId="122" xfId="0" applyFont="1" applyFill="1" applyBorder="1" applyAlignment="1">
      <alignment horizontal="left" vertical="center" wrapText="1"/>
    </xf>
    <xf numFmtId="0" fontId="0" fillId="33" borderId="0" xfId="0" applyFill="1" applyBorder="1" applyAlignment="1">
      <alignment horizontal="left" vertical="center"/>
    </xf>
    <xf numFmtId="0" fontId="68" fillId="33" borderId="119" xfId="0" applyFont="1" applyFill="1" applyBorder="1" applyAlignment="1">
      <alignment horizontal="center" vertical="center"/>
    </xf>
    <xf numFmtId="0" fontId="2" fillId="35" borderId="111" xfId="0" applyFont="1" applyFill="1" applyBorder="1" applyAlignment="1">
      <alignment horizontal="center" vertical="center"/>
    </xf>
    <xf numFmtId="0" fontId="25" fillId="33" borderId="93" xfId="0" applyFont="1" applyFill="1" applyBorder="1" applyAlignment="1">
      <alignment horizontal="center" vertical="center" wrapText="1"/>
    </xf>
    <xf numFmtId="0" fontId="2" fillId="35" borderId="121" xfId="0" applyFont="1" applyFill="1" applyBorder="1" applyAlignment="1">
      <alignment horizontal="left" vertical="center" wrapText="1"/>
    </xf>
    <xf numFmtId="0" fontId="2" fillId="33" borderId="110" xfId="0" applyFont="1" applyFill="1" applyBorder="1" applyAlignment="1">
      <alignment horizontal="left" vertical="center"/>
    </xf>
    <xf numFmtId="0" fontId="74" fillId="33" borderId="0" xfId="0" applyFont="1" applyFill="1" applyAlignment="1">
      <alignment horizontal="left" vertical="center" wrapText="1"/>
    </xf>
    <xf numFmtId="0" fontId="68" fillId="33" borderId="119" xfId="0" applyFont="1" applyFill="1" applyBorder="1" applyAlignment="1">
      <alignment horizontal="center" vertical="top" wrapText="1"/>
    </xf>
    <xf numFmtId="0" fontId="68" fillId="33" borderId="121" xfId="0" applyFont="1" applyFill="1" applyBorder="1" applyAlignment="1">
      <alignment horizontal="center" vertical="center"/>
    </xf>
    <xf numFmtId="0" fontId="74" fillId="33" borderId="119" xfId="0" applyFont="1" applyFill="1" applyBorder="1" applyAlignment="1">
      <alignment horizontal="left" vertical="center" wrapText="1"/>
    </xf>
    <xf numFmtId="0" fontId="51" fillId="33" borderId="93" xfId="0" applyFont="1" applyFill="1" applyBorder="1" applyAlignment="1">
      <alignment horizontal="center" vertical="center"/>
    </xf>
    <xf numFmtId="0" fontId="0" fillId="33" borderId="93" xfId="0" applyFill="1" applyBorder="1" applyAlignment="1">
      <alignment vertical="center"/>
    </xf>
    <xf numFmtId="0" fontId="51" fillId="32" borderId="152" xfId="0" applyFont="1" applyFill="1" applyBorder="1" applyAlignment="1">
      <alignment horizontal="center" vertical="center"/>
    </xf>
    <xf numFmtId="0" fontId="51" fillId="32" borderId="207" xfId="0" applyFont="1" applyFill="1" applyBorder="1" applyAlignment="1">
      <alignment horizontal="center" vertical="center"/>
    </xf>
    <xf numFmtId="0" fontId="51" fillId="32" borderId="208" xfId="0" applyFont="1" applyFill="1" applyBorder="1" applyAlignment="1">
      <alignment horizontal="center" vertical="center"/>
    </xf>
    <xf numFmtId="0" fontId="51" fillId="33" borderId="211" xfId="0" applyFont="1" applyFill="1" applyBorder="1" applyAlignment="1">
      <alignment horizontal="center" vertical="center" wrapText="1"/>
    </xf>
    <xf numFmtId="0" fontId="51" fillId="33" borderId="213" xfId="0" applyFont="1" applyFill="1" applyBorder="1" applyAlignment="1">
      <alignment horizontal="center" vertical="center" wrapText="1"/>
    </xf>
    <xf numFmtId="0" fontId="51" fillId="33" borderId="211" xfId="0" applyFont="1" applyFill="1" applyBorder="1" applyAlignment="1">
      <alignment horizontal="center" vertical="center"/>
    </xf>
    <xf numFmtId="0" fontId="51" fillId="33" borderId="213" xfId="0" applyFont="1" applyFill="1" applyBorder="1" applyAlignment="1">
      <alignment horizontal="center" vertical="center"/>
    </xf>
    <xf numFmtId="0" fontId="51" fillId="33" borderId="214" xfId="0" applyFont="1" applyFill="1" applyBorder="1" applyAlignment="1">
      <alignment horizontal="center" vertical="center"/>
    </xf>
    <xf numFmtId="0" fontId="51" fillId="33" borderId="122" xfId="0" applyFont="1" applyFill="1" applyBorder="1" applyAlignment="1">
      <alignment horizontal="center" vertical="center"/>
    </xf>
    <xf numFmtId="0" fontId="51" fillId="33" borderId="215" xfId="0" applyFont="1" applyFill="1" applyBorder="1" applyAlignment="1">
      <alignment horizontal="center" vertical="center"/>
    </xf>
    <xf numFmtId="0" fontId="51" fillId="33" borderId="206" xfId="0" applyFont="1" applyFill="1" applyBorder="1" applyAlignment="1">
      <alignment horizontal="center" vertical="center"/>
    </xf>
    <xf numFmtId="0" fontId="51" fillId="33" borderId="216" xfId="0" applyFont="1" applyFill="1" applyBorder="1" applyAlignment="1">
      <alignment horizontal="center" vertical="center"/>
    </xf>
    <xf numFmtId="0" fontId="51" fillId="33" borderId="124" xfId="0" applyFont="1" applyFill="1" applyBorder="1" applyAlignment="1">
      <alignment horizontal="center" vertical="center"/>
    </xf>
    <xf numFmtId="0" fontId="51" fillId="33" borderId="212" xfId="0" applyFont="1" applyFill="1" applyBorder="1" applyAlignment="1">
      <alignment horizontal="center" vertical="center"/>
    </xf>
    <xf numFmtId="0" fontId="2" fillId="33" borderId="109" xfId="0" applyFont="1" applyFill="1" applyBorder="1" applyAlignment="1">
      <alignment horizontal="left" vertical="center" wrapText="1"/>
    </xf>
    <xf numFmtId="0" fontId="0" fillId="33" borderId="0" xfId="0" applyFill="1" applyAlignment="1">
      <alignment vertical="center"/>
    </xf>
    <xf numFmtId="0" fontId="2" fillId="33" borderId="109" xfId="0" applyFont="1" applyFill="1" applyBorder="1" applyAlignment="1">
      <alignment vertical="center"/>
    </xf>
    <xf numFmtId="0" fontId="2" fillId="33" borderId="110" xfId="0" applyFont="1" applyFill="1" applyBorder="1" applyAlignment="1">
      <alignment vertical="center"/>
    </xf>
    <xf numFmtId="0" fontId="74" fillId="33" borderId="119" xfId="0" applyFont="1" applyFill="1" applyBorder="1" applyAlignment="1">
      <alignment vertical="center"/>
    </xf>
    <xf numFmtId="0" fontId="74" fillId="33" borderId="0" xfId="0" applyFont="1" applyFill="1" applyAlignment="1">
      <alignment horizontal="left" vertical="top"/>
    </xf>
    <xf numFmtId="0" fontId="2" fillId="32" borderId="93" xfId="0" applyFont="1" applyFill="1" applyBorder="1" applyAlignment="1">
      <alignment horizontal="center" vertical="center" wrapText="1"/>
    </xf>
    <xf numFmtId="180" fontId="42" fillId="32" borderId="109" xfId="4" applyFont="1" applyFill="1" applyBorder="1">
      <alignment vertical="center"/>
    </xf>
    <xf numFmtId="180" fontId="42" fillId="32" borderId="110" xfId="4" applyFont="1" applyFill="1" applyBorder="1">
      <alignment vertical="center"/>
    </xf>
    <xf numFmtId="0" fontId="68" fillId="33" borderId="121" xfId="0" applyFont="1" applyFill="1" applyBorder="1" applyAlignment="1">
      <alignment horizontal="center" vertical="center" wrapText="1"/>
    </xf>
    <xf numFmtId="0" fontId="68" fillId="33" borderId="122" xfId="0" applyFont="1" applyFill="1" applyBorder="1" applyAlignment="1">
      <alignment horizontal="center" vertical="center" wrapText="1"/>
    </xf>
    <xf numFmtId="0" fontId="72" fillId="33" borderId="93" xfId="0" applyFont="1" applyFill="1" applyBorder="1" applyAlignment="1">
      <alignment horizontal="center" vertical="center" wrapText="1"/>
    </xf>
    <xf numFmtId="49" fontId="10" fillId="33" borderId="111" xfId="0" applyNumberFormat="1" applyFont="1" applyFill="1" applyBorder="1" applyAlignment="1">
      <alignment horizontal="center" vertical="center"/>
    </xf>
    <xf numFmtId="49" fontId="2" fillId="32" borderId="109" xfId="0" applyNumberFormat="1" applyFont="1" applyFill="1" applyBorder="1" applyAlignment="1">
      <alignment horizontal="center" vertical="center" wrapText="1"/>
    </xf>
    <xf numFmtId="0" fontId="2" fillId="32" borderId="111" xfId="0" applyNumberFormat="1" applyFont="1" applyFill="1" applyBorder="1" applyAlignment="1">
      <alignment horizontal="center" vertical="center" wrapText="1"/>
    </xf>
    <xf numFmtId="0" fontId="2" fillId="32" borderId="110" xfId="0" applyNumberFormat="1" applyFont="1" applyFill="1" applyBorder="1" applyAlignment="1">
      <alignment horizontal="center" vertical="center" wrapText="1"/>
    </xf>
    <xf numFmtId="0" fontId="2" fillId="35" borderId="109" xfId="0" applyNumberFormat="1" applyFont="1" applyFill="1" applyBorder="1" applyAlignment="1">
      <alignment horizontal="center" vertical="center" wrapText="1"/>
    </xf>
    <xf numFmtId="0" fontId="2" fillId="35" borderId="111" xfId="0" applyNumberFormat="1" applyFont="1" applyFill="1" applyBorder="1" applyAlignment="1">
      <alignment horizontal="center" vertical="center" wrapText="1"/>
    </xf>
    <xf numFmtId="0" fontId="2" fillId="35" borderId="110" xfId="0" applyNumberFormat="1" applyFont="1" applyFill="1" applyBorder="1" applyAlignment="1">
      <alignment horizontal="center" vertical="center" wrapText="1"/>
    </xf>
    <xf numFmtId="49" fontId="2" fillId="33" borderId="30" xfId="0" applyNumberFormat="1" applyFont="1" applyFill="1" applyBorder="1" applyAlignment="1">
      <alignment horizontal="left" vertical="center" wrapText="1"/>
    </xf>
    <xf numFmtId="49" fontId="2" fillId="33" borderId="21" xfId="0" applyNumberFormat="1" applyFont="1" applyFill="1" applyBorder="1" applyAlignment="1">
      <alignment horizontal="left" vertical="center" wrapText="1"/>
    </xf>
    <xf numFmtId="0" fontId="2" fillId="15" borderId="204" xfId="0" applyNumberFormat="1" applyFont="1" applyFill="1" applyBorder="1" applyAlignment="1">
      <alignment horizontal="center" vertical="center" wrapText="1"/>
    </xf>
    <xf numFmtId="0" fontId="2" fillId="15" borderId="119" xfId="0" applyNumberFormat="1" applyFont="1" applyFill="1" applyBorder="1" applyAlignment="1">
      <alignment horizontal="center" vertical="center" wrapText="1"/>
    </xf>
    <xf numFmtId="0" fontId="2" fillId="15" borderId="124" xfId="0" applyNumberFormat="1" applyFont="1" applyFill="1" applyBorder="1" applyAlignment="1">
      <alignment horizontal="center" vertical="center" wrapText="1"/>
    </xf>
    <xf numFmtId="0" fontId="2" fillId="15" borderId="109" xfId="0" applyNumberFormat="1" applyFont="1" applyFill="1" applyBorder="1" applyAlignment="1">
      <alignment horizontal="center" vertical="center" wrapText="1"/>
    </xf>
    <xf numFmtId="0" fontId="2" fillId="15" borderId="111" xfId="0" applyNumberFormat="1" applyFont="1" applyFill="1" applyBorder="1" applyAlignment="1">
      <alignment horizontal="center" vertical="center" wrapText="1"/>
    </xf>
    <xf numFmtId="0" fontId="2" fillId="15" borderId="110" xfId="0" applyNumberFormat="1" applyFont="1" applyFill="1" applyBorder="1" applyAlignment="1">
      <alignment horizontal="center" vertical="center" wrapText="1"/>
    </xf>
    <xf numFmtId="49" fontId="2" fillId="32" borderId="30" xfId="0" applyNumberFormat="1" applyFont="1" applyFill="1" applyBorder="1" applyAlignment="1">
      <alignment horizontal="center" vertical="center" wrapText="1"/>
    </xf>
    <xf numFmtId="0" fontId="2" fillId="32" borderId="5" xfId="0" applyNumberFormat="1" applyFont="1" applyFill="1" applyBorder="1" applyAlignment="1">
      <alignment horizontal="center" vertical="center" wrapText="1"/>
    </xf>
    <xf numFmtId="0" fontId="2" fillId="32" borderId="93" xfId="0" applyNumberFormat="1" applyFont="1" applyFill="1" applyBorder="1" applyAlignment="1">
      <alignment horizontal="center" vertical="center" wrapText="1"/>
    </xf>
    <xf numFmtId="0" fontId="2" fillId="15" borderId="93" xfId="0" applyNumberFormat="1" applyFont="1" applyFill="1" applyBorder="1" applyAlignment="1">
      <alignment horizontal="center" vertical="center" wrapText="1"/>
    </xf>
    <xf numFmtId="0" fontId="0" fillId="0" borderId="93" xfId="0" applyNumberFormat="1" applyBorder="1">
      <alignment vertical="center"/>
    </xf>
    <xf numFmtId="0" fontId="2" fillId="35" borderId="93" xfId="0" applyNumberFormat="1" applyFont="1" applyFill="1" applyBorder="1" applyAlignment="1">
      <alignment horizontal="center" vertical="center" wrapText="1"/>
    </xf>
    <xf numFmtId="0" fontId="0" fillId="35" borderId="93" xfId="0" applyNumberFormat="1" applyFill="1" applyBorder="1">
      <alignment vertical="center"/>
    </xf>
    <xf numFmtId="49" fontId="2" fillId="33" borderId="31"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0" fontId="2" fillId="32" borderId="3" xfId="0" applyNumberFormat="1" applyFont="1" applyFill="1" applyBorder="1" applyAlignment="1">
      <alignment horizontal="center" vertical="center"/>
    </xf>
    <xf numFmtId="0" fontId="2" fillId="32" borderId="3" xfId="0" applyNumberFormat="1" applyFont="1" applyFill="1" applyBorder="1" applyAlignment="1">
      <alignment horizontal="center" vertical="center" wrapText="1"/>
    </xf>
    <xf numFmtId="0" fontId="2" fillId="32" borderId="29" xfId="0" applyNumberFormat="1" applyFont="1" applyFill="1" applyBorder="1" applyAlignment="1">
      <alignment horizontal="center" vertical="center" wrapText="1"/>
    </xf>
    <xf numFmtId="0" fontId="2" fillId="32" borderId="37" xfId="0" applyNumberFormat="1" applyFont="1" applyFill="1" applyBorder="1" applyAlignment="1">
      <alignment horizontal="center" vertical="center" wrapText="1"/>
    </xf>
    <xf numFmtId="0" fontId="2" fillId="32" borderId="123" xfId="0" applyNumberFormat="1" applyFont="1" applyFill="1" applyBorder="1" applyAlignment="1">
      <alignment horizontal="center" vertical="center" wrapText="1"/>
    </xf>
    <xf numFmtId="0" fontId="2" fillId="32" borderId="119" xfId="0" applyNumberFormat="1" applyFont="1" applyFill="1" applyBorder="1" applyAlignment="1">
      <alignment horizontal="center" vertical="center" wrapText="1"/>
    </xf>
    <xf numFmtId="0" fontId="2" fillId="32" borderId="124" xfId="0" applyNumberFormat="1" applyFont="1" applyFill="1" applyBorder="1" applyAlignment="1">
      <alignment horizontal="center" vertical="center" wrapText="1"/>
    </xf>
    <xf numFmtId="0" fontId="2" fillId="33" borderId="0" xfId="0" applyFont="1" applyFill="1" applyBorder="1" applyAlignment="1">
      <alignment horizontal="left" vertical="center"/>
    </xf>
    <xf numFmtId="49" fontId="2" fillId="33" borderId="93" xfId="0" applyNumberFormat="1" applyFont="1" applyFill="1" applyBorder="1" applyAlignment="1">
      <alignment vertical="center" wrapText="1"/>
    </xf>
    <xf numFmtId="49" fontId="2" fillId="33" borderId="115" xfId="0" applyNumberFormat="1" applyFont="1" applyFill="1" applyBorder="1" applyAlignment="1">
      <alignment vertical="center" wrapText="1"/>
    </xf>
    <xf numFmtId="49" fontId="2" fillId="32" borderId="93" xfId="0" applyNumberFormat="1" applyFont="1" applyFill="1" applyBorder="1" applyAlignment="1">
      <alignment horizontal="center" vertical="center" wrapText="1"/>
    </xf>
    <xf numFmtId="49" fontId="2" fillId="15" borderId="93" xfId="0" applyNumberFormat="1" applyFont="1" applyFill="1" applyBorder="1" applyAlignment="1">
      <alignment vertical="center"/>
    </xf>
    <xf numFmtId="180" fontId="42" fillId="0" borderId="115" xfId="0" applyNumberFormat="1" applyFont="1" applyBorder="1" applyAlignment="1" applyProtection="1">
      <alignment vertical="center"/>
      <protection locked="0"/>
    </xf>
    <xf numFmtId="180" fontId="42" fillId="0" borderId="118" xfId="0" applyNumberFormat="1" applyFont="1" applyBorder="1" applyAlignment="1" applyProtection="1">
      <alignment vertical="center"/>
      <protection locked="0"/>
    </xf>
    <xf numFmtId="180" fontId="42" fillId="0" borderId="116" xfId="0" applyNumberFormat="1" applyFont="1" applyBorder="1" applyAlignment="1" applyProtection="1">
      <alignment vertical="center"/>
      <protection locked="0"/>
    </xf>
    <xf numFmtId="49" fontId="42" fillId="15" borderId="93" xfId="0" applyNumberFormat="1" applyFont="1" applyFill="1" applyBorder="1" applyAlignment="1">
      <alignment vertical="center"/>
    </xf>
    <xf numFmtId="180" fontId="42" fillId="0" borderId="125" xfId="0" applyNumberFormat="1" applyFont="1" applyBorder="1" applyAlignment="1" applyProtection="1">
      <alignment vertical="center"/>
      <protection locked="0"/>
    </xf>
    <xf numFmtId="180" fontId="42" fillId="0" borderId="0" xfId="0" applyNumberFormat="1" applyFont="1" applyBorder="1" applyAlignment="1" applyProtection="1">
      <alignment vertical="center"/>
      <protection locked="0"/>
    </xf>
    <xf numFmtId="180" fontId="42" fillId="0" borderId="2" xfId="0" applyNumberFormat="1" applyFont="1" applyBorder="1" applyAlignment="1" applyProtection="1">
      <alignment vertical="center"/>
      <protection locked="0"/>
    </xf>
    <xf numFmtId="0" fontId="2" fillId="15" borderId="115" xfId="0" applyNumberFormat="1" applyFont="1" applyFill="1" applyBorder="1" applyAlignment="1">
      <alignment vertical="center"/>
    </xf>
    <xf numFmtId="49" fontId="2" fillId="35" borderId="93" xfId="0" applyNumberFormat="1" applyFont="1" applyFill="1" applyBorder="1" applyAlignment="1">
      <alignment vertical="center"/>
    </xf>
    <xf numFmtId="49" fontId="2" fillId="33" borderId="0" xfId="0" applyNumberFormat="1" applyFont="1" applyFill="1" applyBorder="1" applyAlignment="1">
      <alignment horizontal="left" vertical="center"/>
    </xf>
    <xf numFmtId="0" fontId="9" fillId="2" borderId="119" xfId="0" applyFont="1" applyFill="1" applyBorder="1" applyAlignment="1" applyProtection="1">
      <alignment horizontal="center" vertical="center"/>
      <protection locked="0"/>
    </xf>
    <xf numFmtId="49" fontId="2" fillId="33" borderId="109" xfId="0" applyNumberFormat="1" applyFont="1" applyFill="1" applyBorder="1" applyAlignment="1">
      <alignment vertical="center" wrapText="1"/>
    </xf>
    <xf numFmtId="49" fontId="2" fillId="33" borderId="110" xfId="0" applyNumberFormat="1" applyFont="1" applyFill="1" applyBorder="1" applyAlignment="1">
      <alignment vertical="center" wrapText="1"/>
    </xf>
    <xf numFmtId="0" fontId="2" fillId="15" borderId="93" xfId="0" applyNumberFormat="1" applyFont="1" applyFill="1" applyBorder="1" applyAlignment="1">
      <alignment vertical="center" wrapText="1"/>
    </xf>
    <xf numFmtId="49" fontId="2" fillId="33" borderId="115" xfId="0" applyNumberFormat="1" applyFont="1" applyFill="1" applyBorder="1" applyAlignment="1">
      <alignment vertical="center"/>
    </xf>
    <xf numFmtId="49" fontId="2" fillId="32" borderId="116" xfId="0" applyNumberFormat="1" applyFont="1" applyFill="1" applyBorder="1" applyAlignment="1">
      <alignment horizontal="center" vertical="center" wrapText="1"/>
    </xf>
    <xf numFmtId="49" fontId="2" fillId="33" borderId="93" xfId="0" applyNumberFormat="1" applyFont="1" applyFill="1" applyBorder="1" applyAlignment="1">
      <alignment horizontal="left" vertical="center" wrapText="1"/>
    </xf>
    <xf numFmtId="49" fontId="2" fillId="33" borderId="93" xfId="0" applyNumberFormat="1" applyFont="1" applyFill="1" applyBorder="1" applyAlignment="1">
      <alignment horizontal="center" vertical="center" wrapText="1"/>
    </xf>
    <xf numFmtId="49" fontId="42" fillId="15" borderId="93" xfId="0" applyNumberFormat="1" applyFont="1" applyFill="1" applyBorder="1" applyAlignment="1">
      <alignment vertical="center" wrapText="1"/>
    </xf>
    <xf numFmtId="49" fontId="2" fillId="33" borderId="93" xfId="0" applyNumberFormat="1" applyFont="1" applyFill="1" applyBorder="1" applyAlignment="1">
      <alignment horizontal="left" vertical="center"/>
    </xf>
    <xf numFmtId="0" fontId="2" fillId="33" borderId="93" xfId="0" applyNumberFormat="1" applyFont="1" applyFill="1" applyBorder="1" applyAlignment="1">
      <alignment horizontal="center" vertical="center" wrapText="1"/>
    </xf>
    <xf numFmtId="49" fontId="2" fillId="32" borderId="123" xfId="0" applyNumberFormat="1" applyFont="1" applyFill="1" applyBorder="1" applyAlignment="1">
      <alignment horizontal="center" vertical="center" wrapText="1"/>
    </xf>
    <xf numFmtId="49" fontId="2" fillId="33" borderId="3" xfId="0" applyNumberFormat="1" applyFont="1" applyFill="1" applyBorder="1" applyAlignment="1">
      <alignment horizontal="center" vertical="center" wrapText="1"/>
    </xf>
    <xf numFmtId="49" fontId="2" fillId="33" borderId="109" xfId="0" applyNumberFormat="1" applyFont="1" applyFill="1" applyBorder="1" applyAlignment="1">
      <alignment horizontal="center" vertical="center" wrapText="1"/>
    </xf>
    <xf numFmtId="49" fontId="2" fillId="35" borderId="3" xfId="0" applyNumberFormat="1" applyFont="1" applyFill="1" applyBorder="1" applyAlignment="1">
      <alignment horizontal="center" vertical="center"/>
    </xf>
    <xf numFmtId="49" fontId="2" fillId="15" borderId="3" xfId="0" applyNumberFormat="1" applyFont="1" applyFill="1" applyBorder="1" applyAlignment="1">
      <alignment horizontal="center" vertical="center"/>
    </xf>
    <xf numFmtId="49" fontId="42" fillId="15" borderId="3" xfId="0" applyNumberFormat="1" applyFont="1" applyFill="1" applyBorder="1" applyAlignment="1">
      <alignment horizontal="center" vertical="center"/>
    </xf>
    <xf numFmtId="49" fontId="42" fillId="15" borderId="109" xfId="0" applyNumberFormat="1" applyFont="1" applyFill="1" applyBorder="1" applyAlignment="1">
      <alignment vertical="center"/>
    </xf>
    <xf numFmtId="49" fontId="2" fillId="33" borderId="120" xfId="0" applyNumberFormat="1" applyFont="1" applyFill="1" applyBorder="1" applyAlignment="1">
      <alignment vertical="center" wrapText="1"/>
    </xf>
    <xf numFmtId="49" fontId="2" fillId="33" borderId="122" xfId="0" applyNumberFormat="1" applyFont="1" applyFill="1" applyBorder="1" applyAlignment="1">
      <alignment vertical="center" wrapText="1"/>
    </xf>
    <xf numFmtId="49" fontId="2" fillId="33" borderId="123" xfId="0" applyNumberFormat="1" applyFont="1" applyFill="1" applyBorder="1" applyAlignment="1">
      <alignment vertical="center" wrapText="1"/>
    </xf>
    <xf numFmtId="49" fontId="2" fillId="33" borderId="124" xfId="0" applyNumberFormat="1" applyFont="1" applyFill="1" applyBorder="1" applyAlignment="1">
      <alignment vertical="center" wrapText="1"/>
    </xf>
    <xf numFmtId="49" fontId="2" fillId="15" borderId="116" xfId="0" applyNumberFormat="1" applyFont="1" applyFill="1" applyBorder="1" applyAlignment="1">
      <alignment vertical="center"/>
    </xf>
    <xf numFmtId="49" fontId="2" fillId="33" borderId="125" xfId="0" applyNumberFormat="1" applyFont="1" applyFill="1" applyBorder="1" applyAlignment="1">
      <alignment vertical="center" wrapText="1"/>
    </xf>
    <xf numFmtId="49" fontId="2" fillId="33" borderId="206" xfId="0" applyNumberFormat="1" applyFont="1" applyFill="1" applyBorder="1" applyAlignment="1">
      <alignment vertical="center" wrapText="1"/>
    </xf>
    <xf numFmtId="49" fontId="2" fillId="0" borderId="3" xfId="0" applyNumberFormat="1" applyFont="1" applyFill="1" applyBorder="1" applyAlignment="1">
      <alignment vertical="center" wrapText="1"/>
    </xf>
    <xf numFmtId="49" fontId="2" fillId="33" borderId="206" xfId="0" applyNumberFormat="1" applyFont="1" applyFill="1" applyBorder="1" applyAlignment="1">
      <alignment horizontal="left" vertical="center"/>
    </xf>
    <xf numFmtId="49" fontId="2" fillId="33" borderId="118" xfId="0" applyNumberFormat="1" applyFont="1" applyFill="1" applyBorder="1" applyAlignment="1">
      <alignment horizontal="left" vertical="center"/>
    </xf>
    <xf numFmtId="49" fontId="2" fillId="33" borderId="125" xfId="0" applyNumberFormat="1" applyFont="1" applyFill="1" applyBorder="1" applyAlignment="1">
      <alignment horizontal="left" vertical="center"/>
    </xf>
    <xf numFmtId="49" fontId="2" fillId="15" borderId="115" xfId="0" applyNumberFormat="1" applyFont="1" applyFill="1" applyBorder="1" applyAlignment="1">
      <alignment horizontal="left" vertical="center"/>
    </xf>
    <xf numFmtId="49" fontId="2" fillId="33" borderId="3" xfId="0" applyNumberFormat="1" applyFont="1" applyFill="1" applyBorder="1" applyAlignment="1">
      <alignment horizontal="left" vertical="center" wrapText="1"/>
    </xf>
    <xf numFmtId="49" fontId="2" fillId="15" borderId="3" xfId="0" applyNumberFormat="1" applyFont="1" applyFill="1" applyBorder="1" applyAlignment="1" applyProtection="1">
      <alignment vertical="center" wrapText="1"/>
      <protection locked="0"/>
    </xf>
    <xf numFmtId="49" fontId="2" fillId="0" borderId="3" xfId="0" applyNumberFormat="1" applyFont="1" applyFill="1" applyBorder="1" applyAlignment="1" applyProtection="1">
      <alignment horizontal="center" vertical="center"/>
      <protection locked="0"/>
    </xf>
    <xf numFmtId="49" fontId="2" fillId="32" borderId="3" xfId="0" applyNumberFormat="1" applyFont="1" applyFill="1" applyBorder="1" applyAlignment="1">
      <alignment horizontal="center" vertical="center" wrapText="1"/>
    </xf>
    <xf numFmtId="49" fontId="2" fillId="33" borderId="3" xfId="0" applyNumberFormat="1" applyFont="1" applyFill="1" applyBorder="1" applyAlignment="1" applyProtection="1">
      <alignment vertical="center" wrapText="1"/>
      <protection locked="0"/>
    </xf>
    <xf numFmtId="49" fontId="42" fillId="15" borderId="3" xfId="0" applyNumberFormat="1" applyFont="1" applyFill="1" applyBorder="1" applyAlignment="1" applyProtection="1">
      <alignment vertical="center"/>
      <protection locked="0"/>
    </xf>
    <xf numFmtId="49" fontId="2" fillId="15" borderId="3" xfId="0" applyNumberFormat="1" applyFont="1" applyFill="1" applyBorder="1" applyAlignment="1" applyProtection="1">
      <alignment vertical="center"/>
      <protection locked="0"/>
    </xf>
    <xf numFmtId="49" fontId="18" fillId="0" borderId="0" xfId="0" applyNumberFormat="1" applyFont="1" applyFill="1" applyBorder="1" applyAlignment="1" applyProtection="1">
      <alignment horizontal="center" vertical="center" wrapText="1"/>
      <protection locked="0"/>
    </xf>
    <xf numFmtId="49" fontId="2" fillId="0" borderId="0" xfId="0" applyNumberFormat="1" applyFont="1" applyFill="1" applyBorder="1" applyAlignment="1" applyProtection="1">
      <alignment horizontal="center" vertical="center" wrapText="1"/>
      <protection locked="0"/>
    </xf>
    <xf numFmtId="49" fontId="42" fillId="15" borderId="3" xfId="0" applyNumberFormat="1" applyFont="1" applyFill="1" applyBorder="1" applyAlignment="1" applyProtection="1">
      <alignment vertical="center" wrapText="1"/>
      <protection locked="0"/>
    </xf>
    <xf numFmtId="0" fontId="2" fillId="32" borderId="123" xfId="0" applyNumberFormat="1" applyFont="1" applyFill="1" applyBorder="1" applyAlignment="1" applyProtection="1">
      <alignment horizontal="center" vertical="center"/>
      <protection locked="0"/>
    </xf>
    <xf numFmtId="0" fontId="2" fillId="32" borderId="124" xfId="0" applyNumberFormat="1" applyFont="1" applyFill="1" applyBorder="1" applyAlignment="1" applyProtection="1">
      <alignment horizontal="center" vertical="center"/>
      <protection locked="0"/>
    </xf>
    <xf numFmtId="49" fontId="2" fillId="32" borderId="123" xfId="0" applyNumberFormat="1" applyFont="1" applyFill="1" applyBorder="1" applyAlignment="1" applyProtection="1">
      <alignment horizontal="center" vertical="center"/>
      <protection locked="0"/>
    </xf>
    <xf numFmtId="0" fontId="2" fillId="32" borderId="93" xfId="0" applyNumberFormat="1" applyFont="1" applyFill="1" applyBorder="1" applyAlignment="1" applyProtection="1">
      <alignment horizontal="center" vertical="center"/>
      <protection locked="0"/>
    </xf>
    <xf numFmtId="49" fontId="2" fillId="32" borderId="93" xfId="0" applyNumberFormat="1" applyFont="1" applyFill="1" applyBorder="1" applyAlignment="1" applyProtection="1">
      <alignment horizontal="center" vertical="center"/>
      <protection locked="0"/>
    </xf>
    <xf numFmtId="49" fontId="2" fillId="15" borderId="93" xfId="0" applyNumberFormat="1" applyFont="1" applyFill="1" applyBorder="1" applyAlignment="1">
      <alignment horizontal="center" vertical="center"/>
    </xf>
    <xf numFmtId="49" fontId="2" fillId="33" borderId="93" xfId="0" applyNumberFormat="1" applyFont="1" applyFill="1" applyBorder="1" applyAlignment="1">
      <alignment vertical="center"/>
    </xf>
    <xf numFmtId="0" fontId="151" fillId="0" borderId="109" xfId="9" applyFont="1" applyFill="1" applyBorder="1" applyAlignment="1">
      <alignment horizontal="left" vertical="center" wrapText="1"/>
    </xf>
    <xf numFmtId="0" fontId="151" fillId="0" borderId="110" xfId="9" applyFont="1" applyFill="1" applyBorder="1" applyAlignment="1">
      <alignment horizontal="left" vertical="center" wrapText="1"/>
    </xf>
    <xf numFmtId="0" fontId="148" fillId="0" borderId="0" xfId="9" applyFont="1" applyAlignment="1">
      <alignment vertical="center" wrapText="1"/>
    </xf>
    <xf numFmtId="0" fontId="149" fillId="33" borderId="134" xfId="9" applyFont="1" applyFill="1" applyBorder="1" applyAlignment="1">
      <alignment horizontal="left" vertical="center" wrapText="1"/>
    </xf>
    <xf numFmtId="0" fontId="149" fillId="33" borderId="135" xfId="9" applyFont="1" applyFill="1" applyBorder="1" applyAlignment="1">
      <alignment horizontal="left" vertical="center" wrapText="1"/>
    </xf>
    <xf numFmtId="0" fontId="149" fillId="33" borderId="109" xfId="9" applyFont="1" applyFill="1" applyBorder="1" applyAlignment="1">
      <alignment horizontal="left" vertical="center" wrapText="1"/>
    </xf>
    <xf numFmtId="0" fontId="149" fillId="33" borderId="110" xfId="9" applyFont="1" applyFill="1" applyBorder="1" applyAlignment="1">
      <alignment horizontal="left" vertical="center" wrapText="1"/>
    </xf>
    <xf numFmtId="0" fontId="148" fillId="33" borderId="109" xfId="9" applyFont="1" applyFill="1" applyBorder="1" applyAlignment="1">
      <alignment horizontal="left" vertical="center" wrapText="1"/>
    </xf>
    <xf numFmtId="0" fontId="148" fillId="33" borderId="110" xfId="9" applyFont="1" applyFill="1" applyBorder="1" applyAlignment="1">
      <alignment horizontal="left" vertical="center" wrapText="1"/>
    </xf>
    <xf numFmtId="0" fontId="151" fillId="33" borderId="109" xfId="9" applyFont="1" applyFill="1" applyBorder="1" applyAlignment="1">
      <alignment horizontal="left" vertical="center" wrapText="1"/>
    </xf>
    <xf numFmtId="0" fontId="151" fillId="33" borderId="110" xfId="9" applyFont="1" applyFill="1" applyBorder="1" applyAlignment="1">
      <alignment horizontal="left" vertical="center" wrapText="1"/>
    </xf>
    <xf numFmtId="0" fontId="149" fillId="0" borderId="128" xfId="9" applyFont="1" applyBorder="1" applyAlignment="1">
      <alignment horizontal="left" vertical="center" wrapText="1"/>
    </xf>
    <xf numFmtId="0" fontId="151" fillId="33" borderId="93" xfId="9" applyFont="1" applyFill="1" applyBorder="1" applyAlignment="1">
      <alignment horizontal="left" vertical="center" wrapText="1"/>
    </xf>
    <xf numFmtId="0" fontId="148" fillId="33" borderId="93" xfId="9" applyFont="1" applyFill="1" applyBorder="1" applyAlignment="1">
      <alignment horizontal="left" vertical="center" wrapText="1"/>
    </xf>
    <xf numFmtId="0" fontId="153" fillId="33" borderId="93" xfId="9" applyFont="1" applyFill="1" applyBorder="1" applyAlignment="1">
      <alignment horizontal="left" vertical="center" wrapText="1"/>
    </xf>
    <xf numFmtId="0" fontId="152" fillId="33" borderId="109" xfId="9" applyFont="1" applyFill="1" applyBorder="1" applyAlignment="1">
      <alignment horizontal="left" vertical="center" wrapText="1"/>
    </xf>
    <xf numFmtId="0" fontId="152" fillId="33" borderId="110" xfId="9" applyFont="1" applyFill="1" applyBorder="1" applyAlignment="1">
      <alignment horizontal="left" vertical="center" wrapText="1"/>
    </xf>
    <xf numFmtId="0" fontId="148" fillId="33" borderId="115" xfId="9" applyFont="1" applyFill="1" applyBorder="1" applyAlignment="1">
      <alignment horizontal="left" vertical="center" wrapText="1"/>
    </xf>
    <xf numFmtId="0" fontId="148" fillId="33" borderId="116" xfId="9" applyFont="1" applyFill="1" applyBorder="1" applyAlignment="1">
      <alignment horizontal="left" vertical="center" wrapText="1"/>
    </xf>
    <xf numFmtId="0" fontId="156" fillId="33" borderId="0" xfId="9" applyFont="1" applyFill="1" applyAlignment="1">
      <alignment horizontal="center" vertical="center" wrapText="1"/>
    </xf>
    <xf numFmtId="0" fontId="155" fillId="33" borderId="0" xfId="9" applyFont="1" applyFill="1" applyBorder="1" applyAlignment="1">
      <alignment horizontal="center" vertical="center" wrapText="1"/>
    </xf>
    <xf numFmtId="0" fontId="149" fillId="33" borderId="0" xfId="9" applyFont="1" applyFill="1" applyBorder="1" applyAlignment="1">
      <alignment horizontal="center" vertical="center" wrapText="1"/>
    </xf>
    <xf numFmtId="0" fontId="149" fillId="33" borderId="236" xfId="9" applyFont="1" applyFill="1" applyBorder="1" applyAlignment="1">
      <alignment horizontal="center" vertical="center" wrapText="1"/>
    </xf>
    <xf numFmtId="0" fontId="149" fillId="33" borderId="235" xfId="9" applyFont="1" applyFill="1" applyBorder="1" applyAlignment="1">
      <alignment horizontal="center" vertical="center" wrapText="1"/>
    </xf>
    <xf numFmtId="0" fontId="149" fillId="33" borderId="109" xfId="9" applyNumberFormat="1" applyFont="1" applyFill="1" applyBorder="1" applyAlignment="1">
      <alignment horizontal="left" vertical="center" wrapText="1"/>
    </xf>
    <xf numFmtId="0" fontId="149" fillId="33" borderId="110" xfId="9" applyNumberFormat="1" applyFont="1" applyFill="1" applyBorder="1" applyAlignment="1">
      <alignment horizontal="left" vertical="center" wrapText="1"/>
    </xf>
    <xf numFmtId="0" fontId="151" fillId="33" borderId="115" xfId="9" applyFont="1" applyFill="1" applyBorder="1" applyAlignment="1">
      <alignment horizontal="left" vertical="center" wrapText="1"/>
    </xf>
    <xf numFmtId="0" fontId="151" fillId="33" borderId="116" xfId="9" applyFont="1" applyFill="1" applyBorder="1" applyAlignment="1">
      <alignment horizontal="left" vertical="center" wrapText="1"/>
    </xf>
    <xf numFmtId="0" fontId="148" fillId="33" borderId="118" xfId="9" applyFont="1" applyFill="1" applyBorder="1" applyAlignment="1">
      <alignment horizontal="left" vertical="center" wrapText="1"/>
    </xf>
    <xf numFmtId="0" fontId="151" fillId="32" borderId="109" xfId="9" applyFont="1" applyFill="1" applyBorder="1" applyAlignment="1">
      <alignment horizontal="left" vertical="center" wrapText="1"/>
    </xf>
    <xf numFmtId="0" fontId="151" fillId="32" borderId="110" xfId="9" applyFont="1" applyFill="1" applyBorder="1" applyAlignment="1">
      <alignment horizontal="left" vertical="center" wrapText="1"/>
    </xf>
    <xf numFmtId="0" fontId="2" fillId="0" borderId="93" xfId="0" applyFont="1" applyBorder="1" applyAlignment="1">
      <alignment horizontal="center" vertical="center"/>
    </xf>
    <xf numFmtId="0" fontId="2" fillId="0" borderId="93" xfId="0" applyFont="1" applyBorder="1" applyAlignment="1">
      <alignment horizontal="left" vertical="center" wrapText="1"/>
    </xf>
    <xf numFmtId="0" fontId="2" fillId="0" borderId="109" xfId="0" applyFont="1" applyBorder="1" applyAlignment="1">
      <alignment horizontal="left" vertical="center" wrapText="1"/>
    </xf>
    <xf numFmtId="0" fontId="25" fillId="0" borderId="93" xfId="0" applyFont="1" applyBorder="1" applyAlignment="1">
      <alignment horizontal="center" vertical="center" wrapText="1"/>
    </xf>
    <xf numFmtId="0" fontId="2" fillId="0" borderId="93" xfId="0" applyFont="1" applyBorder="1" applyAlignment="1">
      <alignment vertical="center" wrapText="1"/>
    </xf>
    <xf numFmtId="0" fontId="2" fillId="0" borderId="93" xfId="0" applyFont="1" applyBorder="1" applyAlignment="1">
      <alignment vertical="center"/>
    </xf>
    <xf numFmtId="0" fontId="25" fillId="0" borderId="93" xfId="0" applyFont="1" applyBorder="1" applyAlignment="1">
      <alignment horizontal="left" vertical="center" wrapText="1"/>
    </xf>
    <xf numFmtId="0" fontId="2" fillId="0" borderId="93" xfId="0" applyFont="1" applyBorder="1" applyAlignment="1">
      <alignment horizontal="justify" vertical="center" wrapText="1"/>
    </xf>
    <xf numFmtId="0" fontId="68" fillId="0" borderId="0" xfId="0" applyFont="1" applyAlignment="1">
      <alignment horizontal="center" vertical="center" wrapText="1"/>
    </xf>
    <xf numFmtId="0" fontId="13" fillId="0" borderId="0" xfId="0" applyFont="1" applyAlignment="1">
      <alignment horizontal="left" vertical="center" wrapText="1"/>
    </xf>
    <xf numFmtId="0" fontId="2" fillId="0" borderId="0" xfId="0" applyFont="1" applyBorder="1" applyAlignment="1">
      <alignment horizontal="center" vertical="center" wrapText="1"/>
    </xf>
    <xf numFmtId="0" fontId="70" fillId="15" borderId="93" xfId="0" applyFont="1" applyFill="1" applyBorder="1" applyAlignment="1">
      <alignment horizontal="center" vertical="center" wrapText="1"/>
    </xf>
    <xf numFmtId="0" fontId="93" fillId="15" borderId="0" xfId="0" applyFont="1" applyFill="1" applyBorder="1" applyAlignment="1">
      <alignment horizontal="center" vertical="center" wrapText="1"/>
    </xf>
    <xf numFmtId="0" fontId="13" fillId="15" borderId="0" xfId="0" applyFont="1" applyFill="1" applyBorder="1" applyAlignment="1">
      <alignment horizontal="right" vertical="center" wrapText="1"/>
    </xf>
    <xf numFmtId="0" fontId="2" fillId="15" borderId="0" xfId="0" applyFont="1" applyFill="1" applyBorder="1" applyAlignment="1">
      <alignment horizontal="left" vertical="center" wrapText="1"/>
    </xf>
    <xf numFmtId="0" fontId="53" fillId="15" borderId="0" xfId="0" applyFont="1" applyFill="1" applyBorder="1" applyAlignment="1">
      <alignment horizontal="right" vertical="center" wrapText="1"/>
    </xf>
    <xf numFmtId="0" fontId="94" fillId="15" borderId="0" xfId="0" applyFont="1" applyFill="1" applyAlignment="1">
      <alignment horizontal="left" vertical="center"/>
    </xf>
    <xf numFmtId="0" fontId="95" fillId="15" borderId="0" xfId="0" applyFont="1" applyFill="1" applyAlignment="1">
      <alignment horizontal="left" vertical="center"/>
    </xf>
    <xf numFmtId="0" fontId="96" fillId="15" borderId="109" xfId="0" applyFont="1" applyFill="1" applyBorder="1" applyAlignment="1">
      <alignment horizontal="center" vertical="center" wrapText="1"/>
    </xf>
    <xf numFmtId="0" fontId="96" fillId="15" borderId="111" xfId="0" applyFont="1" applyFill="1" applyBorder="1" applyAlignment="1">
      <alignment horizontal="center" vertical="center" wrapText="1"/>
    </xf>
    <xf numFmtId="0" fontId="2" fillId="15" borderId="93" xfId="0" applyFont="1" applyFill="1" applyBorder="1" applyAlignment="1">
      <alignment horizontal="center" vertical="center" wrapText="1"/>
    </xf>
    <xf numFmtId="0" fontId="2" fillId="15" borderId="115" xfId="0" applyFont="1" applyFill="1" applyBorder="1" applyAlignment="1">
      <alignment horizontal="center" vertical="center" wrapText="1"/>
    </xf>
    <xf numFmtId="0" fontId="2" fillId="15" borderId="116" xfId="0" applyFont="1" applyFill="1" applyBorder="1" applyAlignment="1">
      <alignment horizontal="center" vertical="center" wrapText="1"/>
    </xf>
    <xf numFmtId="0" fontId="23" fillId="15" borderId="93" xfId="0" applyFont="1" applyFill="1" applyBorder="1" applyAlignment="1">
      <alignment horizontal="left" vertical="center" wrapText="1"/>
    </xf>
    <xf numFmtId="0" fontId="80" fillId="15" borderId="93" xfId="0" applyFont="1" applyFill="1" applyBorder="1" applyAlignment="1">
      <alignment horizontal="left" vertical="center" wrapText="1"/>
    </xf>
  </cellXfs>
  <cellStyles count="11">
    <cellStyle name="百分比" xfId="1" builtinId="5"/>
    <cellStyle name="差" xfId="7" builtinId="27"/>
    <cellStyle name="常规" xfId="0" builtinId="0"/>
    <cellStyle name="常规 2" xfId="9"/>
    <cellStyle name="超链接" xfId="2" builtinId="8"/>
    <cellStyle name="好" xfId="6" builtinId="26"/>
    <cellStyle name="千位分隔" xfId="4" builtinId="3"/>
    <cellStyle name="千位分隔 2" xfId="10"/>
    <cellStyle name="千位分隔[0]" xfId="5" builtinId="6"/>
    <cellStyle name="适中" xfId="8" builtinId="28"/>
    <cellStyle name="표준_0N-HANDLING " xfId="3"/>
  </cellStyles>
  <dxfs count="2">
    <dxf>
      <fill>
        <patternFill>
          <bgColor indexed="42"/>
        </patternFill>
      </fill>
    </dxf>
    <dxf>
      <font>
        <b val="0"/>
        <condense val="0"/>
        <extend val="0"/>
        <u/>
        <sz val="12"/>
      </font>
    </dxf>
  </dxfs>
  <tableStyles count="0" defaultTableStyle="TableStyleMedium9" defaultPivotStyle="PivotStyleLight16"/>
  <colors>
    <mruColors>
      <color rgb="FF99CCFF"/>
      <color rgb="FFFFCC99"/>
      <color rgb="FFCCFFCC"/>
      <color rgb="FFCCE1CC"/>
      <color rgb="FFC0C0C0"/>
      <color rgb="FFFF99CC"/>
      <color rgb="FF808000"/>
      <color rgb="FF0099CC"/>
      <color rgb="FF00CCFF"/>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theme" Target="theme/theme1.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worksheet" Target="worksheets/sheet164.xml"/><Relationship Id="rId169" Type="http://schemas.openxmlformats.org/officeDocument/2006/relationships/worksheet" Target="worksheets/sheet169.xml"/><Relationship Id="rId177"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106680</xdr:colOff>
      <xdr:row>2</xdr:row>
      <xdr:rowOff>38101</xdr:rowOff>
    </xdr:from>
    <xdr:to>
      <xdr:col>0</xdr:col>
      <xdr:colOff>1173480</xdr:colOff>
      <xdr:row>2</xdr:row>
      <xdr:rowOff>770696</xdr:rowOff>
    </xdr:to>
    <xdr:pic>
      <xdr:nvPicPr>
        <xdr:cNvPr id="2" name="图片 1"/>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106680" y="434341"/>
          <a:ext cx="1066800" cy="732595"/>
        </a:xfrm>
        <a:prstGeom prst="rect">
          <a:avLst/>
        </a:prstGeom>
      </xdr:spPr>
    </xdr:pic>
    <xdr:clientData/>
  </xdr:twoCellAnchor>
  <xdr:twoCellAnchor editAs="oneCell">
    <xdr:from>
      <xdr:col>0</xdr:col>
      <xdr:colOff>30480</xdr:colOff>
      <xdr:row>3</xdr:row>
      <xdr:rowOff>45720</xdr:rowOff>
    </xdr:from>
    <xdr:to>
      <xdr:col>0</xdr:col>
      <xdr:colOff>1927860</xdr:colOff>
      <xdr:row>3</xdr:row>
      <xdr:rowOff>655320</xdr:rowOff>
    </xdr:to>
    <xdr:pic>
      <xdr:nvPicPr>
        <xdr:cNvPr id="3" name="图片 2" descr="D:\白鷐\Documents\Tencent Files\448036927\Image\C2C\Z]5]1IHZO6TFLO25US`(%P8.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 y="1234440"/>
          <a:ext cx="189738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xdr:row>
      <xdr:rowOff>91440</xdr:rowOff>
    </xdr:from>
    <xdr:to>
      <xdr:col>6</xdr:col>
      <xdr:colOff>857250</xdr:colOff>
      <xdr:row>2</xdr:row>
      <xdr:rowOff>72391</xdr:rowOff>
    </xdr:to>
    <xdr:sp macro="" textlink="">
      <xdr:nvSpPr>
        <xdr:cNvPr id="6" name="WordArt 4"/>
        <xdr:cNvSpPr>
          <a:spLocks noChangeArrowheads="1" noChangeShapeType="1" noTextEdit="1"/>
        </xdr:cNvSpPr>
      </xdr:nvSpPr>
      <xdr:spPr bwMode="auto">
        <a:xfrm>
          <a:off x="7559040" y="419100"/>
          <a:ext cx="1863090" cy="179071"/>
        </a:xfrm>
        <a:prstGeom prst="rect">
          <a:avLst/>
        </a:prstGeom>
      </xdr:spPr>
      <xdr:txBody>
        <a:bodyPr wrap="none" fromWordArt="1">
          <a:prstTxWarp prst="textArchUp">
            <a:avLst>
              <a:gd name="adj" fmla="val 10800004"/>
            </a:avLst>
          </a:prstTxWarp>
        </a:bodyPr>
        <a:lstStyle/>
        <a:p>
          <a:pPr algn="ctr" rtl="0"/>
          <a:r>
            <a:rPr lang="zh-CN" altLang="en-US" sz="3600" b="1" kern="10" cap="none" spc="0">
              <a:ln w="6600">
                <a:solidFill>
                  <a:schemeClr val="accent2"/>
                </a:solidFill>
                <a:prstDash val="solid"/>
              </a:ln>
              <a:solidFill>
                <a:srgbClr val="FFFFFF"/>
              </a:solidFill>
              <a:effectLst>
                <a:outerShdw dist="38100" dir="2700000" algn="tl" rotWithShape="0">
                  <a:schemeClr val="accent2"/>
                </a:outerShdw>
              </a:effectLst>
              <a:latin typeface="华文新魏" panose="02010800040101010101" pitchFamily="2" charset="-122"/>
              <a:ea typeface="华文新魏" panose="02010800040101010101" pitchFamily="2" charset="-122"/>
              <a:cs typeface="+mn-ea"/>
            </a:rPr>
            <a:t>工作底稿</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10</xdr:col>
          <xdr:colOff>335279</xdr:colOff>
          <xdr:row>12</xdr:row>
          <xdr:rowOff>76200</xdr:rowOff>
        </xdr:from>
        <xdr:to>
          <xdr:col>12</xdr:col>
          <xdr:colOff>444474</xdr:colOff>
          <xdr:row>13</xdr:row>
          <xdr:rowOff>45720</xdr:rowOff>
        </xdr:to>
        <xdr:pic>
          <xdr:nvPicPr>
            <xdr:cNvPr id="8" name="Picture 5"/>
            <xdr:cNvPicPr>
              <a:picLocks noChangeAspect="1" noChangeArrowheads="1"/>
              <a:extLst>
                <a:ext uri="{84589F7E-364E-4C9E-8A38-B11213B215E9}">
                  <a14:cameraTool cellRange="Pic" spid="_x0000_s2115"/>
                </a:ext>
              </a:extLst>
            </xdr:cNvPicPr>
          </xdr:nvPicPr>
          <xdr:blipFill>
            <a:blip xmlns:r="http://schemas.openxmlformats.org/officeDocument/2006/relationships" r:embed="rId1"/>
            <a:srcRect/>
            <a:stretch>
              <a:fillRect/>
            </a:stretch>
          </xdr:blipFill>
          <xdr:spPr bwMode="auto">
            <a:xfrm>
              <a:off x="6865619" y="76200"/>
              <a:ext cx="2623795" cy="1051560"/>
            </a:xfrm>
            <a:prstGeom prst="rect">
              <a:avLst/>
            </a:prstGeom>
            <a:noFill/>
            <a:ln w="9525">
              <a:noFill/>
              <a:round/>
              <a:headEnd/>
              <a:tailEnd/>
            </a:ln>
            <a:effectLst>
              <a:softEdge rad="12700"/>
            </a:effectLst>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7620</xdr:colOff>
      <xdr:row>4</xdr:row>
      <xdr:rowOff>26670</xdr:rowOff>
    </xdr:to>
    <xdr:sp macro="" textlink="">
      <xdr:nvSpPr>
        <xdr:cNvPr id="2" name="Host Control  2"/>
        <xdr:cNvSpPr>
          <a:spLocks noChangeArrowheads="1"/>
        </xdr:cNvSpPr>
      </xdr:nvSpPr>
      <xdr:spPr bwMode="auto">
        <a:xfrm>
          <a:off x="0" y="746760"/>
          <a:ext cx="76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8</xdr:row>
      <xdr:rowOff>0</xdr:rowOff>
    </xdr:from>
    <xdr:to>
      <xdr:col>0</xdr:col>
      <xdr:colOff>7620</xdr:colOff>
      <xdr:row>9</xdr:row>
      <xdr:rowOff>34290</xdr:rowOff>
    </xdr:to>
    <xdr:sp macro="" textlink="">
      <xdr:nvSpPr>
        <xdr:cNvPr id="5" name="Host Control  5"/>
        <xdr:cNvSpPr>
          <a:spLocks noChangeArrowheads="1"/>
        </xdr:cNvSpPr>
      </xdr:nvSpPr>
      <xdr:spPr bwMode="auto">
        <a:xfrm>
          <a:off x="0" y="1699260"/>
          <a:ext cx="76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8</xdr:row>
      <xdr:rowOff>0</xdr:rowOff>
    </xdr:from>
    <xdr:to>
      <xdr:col>3</xdr:col>
      <xdr:colOff>617220</xdr:colOff>
      <xdr:row>9</xdr:row>
      <xdr:rowOff>34290</xdr:rowOff>
    </xdr:to>
    <xdr:sp macro="" textlink="">
      <xdr:nvSpPr>
        <xdr:cNvPr id="7" name="Host Control  8"/>
        <xdr:cNvSpPr>
          <a:spLocks noChangeArrowheads="1"/>
        </xdr:cNvSpPr>
      </xdr:nvSpPr>
      <xdr:spPr bwMode="auto">
        <a:xfrm>
          <a:off x="3878580" y="1699260"/>
          <a:ext cx="6172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10</xdr:row>
      <xdr:rowOff>0</xdr:rowOff>
    </xdr:from>
    <xdr:to>
      <xdr:col>2</xdr:col>
      <xdr:colOff>617220</xdr:colOff>
      <xdr:row>10</xdr:row>
      <xdr:rowOff>182880</xdr:rowOff>
    </xdr:to>
    <xdr:sp macro="" textlink="">
      <xdr:nvSpPr>
        <xdr:cNvPr id="9" name="Host Control  10"/>
        <xdr:cNvSpPr>
          <a:spLocks noChangeArrowheads="1"/>
        </xdr:cNvSpPr>
      </xdr:nvSpPr>
      <xdr:spPr bwMode="auto">
        <a:xfrm>
          <a:off x="2895600" y="2080260"/>
          <a:ext cx="61722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617220</xdr:colOff>
      <xdr:row>5</xdr:row>
      <xdr:rowOff>0</xdr:rowOff>
    </xdr:from>
    <xdr:to>
      <xdr:col>0</xdr:col>
      <xdr:colOff>624840</xdr:colOff>
      <xdr:row>6</xdr:row>
      <xdr:rowOff>106680</xdr:rowOff>
    </xdr:to>
    <xdr:sp macro="" textlink="">
      <xdr:nvSpPr>
        <xdr:cNvPr id="2" name="Host Control  15" hidden="1"/>
        <xdr:cNvSpPr>
          <a:spLocks noChangeArrowheads="1"/>
        </xdr:cNvSpPr>
      </xdr:nvSpPr>
      <xdr:spPr bwMode="auto">
        <a:xfrm>
          <a:off x="617220" y="1310640"/>
          <a:ext cx="762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617220</xdr:colOff>
      <xdr:row>8</xdr:row>
      <xdr:rowOff>0</xdr:rowOff>
    </xdr:from>
    <xdr:to>
      <xdr:col>0</xdr:col>
      <xdr:colOff>624840</xdr:colOff>
      <xdr:row>10</xdr:row>
      <xdr:rowOff>83820</xdr:rowOff>
    </xdr:to>
    <xdr:sp macro="" textlink="">
      <xdr:nvSpPr>
        <xdr:cNvPr id="3" name="Host Control  20" hidden="1"/>
        <xdr:cNvSpPr>
          <a:spLocks noChangeArrowheads="1"/>
        </xdr:cNvSpPr>
      </xdr:nvSpPr>
      <xdr:spPr bwMode="auto">
        <a:xfrm>
          <a:off x="617220" y="2156460"/>
          <a:ext cx="7620" cy="899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617220</xdr:colOff>
      <xdr:row>10</xdr:row>
      <xdr:rowOff>0</xdr:rowOff>
    </xdr:from>
    <xdr:to>
      <xdr:col>1</xdr:col>
      <xdr:colOff>518160</xdr:colOff>
      <xdr:row>10</xdr:row>
      <xdr:rowOff>182880</xdr:rowOff>
    </xdr:to>
    <xdr:sp macro="" textlink="">
      <xdr:nvSpPr>
        <xdr:cNvPr id="2" name="Host Control  28" hidden="1"/>
        <xdr:cNvSpPr>
          <a:spLocks noChangeArrowheads="1"/>
        </xdr:cNvSpPr>
      </xdr:nvSpPr>
      <xdr:spPr bwMode="auto">
        <a:xfrm>
          <a:off x="617220" y="2712720"/>
          <a:ext cx="87630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mz-tax.com/" TargetMode="External"/><Relationship Id="rId1" Type="http://schemas.openxmlformats.org/officeDocument/2006/relationships/hyperlink" Target="mailto:2981045@163.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M1128"/>
  <sheetViews>
    <sheetView workbookViewId="0">
      <selection activeCell="D3" sqref="D3"/>
    </sheetView>
  </sheetViews>
  <sheetFormatPr defaultColWidth="9" defaultRowHeight="15.6"/>
  <cols>
    <col min="1" max="1" width="25.69921875" customWidth="1"/>
    <col min="4" max="4" width="20.19921875" bestFit="1" customWidth="1"/>
    <col min="6" max="6" width="20.19921875" bestFit="1" customWidth="1"/>
    <col min="8" max="8" width="35.5" bestFit="1" customWidth="1"/>
    <col min="14" max="15" width="0" hidden="1" customWidth="1"/>
    <col min="52" max="52" width="9" customWidth="1"/>
  </cols>
  <sheetData>
    <row r="1" spans="1:13">
      <c r="A1" s="1326" t="s">
        <v>10294</v>
      </c>
      <c r="C1" s="1326" t="s">
        <v>9967</v>
      </c>
      <c r="D1" s="1326" t="s">
        <v>7705</v>
      </c>
      <c r="E1" s="1326" t="s">
        <v>9968</v>
      </c>
      <c r="F1" s="1326" t="s">
        <v>7741</v>
      </c>
      <c r="G1" t="s">
        <v>7779</v>
      </c>
      <c r="H1" t="s">
        <v>7780</v>
      </c>
      <c r="I1" t="s">
        <v>7868</v>
      </c>
      <c r="J1" t="s">
        <v>7869</v>
      </c>
      <c r="M1">
        <f t="array" ref="M1">SUM(IFERROR(ABS(凭证检查!$G$6:$G$205),0))</f>
        <v>0</v>
      </c>
    </row>
    <row r="2" spans="1:13">
      <c r="C2" t="s">
        <v>1709</v>
      </c>
      <c r="D2" t="s">
        <v>7706</v>
      </c>
      <c r="E2" t="s">
        <v>7731</v>
      </c>
      <c r="F2" t="s">
        <v>7730</v>
      </c>
      <c r="G2" t="s">
        <v>7781</v>
      </c>
      <c r="H2" t="s">
        <v>12</v>
      </c>
      <c r="I2" t="s">
        <v>7870</v>
      </c>
      <c r="J2" t="s">
        <v>7871</v>
      </c>
      <c r="M2">
        <f t="array" ref="M2">SUM(IFERROR(ABS(纳税申报数据!$D$6:$D$19),0),IFERROR(ABS(纳税申报数据!$F$6:$I$23),0),IFERROR(ABS(纳税申报数据!$K$6:$K$14),0))</f>
        <v>0</v>
      </c>
    </row>
    <row r="3" spans="1:13" ht="62.4" customHeight="1">
      <c r="C3" t="s">
        <v>7708</v>
      </c>
      <c r="D3" t="s">
        <v>7707</v>
      </c>
      <c r="E3" s="1326" t="s">
        <v>9976</v>
      </c>
      <c r="F3" s="1702" t="s">
        <v>9977</v>
      </c>
      <c r="G3" t="s">
        <v>7782</v>
      </c>
      <c r="H3" t="s">
        <v>224</v>
      </c>
      <c r="I3" t="s">
        <v>7872</v>
      </c>
      <c r="J3" t="s">
        <v>7873</v>
      </c>
      <c r="M3">
        <f t="array" ref="M3">SUM(IFERROR(ABS(工资福利!$C$7:$H$25),0),IFERROR(ABS(工资福利!$G$27:$H$30),0),IFERROR(ABS(工资福利!$G$33),0),IFERROR(ABS(工资福利!$G$36),0),IFERROR(ABS(工资福利!$G$37),0),IFERROR(ABS(工资福利!$G$38),0))</f>
        <v>0</v>
      </c>
    </row>
    <row r="4" spans="1:13" ht="62.4" customHeight="1">
      <c r="C4" t="s">
        <v>7710</v>
      </c>
      <c r="D4" t="s">
        <v>7709</v>
      </c>
      <c r="E4" s="1326" t="s">
        <v>9978</v>
      </c>
      <c r="F4" s="1702" t="s">
        <v>9980</v>
      </c>
      <c r="G4" t="s">
        <v>7783</v>
      </c>
      <c r="H4" t="s">
        <v>1270</v>
      </c>
      <c r="I4" t="s">
        <v>7874</v>
      </c>
      <c r="J4" t="s">
        <v>7875</v>
      </c>
      <c r="M4">
        <f t="array" ref="M4">SUM(IFERROR(ABS(招待!$E$8:$K$16),0),IFERROR(ABS(招待!$J$23),0),IFERROR(ABS(招待!$J$24),0))</f>
        <v>0</v>
      </c>
    </row>
    <row r="5" spans="1:13" ht="14.25" customHeight="1">
      <c r="A5" t="s">
        <v>7704</v>
      </c>
      <c r="B5" t="s">
        <v>7704</v>
      </c>
      <c r="C5" t="s">
        <v>7712</v>
      </c>
      <c r="D5" t="s">
        <v>7711</v>
      </c>
      <c r="E5" s="1326" t="s">
        <v>9979</v>
      </c>
      <c r="F5" s="1702" t="s">
        <v>9981</v>
      </c>
      <c r="G5" t="s">
        <v>7784</v>
      </c>
      <c r="H5" t="s">
        <v>1275</v>
      </c>
      <c r="I5" t="s">
        <v>7876</v>
      </c>
      <c r="J5" t="s">
        <v>7877</v>
      </c>
      <c r="M5">
        <f t="array" aca="1" ref="M5" ca="1">SUM(IFERROR(ABS(固资折旧!$A$8:$G$29),0))</f>
        <v>0</v>
      </c>
    </row>
    <row r="6" spans="1:13" ht="14.25" customHeight="1">
      <c r="B6" t="s">
        <v>9982</v>
      </c>
      <c r="C6" t="s">
        <v>6607</v>
      </c>
      <c r="D6" t="s">
        <v>6608</v>
      </c>
      <c r="G6" t="s">
        <v>7785</v>
      </c>
      <c r="H6" t="s">
        <v>7786</v>
      </c>
      <c r="I6" t="s">
        <v>7878</v>
      </c>
      <c r="J6" t="s">
        <v>7879</v>
      </c>
      <c r="M6">
        <f t="array" ref="M6">SUM(IFERROR(ABS(折旧测算!$C$8:$O$8),0))</f>
        <v>0</v>
      </c>
    </row>
    <row r="7" spans="1:13">
      <c r="B7" t="s">
        <v>9990</v>
      </c>
      <c r="C7" t="s">
        <v>7714</v>
      </c>
      <c r="D7" t="s">
        <v>7713</v>
      </c>
      <c r="G7" t="s">
        <v>7777</v>
      </c>
      <c r="H7" t="s">
        <v>1276</v>
      </c>
      <c r="I7" t="s">
        <v>7880</v>
      </c>
      <c r="J7" t="s">
        <v>7881</v>
      </c>
      <c r="M7">
        <f t="array" ref="M7">SUM(IFERROR(ABS(无形长摊!$B$7:$O$27),0))</f>
        <v>0</v>
      </c>
    </row>
    <row r="8" spans="1:13">
      <c r="B8" t="s">
        <v>9987</v>
      </c>
      <c r="C8" t="s">
        <v>7716</v>
      </c>
      <c r="D8" t="s">
        <v>7715</v>
      </c>
      <c r="G8" t="s">
        <v>7787</v>
      </c>
      <c r="H8" t="s">
        <v>226</v>
      </c>
      <c r="I8" t="s">
        <v>7882</v>
      </c>
      <c r="J8" t="s">
        <v>7883</v>
      </c>
      <c r="M8">
        <f t="array" ref="M8">SUM(IFERROR(ABS(社保!$D$8:$F$20),0),IFERROR(ABS(社保!$C$24:$G$24),0),IFERROR(ABS(社保!$C$27:$G$27),0))</f>
        <v>0</v>
      </c>
    </row>
    <row r="9" spans="1:13">
      <c r="B9" t="s">
        <v>9988</v>
      </c>
      <c r="C9" t="s">
        <v>7718</v>
      </c>
      <c r="D9" t="s">
        <v>7717</v>
      </c>
      <c r="G9" t="s">
        <v>7765</v>
      </c>
      <c r="H9" t="s">
        <v>710</v>
      </c>
      <c r="I9" t="s">
        <v>7884</v>
      </c>
      <c r="J9" t="s">
        <v>7885</v>
      </c>
      <c r="M9">
        <f t="array" ref="M9">SUM(IFERROR(ABS(社保明细工资人数!$B$8:$J$36),0))</f>
        <v>0</v>
      </c>
    </row>
    <row r="10" spans="1:13" ht="14.25" customHeight="1">
      <c r="B10" t="s">
        <v>9983</v>
      </c>
      <c r="C10" t="s">
        <v>7720</v>
      </c>
      <c r="D10" t="s">
        <v>7719</v>
      </c>
      <c r="G10" t="s">
        <v>7788</v>
      </c>
      <c r="H10" t="s">
        <v>1277</v>
      </c>
      <c r="I10" t="s">
        <v>7886</v>
      </c>
      <c r="J10" t="s">
        <v>7887</v>
      </c>
      <c r="M10">
        <f t="array" ref="M10">SUM(IFERROR(ABS(广宣!$A$7:$J$24),0),IFERROR(ABS(广宣!$C$27:$J$27),0),IFERROR(ABS(广宣!$J$33:$J$37),0),IFERROR(ABS(广宣!$J$31),0))</f>
        <v>0</v>
      </c>
    </row>
    <row r="11" spans="1:13">
      <c r="B11" t="s">
        <v>9984</v>
      </c>
      <c r="C11" t="s">
        <v>7722</v>
      </c>
      <c r="D11" t="s">
        <v>7721</v>
      </c>
      <c r="G11" t="s">
        <v>7771</v>
      </c>
      <c r="H11" t="s">
        <v>1279</v>
      </c>
      <c r="I11" t="s">
        <v>7888</v>
      </c>
      <c r="J11" t="s">
        <v>7889</v>
      </c>
      <c r="M11">
        <f t="array" ref="M11">SUM(IFERROR(ABS(捐赠!$A$7:$J$17),0))</f>
        <v>0</v>
      </c>
    </row>
    <row r="12" spans="1:13">
      <c r="B12" t="s">
        <v>9996</v>
      </c>
      <c r="C12" t="s">
        <v>6609</v>
      </c>
      <c r="D12" t="s">
        <v>6610</v>
      </c>
      <c r="G12" t="s">
        <v>7789</v>
      </c>
      <c r="H12" t="s">
        <v>2362</v>
      </c>
      <c r="I12" t="s">
        <v>7890</v>
      </c>
      <c r="J12" t="s">
        <v>7891</v>
      </c>
      <c r="M12">
        <f t="array" ref="M12">SUM(IFERROR(ABS(利息!$B$8:$J$17),0),IFERROR(ABS(利息!$C$21:$J$21),0))</f>
        <v>0</v>
      </c>
    </row>
    <row r="13" spans="1:13">
      <c r="B13" t="s">
        <v>9985</v>
      </c>
      <c r="C13" t="s">
        <v>6611</v>
      </c>
      <c r="D13" t="s">
        <v>6612</v>
      </c>
      <c r="G13" t="s">
        <v>7790</v>
      </c>
      <c r="H13" t="s">
        <v>230</v>
      </c>
      <c r="I13" t="s">
        <v>7892</v>
      </c>
      <c r="J13" t="s">
        <v>7893</v>
      </c>
      <c r="M13">
        <f t="array" ref="M13">SUM(IFERROR(ABS(租金!$D$8:$J$18),0),IFERROR(ABS(租金!$B$21:$J$21),0))</f>
        <v>0</v>
      </c>
    </row>
    <row r="14" spans="1:13">
      <c r="B14" t="s">
        <v>9986</v>
      </c>
      <c r="C14" t="s">
        <v>6613</v>
      </c>
      <c r="D14" t="s">
        <v>7723</v>
      </c>
      <c r="G14" t="s">
        <v>7791</v>
      </c>
      <c r="H14" t="s">
        <v>184</v>
      </c>
      <c r="I14" t="s">
        <v>7894</v>
      </c>
      <c r="J14" t="s">
        <v>7895</v>
      </c>
      <c r="M14">
        <f t="array" aca="1" ref="M14" ca="1">SUM(IFERROR(ABS(补亏!$B$7:$G$17),0))</f>
        <v>0</v>
      </c>
    </row>
    <row r="15" spans="1:13" ht="14.25" customHeight="1">
      <c r="A15" s="1326" t="s">
        <v>10061</v>
      </c>
      <c r="B15" t="s">
        <v>1711</v>
      </c>
      <c r="C15" t="s">
        <v>7725</v>
      </c>
      <c r="D15" t="s">
        <v>7724</v>
      </c>
      <c r="G15" t="s">
        <v>7792</v>
      </c>
      <c r="H15" t="s">
        <v>7793</v>
      </c>
      <c r="I15" t="s">
        <v>7896</v>
      </c>
      <c r="J15" t="s">
        <v>7897</v>
      </c>
      <c r="M15">
        <f t="array" ref="M15">SUM(IFERROR(ABS(其他事项!$D$7:$F$42),0))</f>
        <v>0</v>
      </c>
    </row>
    <row r="16" spans="1:13" ht="14.25" customHeight="1">
      <c r="A16" s="1326" t="s">
        <v>10062</v>
      </c>
      <c r="B16" t="s">
        <v>1709</v>
      </c>
      <c r="C16" t="s">
        <v>7727</v>
      </c>
      <c r="D16" t="s">
        <v>7726</v>
      </c>
      <c r="G16" t="s">
        <v>7794</v>
      </c>
      <c r="H16" t="s">
        <v>7795</v>
      </c>
      <c r="I16" t="s">
        <v>7898</v>
      </c>
      <c r="J16" t="s">
        <v>7899</v>
      </c>
      <c r="M16">
        <f t="array" ref="M16">SUM(IFERROR(ABS(无限期结转扣除项目审核表!$C$6:$K$10),0))</f>
        <v>0</v>
      </c>
    </row>
    <row r="17" spans="1:13" ht="14.25" customHeight="1">
      <c r="A17" s="1326" t="s">
        <v>10063</v>
      </c>
      <c r="B17" t="s">
        <v>7680</v>
      </c>
      <c r="C17" t="s">
        <v>7729</v>
      </c>
      <c r="D17" t="s">
        <v>7728</v>
      </c>
      <c r="G17" t="s">
        <v>7796</v>
      </c>
      <c r="H17" t="s">
        <v>7797</v>
      </c>
      <c r="I17" t="s">
        <v>7900</v>
      </c>
      <c r="J17" t="s">
        <v>7901</v>
      </c>
      <c r="M17">
        <f t="array" ref="M17">SUM(IFERROR(ABS(跨年度确认所得情况表!$C$8:$F$17),0))</f>
        <v>0</v>
      </c>
    </row>
    <row r="18" spans="1:13">
      <c r="A18" s="1326" t="s">
        <v>10064</v>
      </c>
      <c r="B18" t="s">
        <v>10071</v>
      </c>
      <c r="C18" t="s">
        <v>7733</v>
      </c>
      <c r="D18" t="s">
        <v>7732</v>
      </c>
      <c r="G18" t="s">
        <v>7798</v>
      </c>
      <c r="H18" t="s">
        <v>7799</v>
      </c>
      <c r="I18" t="s">
        <v>7902</v>
      </c>
      <c r="J18" t="s">
        <v>7903</v>
      </c>
      <c r="M18">
        <f t="array" ref="M18">SUM(IFERROR(ABS(视同销售和房地产开发企业特定业务审核表!$C$8:$D$36),0))</f>
        <v>0</v>
      </c>
    </row>
    <row r="19" spans="1:13">
      <c r="A19" s="1326" t="s">
        <v>10065</v>
      </c>
      <c r="B19" t="s">
        <v>10072</v>
      </c>
      <c r="C19" t="s">
        <v>7735</v>
      </c>
      <c r="D19" t="s">
        <v>7734</v>
      </c>
      <c r="G19" t="s">
        <v>7800</v>
      </c>
      <c r="H19" t="s">
        <v>228</v>
      </c>
      <c r="I19" t="s">
        <v>7904</v>
      </c>
      <c r="J19" t="s">
        <v>7905</v>
      </c>
      <c r="M19">
        <f t="array" ref="M19">SUM(IFERROR(ABS(未按权责发生制确认收入审核表!$C$6:$H$19),0))</f>
        <v>0</v>
      </c>
    </row>
    <row r="20" spans="1:13">
      <c r="B20" s="1326" t="s">
        <v>10073</v>
      </c>
      <c r="C20" t="s">
        <v>7737</v>
      </c>
      <c r="D20" t="s">
        <v>7736</v>
      </c>
      <c r="G20" t="s">
        <v>7801</v>
      </c>
      <c r="H20" t="s">
        <v>7802</v>
      </c>
      <c r="I20" t="s">
        <v>7906</v>
      </c>
      <c r="J20" t="s">
        <v>7907</v>
      </c>
      <c r="M20">
        <f t="array" ref="M20">SUM(IFERROR(ABS(投资收益审核表!$C$6:$M$15),0))</f>
        <v>0</v>
      </c>
    </row>
    <row r="21" spans="1:13" ht="14.25" customHeight="1">
      <c r="B21" s="1326" t="s">
        <v>10074</v>
      </c>
      <c r="C21" t="s">
        <v>6614</v>
      </c>
      <c r="D21" t="s">
        <v>6615</v>
      </c>
      <c r="G21" t="s">
        <v>7803</v>
      </c>
      <c r="H21" t="s">
        <v>7804</v>
      </c>
      <c r="I21" t="s">
        <v>7908</v>
      </c>
      <c r="J21" t="s">
        <v>7909</v>
      </c>
      <c r="M21">
        <f t="array" ref="M21">SUM(IFERROR(ABS(专项用途财政性资金审核表!$D$7:$P$13),0))</f>
        <v>0</v>
      </c>
    </row>
    <row r="22" spans="1:13" ht="14.25" customHeight="1">
      <c r="B22" s="1326" t="s">
        <v>10076</v>
      </c>
      <c r="C22" t="s">
        <v>6616</v>
      </c>
      <c r="D22" t="s">
        <v>6617</v>
      </c>
      <c r="G22" t="s">
        <v>7805</v>
      </c>
      <c r="H22" t="s">
        <v>7806</v>
      </c>
      <c r="I22" t="s">
        <v>7910</v>
      </c>
      <c r="J22" t="s">
        <v>7911</v>
      </c>
      <c r="M22">
        <f t="array" ref="M22">SUM(IFERROR(ABS(固定资产加速折旧审核表!$B$7:$U$34),0))</f>
        <v>0</v>
      </c>
    </row>
    <row r="23" spans="1:13" ht="14.25" customHeight="1">
      <c r="A23" s="1326" t="s">
        <v>9993</v>
      </c>
      <c r="B23" t="s">
        <v>9972</v>
      </c>
      <c r="C23" t="s">
        <v>6618</v>
      </c>
      <c r="D23" t="s">
        <v>6619</v>
      </c>
      <c r="G23" t="s">
        <v>7757</v>
      </c>
      <c r="H23" t="s">
        <v>7807</v>
      </c>
      <c r="I23" t="s">
        <v>7912</v>
      </c>
      <c r="J23" t="s">
        <v>7913</v>
      </c>
      <c r="M23">
        <f t="array" ref="M23">SUM(IFERROR(ABS(资产损失税前扣除审核表!$C$5:$E$18),0))</f>
        <v>0</v>
      </c>
    </row>
    <row r="24" spans="1:13">
      <c r="B24" t="s">
        <v>9989</v>
      </c>
      <c r="C24" s="1326" t="s">
        <v>7740</v>
      </c>
      <c r="D24" t="s">
        <v>6620</v>
      </c>
      <c r="G24" t="s">
        <v>7761</v>
      </c>
      <c r="H24" t="s">
        <v>7808</v>
      </c>
      <c r="I24" t="s">
        <v>7914</v>
      </c>
      <c r="J24" t="s">
        <v>7915</v>
      </c>
      <c r="M24">
        <f t="array" ref="M24">SUM(IFERROR(ABS('资产损失（专项申报）税前扣除审核表'!$C$6:$H$25),0))</f>
        <v>0</v>
      </c>
    </row>
    <row r="25" spans="1:13">
      <c r="B25" t="s">
        <v>9990</v>
      </c>
      <c r="C25" t="s">
        <v>6621</v>
      </c>
      <c r="D25" t="s">
        <v>6622</v>
      </c>
      <c r="G25" t="s">
        <v>7755</v>
      </c>
      <c r="H25" t="s">
        <v>7809</v>
      </c>
      <c r="I25" t="s">
        <v>7916</v>
      </c>
      <c r="J25" t="s">
        <v>7917</v>
      </c>
      <c r="M25">
        <f t="array" ref="M25">SUM(IFERROR(ABS(企业重组审核表!$C$6:$I$19),0))</f>
        <v>0</v>
      </c>
    </row>
    <row r="26" spans="1:13">
      <c r="B26" t="s">
        <v>9991</v>
      </c>
      <c r="C26" t="s">
        <v>6623</v>
      </c>
      <c r="D26" t="s">
        <v>6624</v>
      </c>
      <c r="G26" t="s">
        <v>7763</v>
      </c>
      <c r="H26" t="s">
        <v>7810</v>
      </c>
      <c r="I26" t="s">
        <v>7918</v>
      </c>
      <c r="J26" t="s">
        <v>7919</v>
      </c>
      <c r="M26">
        <f t="array" ref="M26">SUM(IFERROR(ABS(政策性搬迁审核表!$C$4:$C$27),0))</f>
        <v>0</v>
      </c>
    </row>
    <row r="27" spans="1:13">
      <c r="B27" t="s">
        <v>9992</v>
      </c>
      <c r="C27" t="s">
        <v>7683</v>
      </c>
      <c r="D27" t="s">
        <v>7738</v>
      </c>
      <c r="G27" t="s">
        <v>7759</v>
      </c>
      <c r="H27" t="s">
        <v>7811</v>
      </c>
      <c r="I27" t="s">
        <v>7920</v>
      </c>
      <c r="J27" t="s">
        <v>7921</v>
      </c>
      <c r="M27">
        <f t="array" ref="M27">SUM(IFERROR(ABS(特殊行业准备金审核表!$C$5:$E$34),0))</f>
        <v>0</v>
      </c>
    </row>
    <row r="28" spans="1:13">
      <c r="B28" t="s">
        <v>9994</v>
      </c>
      <c r="C28" t="s">
        <v>7684</v>
      </c>
      <c r="D28" t="s">
        <v>7739</v>
      </c>
      <c r="G28" t="s">
        <v>7812</v>
      </c>
      <c r="H28" t="s">
        <v>7813</v>
      </c>
      <c r="I28" t="s">
        <v>7922</v>
      </c>
      <c r="J28" t="s">
        <v>7923</v>
      </c>
      <c r="M28">
        <f t="array" ref="M28">SUM(IFERROR(ABS(免税、减计收入及加计扣除优惠审核表!$C$4:$C$30),0))</f>
        <v>0</v>
      </c>
    </row>
    <row r="29" spans="1:13">
      <c r="B29" t="s">
        <v>9995</v>
      </c>
      <c r="G29" t="s">
        <v>7814</v>
      </c>
      <c r="H29" t="s">
        <v>7815</v>
      </c>
      <c r="I29" t="s">
        <v>7924</v>
      </c>
      <c r="J29" t="s">
        <v>7925</v>
      </c>
      <c r="M29">
        <f t="array" ref="M29">SUM(IFERROR(ABS(股息红利优惠审核表!$D$6:$Q$15),0))</f>
        <v>0</v>
      </c>
    </row>
    <row r="30" spans="1:13">
      <c r="B30" t="s">
        <v>9996</v>
      </c>
      <c r="G30" t="s">
        <v>7816</v>
      </c>
      <c r="H30" t="s">
        <v>7817</v>
      </c>
      <c r="I30" t="s">
        <v>7926</v>
      </c>
      <c r="J30" t="s">
        <v>7927</v>
      </c>
      <c r="M30">
        <f t="array" ref="M30">SUM(IFERROR(ABS(综合利用资源生产产品取得的收入优惠审核表!$J$6:$K$15),0))</f>
        <v>0</v>
      </c>
    </row>
    <row r="31" spans="1:13">
      <c r="B31" t="s">
        <v>9997</v>
      </c>
      <c r="G31" t="s">
        <v>7818</v>
      </c>
      <c r="H31" t="s">
        <v>7819</v>
      </c>
      <c r="I31" t="s">
        <v>7928</v>
      </c>
      <c r="J31" t="s">
        <v>7929</v>
      </c>
      <c r="M31">
        <f t="array" ref="M31">SUM(IFERROR(ABS(金融保险等机构取得涉农利息保费收入优惠审核表!$C$5:$C$16),0))</f>
        <v>0</v>
      </c>
    </row>
    <row r="32" spans="1:13">
      <c r="B32" t="s">
        <v>9998</v>
      </c>
      <c r="G32" t="s">
        <v>7820</v>
      </c>
      <c r="H32" t="s">
        <v>7821</v>
      </c>
      <c r="I32" t="s">
        <v>7930</v>
      </c>
      <c r="J32" t="s">
        <v>7931</v>
      </c>
      <c r="M32">
        <f t="array" ref="M32">SUM(IFERROR(ABS(研发费用加计扣除优惠审核表!$C$6:$T$15),0))</f>
        <v>0</v>
      </c>
    </row>
    <row r="33" spans="1:13">
      <c r="A33" s="1326" t="s">
        <v>10061</v>
      </c>
      <c r="B33" s="1702" t="s">
        <v>10066</v>
      </c>
      <c r="G33" t="s">
        <v>7822</v>
      </c>
      <c r="H33" t="s">
        <v>7823</v>
      </c>
      <c r="I33" t="s">
        <v>7932</v>
      </c>
      <c r="J33" t="s">
        <v>7933</v>
      </c>
      <c r="M33">
        <f t="array" ref="M33">SUM(IFERROR(ABS(所得减免优惠审核表!$C$5:$I$44),0))</f>
        <v>0</v>
      </c>
    </row>
    <row r="34" spans="1:13">
      <c r="A34" s="1326" t="s">
        <v>10062</v>
      </c>
      <c r="B34" s="1326" t="s">
        <v>10067</v>
      </c>
      <c r="G34" t="s">
        <v>7824</v>
      </c>
      <c r="H34" t="s">
        <v>7825</v>
      </c>
      <c r="I34" t="s">
        <v>7934</v>
      </c>
      <c r="J34" t="s">
        <v>7935</v>
      </c>
      <c r="M34">
        <f t="array" ref="M34">SUM(IFERROR(ABS(抵扣应纳税所得额审核表!$C$5),0),IFERROR(ABS(抵扣应纳税所得额审核表!$C$8),0),IFERROR(ABS(抵扣应纳税所得额审核表!$C$14:$C$16),0))</f>
        <v>0</v>
      </c>
    </row>
    <row r="35" spans="1:13">
      <c r="A35" s="1326" t="s">
        <v>10063</v>
      </c>
      <c r="B35" s="1702" t="s">
        <v>10068</v>
      </c>
      <c r="G35" t="s">
        <v>7826</v>
      </c>
      <c r="H35" t="s">
        <v>7827</v>
      </c>
      <c r="I35" t="s">
        <v>7936</v>
      </c>
      <c r="J35" t="s">
        <v>7937</v>
      </c>
      <c r="M35">
        <f t="array" ref="M35">SUM(IFERROR(ABS(减免所得税优惠审核表!$C$4:$C$53),0))</f>
        <v>0</v>
      </c>
    </row>
    <row r="36" spans="1:13">
      <c r="A36" s="1326" t="s">
        <v>10064</v>
      </c>
      <c r="B36" s="1675" t="s">
        <v>10069</v>
      </c>
      <c r="G36" t="s">
        <v>7828</v>
      </c>
      <c r="H36" t="s">
        <v>7829</v>
      </c>
      <c r="I36" t="s">
        <v>7938</v>
      </c>
      <c r="J36" t="s">
        <v>7939</v>
      </c>
      <c r="M36">
        <f t="array" ref="M36">SUM(IFERROR(ABS(高新技术企业优惠情况审核表!$D$4:$D$34),0))</f>
        <v>0</v>
      </c>
    </row>
    <row r="37" spans="1:13">
      <c r="A37" s="1326" t="s">
        <v>10065</v>
      </c>
      <c r="B37" s="1675" t="s">
        <v>10070</v>
      </c>
      <c r="G37" t="s">
        <v>7830</v>
      </c>
      <c r="H37" t="s">
        <v>7831</v>
      </c>
      <c r="I37" t="s">
        <v>7940</v>
      </c>
      <c r="J37" t="s">
        <v>7941</v>
      </c>
      <c r="M37">
        <f t="array" ref="M37">SUM(IFERROR(ABS(软件、集成电路企业优惠情况审核表!$E$4:$E$45),0))</f>
        <v>0</v>
      </c>
    </row>
    <row r="38" spans="1:13">
      <c r="B38" s="1326" t="s">
        <v>10073</v>
      </c>
      <c r="G38" t="s">
        <v>7832</v>
      </c>
      <c r="H38" t="s">
        <v>7833</v>
      </c>
      <c r="I38" t="s">
        <v>7942</v>
      </c>
      <c r="J38" t="s">
        <v>7943</v>
      </c>
      <c r="M38">
        <f t="array" aca="1" ref="M38" ca="1">SUM(IFERROR(ABS(税额抵免优惠审核表!$E$6:$N$11),0),IFERROR(ABS(税额抵免优惠审核表!$M$12),0),IFERROR(ABS(税额抵免优惠审核表!$N$13),0),IFERROR(ABS(税额抵免优惠审核表!$K$14:$N$16),0))</f>
        <v>0</v>
      </c>
    </row>
    <row r="39" spans="1:13">
      <c r="B39" s="1326" t="s">
        <v>10075</v>
      </c>
      <c r="G39" t="s">
        <v>7834</v>
      </c>
      <c r="H39" t="s">
        <v>7835</v>
      </c>
      <c r="I39" t="s">
        <v>7944</v>
      </c>
      <c r="J39" t="s">
        <v>7945</v>
      </c>
      <c r="M39">
        <f t="array" ref="M39">SUM(IFERROR(ABS(境外所得税收抵免审核表!$C$6:$T$15),0))</f>
        <v>0</v>
      </c>
    </row>
    <row r="40" spans="1:13">
      <c r="B40" s="1326" t="s">
        <v>10077</v>
      </c>
      <c r="G40" t="s">
        <v>7836</v>
      </c>
      <c r="H40" t="s">
        <v>7837</v>
      </c>
      <c r="I40" t="s">
        <v>7946</v>
      </c>
      <c r="J40" t="s">
        <v>7947</v>
      </c>
      <c r="M40">
        <f t="array" ref="M40">SUM(IFERROR(ABS(境外所得纳税调整后所得审核表!$C$6:$S$15),0))</f>
        <v>0</v>
      </c>
    </row>
    <row r="41" spans="1:13">
      <c r="G41" t="s">
        <v>7838</v>
      </c>
      <c r="H41" t="s">
        <v>7839</v>
      </c>
      <c r="I41" t="s">
        <v>7948</v>
      </c>
      <c r="J41" t="s">
        <v>7949</v>
      </c>
      <c r="M41">
        <f t="array" ref="M41">SUM(IFERROR(ABS(境外分支机构弥补亏损审核表!$C$9:$T$18),0))</f>
        <v>0</v>
      </c>
    </row>
    <row r="42" spans="1:13">
      <c r="G42" t="s">
        <v>7767</v>
      </c>
      <c r="H42" t="s">
        <v>1272</v>
      </c>
      <c r="I42" t="s">
        <v>7950</v>
      </c>
      <c r="J42" t="s">
        <v>7951</v>
      </c>
      <c r="M42">
        <f t="array" ref="M42">SUM(IFERROR(ABS(跨年度结转抵免境外所得税审核表!$C$6:$T$15),0))</f>
        <v>0</v>
      </c>
    </row>
    <row r="43" spans="1:13">
      <c r="G43" t="s">
        <v>7769</v>
      </c>
      <c r="H43" t="s">
        <v>1273</v>
      </c>
      <c r="I43" t="s">
        <v>7952</v>
      </c>
      <c r="J43" t="s">
        <v>7953</v>
      </c>
      <c r="M43">
        <f t="array" ref="M43">SUM(IFERROR(ABS(跨地区经营汇总纳税企业年度分摊企业所得税审核表!$C$4),0))</f>
        <v>0</v>
      </c>
    </row>
    <row r="44" spans="1:13">
      <c r="G44" t="s">
        <v>7840</v>
      </c>
      <c r="H44" t="s">
        <v>1274</v>
      </c>
      <c r="I44" t="s">
        <v>7954</v>
      </c>
      <c r="J44" t="s">
        <v>7955</v>
      </c>
      <c r="M44">
        <f t="array" ref="M44">SUM(IFERROR(ABS(企业所得税汇总纳税分支机构所得税分配表!$D$9:$H$23),0))</f>
        <v>0</v>
      </c>
    </row>
    <row r="45" spans="1:13">
      <c r="G45" t="s">
        <v>7775</v>
      </c>
      <c r="H45" t="s">
        <v>7841</v>
      </c>
      <c r="I45" t="s">
        <v>7956</v>
      </c>
      <c r="J45" t="s">
        <v>7957</v>
      </c>
      <c r="M45">
        <f t="array" ref="M45">SUM(IFERROR(ABS(减值准备审核表!$C$6:$H$22),0))</f>
        <v>0</v>
      </c>
    </row>
    <row r="46" spans="1:13">
      <c r="G46" t="s">
        <v>7842</v>
      </c>
      <c r="H46" t="s">
        <v>7843</v>
      </c>
      <c r="I46" t="s">
        <v>7958</v>
      </c>
      <c r="J46" t="s">
        <v>7959</v>
      </c>
      <c r="M46">
        <f t="array" ref="M46">SUM(IFERROR(ABS(公允价值变动审定表!$C$8:$G$17),0))</f>
        <v>0</v>
      </c>
    </row>
    <row r="47" spans="1:13">
      <c r="G47" t="s">
        <v>7844</v>
      </c>
      <c r="H47" t="s">
        <v>7845</v>
      </c>
      <c r="I47" t="s">
        <v>7960</v>
      </c>
      <c r="J47" t="s">
        <v>7961</v>
      </c>
      <c r="M47">
        <f t="array" ref="M47">SUM(IFERROR(ABS(主营收支!$C$8:$H$40),0))</f>
        <v>0</v>
      </c>
    </row>
    <row r="48" spans="1:13">
      <c r="G48" t="s">
        <v>7846</v>
      </c>
      <c r="H48" t="s">
        <v>7847</v>
      </c>
      <c r="I48" t="s">
        <v>7962</v>
      </c>
      <c r="J48" t="s">
        <v>7963</v>
      </c>
      <c r="M48">
        <f t="array" ref="M48">SUM(IFERROR(ABS(收入与申报核对表!$D$8:$K$25),0))</f>
        <v>0</v>
      </c>
    </row>
    <row r="49" spans="7:13">
      <c r="G49" t="s">
        <v>7848</v>
      </c>
      <c r="H49" t="s">
        <v>7849</v>
      </c>
      <c r="I49" t="s">
        <v>7964</v>
      </c>
      <c r="J49" t="s">
        <v>7965</v>
      </c>
      <c r="M49">
        <f t="array" ref="M49">SUM(IFERROR(ABS(毛利分析!$C$8:$F$34),0))</f>
        <v>0</v>
      </c>
    </row>
    <row r="50" spans="7:13">
      <c r="G50" t="s">
        <v>7850</v>
      </c>
      <c r="H50" t="s">
        <v>7851</v>
      </c>
      <c r="I50" t="s">
        <v>7966</v>
      </c>
      <c r="J50" t="s">
        <v>7967</v>
      </c>
      <c r="M50">
        <f t="array" ref="M50">SUM(IFERROR(ABS(制造费用、生产成本!$B$8:$G$40),0))</f>
        <v>0</v>
      </c>
    </row>
    <row r="51" spans="7:13">
      <c r="G51" t="s">
        <v>7852</v>
      </c>
      <c r="H51" t="s">
        <v>7853</v>
      </c>
      <c r="I51" t="s">
        <v>7968</v>
      </c>
      <c r="J51" t="s">
        <v>7969</v>
      </c>
      <c r="M51">
        <f t="array" ref="M51">SUM(IFERROR(ABS(成本倒轧!$D$8:$E$40),0))</f>
        <v>0</v>
      </c>
    </row>
    <row r="52" spans="7:13">
      <c r="G52" t="s">
        <v>7854</v>
      </c>
      <c r="H52" t="s">
        <v>7855</v>
      </c>
      <c r="I52" t="s">
        <v>7970</v>
      </c>
      <c r="J52" t="s">
        <v>7971</v>
      </c>
      <c r="M52">
        <f t="array" ref="M52">SUM(IFERROR(ABS(存货计价测试!$B$8:$O$20),0))</f>
        <v>0</v>
      </c>
    </row>
    <row r="53" spans="7:13">
      <c r="G53" t="s">
        <v>7856</v>
      </c>
      <c r="H53" t="s">
        <v>7857</v>
      </c>
      <c r="I53" t="s">
        <v>7972</v>
      </c>
      <c r="J53" t="s">
        <v>7973</v>
      </c>
      <c r="M53">
        <f t="array" ref="M53">SUM(IFERROR(ABS(主营税金!$E$8:$G$42),0))</f>
        <v>0</v>
      </c>
    </row>
    <row r="54" spans="7:13">
      <c r="G54" t="s">
        <v>7858</v>
      </c>
      <c r="H54" t="s">
        <v>7859</v>
      </c>
      <c r="I54" t="s">
        <v>7974</v>
      </c>
      <c r="J54" t="s">
        <v>7975</v>
      </c>
      <c r="M54">
        <f t="array" aca="1" ref="M54" ca="1">SUM(IFERROR(ABS(税费缴纳测算!$C$7:$G$25),0),IFERROR(ABS(税费缴纳测算!$E$36:$H$56),0))</f>
        <v>0</v>
      </c>
    </row>
    <row r="55" spans="7:13">
      <c r="G55" t="s">
        <v>7860</v>
      </c>
      <c r="H55" t="s">
        <v>7861</v>
      </c>
      <c r="I55" t="s">
        <v>7976</v>
      </c>
      <c r="J55" t="s">
        <v>7977</v>
      </c>
      <c r="M55">
        <f t="array" ref="M55">SUM(IFERROR(ABS(其他业务!$C$8:$J$18),0),IFERROR(ABS(其他业务!$F$19),0),IFERROR(ABS(其他业务!$H$19),0),IFERROR(ABS(其他业务!$J$19),0))</f>
        <v>0</v>
      </c>
    </row>
    <row r="56" spans="7:13">
      <c r="G56" t="s">
        <v>7862</v>
      </c>
      <c r="H56" t="s">
        <v>7863</v>
      </c>
      <c r="I56" t="s">
        <v>7978</v>
      </c>
      <c r="J56" t="s">
        <v>7979</v>
      </c>
      <c r="M56">
        <f t="array" ref="M56">SUM(IFERROR(ABS(营业费用!$D$6:$H$44),0))</f>
        <v>0</v>
      </c>
    </row>
    <row r="57" spans="7:13">
      <c r="G57" t="s">
        <v>7864</v>
      </c>
      <c r="H57" t="s">
        <v>7865</v>
      </c>
      <c r="I57" t="s">
        <v>7980</v>
      </c>
      <c r="J57" t="s">
        <v>7981</v>
      </c>
      <c r="M57">
        <f t="array" ref="M57">SUM(IFERROR(ABS(管理费用!$D$6:$H$44),0))</f>
        <v>0</v>
      </c>
    </row>
    <row r="58" spans="7:13">
      <c r="G58" t="s">
        <v>7866</v>
      </c>
      <c r="H58" t="s">
        <v>7867</v>
      </c>
      <c r="I58" t="s">
        <v>7982</v>
      </c>
      <c r="J58" t="s">
        <v>7983</v>
      </c>
      <c r="M58">
        <f t="array" ref="M58">SUM(IFERROR(ABS(财务费用!$D$6:$H$27),0))</f>
        <v>0</v>
      </c>
    </row>
    <row r="59" spans="7:13">
      <c r="G59" t="s">
        <v>7773</v>
      </c>
      <c r="H59" t="s">
        <v>247</v>
      </c>
      <c r="I59" t="s">
        <v>7984</v>
      </c>
      <c r="J59" t="s">
        <v>7985</v>
      </c>
      <c r="M59">
        <f t="array" ref="M59">SUM(IFERROR(ABS(营外收支!$C$6:$F$36),0))</f>
        <v>0</v>
      </c>
    </row>
    <row r="60" spans="7:13">
      <c r="I60" t="s">
        <v>7986</v>
      </c>
      <c r="J60" t="s">
        <v>7987</v>
      </c>
      <c r="M60">
        <f t="array" ref="M60">SUM(IFERROR(ABS(货币资金!$D$24:$H$24),0))</f>
        <v>0</v>
      </c>
    </row>
    <row r="61" spans="7:13">
      <c r="I61" t="s">
        <v>7988</v>
      </c>
      <c r="J61" t="s">
        <v>7989</v>
      </c>
      <c r="M61">
        <f t="array" ref="M61">SUM(IFERROR(ABS(现金证明!$D$6),0))</f>
        <v>0</v>
      </c>
    </row>
    <row r="62" spans="7:13">
      <c r="I62" t="s">
        <v>7990</v>
      </c>
      <c r="J62" t="s">
        <v>7991</v>
      </c>
      <c r="M62">
        <f t="array" ref="M62">SUM(IFERROR(ABS(银行调节!$A$5),0))</f>
        <v>0</v>
      </c>
    </row>
    <row r="63" spans="7:13">
      <c r="I63" t="s">
        <v>7992</v>
      </c>
      <c r="J63" t="s">
        <v>7993</v>
      </c>
      <c r="M63">
        <f t="array" ref="M63">SUM(IFERROR(ABS(应收!$B$13:$F$14),0),IFERROR(ABS(应收!$B$11:$F$11),0))</f>
        <v>0</v>
      </c>
    </row>
    <row r="64" spans="7:13">
      <c r="I64" t="s">
        <v>7994</v>
      </c>
      <c r="J64" t="s">
        <v>7995</v>
      </c>
      <c r="M64">
        <f t="array" ref="M64">SUM(IFERROR(ABS(预付!$B$11:$F$11),0),IFERROR(ABS(预付!$B$13:$F$14),0))</f>
        <v>0</v>
      </c>
    </row>
    <row r="65" spans="9:13">
      <c r="I65" t="s">
        <v>7996</v>
      </c>
      <c r="J65" t="s">
        <v>7997</v>
      </c>
      <c r="M65">
        <f t="array" ref="M65">SUM(IFERROR(ABS(其他应收!$B$11:$F$11),0),IFERROR(ABS(其他应收!$B$13:$F$14),0))</f>
        <v>0</v>
      </c>
    </row>
    <row r="66" spans="9:13">
      <c r="I66" t="s">
        <v>7998</v>
      </c>
      <c r="J66" t="s">
        <v>7999</v>
      </c>
      <c r="M66">
        <f t="array" ref="M66">SUM(IFERROR(ABS(存货!$C$7:$F$27),0))</f>
        <v>0</v>
      </c>
    </row>
    <row r="67" spans="9:13">
      <c r="I67" t="s">
        <v>8000</v>
      </c>
      <c r="J67" t="s">
        <v>8001</v>
      </c>
      <c r="M67">
        <f t="array" ref="M67">SUM(IFERROR(ABS(待摊预提!$D$12:$J$12),0),IFERROR(ABS(待摊预提!$D$19:$J$19),0))</f>
        <v>0</v>
      </c>
    </row>
    <row r="68" spans="9:13">
      <c r="I68" t="s">
        <v>8002</v>
      </c>
      <c r="J68" t="s">
        <v>8003</v>
      </c>
      <c r="M68">
        <f t="array" ref="M68">SUM(IFERROR(ABS(在建工程审核表!$C$15:$H$15),0))</f>
        <v>0</v>
      </c>
    </row>
    <row r="69" spans="9:13">
      <c r="I69" t="s">
        <v>8004</v>
      </c>
      <c r="J69" t="s">
        <v>8005</v>
      </c>
      <c r="M69">
        <f t="array" ref="M69">SUM(IFERROR(ABS(应付!$B$11:$F$12),0))</f>
        <v>0</v>
      </c>
    </row>
    <row r="70" spans="9:13">
      <c r="I70" t="s">
        <v>8006</v>
      </c>
      <c r="J70" t="s">
        <v>8007</v>
      </c>
      <c r="M70">
        <f t="array" ref="M70">SUM(IFERROR(ABS(预收!$B$11:$F$12),0))</f>
        <v>0</v>
      </c>
    </row>
    <row r="71" spans="9:13">
      <c r="I71" t="s">
        <v>8008</v>
      </c>
      <c r="J71" t="s">
        <v>8009</v>
      </c>
      <c r="M71">
        <f t="array" ref="M71">SUM(IFERROR(ABS(其他应付!$B$11:$F$12),0))</f>
        <v>0</v>
      </c>
    </row>
    <row r="72" spans="9:13">
      <c r="I72" t="s">
        <v>8010</v>
      </c>
      <c r="J72" t="s">
        <v>8011</v>
      </c>
      <c r="M72">
        <f t="array" ref="M72">SUM(IFERROR(ABS(实收公积!$C$13:$H$13),0),IFERROR(ABS(实收公积!$C$18:$H$18),0),IFERROR(ABS(实收公积!$C$24:$H$24),0))</f>
        <v>0</v>
      </c>
    </row>
    <row r="73" spans="9:13">
      <c r="I73" t="s">
        <v>8012</v>
      </c>
      <c r="J73" t="s">
        <v>8013</v>
      </c>
      <c r="M73">
        <f t="array" ref="M73">SUM(IFERROR(ABS(未分利润!$C$8:$E$24),0))</f>
        <v>0</v>
      </c>
    </row>
    <row r="74" spans="9:13">
      <c r="I74" t="s">
        <v>8014</v>
      </c>
      <c r="J74" t="s">
        <v>8015</v>
      </c>
    </row>
    <row r="75" spans="9:13">
      <c r="I75" t="s">
        <v>8016</v>
      </c>
      <c r="J75" t="s">
        <v>8017</v>
      </c>
    </row>
    <row r="76" spans="9:13">
      <c r="I76" t="s">
        <v>8018</v>
      </c>
      <c r="J76" t="s">
        <v>8019</v>
      </c>
    </row>
    <row r="77" spans="9:13">
      <c r="I77" t="s">
        <v>8020</v>
      </c>
      <c r="J77" t="s">
        <v>8021</v>
      </c>
    </row>
    <row r="78" spans="9:13">
      <c r="I78" t="s">
        <v>8022</v>
      </c>
      <c r="J78" t="s">
        <v>8023</v>
      </c>
    </row>
    <row r="79" spans="9:13">
      <c r="I79" t="s">
        <v>8024</v>
      </c>
      <c r="J79" t="s">
        <v>8025</v>
      </c>
    </row>
    <row r="80" spans="9:13">
      <c r="I80" t="s">
        <v>8026</v>
      </c>
      <c r="J80" t="s">
        <v>8027</v>
      </c>
    </row>
    <row r="81" spans="9:10">
      <c r="I81" t="s">
        <v>8028</v>
      </c>
      <c r="J81" t="s">
        <v>8029</v>
      </c>
    </row>
    <row r="82" spans="9:10">
      <c r="I82" t="s">
        <v>8030</v>
      </c>
      <c r="J82" t="s">
        <v>8031</v>
      </c>
    </row>
    <row r="83" spans="9:10">
      <c r="I83" t="s">
        <v>8032</v>
      </c>
      <c r="J83" t="s">
        <v>8033</v>
      </c>
    </row>
    <row r="84" spans="9:10">
      <c r="I84" t="s">
        <v>8034</v>
      </c>
      <c r="J84" t="s">
        <v>8035</v>
      </c>
    </row>
    <row r="85" spans="9:10">
      <c r="I85" t="s">
        <v>8036</v>
      </c>
      <c r="J85" t="s">
        <v>8037</v>
      </c>
    </row>
    <row r="86" spans="9:10">
      <c r="I86" t="s">
        <v>8038</v>
      </c>
      <c r="J86" t="s">
        <v>8039</v>
      </c>
    </row>
    <row r="87" spans="9:10">
      <c r="I87" t="s">
        <v>8040</v>
      </c>
      <c r="J87" t="s">
        <v>2793</v>
      </c>
    </row>
    <row r="88" spans="9:10">
      <c r="I88" t="s">
        <v>8041</v>
      </c>
      <c r="J88" t="s">
        <v>8042</v>
      </c>
    </row>
    <row r="89" spans="9:10">
      <c r="I89" t="s">
        <v>8043</v>
      </c>
      <c r="J89" t="s">
        <v>8044</v>
      </c>
    </row>
    <row r="90" spans="9:10">
      <c r="I90" t="s">
        <v>8045</v>
      </c>
      <c r="J90" t="s">
        <v>8046</v>
      </c>
    </row>
    <row r="91" spans="9:10">
      <c r="I91" t="s">
        <v>8047</v>
      </c>
      <c r="J91" t="s">
        <v>8048</v>
      </c>
    </row>
    <row r="92" spans="9:10">
      <c r="I92" t="s">
        <v>8049</v>
      </c>
      <c r="J92" t="s">
        <v>8050</v>
      </c>
    </row>
    <row r="93" spans="9:10">
      <c r="I93" t="s">
        <v>8051</v>
      </c>
      <c r="J93" t="s">
        <v>8052</v>
      </c>
    </row>
    <row r="94" spans="9:10">
      <c r="I94" t="s">
        <v>8053</v>
      </c>
      <c r="J94" t="s">
        <v>8054</v>
      </c>
    </row>
    <row r="95" spans="9:10">
      <c r="I95" t="s">
        <v>8055</v>
      </c>
      <c r="J95" t="s">
        <v>8056</v>
      </c>
    </row>
    <row r="96" spans="9:10">
      <c r="I96" t="s">
        <v>8057</v>
      </c>
      <c r="J96" t="s">
        <v>8058</v>
      </c>
    </row>
    <row r="97" spans="9:10">
      <c r="I97" t="s">
        <v>8059</v>
      </c>
      <c r="J97" t="s">
        <v>8060</v>
      </c>
    </row>
    <row r="98" spans="9:10">
      <c r="I98" t="s">
        <v>8061</v>
      </c>
      <c r="J98" t="s">
        <v>8062</v>
      </c>
    </row>
    <row r="99" spans="9:10">
      <c r="I99" t="s">
        <v>8063</v>
      </c>
      <c r="J99" t="s">
        <v>8064</v>
      </c>
    </row>
    <row r="100" spans="9:10">
      <c r="I100" t="s">
        <v>8065</v>
      </c>
      <c r="J100" t="s">
        <v>8066</v>
      </c>
    </row>
    <row r="101" spans="9:10">
      <c r="I101" t="s">
        <v>8067</v>
      </c>
      <c r="J101" t="s">
        <v>8068</v>
      </c>
    </row>
    <row r="102" spans="9:10">
      <c r="I102" t="s">
        <v>8069</v>
      </c>
      <c r="J102" t="s">
        <v>8070</v>
      </c>
    </row>
    <row r="103" spans="9:10">
      <c r="I103" t="s">
        <v>8071</v>
      </c>
      <c r="J103" t="s">
        <v>8072</v>
      </c>
    </row>
    <row r="104" spans="9:10">
      <c r="I104" t="s">
        <v>8073</v>
      </c>
      <c r="J104" t="s">
        <v>8074</v>
      </c>
    </row>
    <row r="105" spans="9:10">
      <c r="I105" t="s">
        <v>8075</v>
      </c>
      <c r="J105" t="s">
        <v>8076</v>
      </c>
    </row>
    <row r="106" spans="9:10">
      <c r="I106" t="s">
        <v>8077</v>
      </c>
      <c r="J106" t="s">
        <v>8078</v>
      </c>
    </row>
    <row r="107" spans="9:10">
      <c r="I107" t="s">
        <v>8079</v>
      </c>
      <c r="J107" t="s">
        <v>8080</v>
      </c>
    </row>
    <row r="108" spans="9:10">
      <c r="I108" t="s">
        <v>8081</v>
      </c>
      <c r="J108" t="s">
        <v>8082</v>
      </c>
    </row>
    <row r="109" spans="9:10">
      <c r="I109" t="s">
        <v>8083</v>
      </c>
      <c r="J109" t="s">
        <v>8084</v>
      </c>
    </row>
    <row r="110" spans="9:10">
      <c r="I110" t="s">
        <v>8085</v>
      </c>
      <c r="J110" t="s">
        <v>8086</v>
      </c>
    </row>
    <row r="111" spans="9:10">
      <c r="I111" t="s">
        <v>8087</v>
      </c>
      <c r="J111" t="s">
        <v>8088</v>
      </c>
    </row>
    <row r="112" spans="9:10">
      <c r="I112" t="s">
        <v>8089</v>
      </c>
      <c r="J112" t="s">
        <v>8090</v>
      </c>
    </row>
    <row r="113" spans="9:10">
      <c r="I113" t="s">
        <v>8091</v>
      </c>
      <c r="J113" t="s">
        <v>8092</v>
      </c>
    </row>
    <row r="114" spans="9:10">
      <c r="I114" t="s">
        <v>8093</v>
      </c>
      <c r="J114" t="s">
        <v>8094</v>
      </c>
    </row>
    <row r="115" spans="9:10">
      <c r="I115" t="s">
        <v>8095</v>
      </c>
      <c r="J115" t="s">
        <v>8096</v>
      </c>
    </row>
    <row r="116" spans="9:10">
      <c r="I116" t="s">
        <v>8097</v>
      </c>
      <c r="J116" t="s">
        <v>8098</v>
      </c>
    </row>
    <row r="117" spans="9:10">
      <c r="I117" t="s">
        <v>8099</v>
      </c>
      <c r="J117" t="s">
        <v>8100</v>
      </c>
    </row>
    <row r="118" spans="9:10">
      <c r="I118" t="s">
        <v>8101</v>
      </c>
      <c r="J118" t="s">
        <v>4418</v>
      </c>
    </row>
    <row r="119" spans="9:10">
      <c r="I119" t="s">
        <v>8102</v>
      </c>
      <c r="J119" t="s">
        <v>8103</v>
      </c>
    </row>
    <row r="120" spans="9:10">
      <c r="I120" t="s">
        <v>8104</v>
      </c>
      <c r="J120" t="s">
        <v>8105</v>
      </c>
    </row>
    <row r="121" spans="9:10">
      <c r="I121" t="s">
        <v>8106</v>
      </c>
      <c r="J121" t="s">
        <v>8107</v>
      </c>
    </row>
    <row r="122" spans="9:10">
      <c r="I122" t="s">
        <v>8108</v>
      </c>
      <c r="J122" t="s">
        <v>8109</v>
      </c>
    </row>
    <row r="123" spans="9:10">
      <c r="I123" t="s">
        <v>8110</v>
      </c>
      <c r="J123" t="s">
        <v>8111</v>
      </c>
    </row>
    <row r="124" spans="9:10">
      <c r="I124" t="s">
        <v>8112</v>
      </c>
      <c r="J124" t="s">
        <v>8113</v>
      </c>
    </row>
    <row r="125" spans="9:10">
      <c r="I125" t="s">
        <v>8114</v>
      </c>
      <c r="J125" t="s">
        <v>8115</v>
      </c>
    </row>
    <row r="126" spans="9:10">
      <c r="I126" t="s">
        <v>8116</v>
      </c>
      <c r="J126" t="s">
        <v>8117</v>
      </c>
    </row>
    <row r="127" spans="9:10">
      <c r="I127" t="s">
        <v>8118</v>
      </c>
      <c r="J127" t="s">
        <v>8119</v>
      </c>
    </row>
    <row r="128" spans="9:10">
      <c r="I128" t="s">
        <v>8120</v>
      </c>
      <c r="J128" t="s">
        <v>8121</v>
      </c>
    </row>
    <row r="129" spans="9:10">
      <c r="I129" t="s">
        <v>8122</v>
      </c>
      <c r="J129" t="s">
        <v>8123</v>
      </c>
    </row>
    <row r="130" spans="9:10">
      <c r="I130" t="s">
        <v>8124</v>
      </c>
      <c r="J130" t="s">
        <v>8125</v>
      </c>
    </row>
    <row r="131" spans="9:10">
      <c r="I131" t="s">
        <v>8126</v>
      </c>
      <c r="J131" t="s">
        <v>8127</v>
      </c>
    </row>
    <row r="132" spans="9:10">
      <c r="I132" t="s">
        <v>8128</v>
      </c>
      <c r="J132" t="s">
        <v>8129</v>
      </c>
    </row>
    <row r="133" spans="9:10">
      <c r="I133" t="s">
        <v>8130</v>
      </c>
      <c r="J133" t="s">
        <v>8131</v>
      </c>
    </row>
    <row r="134" spans="9:10">
      <c r="I134" t="s">
        <v>8132</v>
      </c>
      <c r="J134" t="s">
        <v>8133</v>
      </c>
    </row>
    <row r="135" spans="9:10">
      <c r="I135" t="s">
        <v>8134</v>
      </c>
      <c r="J135" t="s">
        <v>8135</v>
      </c>
    </row>
    <row r="136" spans="9:10">
      <c r="I136" t="s">
        <v>8136</v>
      </c>
      <c r="J136" t="s">
        <v>8137</v>
      </c>
    </row>
    <row r="137" spans="9:10">
      <c r="I137" t="s">
        <v>8138</v>
      </c>
      <c r="J137" t="s">
        <v>8139</v>
      </c>
    </row>
    <row r="138" spans="9:10">
      <c r="I138" t="s">
        <v>8140</v>
      </c>
      <c r="J138" t="s">
        <v>8141</v>
      </c>
    </row>
    <row r="139" spans="9:10">
      <c r="I139" t="s">
        <v>8142</v>
      </c>
      <c r="J139" t="s">
        <v>8143</v>
      </c>
    </row>
    <row r="140" spans="9:10">
      <c r="I140" t="s">
        <v>8144</v>
      </c>
      <c r="J140" t="s">
        <v>8145</v>
      </c>
    </row>
    <row r="141" spans="9:10">
      <c r="I141" t="s">
        <v>8146</v>
      </c>
      <c r="J141" t="s">
        <v>8147</v>
      </c>
    </row>
    <row r="142" spans="9:10">
      <c r="I142" t="s">
        <v>8148</v>
      </c>
      <c r="J142" t="s">
        <v>8149</v>
      </c>
    </row>
    <row r="143" spans="9:10">
      <c r="I143" t="s">
        <v>8150</v>
      </c>
      <c r="J143" t="s">
        <v>8151</v>
      </c>
    </row>
    <row r="144" spans="9:10">
      <c r="I144" t="s">
        <v>8152</v>
      </c>
      <c r="J144" t="s">
        <v>8153</v>
      </c>
    </row>
    <row r="145" spans="9:10">
      <c r="I145" t="s">
        <v>8154</v>
      </c>
      <c r="J145" t="s">
        <v>8155</v>
      </c>
    </row>
    <row r="146" spans="9:10">
      <c r="I146" t="s">
        <v>8156</v>
      </c>
      <c r="J146" t="s">
        <v>8157</v>
      </c>
    </row>
    <row r="147" spans="9:10">
      <c r="I147" t="s">
        <v>8158</v>
      </c>
      <c r="J147" t="s">
        <v>8159</v>
      </c>
    </row>
    <row r="148" spans="9:10">
      <c r="I148" t="s">
        <v>8160</v>
      </c>
      <c r="J148" t="s">
        <v>8161</v>
      </c>
    </row>
    <row r="149" spans="9:10">
      <c r="I149" t="s">
        <v>8162</v>
      </c>
      <c r="J149" t="s">
        <v>8163</v>
      </c>
    </row>
    <row r="150" spans="9:10">
      <c r="I150" t="s">
        <v>8164</v>
      </c>
      <c r="J150" t="s">
        <v>8165</v>
      </c>
    </row>
    <row r="151" spans="9:10">
      <c r="I151" t="s">
        <v>8166</v>
      </c>
      <c r="J151" t="s">
        <v>8167</v>
      </c>
    </row>
    <row r="152" spans="9:10">
      <c r="I152" t="s">
        <v>8168</v>
      </c>
      <c r="J152" t="s">
        <v>8169</v>
      </c>
    </row>
    <row r="153" spans="9:10">
      <c r="I153" t="s">
        <v>8170</v>
      </c>
      <c r="J153" t="s">
        <v>8171</v>
      </c>
    </row>
    <row r="154" spans="9:10">
      <c r="I154" t="s">
        <v>8172</v>
      </c>
      <c r="J154" t="s">
        <v>8173</v>
      </c>
    </row>
    <row r="155" spans="9:10">
      <c r="I155" t="s">
        <v>8174</v>
      </c>
      <c r="J155" t="s">
        <v>8175</v>
      </c>
    </row>
    <row r="156" spans="9:10">
      <c r="I156" t="s">
        <v>8176</v>
      </c>
      <c r="J156" t="s">
        <v>8177</v>
      </c>
    </row>
    <row r="157" spans="9:10">
      <c r="I157" t="s">
        <v>8178</v>
      </c>
      <c r="J157" t="s">
        <v>8179</v>
      </c>
    </row>
    <row r="158" spans="9:10">
      <c r="I158" t="s">
        <v>8180</v>
      </c>
      <c r="J158" t="s">
        <v>8181</v>
      </c>
    </row>
    <row r="159" spans="9:10">
      <c r="I159" t="s">
        <v>8182</v>
      </c>
      <c r="J159" t="s">
        <v>8183</v>
      </c>
    </row>
    <row r="160" spans="9:10">
      <c r="I160" t="s">
        <v>8184</v>
      </c>
      <c r="J160" t="s">
        <v>8185</v>
      </c>
    </row>
    <row r="161" spans="9:10">
      <c r="I161" t="s">
        <v>8186</v>
      </c>
      <c r="J161" t="s">
        <v>8187</v>
      </c>
    </row>
    <row r="162" spans="9:10">
      <c r="I162" t="s">
        <v>8188</v>
      </c>
      <c r="J162" t="s">
        <v>8189</v>
      </c>
    </row>
    <row r="163" spans="9:10">
      <c r="I163" t="s">
        <v>8190</v>
      </c>
      <c r="J163" t="s">
        <v>8191</v>
      </c>
    </row>
    <row r="164" spans="9:10">
      <c r="I164" t="s">
        <v>8192</v>
      </c>
      <c r="J164" t="s">
        <v>8193</v>
      </c>
    </row>
    <row r="165" spans="9:10">
      <c r="I165" t="s">
        <v>8194</v>
      </c>
      <c r="J165" t="s">
        <v>8195</v>
      </c>
    </row>
    <row r="166" spans="9:10">
      <c r="I166" t="s">
        <v>8196</v>
      </c>
      <c r="J166" t="s">
        <v>8197</v>
      </c>
    </row>
    <row r="167" spans="9:10">
      <c r="I167" t="s">
        <v>8198</v>
      </c>
      <c r="J167" t="s">
        <v>8199</v>
      </c>
    </row>
    <row r="168" spans="9:10">
      <c r="I168" t="s">
        <v>8200</v>
      </c>
      <c r="J168" t="s">
        <v>8201</v>
      </c>
    </row>
    <row r="169" spans="9:10">
      <c r="I169" t="s">
        <v>8202</v>
      </c>
      <c r="J169" t="s">
        <v>8203</v>
      </c>
    </row>
    <row r="170" spans="9:10">
      <c r="I170" t="s">
        <v>8204</v>
      </c>
      <c r="J170" t="s">
        <v>8205</v>
      </c>
    </row>
    <row r="171" spans="9:10">
      <c r="I171" t="s">
        <v>8206</v>
      </c>
      <c r="J171" t="s">
        <v>8207</v>
      </c>
    </row>
    <row r="172" spans="9:10">
      <c r="I172" t="s">
        <v>8208</v>
      </c>
      <c r="J172" t="s">
        <v>8209</v>
      </c>
    </row>
    <row r="173" spans="9:10">
      <c r="I173" t="s">
        <v>8210</v>
      </c>
      <c r="J173" t="s">
        <v>8211</v>
      </c>
    </row>
    <row r="174" spans="9:10">
      <c r="I174" t="s">
        <v>8212</v>
      </c>
      <c r="J174" t="s">
        <v>8213</v>
      </c>
    </row>
    <row r="175" spans="9:10">
      <c r="I175" t="s">
        <v>8214</v>
      </c>
      <c r="J175" t="s">
        <v>8215</v>
      </c>
    </row>
    <row r="176" spans="9:10">
      <c r="I176" t="s">
        <v>8216</v>
      </c>
      <c r="J176" t="s">
        <v>8217</v>
      </c>
    </row>
    <row r="177" spans="9:10">
      <c r="I177" t="s">
        <v>8218</v>
      </c>
      <c r="J177" t="s">
        <v>8219</v>
      </c>
    </row>
    <row r="178" spans="9:10">
      <c r="I178" t="s">
        <v>8220</v>
      </c>
      <c r="J178" t="s">
        <v>8221</v>
      </c>
    </row>
    <row r="179" spans="9:10">
      <c r="I179" t="s">
        <v>8222</v>
      </c>
      <c r="J179" t="s">
        <v>8223</v>
      </c>
    </row>
    <row r="180" spans="9:10">
      <c r="I180" t="s">
        <v>8224</v>
      </c>
      <c r="J180" t="s">
        <v>8225</v>
      </c>
    </row>
    <row r="181" spans="9:10">
      <c r="I181" t="s">
        <v>8226</v>
      </c>
      <c r="J181" t="s">
        <v>8227</v>
      </c>
    </row>
    <row r="182" spans="9:10">
      <c r="I182" t="s">
        <v>8228</v>
      </c>
      <c r="J182" t="s">
        <v>8229</v>
      </c>
    </row>
    <row r="183" spans="9:10">
      <c r="I183" t="s">
        <v>8230</v>
      </c>
      <c r="J183" t="s">
        <v>8231</v>
      </c>
    </row>
    <row r="184" spans="9:10">
      <c r="I184" t="s">
        <v>8232</v>
      </c>
      <c r="J184" t="s">
        <v>8233</v>
      </c>
    </row>
    <row r="185" spans="9:10">
      <c r="I185" t="s">
        <v>8234</v>
      </c>
      <c r="J185" t="s">
        <v>8235</v>
      </c>
    </row>
    <row r="186" spans="9:10">
      <c r="I186" t="s">
        <v>8236</v>
      </c>
      <c r="J186" t="s">
        <v>8237</v>
      </c>
    </row>
    <row r="187" spans="9:10">
      <c r="I187" t="s">
        <v>8238</v>
      </c>
      <c r="J187" t="s">
        <v>8239</v>
      </c>
    </row>
    <row r="188" spans="9:10">
      <c r="I188" t="s">
        <v>8240</v>
      </c>
      <c r="J188" t="s">
        <v>8241</v>
      </c>
    </row>
    <row r="189" spans="9:10">
      <c r="I189" t="s">
        <v>8242</v>
      </c>
      <c r="J189" t="s">
        <v>8243</v>
      </c>
    </row>
    <row r="190" spans="9:10">
      <c r="I190" t="s">
        <v>8244</v>
      </c>
      <c r="J190" t="s">
        <v>8245</v>
      </c>
    </row>
    <row r="191" spans="9:10">
      <c r="I191" t="s">
        <v>8246</v>
      </c>
      <c r="J191" t="s">
        <v>8247</v>
      </c>
    </row>
    <row r="192" spans="9:10">
      <c r="I192" t="s">
        <v>8248</v>
      </c>
      <c r="J192" t="s">
        <v>8249</v>
      </c>
    </row>
    <row r="193" spans="9:10">
      <c r="I193" t="s">
        <v>8250</v>
      </c>
      <c r="J193" t="s">
        <v>8251</v>
      </c>
    </row>
    <row r="194" spans="9:10">
      <c r="I194" t="s">
        <v>8252</v>
      </c>
      <c r="J194" t="s">
        <v>8253</v>
      </c>
    </row>
    <row r="195" spans="9:10">
      <c r="I195" t="s">
        <v>8254</v>
      </c>
      <c r="J195" t="s">
        <v>8255</v>
      </c>
    </row>
    <row r="196" spans="9:10">
      <c r="I196" t="s">
        <v>8256</v>
      </c>
      <c r="J196" t="s">
        <v>8257</v>
      </c>
    </row>
    <row r="197" spans="9:10">
      <c r="I197" t="s">
        <v>8258</v>
      </c>
      <c r="J197" t="s">
        <v>7873</v>
      </c>
    </row>
    <row r="198" spans="9:10">
      <c r="I198" t="s">
        <v>8259</v>
      </c>
      <c r="J198" t="s">
        <v>7875</v>
      </c>
    </row>
    <row r="199" spans="9:10">
      <c r="I199" t="s">
        <v>8260</v>
      </c>
      <c r="J199" t="s">
        <v>8261</v>
      </c>
    </row>
    <row r="200" spans="9:10">
      <c r="I200" t="s">
        <v>8262</v>
      </c>
      <c r="J200" t="s">
        <v>8263</v>
      </c>
    </row>
    <row r="201" spans="9:10">
      <c r="I201" t="s">
        <v>8264</v>
      </c>
      <c r="J201" t="s">
        <v>8265</v>
      </c>
    </row>
    <row r="202" spans="9:10">
      <c r="I202" t="s">
        <v>8266</v>
      </c>
      <c r="J202" t="s">
        <v>8267</v>
      </c>
    </row>
    <row r="203" spans="9:10">
      <c r="I203" t="s">
        <v>8268</v>
      </c>
      <c r="J203" t="s">
        <v>8269</v>
      </c>
    </row>
    <row r="204" spans="9:10">
      <c r="I204" t="s">
        <v>8270</v>
      </c>
      <c r="J204" t="s">
        <v>7883</v>
      </c>
    </row>
    <row r="205" spans="9:10">
      <c r="I205" t="s">
        <v>8271</v>
      </c>
      <c r="J205" t="s">
        <v>8272</v>
      </c>
    </row>
    <row r="206" spans="9:10">
      <c r="I206" t="s">
        <v>8273</v>
      </c>
      <c r="J206" t="s">
        <v>8274</v>
      </c>
    </row>
    <row r="207" spans="9:10">
      <c r="I207" t="s">
        <v>8275</v>
      </c>
      <c r="J207" t="s">
        <v>7887</v>
      </c>
    </row>
    <row r="208" spans="9:10">
      <c r="I208" t="s">
        <v>8276</v>
      </c>
      <c r="J208" t="s">
        <v>7941</v>
      </c>
    </row>
    <row r="209" spans="9:10">
      <c r="I209" t="s">
        <v>8277</v>
      </c>
      <c r="J209" t="s">
        <v>8278</v>
      </c>
    </row>
    <row r="210" spans="9:10">
      <c r="I210" t="s">
        <v>8279</v>
      </c>
      <c r="J210" t="s">
        <v>8280</v>
      </c>
    </row>
    <row r="211" spans="9:10">
      <c r="I211" t="s">
        <v>8281</v>
      </c>
      <c r="J211" t="s">
        <v>8282</v>
      </c>
    </row>
    <row r="212" spans="9:10">
      <c r="I212" t="s">
        <v>8283</v>
      </c>
      <c r="J212" t="s">
        <v>8284</v>
      </c>
    </row>
    <row r="213" spans="9:10">
      <c r="I213" t="s">
        <v>8285</v>
      </c>
      <c r="J213" t="s">
        <v>8286</v>
      </c>
    </row>
    <row r="214" spans="9:10">
      <c r="I214" t="s">
        <v>8287</v>
      </c>
      <c r="J214" t="s">
        <v>8288</v>
      </c>
    </row>
    <row r="215" spans="9:10">
      <c r="I215" t="s">
        <v>8289</v>
      </c>
      <c r="J215" t="s">
        <v>8290</v>
      </c>
    </row>
    <row r="216" spans="9:10">
      <c r="I216" t="s">
        <v>8291</v>
      </c>
      <c r="J216" t="s">
        <v>8292</v>
      </c>
    </row>
    <row r="217" spans="9:10">
      <c r="I217" t="s">
        <v>8293</v>
      </c>
      <c r="J217" t="s">
        <v>8294</v>
      </c>
    </row>
    <row r="218" spans="9:10">
      <c r="I218" t="s">
        <v>8295</v>
      </c>
      <c r="J218" t="s">
        <v>8296</v>
      </c>
    </row>
    <row r="219" spans="9:10">
      <c r="I219" t="s">
        <v>8297</v>
      </c>
      <c r="J219" t="s">
        <v>8298</v>
      </c>
    </row>
    <row r="220" spans="9:10">
      <c r="I220" t="s">
        <v>8299</v>
      </c>
      <c r="J220" t="s">
        <v>8300</v>
      </c>
    </row>
    <row r="221" spans="9:10">
      <c r="I221" t="s">
        <v>8301</v>
      </c>
      <c r="J221" t="s">
        <v>8302</v>
      </c>
    </row>
    <row r="222" spans="9:10">
      <c r="I222" t="s">
        <v>8303</v>
      </c>
      <c r="J222" t="s">
        <v>8304</v>
      </c>
    </row>
    <row r="223" spans="9:10">
      <c r="I223" t="s">
        <v>8305</v>
      </c>
      <c r="J223" t="s">
        <v>8306</v>
      </c>
    </row>
    <row r="224" spans="9:10">
      <c r="I224" t="s">
        <v>8307</v>
      </c>
      <c r="J224" t="s">
        <v>8308</v>
      </c>
    </row>
    <row r="225" spans="9:10">
      <c r="I225" t="s">
        <v>8309</v>
      </c>
      <c r="J225" t="s">
        <v>8310</v>
      </c>
    </row>
    <row r="226" spans="9:10">
      <c r="I226" t="s">
        <v>8311</v>
      </c>
      <c r="J226" t="s">
        <v>8312</v>
      </c>
    </row>
    <row r="227" spans="9:10">
      <c r="I227" t="s">
        <v>8313</v>
      </c>
      <c r="J227" t="s">
        <v>8314</v>
      </c>
    </row>
    <row r="228" spans="9:10">
      <c r="I228" t="s">
        <v>8315</v>
      </c>
      <c r="J228" t="s">
        <v>8316</v>
      </c>
    </row>
    <row r="229" spans="9:10">
      <c r="I229" t="s">
        <v>8317</v>
      </c>
      <c r="J229" t="s">
        <v>8318</v>
      </c>
    </row>
    <row r="230" spans="9:10">
      <c r="I230" t="s">
        <v>8319</v>
      </c>
      <c r="J230" t="s">
        <v>8320</v>
      </c>
    </row>
    <row r="231" spans="9:10">
      <c r="I231" t="s">
        <v>8321</v>
      </c>
      <c r="J231" t="s">
        <v>8322</v>
      </c>
    </row>
    <row r="232" spans="9:10">
      <c r="I232" t="s">
        <v>8323</v>
      </c>
      <c r="J232" t="s">
        <v>8324</v>
      </c>
    </row>
    <row r="233" spans="9:10">
      <c r="I233" t="s">
        <v>8325</v>
      </c>
      <c r="J233" t="s">
        <v>8326</v>
      </c>
    </row>
    <row r="234" spans="9:10">
      <c r="I234" t="s">
        <v>8327</v>
      </c>
      <c r="J234" t="s">
        <v>8328</v>
      </c>
    </row>
    <row r="235" spans="9:10">
      <c r="I235" t="s">
        <v>8329</v>
      </c>
      <c r="J235" t="s">
        <v>8330</v>
      </c>
    </row>
    <row r="236" spans="9:10">
      <c r="I236" t="s">
        <v>8331</v>
      </c>
      <c r="J236" t="s">
        <v>8332</v>
      </c>
    </row>
    <row r="237" spans="9:10">
      <c r="I237" t="s">
        <v>8333</v>
      </c>
      <c r="J237" t="s">
        <v>8334</v>
      </c>
    </row>
    <row r="238" spans="9:10">
      <c r="I238" t="s">
        <v>8335</v>
      </c>
      <c r="J238" t="s">
        <v>8336</v>
      </c>
    </row>
    <row r="239" spans="9:10">
      <c r="I239" t="s">
        <v>8337</v>
      </c>
      <c r="J239" t="s">
        <v>8338</v>
      </c>
    </row>
    <row r="240" spans="9:10">
      <c r="I240" t="s">
        <v>8339</v>
      </c>
      <c r="J240" t="s">
        <v>8245</v>
      </c>
    </row>
    <row r="241" spans="9:10">
      <c r="I241" t="s">
        <v>8340</v>
      </c>
      <c r="J241" t="s">
        <v>8247</v>
      </c>
    </row>
    <row r="242" spans="9:10">
      <c r="I242" t="s">
        <v>8341</v>
      </c>
      <c r="J242" t="s">
        <v>8342</v>
      </c>
    </row>
    <row r="243" spans="9:10">
      <c r="I243" t="s">
        <v>8343</v>
      </c>
      <c r="J243" t="s">
        <v>8344</v>
      </c>
    </row>
    <row r="244" spans="9:10">
      <c r="I244" t="s">
        <v>8345</v>
      </c>
      <c r="J244" t="s">
        <v>8346</v>
      </c>
    </row>
    <row r="245" spans="9:10">
      <c r="I245" t="s">
        <v>8347</v>
      </c>
      <c r="J245" t="s">
        <v>8348</v>
      </c>
    </row>
    <row r="246" spans="9:10">
      <c r="I246" t="s">
        <v>8349</v>
      </c>
      <c r="J246" t="s">
        <v>4230</v>
      </c>
    </row>
    <row r="247" spans="9:10">
      <c r="I247" t="s">
        <v>8350</v>
      </c>
      <c r="J247" t="s">
        <v>8351</v>
      </c>
    </row>
    <row r="248" spans="9:10">
      <c r="I248" t="s">
        <v>8352</v>
      </c>
      <c r="J248" t="s">
        <v>8353</v>
      </c>
    </row>
    <row r="249" spans="9:10">
      <c r="I249" t="s">
        <v>8354</v>
      </c>
      <c r="J249" t="s">
        <v>8355</v>
      </c>
    </row>
    <row r="250" spans="9:10">
      <c r="I250" t="s">
        <v>8356</v>
      </c>
      <c r="J250" t="s">
        <v>8357</v>
      </c>
    </row>
    <row r="251" spans="9:10">
      <c r="I251" t="s">
        <v>8358</v>
      </c>
      <c r="J251" t="s">
        <v>8359</v>
      </c>
    </row>
    <row r="252" spans="9:10">
      <c r="I252" t="s">
        <v>8360</v>
      </c>
      <c r="J252" t="s">
        <v>8361</v>
      </c>
    </row>
    <row r="253" spans="9:10">
      <c r="I253" t="s">
        <v>8362</v>
      </c>
      <c r="J253" t="s">
        <v>8363</v>
      </c>
    </row>
    <row r="254" spans="9:10">
      <c r="I254" t="s">
        <v>8364</v>
      </c>
      <c r="J254" t="s">
        <v>8365</v>
      </c>
    </row>
    <row r="255" spans="9:10">
      <c r="I255" t="s">
        <v>8366</v>
      </c>
      <c r="J255" t="s">
        <v>8367</v>
      </c>
    </row>
    <row r="256" spans="9:10">
      <c r="I256" t="s">
        <v>8368</v>
      </c>
      <c r="J256" t="s">
        <v>8369</v>
      </c>
    </row>
    <row r="257" spans="9:10">
      <c r="I257" t="s">
        <v>8370</v>
      </c>
      <c r="J257" t="s">
        <v>8371</v>
      </c>
    </row>
    <row r="258" spans="9:10">
      <c r="I258" t="s">
        <v>8372</v>
      </c>
      <c r="J258" t="s">
        <v>8373</v>
      </c>
    </row>
    <row r="259" spans="9:10">
      <c r="I259" t="s">
        <v>8374</v>
      </c>
      <c r="J259" t="s">
        <v>8375</v>
      </c>
    </row>
    <row r="260" spans="9:10">
      <c r="I260" t="s">
        <v>8376</v>
      </c>
      <c r="J260" t="s">
        <v>8377</v>
      </c>
    </row>
    <row r="261" spans="9:10">
      <c r="I261" t="s">
        <v>8378</v>
      </c>
      <c r="J261" t="s">
        <v>8379</v>
      </c>
    </row>
    <row r="262" spans="9:10">
      <c r="I262" t="s">
        <v>8380</v>
      </c>
      <c r="J262" t="s">
        <v>8381</v>
      </c>
    </row>
    <row r="263" spans="9:10">
      <c r="I263" t="s">
        <v>8382</v>
      </c>
      <c r="J263" t="s">
        <v>8383</v>
      </c>
    </row>
    <row r="264" spans="9:10">
      <c r="I264" t="s">
        <v>8384</v>
      </c>
      <c r="J264" t="s">
        <v>8385</v>
      </c>
    </row>
    <row r="265" spans="9:10">
      <c r="I265" t="s">
        <v>8386</v>
      </c>
      <c r="J265" t="s">
        <v>8387</v>
      </c>
    </row>
    <row r="266" spans="9:10">
      <c r="I266" t="s">
        <v>8388</v>
      </c>
      <c r="J266" t="s">
        <v>8389</v>
      </c>
    </row>
    <row r="267" spans="9:10">
      <c r="I267" t="s">
        <v>8390</v>
      </c>
      <c r="J267" t="s">
        <v>8391</v>
      </c>
    </row>
    <row r="268" spans="9:10">
      <c r="I268" t="s">
        <v>8392</v>
      </c>
      <c r="J268" t="s">
        <v>4754</v>
      </c>
    </row>
    <row r="269" spans="9:10">
      <c r="I269" t="s">
        <v>8393</v>
      </c>
      <c r="J269" t="s">
        <v>8394</v>
      </c>
    </row>
    <row r="270" spans="9:10">
      <c r="I270" t="s">
        <v>8395</v>
      </c>
      <c r="J270" t="s">
        <v>8396</v>
      </c>
    </row>
    <row r="271" spans="9:10">
      <c r="I271" t="s">
        <v>8397</v>
      </c>
      <c r="J271" t="s">
        <v>8398</v>
      </c>
    </row>
    <row r="272" spans="9:10">
      <c r="I272" t="s">
        <v>8399</v>
      </c>
      <c r="J272" t="s">
        <v>8400</v>
      </c>
    </row>
    <row r="273" spans="9:10">
      <c r="I273" t="s">
        <v>8401</v>
      </c>
      <c r="J273" t="s">
        <v>8402</v>
      </c>
    </row>
    <row r="274" spans="9:10">
      <c r="I274" t="s">
        <v>8403</v>
      </c>
      <c r="J274" t="s">
        <v>8404</v>
      </c>
    </row>
    <row r="275" spans="9:10">
      <c r="I275" t="s">
        <v>8405</v>
      </c>
      <c r="J275" t="s">
        <v>8406</v>
      </c>
    </row>
    <row r="276" spans="9:10">
      <c r="I276" t="s">
        <v>8407</v>
      </c>
      <c r="J276" t="s">
        <v>4416</v>
      </c>
    </row>
    <row r="277" spans="9:10">
      <c r="I277" t="s">
        <v>8408</v>
      </c>
      <c r="J277" t="s">
        <v>8409</v>
      </c>
    </row>
    <row r="278" spans="9:10">
      <c r="I278" t="s">
        <v>8410</v>
      </c>
      <c r="J278" t="s">
        <v>8411</v>
      </c>
    </row>
    <row r="279" spans="9:10">
      <c r="I279" t="s">
        <v>8412</v>
      </c>
      <c r="J279" t="s">
        <v>8413</v>
      </c>
    </row>
    <row r="280" spans="9:10">
      <c r="I280" t="s">
        <v>8414</v>
      </c>
      <c r="J280" t="s">
        <v>8415</v>
      </c>
    </row>
    <row r="281" spans="9:10">
      <c r="I281" t="s">
        <v>8416</v>
      </c>
      <c r="J281" t="s">
        <v>8417</v>
      </c>
    </row>
    <row r="282" spans="9:10">
      <c r="I282" t="s">
        <v>8418</v>
      </c>
      <c r="J282" t="s">
        <v>8419</v>
      </c>
    </row>
    <row r="283" spans="9:10">
      <c r="I283" t="s">
        <v>8420</v>
      </c>
      <c r="J283" t="s">
        <v>8421</v>
      </c>
    </row>
    <row r="284" spans="9:10">
      <c r="I284" t="s">
        <v>8422</v>
      </c>
      <c r="J284" t="s">
        <v>8423</v>
      </c>
    </row>
    <row r="285" spans="9:10">
      <c r="I285" t="s">
        <v>8424</v>
      </c>
      <c r="J285" t="s">
        <v>8425</v>
      </c>
    </row>
    <row r="286" spans="9:10">
      <c r="I286" t="s">
        <v>8426</v>
      </c>
      <c r="J286" t="s">
        <v>8427</v>
      </c>
    </row>
    <row r="287" spans="9:10">
      <c r="I287" t="s">
        <v>8428</v>
      </c>
      <c r="J287" t="s">
        <v>8429</v>
      </c>
    </row>
    <row r="288" spans="9:10">
      <c r="I288" t="s">
        <v>8430</v>
      </c>
      <c r="J288" t="s">
        <v>8431</v>
      </c>
    </row>
    <row r="289" spans="9:10">
      <c r="I289" t="s">
        <v>8432</v>
      </c>
      <c r="J289" t="s">
        <v>8433</v>
      </c>
    </row>
    <row r="290" spans="9:10">
      <c r="I290" t="s">
        <v>8434</v>
      </c>
      <c r="J290" t="s">
        <v>8245</v>
      </c>
    </row>
    <row r="291" spans="9:10">
      <c r="I291" t="s">
        <v>8435</v>
      </c>
      <c r="J291" t="s">
        <v>8247</v>
      </c>
    </row>
    <row r="292" spans="9:10">
      <c r="I292" t="s">
        <v>8436</v>
      </c>
      <c r="J292" t="s">
        <v>8437</v>
      </c>
    </row>
    <row r="293" spans="9:10">
      <c r="I293" t="s">
        <v>8438</v>
      </c>
      <c r="J293" t="s">
        <v>8245</v>
      </c>
    </row>
    <row r="294" spans="9:10">
      <c r="I294" t="s">
        <v>8439</v>
      </c>
      <c r="J294" t="s">
        <v>8247</v>
      </c>
    </row>
    <row r="295" spans="9:10">
      <c r="I295" t="s">
        <v>8440</v>
      </c>
      <c r="J295" t="s">
        <v>7865</v>
      </c>
    </row>
    <row r="296" spans="9:10">
      <c r="I296" t="s">
        <v>8441</v>
      </c>
      <c r="J296" t="s">
        <v>7786</v>
      </c>
    </row>
    <row r="297" spans="9:10">
      <c r="I297" t="s">
        <v>7778</v>
      </c>
      <c r="J297" t="s">
        <v>8442</v>
      </c>
    </row>
    <row r="298" spans="9:10">
      <c r="I298" t="s">
        <v>8443</v>
      </c>
      <c r="J298" t="s">
        <v>8444</v>
      </c>
    </row>
    <row r="299" spans="9:10">
      <c r="I299" t="s">
        <v>8445</v>
      </c>
      <c r="J299" t="s">
        <v>8446</v>
      </c>
    </row>
    <row r="300" spans="9:10">
      <c r="I300" t="s">
        <v>8447</v>
      </c>
      <c r="J300" t="s">
        <v>8448</v>
      </c>
    </row>
    <row r="301" spans="9:10">
      <c r="I301" t="s">
        <v>8449</v>
      </c>
      <c r="J301" t="s">
        <v>8450</v>
      </c>
    </row>
    <row r="302" spans="9:10">
      <c r="I302" t="s">
        <v>8451</v>
      </c>
      <c r="J302" t="s">
        <v>5826</v>
      </c>
    </row>
    <row r="303" spans="9:10">
      <c r="I303" t="s">
        <v>8452</v>
      </c>
      <c r="J303" t="s">
        <v>8453</v>
      </c>
    </row>
    <row r="304" spans="9:10">
      <c r="I304" t="s">
        <v>8454</v>
      </c>
      <c r="J304" t="s">
        <v>8455</v>
      </c>
    </row>
    <row r="305" spans="9:10">
      <c r="I305" t="s">
        <v>8456</v>
      </c>
      <c r="J305" t="s">
        <v>8457</v>
      </c>
    </row>
    <row r="306" spans="9:10">
      <c r="I306" t="s">
        <v>8458</v>
      </c>
      <c r="J306" t="s">
        <v>8459</v>
      </c>
    </row>
    <row r="307" spans="9:10">
      <c r="I307" t="s">
        <v>8460</v>
      </c>
      <c r="J307" t="s">
        <v>8461</v>
      </c>
    </row>
    <row r="308" spans="9:10">
      <c r="I308" t="s">
        <v>8462</v>
      </c>
      <c r="J308" t="s">
        <v>8463</v>
      </c>
    </row>
    <row r="309" spans="9:10">
      <c r="I309" t="s">
        <v>8464</v>
      </c>
      <c r="J309" t="s">
        <v>8465</v>
      </c>
    </row>
    <row r="310" spans="9:10">
      <c r="I310" t="s">
        <v>8466</v>
      </c>
      <c r="J310" t="s">
        <v>8467</v>
      </c>
    </row>
    <row r="311" spans="9:10">
      <c r="I311" t="s">
        <v>8468</v>
      </c>
      <c r="J311" t="s">
        <v>8469</v>
      </c>
    </row>
    <row r="312" spans="9:10">
      <c r="I312" t="s">
        <v>8470</v>
      </c>
      <c r="J312" t="s">
        <v>5828</v>
      </c>
    </row>
    <row r="313" spans="9:10">
      <c r="I313" t="s">
        <v>8471</v>
      </c>
      <c r="J313" t="s">
        <v>8245</v>
      </c>
    </row>
    <row r="314" spans="9:10">
      <c r="I314" t="s">
        <v>8472</v>
      </c>
      <c r="J314" t="s">
        <v>8247</v>
      </c>
    </row>
    <row r="315" spans="9:10">
      <c r="I315" t="s">
        <v>8473</v>
      </c>
      <c r="J315" t="s">
        <v>8031</v>
      </c>
    </row>
    <row r="316" spans="9:10">
      <c r="I316" t="s">
        <v>8474</v>
      </c>
      <c r="J316" t="s">
        <v>8033</v>
      </c>
    </row>
    <row r="317" spans="9:10">
      <c r="I317" t="s">
        <v>8475</v>
      </c>
      <c r="J317" t="s">
        <v>8023</v>
      </c>
    </row>
    <row r="318" spans="9:10">
      <c r="I318" t="s">
        <v>8476</v>
      </c>
      <c r="J318" t="s">
        <v>8477</v>
      </c>
    </row>
    <row r="319" spans="9:10">
      <c r="I319" t="s">
        <v>8478</v>
      </c>
      <c r="J319" t="s">
        <v>8479</v>
      </c>
    </row>
    <row r="320" spans="9:10">
      <c r="I320" t="s">
        <v>8480</v>
      </c>
      <c r="J320" t="s">
        <v>8481</v>
      </c>
    </row>
    <row r="321" spans="9:10">
      <c r="I321" t="s">
        <v>8482</v>
      </c>
      <c r="J321" t="s">
        <v>8483</v>
      </c>
    </row>
    <row r="322" spans="9:10">
      <c r="I322" t="s">
        <v>8484</v>
      </c>
      <c r="J322" t="s">
        <v>8485</v>
      </c>
    </row>
    <row r="323" spans="9:10">
      <c r="I323" t="s">
        <v>8486</v>
      </c>
      <c r="J323" t="s">
        <v>8487</v>
      </c>
    </row>
    <row r="324" spans="9:10">
      <c r="I324" t="s">
        <v>8488</v>
      </c>
      <c r="J324" t="s">
        <v>8489</v>
      </c>
    </row>
    <row r="325" spans="9:10">
      <c r="I325" t="s">
        <v>8490</v>
      </c>
      <c r="J325" t="s">
        <v>8491</v>
      </c>
    </row>
    <row r="326" spans="9:10">
      <c r="I326" t="s">
        <v>8492</v>
      </c>
      <c r="J326" t="s">
        <v>8493</v>
      </c>
    </row>
    <row r="327" spans="9:10">
      <c r="I327" t="s">
        <v>8494</v>
      </c>
      <c r="J327" t="s">
        <v>8495</v>
      </c>
    </row>
    <row r="328" spans="9:10">
      <c r="I328" t="s">
        <v>8496</v>
      </c>
      <c r="J328" t="s">
        <v>8497</v>
      </c>
    </row>
    <row r="329" spans="9:10">
      <c r="I329" t="s">
        <v>8498</v>
      </c>
      <c r="J329" t="s">
        <v>8499</v>
      </c>
    </row>
    <row r="330" spans="9:10">
      <c r="I330" t="s">
        <v>8500</v>
      </c>
      <c r="J330" t="s">
        <v>8501</v>
      </c>
    </row>
    <row r="331" spans="9:10">
      <c r="I331" t="s">
        <v>8502</v>
      </c>
      <c r="J331" t="s">
        <v>8503</v>
      </c>
    </row>
    <row r="332" spans="9:10">
      <c r="I332" t="s">
        <v>8504</v>
      </c>
      <c r="J332" t="s">
        <v>8505</v>
      </c>
    </row>
    <row r="333" spans="9:10">
      <c r="I333" t="s">
        <v>8506</v>
      </c>
      <c r="J333" t="s">
        <v>8507</v>
      </c>
    </row>
    <row r="334" spans="9:10">
      <c r="I334" t="s">
        <v>8508</v>
      </c>
      <c r="J334" t="s">
        <v>8509</v>
      </c>
    </row>
    <row r="335" spans="9:10">
      <c r="I335" t="s">
        <v>8510</v>
      </c>
      <c r="J335" t="s">
        <v>8511</v>
      </c>
    </row>
    <row r="336" spans="9:10">
      <c r="I336" t="s">
        <v>8512</v>
      </c>
      <c r="J336" t="s">
        <v>8513</v>
      </c>
    </row>
    <row r="337" spans="9:10">
      <c r="I337" t="s">
        <v>8514</v>
      </c>
      <c r="J337" t="s">
        <v>8515</v>
      </c>
    </row>
    <row r="338" spans="9:10">
      <c r="I338" t="s">
        <v>8516</v>
      </c>
      <c r="J338" t="s">
        <v>8517</v>
      </c>
    </row>
    <row r="339" spans="9:10">
      <c r="I339" t="s">
        <v>8518</v>
      </c>
      <c r="J339" t="s">
        <v>8519</v>
      </c>
    </row>
    <row r="340" spans="9:10">
      <c r="I340" t="s">
        <v>8520</v>
      </c>
      <c r="J340" t="s">
        <v>8521</v>
      </c>
    </row>
    <row r="341" spans="9:10">
      <c r="I341" t="s">
        <v>8522</v>
      </c>
      <c r="J341" t="s">
        <v>8523</v>
      </c>
    </row>
    <row r="342" spans="9:10">
      <c r="I342" t="s">
        <v>8524</v>
      </c>
      <c r="J342" t="s">
        <v>8525</v>
      </c>
    </row>
    <row r="343" spans="9:10">
      <c r="I343" t="s">
        <v>8526</v>
      </c>
      <c r="J343" t="s">
        <v>8527</v>
      </c>
    </row>
    <row r="344" spans="9:10">
      <c r="I344" t="s">
        <v>8528</v>
      </c>
      <c r="J344" t="s">
        <v>8529</v>
      </c>
    </row>
    <row r="345" spans="9:10">
      <c r="I345" t="s">
        <v>8530</v>
      </c>
      <c r="J345" t="s">
        <v>8531</v>
      </c>
    </row>
    <row r="346" spans="9:10">
      <c r="I346" t="s">
        <v>8532</v>
      </c>
      <c r="J346" t="s">
        <v>8533</v>
      </c>
    </row>
    <row r="347" spans="9:10">
      <c r="I347" t="s">
        <v>8534</v>
      </c>
      <c r="J347" t="s">
        <v>8535</v>
      </c>
    </row>
    <row r="348" spans="9:10">
      <c r="I348" t="s">
        <v>8536</v>
      </c>
      <c r="J348" t="s">
        <v>8537</v>
      </c>
    </row>
    <row r="349" spans="9:10">
      <c r="I349" t="s">
        <v>8538</v>
      </c>
      <c r="J349" t="s">
        <v>8539</v>
      </c>
    </row>
    <row r="350" spans="9:10">
      <c r="I350" t="s">
        <v>8540</v>
      </c>
      <c r="J350" t="s">
        <v>8541</v>
      </c>
    </row>
    <row r="351" spans="9:10">
      <c r="I351" t="s">
        <v>8542</v>
      </c>
      <c r="J351" t="s">
        <v>8543</v>
      </c>
    </row>
    <row r="352" spans="9:10">
      <c r="I352" t="s">
        <v>8544</v>
      </c>
      <c r="J352" t="s">
        <v>8545</v>
      </c>
    </row>
    <row r="353" spans="9:10">
      <c r="I353" t="s">
        <v>8546</v>
      </c>
      <c r="J353" t="s">
        <v>8547</v>
      </c>
    </row>
    <row r="354" spans="9:10">
      <c r="I354" t="s">
        <v>8548</v>
      </c>
      <c r="J354" t="s">
        <v>8549</v>
      </c>
    </row>
    <row r="355" spans="9:10">
      <c r="I355" t="s">
        <v>8550</v>
      </c>
      <c r="J355" t="s">
        <v>8551</v>
      </c>
    </row>
    <row r="356" spans="9:10">
      <c r="I356" t="s">
        <v>8552</v>
      </c>
      <c r="J356" t="s">
        <v>8553</v>
      </c>
    </row>
    <row r="357" spans="9:10">
      <c r="I357" t="s">
        <v>8554</v>
      </c>
      <c r="J357" t="s">
        <v>8555</v>
      </c>
    </row>
    <row r="358" spans="9:10">
      <c r="I358" t="s">
        <v>8556</v>
      </c>
      <c r="J358" t="s">
        <v>8557</v>
      </c>
    </row>
    <row r="359" spans="9:10">
      <c r="I359" t="s">
        <v>8558</v>
      </c>
      <c r="J359" t="s">
        <v>8559</v>
      </c>
    </row>
    <row r="360" spans="9:10">
      <c r="I360" t="s">
        <v>8560</v>
      </c>
      <c r="J360" t="s">
        <v>8561</v>
      </c>
    </row>
    <row r="361" spans="9:10">
      <c r="I361" t="s">
        <v>8562</v>
      </c>
      <c r="J361" t="s">
        <v>8563</v>
      </c>
    </row>
    <row r="362" spans="9:10">
      <c r="I362" t="s">
        <v>8564</v>
      </c>
      <c r="J362" t="s">
        <v>8565</v>
      </c>
    </row>
    <row r="363" spans="9:10">
      <c r="I363" t="s">
        <v>8566</v>
      </c>
      <c r="J363" t="s">
        <v>8567</v>
      </c>
    </row>
    <row r="364" spans="9:10">
      <c r="I364" t="s">
        <v>8568</v>
      </c>
      <c r="J364" t="s">
        <v>8569</v>
      </c>
    </row>
    <row r="365" spans="9:10">
      <c r="I365" t="s">
        <v>8570</v>
      </c>
      <c r="J365" t="s">
        <v>8571</v>
      </c>
    </row>
    <row r="366" spans="9:10">
      <c r="I366" t="s">
        <v>8572</v>
      </c>
      <c r="J366" t="s">
        <v>8573</v>
      </c>
    </row>
    <row r="367" spans="9:10">
      <c r="I367" t="s">
        <v>8574</v>
      </c>
      <c r="J367" t="s">
        <v>8575</v>
      </c>
    </row>
    <row r="368" spans="9:10">
      <c r="I368" t="s">
        <v>8576</v>
      </c>
      <c r="J368" t="s">
        <v>8577</v>
      </c>
    </row>
    <row r="369" spans="9:10">
      <c r="I369" t="s">
        <v>8578</v>
      </c>
      <c r="J369" t="s">
        <v>8579</v>
      </c>
    </row>
    <row r="370" spans="9:10">
      <c r="I370" t="s">
        <v>8580</v>
      </c>
      <c r="J370" t="s">
        <v>8581</v>
      </c>
    </row>
    <row r="371" spans="9:10">
      <c r="I371" t="s">
        <v>8582</v>
      </c>
      <c r="J371" t="s">
        <v>8583</v>
      </c>
    </row>
    <row r="372" spans="9:10">
      <c r="I372" t="s">
        <v>8584</v>
      </c>
      <c r="J372" t="s">
        <v>8585</v>
      </c>
    </row>
    <row r="373" spans="9:10">
      <c r="I373" t="s">
        <v>8586</v>
      </c>
      <c r="J373" t="s">
        <v>8587</v>
      </c>
    </row>
    <row r="374" spans="9:10">
      <c r="I374" t="s">
        <v>8588</v>
      </c>
      <c r="J374" t="s">
        <v>8589</v>
      </c>
    </row>
    <row r="375" spans="9:10">
      <c r="I375" t="s">
        <v>8590</v>
      </c>
      <c r="J375" t="s">
        <v>8591</v>
      </c>
    </row>
    <row r="376" spans="9:10">
      <c r="I376" t="s">
        <v>8592</v>
      </c>
      <c r="J376" t="s">
        <v>8593</v>
      </c>
    </row>
    <row r="377" spans="9:10">
      <c r="I377" t="s">
        <v>8594</v>
      </c>
      <c r="J377" t="s">
        <v>8595</v>
      </c>
    </row>
    <row r="378" spans="9:10">
      <c r="I378" t="s">
        <v>8596</v>
      </c>
      <c r="J378" t="s">
        <v>8597</v>
      </c>
    </row>
    <row r="379" spans="9:10">
      <c r="I379" t="s">
        <v>8598</v>
      </c>
      <c r="J379" t="s">
        <v>8599</v>
      </c>
    </row>
    <row r="380" spans="9:10">
      <c r="I380" t="s">
        <v>8600</v>
      </c>
      <c r="J380" t="s">
        <v>8601</v>
      </c>
    </row>
    <row r="381" spans="9:10">
      <c r="I381" t="s">
        <v>8602</v>
      </c>
      <c r="J381" t="s">
        <v>8603</v>
      </c>
    </row>
    <row r="382" spans="9:10">
      <c r="I382" t="s">
        <v>8604</v>
      </c>
      <c r="J382" t="s">
        <v>8605</v>
      </c>
    </row>
    <row r="383" spans="9:10">
      <c r="I383" t="s">
        <v>8606</v>
      </c>
      <c r="J383" t="s">
        <v>8607</v>
      </c>
    </row>
    <row r="384" spans="9:10">
      <c r="I384" t="s">
        <v>8608</v>
      </c>
      <c r="J384" t="s">
        <v>8609</v>
      </c>
    </row>
    <row r="385" spans="9:10">
      <c r="I385" t="s">
        <v>8610</v>
      </c>
      <c r="J385" t="s">
        <v>8611</v>
      </c>
    </row>
    <row r="386" spans="9:10">
      <c r="I386" t="s">
        <v>8612</v>
      </c>
      <c r="J386" t="s">
        <v>8613</v>
      </c>
    </row>
    <row r="387" spans="9:10">
      <c r="I387" t="s">
        <v>8614</v>
      </c>
      <c r="J387" t="s">
        <v>8615</v>
      </c>
    </row>
    <row r="388" spans="9:10">
      <c r="I388" t="s">
        <v>8616</v>
      </c>
      <c r="J388" t="s">
        <v>8617</v>
      </c>
    </row>
    <row r="389" spans="9:10">
      <c r="I389" t="s">
        <v>8618</v>
      </c>
      <c r="J389" t="s">
        <v>8619</v>
      </c>
    </row>
    <row r="390" spans="9:10">
      <c r="I390" t="s">
        <v>8620</v>
      </c>
      <c r="J390" t="s">
        <v>8621</v>
      </c>
    </row>
    <row r="391" spans="9:10">
      <c r="I391" t="s">
        <v>8622</v>
      </c>
      <c r="J391" t="s">
        <v>8623</v>
      </c>
    </row>
    <row r="392" spans="9:10">
      <c r="I392" t="s">
        <v>8624</v>
      </c>
      <c r="J392" t="s">
        <v>8625</v>
      </c>
    </row>
    <row r="393" spans="9:10">
      <c r="I393" t="s">
        <v>8626</v>
      </c>
      <c r="J393" t="s">
        <v>8627</v>
      </c>
    </row>
    <row r="394" spans="9:10">
      <c r="I394" t="s">
        <v>8628</v>
      </c>
      <c r="J394" t="s">
        <v>8629</v>
      </c>
    </row>
    <row r="395" spans="9:10">
      <c r="I395" t="s">
        <v>8630</v>
      </c>
      <c r="J395" t="s">
        <v>8631</v>
      </c>
    </row>
    <row r="396" spans="9:10">
      <c r="I396" t="s">
        <v>8632</v>
      </c>
      <c r="J396" t="s">
        <v>8633</v>
      </c>
    </row>
    <row r="397" spans="9:10">
      <c r="I397" t="s">
        <v>8634</v>
      </c>
      <c r="J397" t="s">
        <v>8635</v>
      </c>
    </row>
    <row r="398" spans="9:10">
      <c r="I398" t="s">
        <v>8636</v>
      </c>
      <c r="J398" t="s">
        <v>8637</v>
      </c>
    </row>
    <row r="399" spans="9:10">
      <c r="I399" t="s">
        <v>8638</v>
      </c>
      <c r="J399" t="s">
        <v>8639</v>
      </c>
    </row>
    <row r="400" spans="9:10">
      <c r="I400" t="s">
        <v>8640</v>
      </c>
      <c r="J400" t="s">
        <v>8641</v>
      </c>
    </row>
    <row r="401" spans="9:10">
      <c r="I401" t="s">
        <v>8642</v>
      </c>
      <c r="J401" t="s">
        <v>8643</v>
      </c>
    </row>
    <row r="402" spans="9:10">
      <c r="I402" t="s">
        <v>8644</v>
      </c>
      <c r="J402" t="s">
        <v>8645</v>
      </c>
    </row>
    <row r="403" spans="9:10">
      <c r="I403" t="s">
        <v>8646</v>
      </c>
      <c r="J403" t="s">
        <v>8647</v>
      </c>
    </row>
    <row r="404" spans="9:10">
      <c r="I404" t="s">
        <v>8648</v>
      </c>
      <c r="J404" t="s">
        <v>8649</v>
      </c>
    </row>
    <row r="405" spans="9:10">
      <c r="I405" t="s">
        <v>8650</v>
      </c>
      <c r="J405" t="s">
        <v>8651</v>
      </c>
    </row>
    <row r="406" spans="9:10">
      <c r="I406" t="s">
        <v>8652</v>
      </c>
      <c r="J406" t="s">
        <v>8653</v>
      </c>
    </row>
    <row r="407" spans="9:10">
      <c r="I407" t="s">
        <v>8654</v>
      </c>
      <c r="J407" t="s">
        <v>8655</v>
      </c>
    </row>
    <row r="408" spans="9:10">
      <c r="I408" t="s">
        <v>8656</v>
      </c>
      <c r="J408" t="s">
        <v>8657</v>
      </c>
    </row>
    <row r="409" spans="9:10">
      <c r="I409" t="s">
        <v>8658</v>
      </c>
      <c r="J409" t="s">
        <v>8659</v>
      </c>
    </row>
    <row r="410" spans="9:10">
      <c r="I410" t="s">
        <v>8660</v>
      </c>
      <c r="J410" t="s">
        <v>8661</v>
      </c>
    </row>
    <row r="411" spans="9:10">
      <c r="I411" t="s">
        <v>8662</v>
      </c>
      <c r="J411" t="s">
        <v>8663</v>
      </c>
    </row>
    <row r="412" spans="9:10">
      <c r="I412" t="s">
        <v>8664</v>
      </c>
      <c r="J412" t="s">
        <v>8665</v>
      </c>
    </row>
    <row r="413" spans="9:10">
      <c r="I413" t="s">
        <v>8666</v>
      </c>
      <c r="J413" t="s">
        <v>8667</v>
      </c>
    </row>
    <row r="414" spans="9:10">
      <c r="I414" t="s">
        <v>8668</v>
      </c>
      <c r="J414" t="s">
        <v>8669</v>
      </c>
    </row>
    <row r="415" spans="9:10">
      <c r="I415" t="s">
        <v>8670</v>
      </c>
      <c r="J415" t="s">
        <v>8671</v>
      </c>
    </row>
    <row r="416" spans="9:10">
      <c r="I416" t="s">
        <v>8672</v>
      </c>
      <c r="J416" t="s">
        <v>8673</v>
      </c>
    </row>
    <row r="417" spans="9:10">
      <c r="I417" t="s">
        <v>8674</v>
      </c>
      <c r="J417" t="s">
        <v>8675</v>
      </c>
    </row>
    <row r="418" spans="9:10">
      <c r="I418" t="s">
        <v>8676</v>
      </c>
      <c r="J418" t="s">
        <v>8677</v>
      </c>
    </row>
    <row r="419" spans="9:10">
      <c r="I419" t="s">
        <v>8678</v>
      </c>
      <c r="J419" t="s">
        <v>8679</v>
      </c>
    </row>
    <row r="420" spans="9:10">
      <c r="I420" t="s">
        <v>8680</v>
      </c>
      <c r="J420" t="s">
        <v>8681</v>
      </c>
    </row>
    <row r="421" spans="9:10">
      <c r="I421" t="s">
        <v>8682</v>
      </c>
      <c r="J421" t="s">
        <v>8683</v>
      </c>
    </row>
    <row r="422" spans="9:10">
      <c r="I422" t="s">
        <v>8684</v>
      </c>
      <c r="J422" t="s">
        <v>8685</v>
      </c>
    </row>
    <row r="423" spans="9:10">
      <c r="I423" t="s">
        <v>8686</v>
      </c>
      <c r="J423" t="s">
        <v>8687</v>
      </c>
    </row>
    <row r="424" spans="9:10">
      <c r="I424" t="s">
        <v>8688</v>
      </c>
      <c r="J424" t="s">
        <v>8689</v>
      </c>
    </row>
    <row r="425" spans="9:10">
      <c r="I425" t="s">
        <v>8690</v>
      </c>
      <c r="J425" t="s">
        <v>8691</v>
      </c>
    </row>
    <row r="426" spans="9:10">
      <c r="I426" t="s">
        <v>8692</v>
      </c>
      <c r="J426" t="s">
        <v>8693</v>
      </c>
    </row>
    <row r="427" spans="9:10">
      <c r="I427" t="s">
        <v>8694</v>
      </c>
      <c r="J427" t="s">
        <v>8695</v>
      </c>
    </row>
    <row r="428" spans="9:10">
      <c r="I428" t="s">
        <v>8696</v>
      </c>
      <c r="J428" t="s">
        <v>8697</v>
      </c>
    </row>
    <row r="429" spans="9:10">
      <c r="I429" t="s">
        <v>8698</v>
      </c>
      <c r="J429" t="s">
        <v>8699</v>
      </c>
    </row>
    <row r="430" spans="9:10">
      <c r="I430" t="s">
        <v>8700</v>
      </c>
      <c r="J430" t="s">
        <v>8701</v>
      </c>
    </row>
    <row r="431" spans="9:10">
      <c r="I431" t="s">
        <v>8702</v>
      </c>
      <c r="J431" t="s">
        <v>8703</v>
      </c>
    </row>
    <row r="432" spans="9:10">
      <c r="I432" t="s">
        <v>8704</v>
      </c>
      <c r="J432" t="s">
        <v>8705</v>
      </c>
    </row>
    <row r="433" spans="9:10">
      <c r="I433" t="s">
        <v>8706</v>
      </c>
      <c r="J433" t="s">
        <v>8707</v>
      </c>
    </row>
    <row r="434" spans="9:10">
      <c r="I434" t="s">
        <v>8708</v>
      </c>
      <c r="J434" t="s">
        <v>8709</v>
      </c>
    </row>
    <row r="435" spans="9:10">
      <c r="I435" t="s">
        <v>8710</v>
      </c>
      <c r="J435" t="s">
        <v>8711</v>
      </c>
    </row>
    <row r="436" spans="9:10">
      <c r="I436" t="s">
        <v>8712</v>
      </c>
      <c r="J436" t="s">
        <v>8713</v>
      </c>
    </row>
    <row r="437" spans="9:10">
      <c r="I437" t="s">
        <v>8714</v>
      </c>
      <c r="J437" t="s">
        <v>8715</v>
      </c>
    </row>
    <row r="438" spans="9:10">
      <c r="I438" t="s">
        <v>8716</v>
      </c>
      <c r="J438" t="s">
        <v>8717</v>
      </c>
    </row>
    <row r="439" spans="9:10">
      <c r="I439" t="s">
        <v>8718</v>
      </c>
      <c r="J439" t="s">
        <v>8719</v>
      </c>
    </row>
    <row r="440" spans="9:10">
      <c r="I440" t="s">
        <v>8720</v>
      </c>
      <c r="J440" t="s">
        <v>8721</v>
      </c>
    </row>
    <row r="441" spans="9:10">
      <c r="I441" t="s">
        <v>8722</v>
      </c>
      <c r="J441" t="s">
        <v>8723</v>
      </c>
    </row>
    <row r="442" spans="9:10">
      <c r="I442" t="s">
        <v>8724</v>
      </c>
      <c r="J442" t="s">
        <v>8725</v>
      </c>
    </row>
    <row r="443" spans="9:10">
      <c r="I443" t="s">
        <v>8726</v>
      </c>
      <c r="J443" t="s">
        <v>8727</v>
      </c>
    </row>
    <row r="444" spans="9:10">
      <c r="I444" t="s">
        <v>8728</v>
      </c>
      <c r="J444" t="s">
        <v>8729</v>
      </c>
    </row>
    <row r="445" spans="9:10">
      <c r="I445" t="s">
        <v>8730</v>
      </c>
      <c r="J445" t="s">
        <v>8731</v>
      </c>
    </row>
    <row r="446" spans="9:10">
      <c r="I446" t="s">
        <v>8732</v>
      </c>
      <c r="J446" t="s">
        <v>8733</v>
      </c>
    </row>
    <row r="447" spans="9:10">
      <c r="I447" t="s">
        <v>8734</v>
      </c>
      <c r="J447" t="s">
        <v>8735</v>
      </c>
    </row>
    <row r="448" spans="9:10">
      <c r="I448" t="s">
        <v>8736</v>
      </c>
      <c r="J448" t="s">
        <v>8737</v>
      </c>
    </row>
    <row r="449" spans="9:10">
      <c r="I449" t="s">
        <v>8738</v>
      </c>
      <c r="J449" t="s">
        <v>8739</v>
      </c>
    </row>
    <row r="450" spans="9:10">
      <c r="I450" t="s">
        <v>8740</v>
      </c>
      <c r="J450" t="s">
        <v>8031</v>
      </c>
    </row>
    <row r="451" spans="9:10">
      <c r="I451" t="s">
        <v>8741</v>
      </c>
      <c r="J451" t="s">
        <v>8033</v>
      </c>
    </row>
    <row r="452" spans="9:10">
      <c r="I452" t="s">
        <v>8742</v>
      </c>
      <c r="J452" t="s">
        <v>8743</v>
      </c>
    </row>
    <row r="453" spans="9:10">
      <c r="I453" t="s">
        <v>8744</v>
      </c>
      <c r="J453" t="s">
        <v>8745</v>
      </c>
    </row>
    <row r="454" spans="9:10">
      <c r="I454" t="s">
        <v>8746</v>
      </c>
      <c r="J454" t="s">
        <v>8747</v>
      </c>
    </row>
    <row r="455" spans="9:10">
      <c r="I455" t="s">
        <v>8748</v>
      </c>
      <c r="J455" t="s">
        <v>8749</v>
      </c>
    </row>
    <row r="456" spans="9:10">
      <c r="I456" t="s">
        <v>8750</v>
      </c>
      <c r="J456" t="s">
        <v>8751</v>
      </c>
    </row>
    <row r="457" spans="9:10">
      <c r="I457" t="s">
        <v>8752</v>
      </c>
      <c r="J457" t="s">
        <v>8753</v>
      </c>
    </row>
    <row r="458" spans="9:10">
      <c r="I458" t="s">
        <v>8754</v>
      </c>
      <c r="J458" t="s">
        <v>8755</v>
      </c>
    </row>
    <row r="459" spans="9:10">
      <c r="I459" t="s">
        <v>8756</v>
      </c>
      <c r="J459" t="s">
        <v>8757</v>
      </c>
    </row>
    <row r="460" spans="9:10">
      <c r="I460" t="s">
        <v>8758</v>
      </c>
      <c r="J460" t="s">
        <v>8759</v>
      </c>
    </row>
    <row r="461" spans="9:10">
      <c r="I461" t="s">
        <v>8760</v>
      </c>
      <c r="J461" t="s">
        <v>8761</v>
      </c>
    </row>
    <row r="462" spans="9:10">
      <c r="I462" t="s">
        <v>8762</v>
      </c>
      <c r="J462" t="s">
        <v>8763</v>
      </c>
    </row>
    <row r="463" spans="9:10">
      <c r="I463" t="s">
        <v>8764</v>
      </c>
      <c r="J463" t="s">
        <v>8765</v>
      </c>
    </row>
    <row r="464" spans="9:10">
      <c r="I464" t="s">
        <v>8766</v>
      </c>
      <c r="J464" t="s">
        <v>8767</v>
      </c>
    </row>
    <row r="465" spans="9:10">
      <c r="I465" t="s">
        <v>8768</v>
      </c>
      <c r="J465" t="s">
        <v>8629</v>
      </c>
    </row>
    <row r="466" spans="9:10">
      <c r="I466" t="s">
        <v>8769</v>
      </c>
      <c r="J466" t="s">
        <v>8627</v>
      </c>
    </row>
    <row r="467" spans="9:10">
      <c r="I467" t="s">
        <v>8770</v>
      </c>
      <c r="J467" t="s">
        <v>8723</v>
      </c>
    </row>
    <row r="468" spans="9:10">
      <c r="I468" t="s">
        <v>8771</v>
      </c>
      <c r="J468" t="s">
        <v>8725</v>
      </c>
    </row>
    <row r="469" spans="9:10">
      <c r="I469" t="s">
        <v>8772</v>
      </c>
      <c r="J469" t="s">
        <v>8773</v>
      </c>
    </row>
    <row r="470" spans="9:10">
      <c r="I470" t="s">
        <v>8774</v>
      </c>
      <c r="J470" t="s">
        <v>8775</v>
      </c>
    </row>
    <row r="471" spans="9:10">
      <c r="I471" t="s">
        <v>8776</v>
      </c>
      <c r="J471" t="s">
        <v>8777</v>
      </c>
    </row>
    <row r="472" spans="9:10">
      <c r="I472" t="s">
        <v>8778</v>
      </c>
      <c r="J472" t="s">
        <v>8779</v>
      </c>
    </row>
    <row r="473" spans="9:10">
      <c r="I473" t="s">
        <v>8780</v>
      </c>
      <c r="J473" t="s">
        <v>8781</v>
      </c>
    </row>
    <row r="474" spans="9:10">
      <c r="I474" t="s">
        <v>8782</v>
      </c>
      <c r="J474" t="s">
        <v>8783</v>
      </c>
    </row>
    <row r="475" spans="9:10">
      <c r="I475" t="s">
        <v>8784</v>
      </c>
      <c r="J475" t="s">
        <v>8785</v>
      </c>
    </row>
    <row r="476" spans="9:10">
      <c r="I476" t="s">
        <v>8786</v>
      </c>
      <c r="J476" t="s">
        <v>8787</v>
      </c>
    </row>
    <row r="477" spans="9:10">
      <c r="I477" t="s">
        <v>8788</v>
      </c>
      <c r="J477" t="s">
        <v>8789</v>
      </c>
    </row>
    <row r="478" spans="9:10">
      <c r="I478" t="s">
        <v>8790</v>
      </c>
      <c r="J478" t="s">
        <v>8791</v>
      </c>
    </row>
    <row r="479" spans="9:10">
      <c r="I479" t="s">
        <v>8792</v>
      </c>
      <c r="J479" t="s">
        <v>8793</v>
      </c>
    </row>
    <row r="480" spans="9:10">
      <c r="I480" t="s">
        <v>8794</v>
      </c>
      <c r="J480" t="s">
        <v>8795</v>
      </c>
    </row>
    <row r="481" spans="9:10">
      <c r="I481" t="s">
        <v>8796</v>
      </c>
      <c r="J481" t="s">
        <v>8797</v>
      </c>
    </row>
    <row r="482" spans="9:10">
      <c r="I482" t="s">
        <v>8798</v>
      </c>
      <c r="J482" t="s">
        <v>8799</v>
      </c>
    </row>
    <row r="483" spans="9:10">
      <c r="I483" t="s">
        <v>8800</v>
      </c>
      <c r="J483" t="s">
        <v>8801</v>
      </c>
    </row>
    <row r="484" spans="9:10">
      <c r="I484" t="s">
        <v>8802</v>
      </c>
      <c r="J484" t="s">
        <v>8803</v>
      </c>
    </row>
    <row r="485" spans="9:10">
      <c r="I485" t="s">
        <v>8804</v>
      </c>
      <c r="J485" t="s">
        <v>8503</v>
      </c>
    </row>
    <row r="486" spans="9:10">
      <c r="I486" t="s">
        <v>8805</v>
      </c>
      <c r="J486" t="s">
        <v>8481</v>
      </c>
    </row>
    <row r="487" spans="9:10">
      <c r="I487" t="s">
        <v>8806</v>
      </c>
      <c r="J487" t="s">
        <v>8807</v>
      </c>
    </row>
    <row r="488" spans="9:10">
      <c r="I488" t="s">
        <v>8808</v>
      </c>
      <c r="J488" t="s">
        <v>8487</v>
      </c>
    </row>
    <row r="489" spans="9:10">
      <c r="I489" t="s">
        <v>8809</v>
      </c>
      <c r="J489" t="s">
        <v>8555</v>
      </c>
    </row>
    <row r="490" spans="9:10">
      <c r="I490" t="s">
        <v>8810</v>
      </c>
      <c r="J490" t="s">
        <v>8549</v>
      </c>
    </row>
    <row r="491" spans="9:10">
      <c r="I491" t="s">
        <v>8811</v>
      </c>
      <c r="J491" t="s">
        <v>8812</v>
      </c>
    </row>
    <row r="492" spans="9:10">
      <c r="I492" t="s">
        <v>8813</v>
      </c>
      <c r="J492" t="s">
        <v>8814</v>
      </c>
    </row>
    <row r="493" spans="9:10">
      <c r="I493" t="s">
        <v>8815</v>
      </c>
      <c r="J493" t="s">
        <v>8816</v>
      </c>
    </row>
    <row r="494" spans="9:10">
      <c r="I494" t="s">
        <v>8817</v>
      </c>
      <c r="J494" t="s">
        <v>8818</v>
      </c>
    </row>
    <row r="495" spans="9:10">
      <c r="I495" t="s">
        <v>8819</v>
      </c>
      <c r="J495" t="s">
        <v>8820</v>
      </c>
    </row>
    <row r="496" spans="9:10">
      <c r="I496" t="s">
        <v>8821</v>
      </c>
      <c r="J496" t="s">
        <v>8733</v>
      </c>
    </row>
    <row r="497" spans="9:10">
      <c r="I497" t="s">
        <v>8822</v>
      </c>
      <c r="J497" t="s">
        <v>8735</v>
      </c>
    </row>
    <row r="498" spans="9:10">
      <c r="I498" t="s">
        <v>8823</v>
      </c>
      <c r="J498" t="s">
        <v>8824</v>
      </c>
    </row>
    <row r="499" spans="9:10">
      <c r="I499" t="s">
        <v>8825</v>
      </c>
      <c r="J499" t="s">
        <v>8826</v>
      </c>
    </row>
    <row r="500" spans="9:10">
      <c r="I500" t="s">
        <v>8827</v>
      </c>
      <c r="J500" t="s">
        <v>8828</v>
      </c>
    </row>
    <row r="501" spans="9:10">
      <c r="I501" t="s">
        <v>8829</v>
      </c>
      <c r="J501" t="s">
        <v>8830</v>
      </c>
    </row>
    <row r="502" spans="9:10">
      <c r="I502" t="s">
        <v>8831</v>
      </c>
      <c r="J502" t="s">
        <v>8832</v>
      </c>
    </row>
    <row r="503" spans="9:10">
      <c r="I503" t="s">
        <v>8833</v>
      </c>
      <c r="J503" t="s">
        <v>8505</v>
      </c>
    </row>
    <row r="504" spans="9:10">
      <c r="I504" t="s">
        <v>8834</v>
      </c>
      <c r="J504" t="s">
        <v>8835</v>
      </c>
    </row>
    <row r="505" spans="9:10">
      <c r="I505" t="s">
        <v>8836</v>
      </c>
      <c r="J505" t="s">
        <v>8837</v>
      </c>
    </row>
    <row r="506" spans="9:10">
      <c r="I506" t="s">
        <v>8838</v>
      </c>
      <c r="J506" t="s">
        <v>8531</v>
      </c>
    </row>
    <row r="507" spans="9:10">
      <c r="I507" t="s">
        <v>8839</v>
      </c>
      <c r="J507" t="s">
        <v>8491</v>
      </c>
    </row>
    <row r="508" spans="9:10">
      <c r="I508" t="s">
        <v>8840</v>
      </c>
      <c r="J508" t="s">
        <v>8513</v>
      </c>
    </row>
    <row r="509" spans="9:10">
      <c r="I509" t="s">
        <v>8841</v>
      </c>
      <c r="J509" t="s">
        <v>8519</v>
      </c>
    </row>
    <row r="510" spans="9:10">
      <c r="I510" t="s">
        <v>8842</v>
      </c>
      <c r="J510" t="s">
        <v>8843</v>
      </c>
    </row>
    <row r="511" spans="9:10">
      <c r="I511" t="s">
        <v>8844</v>
      </c>
      <c r="J511" t="s">
        <v>8515</v>
      </c>
    </row>
    <row r="512" spans="9:10">
      <c r="I512" t="s">
        <v>8845</v>
      </c>
      <c r="J512" t="s">
        <v>8507</v>
      </c>
    </row>
    <row r="513" spans="9:10">
      <c r="I513" t="s">
        <v>8846</v>
      </c>
      <c r="J513" t="s">
        <v>8495</v>
      </c>
    </row>
    <row r="514" spans="9:10">
      <c r="I514" t="s">
        <v>8847</v>
      </c>
      <c r="J514" t="s">
        <v>8479</v>
      </c>
    </row>
    <row r="515" spans="9:10">
      <c r="I515" t="s">
        <v>8848</v>
      </c>
      <c r="J515" t="s">
        <v>8849</v>
      </c>
    </row>
    <row r="516" spans="9:10">
      <c r="I516" t="s">
        <v>8850</v>
      </c>
      <c r="J516" t="s">
        <v>8851</v>
      </c>
    </row>
    <row r="517" spans="9:10">
      <c r="I517" t="s">
        <v>8852</v>
      </c>
      <c r="J517" t="s">
        <v>8501</v>
      </c>
    </row>
    <row r="518" spans="9:10">
      <c r="I518" t="s">
        <v>8853</v>
      </c>
      <c r="J518" t="s">
        <v>8854</v>
      </c>
    </row>
    <row r="519" spans="9:10">
      <c r="I519" t="s">
        <v>8855</v>
      </c>
      <c r="J519" t="s">
        <v>8493</v>
      </c>
    </row>
    <row r="520" spans="9:10">
      <c r="I520" t="s">
        <v>8856</v>
      </c>
      <c r="J520" t="s">
        <v>8857</v>
      </c>
    </row>
    <row r="521" spans="9:10">
      <c r="I521" t="s">
        <v>8858</v>
      </c>
      <c r="J521" t="s">
        <v>8859</v>
      </c>
    </row>
    <row r="522" spans="9:10">
      <c r="I522" t="s">
        <v>8860</v>
      </c>
      <c r="J522" t="s">
        <v>8527</v>
      </c>
    </row>
    <row r="523" spans="9:10">
      <c r="I523" t="s">
        <v>8861</v>
      </c>
      <c r="J523" t="s">
        <v>8525</v>
      </c>
    </row>
    <row r="524" spans="9:10">
      <c r="I524" t="s">
        <v>8862</v>
      </c>
      <c r="J524" t="s">
        <v>8863</v>
      </c>
    </row>
    <row r="525" spans="9:10">
      <c r="I525" t="s">
        <v>8864</v>
      </c>
      <c r="J525" t="s">
        <v>8865</v>
      </c>
    </row>
    <row r="526" spans="9:10">
      <c r="I526" t="s">
        <v>8866</v>
      </c>
      <c r="J526" t="s">
        <v>8867</v>
      </c>
    </row>
    <row r="527" spans="9:10">
      <c r="I527" t="s">
        <v>8868</v>
      </c>
      <c r="J527" t="s">
        <v>8521</v>
      </c>
    </row>
    <row r="528" spans="9:10">
      <c r="I528" t="s">
        <v>8869</v>
      </c>
      <c r="J528" t="s">
        <v>8870</v>
      </c>
    </row>
    <row r="529" spans="9:10">
      <c r="I529" t="s">
        <v>8871</v>
      </c>
      <c r="J529" t="s">
        <v>8872</v>
      </c>
    </row>
    <row r="530" spans="9:10">
      <c r="I530" t="s">
        <v>8873</v>
      </c>
      <c r="J530" t="s">
        <v>8874</v>
      </c>
    </row>
    <row r="531" spans="9:10">
      <c r="I531" t="s">
        <v>8875</v>
      </c>
      <c r="J531" t="s">
        <v>8876</v>
      </c>
    </row>
    <row r="532" spans="9:10">
      <c r="I532" t="s">
        <v>8877</v>
      </c>
      <c r="J532" t="s">
        <v>8878</v>
      </c>
    </row>
    <row r="533" spans="9:10">
      <c r="I533" t="s">
        <v>8879</v>
      </c>
      <c r="J533" t="s">
        <v>8509</v>
      </c>
    </row>
    <row r="534" spans="9:10">
      <c r="I534" t="s">
        <v>8880</v>
      </c>
      <c r="J534" t="s">
        <v>8511</v>
      </c>
    </row>
    <row r="535" spans="9:10">
      <c r="I535" t="s">
        <v>8881</v>
      </c>
      <c r="J535" t="s">
        <v>8882</v>
      </c>
    </row>
    <row r="536" spans="9:10">
      <c r="I536" t="s">
        <v>8883</v>
      </c>
      <c r="J536" t="s">
        <v>8884</v>
      </c>
    </row>
    <row r="537" spans="9:10">
      <c r="I537" t="s">
        <v>8885</v>
      </c>
      <c r="J537" t="s">
        <v>8886</v>
      </c>
    </row>
    <row r="538" spans="9:10">
      <c r="I538" t="s">
        <v>8887</v>
      </c>
      <c r="J538" t="s">
        <v>8529</v>
      </c>
    </row>
    <row r="539" spans="9:10">
      <c r="I539" t="s">
        <v>8888</v>
      </c>
      <c r="J539" t="s">
        <v>8889</v>
      </c>
    </row>
    <row r="540" spans="9:10">
      <c r="I540" t="s">
        <v>8890</v>
      </c>
      <c r="J540" t="s">
        <v>8551</v>
      </c>
    </row>
    <row r="541" spans="9:10">
      <c r="I541" t="s">
        <v>8891</v>
      </c>
      <c r="J541" t="s">
        <v>8892</v>
      </c>
    </row>
    <row r="542" spans="9:10">
      <c r="I542" t="s">
        <v>8893</v>
      </c>
      <c r="J542" t="s">
        <v>8497</v>
      </c>
    </row>
    <row r="543" spans="9:10">
      <c r="I543" t="s">
        <v>8894</v>
      </c>
      <c r="J543" t="s">
        <v>8895</v>
      </c>
    </row>
    <row r="544" spans="9:10">
      <c r="I544" t="s">
        <v>8896</v>
      </c>
      <c r="J544" t="s">
        <v>8897</v>
      </c>
    </row>
    <row r="545" spans="9:10">
      <c r="I545" t="s">
        <v>8898</v>
      </c>
      <c r="J545" t="s">
        <v>8553</v>
      </c>
    </row>
    <row r="546" spans="9:10">
      <c r="I546" t="s">
        <v>8899</v>
      </c>
      <c r="J546" t="s">
        <v>8900</v>
      </c>
    </row>
    <row r="547" spans="9:10">
      <c r="I547" t="s">
        <v>8901</v>
      </c>
      <c r="J547" t="s">
        <v>8902</v>
      </c>
    </row>
    <row r="548" spans="9:10">
      <c r="I548" t="s">
        <v>8903</v>
      </c>
      <c r="J548" t="s">
        <v>8904</v>
      </c>
    </row>
    <row r="549" spans="9:10">
      <c r="I549" t="s">
        <v>8905</v>
      </c>
      <c r="J549" t="s">
        <v>8906</v>
      </c>
    </row>
    <row r="550" spans="9:10">
      <c r="I550" t="s">
        <v>8907</v>
      </c>
      <c r="J550" t="s">
        <v>8908</v>
      </c>
    </row>
    <row r="551" spans="9:10">
      <c r="I551" t="s">
        <v>8909</v>
      </c>
      <c r="J551" t="s">
        <v>8910</v>
      </c>
    </row>
    <row r="552" spans="9:10">
      <c r="I552" t="s">
        <v>8911</v>
      </c>
      <c r="J552" t="s">
        <v>8912</v>
      </c>
    </row>
    <row r="553" spans="9:10">
      <c r="I553" t="s">
        <v>8913</v>
      </c>
      <c r="J553" t="s">
        <v>8914</v>
      </c>
    </row>
    <row r="554" spans="9:10">
      <c r="I554" t="s">
        <v>8915</v>
      </c>
      <c r="J554" t="s">
        <v>8916</v>
      </c>
    </row>
    <row r="555" spans="9:10">
      <c r="I555" t="s">
        <v>8917</v>
      </c>
      <c r="J555" t="s">
        <v>8918</v>
      </c>
    </row>
    <row r="556" spans="9:10">
      <c r="I556" t="s">
        <v>8919</v>
      </c>
      <c r="J556" t="s">
        <v>8920</v>
      </c>
    </row>
    <row r="557" spans="9:10">
      <c r="I557" t="s">
        <v>8921</v>
      </c>
      <c r="J557" t="s">
        <v>8922</v>
      </c>
    </row>
    <row r="558" spans="9:10">
      <c r="I558" t="s">
        <v>8923</v>
      </c>
      <c r="J558" t="s">
        <v>8924</v>
      </c>
    </row>
    <row r="559" spans="9:10">
      <c r="I559" t="s">
        <v>8925</v>
      </c>
      <c r="J559" t="s">
        <v>8926</v>
      </c>
    </row>
    <row r="560" spans="9:10">
      <c r="I560" t="s">
        <v>8927</v>
      </c>
      <c r="J560" t="s">
        <v>8928</v>
      </c>
    </row>
    <row r="561" spans="9:10">
      <c r="I561" t="s">
        <v>8929</v>
      </c>
      <c r="J561" t="s">
        <v>8930</v>
      </c>
    </row>
    <row r="562" spans="9:10">
      <c r="I562" t="s">
        <v>8931</v>
      </c>
      <c r="J562" t="s">
        <v>8932</v>
      </c>
    </row>
    <row r="563" spans="9:10">
      <c r="I563" t="s">
        <v>8933</v>
      </c>
      <c r="J563" t="s">
        <v>8934</v>
      </c>
    </row>
    <row r="564" spans="9:10">
      <c r="I564" t="s">
        <v>8935</v>
      </c>
      <c r="J564" t="s">
        <v>8936</v>
      </c>
    </row>
    <row r="565" spans="9:10">
      <c r="I565" t="s">
        <v>8937</v>
      </c>
      <c r="J565" t="s">
        <v>8938</v>
      </c>
    </row>
    <row r="566" spans="9:10">
      <c r="I566" t="s">
        <v>8939</v>
      </c>
      <c r="J566" t="s">
        <v>8940</v>
      </c>
    </row>
    <row r="567" spans="9:10">
      <c r="I567" t="s">
        <v>8941</v>
      </c>
      <c r="J567" t="s">
        <v>8942</v>
      </c>
    </row>
    <row r="568" spans="9:10">
      <c r="I568" t="s">
        <v>8943</v>
      </c>
      <c r="J568" t="s">
        <v>8944</v>
      </c>
    </row>
    <row r="569" spans="9:10">
      <c r="I569" t="s">
        <v>8945</v>
      </c>
      <c r="J569" t="s">
        <v>8946</v>
      </c>
    </row>
    <row r="570" spans="9:10">
      <c r="I570" t="s">
        <v>8947</v>
      </c>
      <c r="J570" t="s">
        <v>8948</v>
      </c>
    </row>
    <row r="571" spans="9:10">
      <c r="I571" t="s">
        <v>8949</v>
      </c>
      <c r="J571" t="s">
        <v>8950</v>
      </c>
    </row>
    <row r="572" spans="9:10">
      <c r="I572" t="s">
        <v>8951</v>
      </c>
      <c r="J572" t="s">
        <v>8952</v>
      </c>
    </row>
    <row r="573" spans="9:10">
      <c r="I573" t="s">
        <v>8953</v>
      </c>
      <c r="J573" t="s">
        <v>8954</v>
      </c>
    </row>
    <row r="574" spans="9:10">
      <c r="I574" t="s">
        <v>8955</v>
      </c>
      <c r="J574" t="s">
        <v>8956</v>
      </c>
    </row>
    <row r="575" spans="9:10">
      <c r="I575" t="s">
        <v>8957</v>
      </c>
      <c r="J575" t="s">
        <v>8958</v>
      </c>
    </row>
    <row r="576" spans="9:10">
      <c r="I576" t="s">
        <v>8959</v>
      </c>
      <c r="J576" t="s">
        <v>8960</v>
      </c>
    </row>
    <row r="577" spans="9:10">
      <c r="I577" t="s">
        <v>8961</v>
      </c>
      <c r="J577" t="s">
        <v>8962</v>
      </c>
    </row>
    <row r="578" spans="9:10">
      <c r="I578" t="s">
        <v>8963</v>
      </c>
      <c r="J578" t="s">
        <v>8964</v>
      </c>
    </row>
    <row r="579" spans="9:10">
      <c r="I579" t="s">
        <v>8965</v>
      </c>
      <c r="J579" t="s">
        <v>8966</v>
      </c>
    </row>
    <row r="580" spans="9:10">
      <c r="I580" t="s">
        <v>8967</v>
      </c>
      <c r="J580" t="s">
        <v>8968</v>
      </c>
    </row>
    <row r="581" spans="9:10">
      <c r="I581" t="s">
        <v>8969</v>
      </c>
      <c r="J581" t="s">
        <v>8970</v>
      </c>
    </row>
    <row r="582" spans="9:10">
      <c r="I582" t="s">
        <v>8971</v>
      </c>
      <c r="J582" t="s">
        <v>8972</v>
      </c>
    </row>
    <row r="583" spans="9:10">
      <c r="I583" t="s">
        <v>8973</v>
      </c>
      <c r="J583" t="s">
        <v>8974</v>
      </c>
    </row>
    <row r="584" spans="9:10">
      <c r="I584" t="s">
        <v>8975</v>
      </c>
      <c r="J584" t="s">
        <v>8976</v>
      </c>
    </row>
    <row r="585" spans="9:10">
      <c r="I585" t="s">
        <v>8977</v>
      </c>
      <c r="J585" t="s">
        <v>8978</v>
      </c>
    </row>
    <row r="586" spans="9:10">
      <c r="I586" t="s">
        <v>8979</v>
      </c>
      <c r="J586" t="s">
        <v>8980</v>
      </c>
    </row>
    <row r="587" spans="9:10">
      <c r="I587" t="s">
        <v>8981</v>
      </c>
      <c r="J587" t="s">
        <v>8982</v>
      </c>
    </row>
    <row r="588" spans="9:10">
      <c r="I588" t="s">
        <v>8983</v>
      </c>
      <c r="J588" t="s">
        <v>8984</v>
      </c>
    </row>
    <row r="589" spans="9:10">
      <c r="I589" t="s">
        <v>8985</v>
      </c>
      <c r="J589" t="s">
        <v>1295</v>
      </c>
    </row>
    <row r="590" spans="9:10">
      <c r="I590" t="s">
        <v>8986</v>
      </c>
      <c r="J590" t="s">
        <v>8245</v>
      </c>
    </row>
    <row r="591" spans="9:10">
      <c r="I591" t="s">
        <v>8987</v>
      </c>
      <c r="J591" t="s">
        <v>8247</v>
      </c>
    </row>
    <row r="592" spans="9:10">
      <c r="I592" t="s">
        <v>8988</v>
      </c>
      <c r="J592" t="s">
        <v>8245</v>
      </c>
    </row>
    <row r="593" spans="9:10">
      <c r="I593" t="s">
        <v>8989</v>
      </c>
      <c r="J593" t="s">
        <v>8247</v>
      </c>
    </row>
    <row r="594" spans="9:10">
      <c r="I594" t="s">
        <v>8990</v>
      </c>
      <c r="J594" t="s">
        <v>8991</v>
      </c>
    </row>
    <row r="595" spans="9:10">
      <c r="I595" t="s">
        <v>7766</v>
      </c>
      <c r="J595" t="s">
        <v>8992</v>
      </c>
    </row>
    <row r="596" spans="9:10">
      <c r="I596" t="s">
        <v>8993</v>
      </c>
      <c r="J596" t="s">
        <v>8994</v>
      </c>
    </row>
    <row r="597" spans="9:10">
      <c r="I597" t="s">
        <v>8995</v>
      </c>
      <c r="J597" t="s">
        <v>8996</v>
      </c>
    </row>
    <row r="598" spans="9:10">
      <c r="I598" t="s">
        <v>8997</v>
      </c>
      <c r="J598" t="s">
        <v>8998</v>
      </c>
    </row>
    <row r="599" spans="9:10">
      <c r="I599" t="s">
        <v>8999</v>
      </c>
      <c r="J599" t="s">
        <v>9000</v>
      </c>
    </row>
    <row r="600" spans="9:10">
      <c r="I600" t="s">
        <v>9001</v>
      </c>
      <c r="J600" t="s">
        <v>9002</v>
      </c>
    </row>
    <row r="601" spans="9:10">
      <c r="I601" t="s">
        <v>9003</v>
      </c>
      <c r="J601" t="s">
        <v>9004</v>
      </c>
    </row>
    <row r="602" spans="9:10">
      <c r="I602" t="s">
        <v>9005</v>
      </c>
      <c r="J602" t="s">
        <v>9006</v>
      </c>
    </row>
    <row r="603" spans="9:10">
      <c r="I603" t="s">
        <v>9007</v>
      </c>
      <c r="J603" t="s">
        <v>9008</v>
      </c>
    </row>
    <row r="604" spans="9:10">
      <c r="I604" t="s">
        <v>9009</v>
      </c>
      <c r="J604" t="s">
        <v>8245</v>
      </c>
    </row>
    <row r="605" spans="9:10">
      <c r="I605" t="s">
        <v>9010</v>
      </c>
      <c r="J605" t="s">
        <v>8247</v>
      </c>
    </row>
    <row r="606" spans="9:10">
      <c r="I606" t="s">
        <v>9011</v>
      </c>
      <c r="J606" t="s">
        <v>9012</v>
      </c>
    </row>
    <row r="607" spans="9:10">
      <c r="I607" t="s">
        <v>9013</v>
      </c>
      <c r="J607" t="s">
        <v>9014</v>
      </c>
    </row>
    <row r="608" spans="9:10">
      <c r="I608" t="s">
        <v>9015</v>
      </c>
      <c r="J608" t="s">
        <v>9016</v>
      </c>
    </row>
    <row r="609" spans="9:10">
      <c r="I609" t="s">
        <v>9017</v>
      </c>
      <c r="J609" t="s">
        <v>8245</v>
      </c>
    </row>
    <row r="610" spans="9:10">
      <c r="I610" t="s">
        <v>9018</v>
      </c>
      <c r="J610" t="s">
        <v>8247</v>
      </c>
    </row>
    <row r="611" spans="9:10">
      <c r="I611" t="s">
        <v>7772</v>
      </c>
      <c r="J611" t="s">
        <v>9019</v>
      </c>
    </row>
    <row r="612" spans="9:10">
      <c r="I612" t="s">
        <v>9020</v>
      </c>
      <c r="J612" t="s">
        <v>9021</v>
      </c>
    </row>
    <row r="613" spans="9:10">
      <c r="I613" t="s">
        <v>9022</v>
      </c>
      <c r="J613" t="s">
        <v>9023</v>
      </c>
    </row>
    <row r="614" spans="9:10">
      <c r="I614" t="s">
        <v>9024</v>
      </c>
      <c r="J614" t="s">
        <v>9025</v>
      </c>
    </row>
    <row r="615" spans="9:10">
      <c r="I615" t="s">
        <v>9026</v>
      </c>
      <c r="J615" t="s">
        <v>9027</v>
      </c>
    </row>
    <row r="616" spans="9:10">
      <c r="I616" t="s">
        <v>9028</v>
      </c>
      <c r="J616" t="s">
        <v>9029</v>
      </c>
    </row>
    <row r="617" spans="9:10">
      <c r="I617" t="s">
        <v>9030</v>
      </c>
      <c r="J617" t="s">
        <v>9031</v>
      </c>
    </row>
    <row r="618" spans="9:10">
      <c r="I618" t="s">
        <v>9032</v>
      </c>
      <c r="J618" t="s">
        <v>9033</v>
      </c>
    </row>
    <row r="619" spans="9:10">
      <c r="I619" t="s">
        <v>9034</v>
      </c>
      <c r="J619" t="s">
        <v>9035</v>
      </c>
    </row>
    <row r="620" spans="9:10">
      <c r="I620" t="s">
        <v>9036</v>
      </c>
      <c r="J620" t="s">
        <v>9037</v>
      </c>
    </row>
    <row r="621" spans="9:10">
      <c r="I621" t="s">
        <v>9038</v>
      </c>
      <c r="J621" t="s">
        <v>9039</v>
      </c>
    </row>
    <row r="622" spans="9:10">
      <c r="I622" t="s">
        <v>9040</v>
      </c>
      <c r="J622" t="s">
        <v>9041</v>
      </c>
    </row>
    <row r="623" spans="9:10">
      <c r="I623" t="s">
        <v>9042</v>
      </c>
      <c r="J623" t="s">
        <v>9043</v>
      </c>
    </row>
    <row r="624" spans="9:10">
      <c r="I624" t="s">
        <v>9044</v>
      </c>
      <c r="J624" t="s">
        <v>9045</v>
      </c>
    </row>
    <row r="625" spans="9:10">
      <c r="I625" t="s">
        <v>9046</v>
      </c>
      <c r="J625" t="s">
        <v>9047</v>
      </c>
    </row>
    <row r="626" spans="9:10">
      <c r="I626" t="s">
        <v>9048</v>
      </c>
      <c r="J626" t="s">
        <v>9049</v>
      </c>
    </row>
    <row r="627" spans="9:10">
      <c r="I627" t="s">
        <v>9050</v>
      </c>
      <c r="J627" t="s">
        <v>9051</v>
      </c>
    </row>
    <row r="628" spans="9:10">
      <c r="I628" t="s">
        <v>9052</v>
      </c>
      <c r="J628" t="s">
        <v>9053</v>
      </c>
    </row>
    <row r="629" spans="9:10">
      <c r="I629" t="s">
        <v>9054</v>
      </c>
      <c r="J629" t="s">
        <v>9055</v>
      </c>
    </row>
    <row r="630" spans="9:10">
      <c r="I630" t="s">
        <v>9056</v>
      </c>
      <c r="J630" t="s">
        <v>9057</v>
      </c>
    </row>
    <row r="631" spans="9:10">
      <c r="I631" t="s">
        <v>9058</v>
      </c>
      <c r="J631" t="s">
        <v>9059</v>
      </c>
    </row>
    <row r="632" spans="9:10">
      <c r="I632" t="s">
        <v>9060</v>
      </c>
      <c r="J632" t="s">
        <v>9061</v>
      </c>
    </row>
    <row r="633" spans="9:10">
      <c r="I633" t="s">
        <v>9062</v>
      </c>
      <c r="J633" t="s">
        <v>8245</v>
      </c>
    </row>
    <row r="634" spans="9:10">
      <c r="I634" t="s">
        <v>9063</v>
      </c>
      <c r="J634" t="s">
        <v>8247</v>
      </c>
    </row>
    <row r="635" spans="9:10">
      <c r="I635" t="s">
        <v>9064</v>
      </c>
      <c r="J635" t="s">
        <v>7865</v>
      </c>
    </row>
    <row r="636" spans="9:10">
      <c r="I636" t="s">
        <v>9065</v>
      </c>
      <c r="J636" t="s">
        <v>9066</v>
      </c>
    </row>
    <row r="637" spans="9:10">
      <c r="I637" t="s">
        <v>9067</v>
      </c>
      <c r="J637" t="s">
        <v>9068</v>
      </c>
    </row>
    <row r="638" spans="9:10">
      <c r="I638" t="s">
        <v>9069</v>
      </c>
      <c r="J638" t="s">
        <v>9070</v>
      </c>
    </row>
    <row r="639" spans="9:10">
      <c r="I639" t="s">
        <v>9071</v>
      </c>
      <c r="J639" t="s">
        <v>9072</v>
      </c>
    </row>
    <row r="640" spans="9:10">
      <c r="I640" t="s">
        <v>9073</v>
      </c>
      <c r="J640" t="s">
        <v>9074</v>
      </c>
    </row>
    <row r="641" spans="9:10">
      <c r="I641" t="s">
        <v>9075</v>
      </c>
      <c r="J641" t="s">
        <v>9076</v>
      </c>
    </row>
    <row r="642" spans="9:10">
      <c r="I642" t="s">
        <v>9077</v>
      </c>
      <c r="J642" t="s">
        <v>9078</v>
      </c>
    </row>
    <row r="643" spans="9:10">
      <c r="I643" t="s">
        <v>9079</v>
      </c>
      <c r="J643" t="s">
        <v>9080</v>
      </c>
    </row>
    <row r="644" spans="9:10">
      <c r="I644" t="s">
        <v>9081</v>
      </c>
      <c r="J644" t="s">
        <v>9082</v>
      </c>
    </row>
    <row r="645" spans="9:10">
      <c r="I645" t="s">
        <v>9083</v>
      </c>
      <c r="J645" t="s">
        <v>9084</v>
      </c>
    </row>
    <row r="646" spans="9:10">
      <c r="I646" t="s">
        <v>9085</v>
      </c>
      <c r="J646" t="s">
        <v>9086</v>
      </c>
    </row>
    <row r="647" spans="9:10">
      <c r="I647" t="s">
        <v>9087</v>
      </c>
      <c r="J647" t="s">
        <v>9088</v>
      </c>
    </row>
    <row r="648" spans="9:10">
      <c r="I648" t="s">
        <v>9089</v>
      </c>
      <c r="J648" t="s">
        <v>9090</v>
      </c>
    </row>
    <row r="649" spans="9:10">
      <c r="I649" t="s">
        <v>9091</v>
      </c>
      <c r="J649" t="s">
        <v>9092</v>
      </c>
    </row>
    <row r="650" spans="9:10">
      <c r="I650" t="s">
        <v>9093</v>
      </c>
      <c r="J650" t="s">
        <v>9094</v>
      </c>
    </row>
    <row r="651" spans="9:10">
      <c r="I651" t="s">
        <v>9095</v>
      </c>
      <c r="J651" t="s">
        <v>9096</v>
      </c>
    </row>
    <row r="652" spans="9:10">
      <c r="I652" t="s">
        <v>9097</v>
      </c>
      <c r="J652" t="s">
        <v>9098</v>
      </c>
    </row>
    <row r="653" spans="9:10">
      <c r="I653" t="s">
        <v>9099</v>
      </c>
      <c r="J653" t="s">
        <v>9100</v>
      </c>
    </row>
    <row r="654" spans="9:10">
      <c r="I654" t="s">
        <v>9101</v>
      </c>
      <c r="J654" t="s">
        <v>9102</v>
      </c>
    </row>
    <row r="655" spans="9:10">
      <c r="I655" t="s">
        <v>9103</v>
      </c>
      <c r="J655" t="s">
        <v>9104</v>
      </c>
    </row>
    <row r="656" spans="9:10">
      <c r="I656" t="s">
        <v>9105</v>
      </c>
      <c r="J656" t="s">
        <v>9106</v>
      </c>
    </row>
    <row r="657" spans="9:10">
      <c r="I657" t="s">
        <v>9107</v>
      </c>
      <c r="J657" t="s">
        <v>9108</v>
      </c>
    </row>
    <row r="658" spans="9:10">
      <c r="I658" t="s">
        <v>9109</v>
      </c>
      <c r="J658" t="s">
        <v>9110</v>
      </c>
    </row>
    <row r="659" spans="9:10">
      <c r="I659" t="s">
        <v>9111</v>
      </c>
      <c r="J659" t="s">
        <v>9112</v>
      </c>
    </row>
    <row r="660" spans="9:10">
      <c r="I660" t="s">
        <v>9113</v>
      </c>
      <c r="J660" t="s">
        <v>9114</v>
      </c>
    </row>
    <row r="661" spans="9:10">
      <c r="I661" t="s">
        <v>9115</v>
      </c>
      <c r="J661" t="s">
        <v>9116</v>
      </c>
    </row>
    <row r="662" spans="9:10">
      <c r="I662" t="s">
        <v>9117</v>
      </c>
      <c r="J662" t="s">
        <v>9118</v>
      </c>
    </row>
    <row r="663" spans="9:10">
      <c r="I663" t="s">
        <v>9119</v>
      </c>
      <c r="J663" t="s">
        <v>9120</v>
      </c>
    </row>
    <row r="664" spans="9:10">
      <c r="I664" t="s">
        <v>9121</v>
      </c>
      <c r="J664" t="s">
        <v>9122</v>
      </c>
    </row>
    <row r="665" spans="9:10">
      <c r="I665" t="s">
        <v>9123</v>
      </c>
      <c r="J665" t="s">
        <v>9124</v>
      </c>
    </row>
    <row r="666" spans="9:10">
      <c r="I666" t="s">
        <v>9125</v>
      </c>
      <c r="J666" t="s">
        <v>9126</v>
      </c>
    </row>
    <row r="667" spans="9:10">
      <c r="I667" t="s">
        <v>9127</v>
      </c>
      <c r="J667" t="s">
        <v>9128</v>
      </c>
    </row>
    <row r="668" spans="9:10">
      <c r="I668" t="s">
        <v>9129</v>
      </c>
      <c r="J668" t="s">
        <v>9130</v>
      </c>
    </row>
    <row r="669" spans="9:10">
      <c r="I669" t="s">
        <v>9131</v>
      </c>
      <c r="J669" t="s">
        <v>9132</v>
      </c>
    </row>
    <row r="670" spans="9:10">
      <c r="I670" t="s">
        <v>9133</v>
      </c>
      <c r="J670" t="s">
        <v>9134</v>
      </c>
    </row>
    <row r="671" spans="9:10">
      <c r="I671" t="s">
        <v>9135</v>
      </c>
      <c r="J671" t="s">
        <v>9136</v>
      </c>
    </row>
    <row r="672" spans="9:10">
      <c r="I672" t="s">
        <v>9137</v>
      </c>
      <c r="J672" t="s">
        <v>9138</v>
      </c>
    </row>
    <row r="673" spans="9:10">
      <c r="I673" t="s">
        <v>9139</v>
      </c>
      <c r="J673" t="s">
        <v>9140</v>
      </c>
    </row>
    <row r="674" spans="9:10">
      <c r="I674" t="s">
        <v>9141</v>
      </c>
      <c r="J674" t="s">
        <v>9142</v>
      </c>
    </row>
    <row r="675" spans="9:10">
      <c r="I675" t="s">
        <v>9143</v>
      </c>
      <c r="J675" t="s">
        <v>9144</v>
      </c>
    </row>
    <row r="676" spans="9:10">
      <c r="I676" t="s">
        <v>9145</v>
      </c>
      <c r="J676" t="s">
        <v>9146</v>
      </c>
    </row>
    <row r="677" spans="9:10">
      <c r="I677" t="s">
        <v>9147</v>
      </c>
      <c r="J677" t="s">
        <v>9148</v>
      </c>
    </row>
    <row r="678" spans="9:10">
      <c r="I678" t="s">
        <v>9149</v>
      </c>
      <c r="J678" t="s">
        <v>9150</v>
      </c>
    </row>
    <row r="679" spans="9:10">
      <c r="I679" t="s">
        <v>9151</v>
      </c>
      <c r="J679" t="s">
        <v>9152</v>
      </c>
    </row>
    <row r="680" spans="9:10">
      <c r="I680" t="s">
        <v>9153</v>
      </c>
      <c r="J680" t="s">
        <v>9154</v>
      </c>
    </row>
    <row r="681" spans="9:10">
      <c r="I681" t="s">
        <v>9155</v>
      </c>
      <c r="J681" t="s">
        <v>9156</v>
      </c>
    </row>
    <row r="682" spans="9:10">
      <c r="I682" t="s">
        <v>9157</v>
      </c>
      <c r="J682" t="s">
        <v>9158</v>
      </c>
    </row>
    <row r="683" spans="9:10">
      <c r="I683" t="s">
        <v>9159</v>
      </c>
      <c r="J683" t="s">
        <v>9160</v>
      </c>
    </row>
    <row r="684" spans="9:10">
      <c r="I684" t="s">
        <v>9161</v>
      </c>
      <c r="J684" t="s">
        <v>9162</v>
      </c>
    </row>
    <row r="685" spans="9:10">
      <c r="I685" t="s">
        <v>9163</v>
      </c>
      <c r="J685" t="s">
        <v>9164</v>
      </c>
    </row>
    <row r="686" spans="9:10">
      <c r="I686" t="s">
        <v>9165</v>
      </c>
      <c r="J686" t="s">
        <v>9166</v>
      </c>
    </row>
    <row r="687" spans="9:10">
      <c r="I687" t="s">
        <v>9167</v>
      </c>
      <c r="J687" t="s">
        <v>9168</v>
      </c>
    </row>
    <row r="688" spans="9:10">
      <c r="I688" t="s">
        <v>9169</v>
      </c>
      <c r="J688" t="s">
        <v>9170</v>
      </c>
    </row>
    <row r="689" spans="9:10">
      <c r="I689" t="s">
        <v>9171</v>
      </c>
      <c r="J689" t="s">
        <v>9172</v>
      </c>
    </row>
    <row r="690" spans="9:10">
      <c r="I690" t="s">
        <v>9173</v>
      </c>
      <c r="J690" t="s">
        <v>9174</v>
      </c>
    </row>
    <row r="691" spans="9:10">
      <c r="I691" t="s">
        <v>9175</v>
      </c>
      <c r="J691" t="s">
        <v>9176</v>
      </c>
    </row>
    <row r="692" spans="9:10">
      <c r="I692" t="s">
        <v>9177</v>
      </c>
      <c r="J692" t="s">
        <v>9178</v>
      </c>
    </row>
    <row r="693" spans="9:10">
      <c r="I693" t="s">
        <v>9179</v>
      </c>
      <c r="J693" t="s">
        <v>9180</v>
      </c>
    </row>
    <row r="694" spans="9:10">
      <c r="I694" t="s">
        <v>9181</v>
      </c>
      <c r="J694" t="s">
        <v>9182</v>
      </c>
    </row>
    <row r="695" spans="9:10">
      <c r="I695" t="s">
        <v>9183</v>
      </c>
      <c r="J695" t="s">
        <v>9184</v>
      </c>
    </row>
    <row r="696" spans="9:10">
      <c r="I696" t="s">
        <v>9185</v>
      </c>
      <c r="J696" t="s">
        <v>9186</v>
      </c>
    </row>
    <row r="697" spans="9:10">
      <c r="I697" t="s">
        <v>9187</v>
      </c>
      <c r="J697" t="s">
        <v>9188</v>
      </c>
    </row>
    <row r="698" spans="9:10">
      <c r="I698" t="s">
        <v>9189</v>
      </c>
      <c r="J698" t="s">
        <v>9190</v>
      </c>
    </row>
    <row r="699" spans="9:10">
      <c r="I699" t="s">
        <v>9191</v>
      </c>
      <c r="J699" t="s">
        <v>9192</v>
      </c>
    </row>
    <row r="700" spans="9:10">
      <c r="I700" t="s">
        <v>9193</v>
      </c>
      <c r="J700" t="s">
        <v>8245</v>
      </c>
    </row>
    <row r="701" spans="9:10">
      <c r="I701" t="s">
        <v>9194</v>
      </c>
      <c r="J701" t="s">
        <v>8247</v>
      </c>
    </row>
    <row r="702" spans="9:10">
      <c r="I702" t="s">
        <v>9195</v>
      </c>
      <c r="J702" t="s">
        <v>9196</v>
      </c>
    </row>
    <row r="703" spans="9:10">
      <c r="I703" t="s">
        <v>9197</v>
      </c>
      <c r="J703" t="s">
        <v>9198</v>
      </c>
    </row>
    <row r="704" spans="9:10">
      <c r="I704" t="s">
        <v>9199</v>
      </c>
      <c r="J704" t="s">
        <v>9200</v>
      </c>
    </row>
    <row r="705" spans="9:10">
      <c r="I705" t="s">
        <v>9201</v>
      </c>
      <c r="J705" t="s">
        <v>9202</v>
      </c>
    </row>
    <row r="706" spans="9:10">
      <c r="I706" t="s">
        <v>9203</v>
      </c>
      <c r="J706" t="s">
        <v>9204</v>
      </c>
    </row>
    <row r="707" spans="9:10">
      <c r="I707" t="s">
        <v>9205</v>
      </c>
      <c r="J707" t="s">
        <v>9206</v>
      </c>
    </row>
    <row r="708" spans="9:10">
      <c r="I708" t="s">
        <v>9207</v>
      </c>
      <c r="J708" t="s">
        <v>9208</v>
      </c>
    </row>
    <row r="709" spans="9:10">
      <c r="I709" t="s">
        <v>9209</v>
      </c>
      <c r="J709" t="s">
        <v>9210</v>
      </c>
    </row>
    <row r="710" spans="9:10">
      <c r="I710" t="s">
        <v>9211</v>
      </c>
      <c r="J710" t="s">
        <v>9212</v>
      </c>
    </row>
    <row r="711" spans="9:10">
      <c r="I711" t="s">
        <v>9213</v>
      </c>
      <c r="J711" t="s">
        <v>9214</v>
      </c>
    </row>
    <row r="712" spans="9:10">
      <c r="I712" t="s">
        <v>9215</v>
      </c>
      <c r="J712" t="s">
        <v>9216</v>
      </c>
    </row>
    <row r="713" spans="9:10">
      <c r="I713" t="s">
        <v>9217</v>
      </c>
      <c r="J713" t="s">
        <v>9218</v>
      </c>
    </row>
    <row r="714" spans="9:10">
      <c r="I714" t="s">
        <v>9219</v>
      </c>
      <c r="J714" t="s">
        <v>9220</v>
      </c>
    </row>
    <row r="715" spans="9:10">
      <c r="I715" t="s">
        <v>9221</v>
      </c>
      <c r="J715" t="s">
        <v>9222</v>
      </c>
    </row>
    <row r="716" spans="9:10">
      <c r="I716" t="s">
        <v>9223</v>
      </c>
      <c r="J716" t="s">
        <v>9224</v>
      </c>
    </row>
    <row r="717" spans="9:10">
      <c r="I717" t="s">
        <v>9225</v>
      </c>
      <c r="J717" t="s">
        <v>9226</v>
      </c>
    </row>
    <row r="718" spans="9:10">
      <c r="I718" t="s">
        <v>9227</v>
      </c>
      <c r="J718" t="s">
        <v>9228</v>
      </c>
    </row>
    <row r="719" spans="9:10">
      <c r="I719" t="s">
        <v>9229</v>
      </c>
      <c r="J719" t="s">
        <v>8245</v>
      </c>
    </row>
    <row r="720" spans="9:10">
      <c r="I720" t="s">
        <v>9230</v>
      </c>
      <c r="J720" t="s">
        <v>8247</v>
      </c>
    </row>
    <row r="721" spans="9:10">
      <c r="I721" t="s">
        <v>9231</v>
      </c>
      <c r="J721" t="s">
        <v>8302</v>
      </c>
    </row>
    <row r="722" spans="9:10">
      <c r="I722" t="s">
        <v>9232</v>
      </c>
      <c r="J722" t="s">
        <v>9233</v>
      </c>
    </row>
    <row r="723" spans="9:10">
      <c r="I723" t="s">
        <v>9234</v>
      </c>
      <c r="J723" t="s">
        <v>9235</v>
      </c>
    </row>
    <row r="724" spans="9:10">
      <c r="I724" t="s">
        <v>9236</v>
      </c>
      <c r="J724" t="s">
        <v>8308</v>
      </c>
    </row>
    <row r="725" spans="9:10">
      <c r="I725" t="s">
        <v>9237</v>
      </c>
      <c r="J725" t="s">
        <v>8310</v>
      </c>
    </row>
    <row r="726" spans="9:10">
      <c r="I726" t="s">
        <v>9238</v>
      </c>
      <c r="J726" t="s">
        <v>8312</v>
      </c>
    </row>
    <row r="727" spans="9:10">
      <c r="I727" t="s">
        <v>9239</v>
      </c>
      <c r="J727" t="s">
        <v>8314</v>
      </c>
    </row>
    <row r="728" spans="9:10">
      <c r="I728" t="s">
        <v>9240</v>
      </c>
      <c r="J728" t="s">
        <v>9241</v>
      </c>
    </row>
    <row r="729" spans="9:10">
      <c r="I729" t="s">
        <v>9242</v>
      </c>
      <c r="J729" t="s">
        <v>9243</v>
      </c>
    </row>
    <row r="730" spans="9:10">
      <c r="I730" t="s">
        <v>9244</v>
      </c>
      <c r="J730" t="s">
        <v>9245</v>
      </c>
    </row>
    <row r="731" spans="9:10">
      <c r="I731" t="s">
        <v>9246</v>
      </c>
      <c r="J731" t="s">
        <v>9247</v>
      </c>
    </row>
    <row r="732" spans="9:10">
      <c r="I732" t="s">
        <v>9248</v>
      </c>
      <c r="J732" t="s">
        <v>7977</v>
      </c>
    </row>
    <row r="733" spans="9:10">
      <c r="I733" t="s">
        <v>9249</v>
      </c>
      <c r="J733" t="s">
        <v>9250</v>
      </c>
    </row>
    <row r="734" spans="9:10">
      <c r="I734" t="s">
        <v>9251</v>
      </c>
      <c r="J734" t="s">
        <v>9252</v>
      </c>
    </row>
    <row r="735" spans="9:10">
      <c r="I735" t="s">
        <v>9253</v>
      </c>
      <c r="J735" t="s">
        <v>7981</v>
      </c>
    </row>
    <row r="736" spans="9:10">
      <c r="I736" t="s">
        <v>9254</v>
      </c>
      <c r="J736" t="s">
        <v>9255</v>
      </c>
    </row>
    <row r="737" spans="9:10">
      <c r="I737" t="s">
        <v>9256</v>
      </c>
      <c r="J737" t="s">
        <v>9257</v>
      </c>
    </row>
    <row r="738" spans="9:10">
      <c r="I738" t="s">
        <v>9258</v>
      </c>
      <c r="J738" t="s">
        <v>9259</v>
      </c>
    </row>
    <row r="739" spans="9:10">
      <c r="I739" t="s">
        <v>9260</v>
      </c>
      <c r="J739" t="s">
        <v>9261</v>
      </c>
    </row>
    <row r="740" spans="9:10">
      <c r="I740" t="s">
        <v>9262</v>
      </c>
      <c r="J740" t="s">
        <v>9263</v>
      </c>
    </row>
    <row r="741" spans="9:10">
      <c r="I741" t="s">
        <v>9264</v>
      </c>
      <c r="J741" t="s">
        <v>9265</v>
      </c>
    </row>
    <row r="742" spans="9:10">
      <c r="I742" t="s">
        <v>9266</v>
      </c>
      <c r="J742" t="s">
        <v>9267</v>
      </c>
    </row>
    <row r="743" spans="9:10">
      <c r="I743" t="s">
        <v>9268</v>
      </c>
      <c r="J743" t="s">
        <v>9269</v>
      </c>
    </row>
    <row r="744" spans="9:10">
      <c r="I744" t="s">
        <v>9270</v>
      </c>
      <c r="J744" t="s">
        <v>9271</v>
      </c>
    </row>
    <row r="745" spans="9:10">
      <c r="I745" t="s">
        <v>9272</v>
      </c>
      <c r="J745" t="s">
        <v>8322</v>
      </c>
    </row>
    <row r="746" spans="9:10">
      <c r="I746" t="s">
        <v>9273</v>
      </c>
      <c r="J746" t="s">
        <v>9274</v>
      </c>
    </row>
    <row r="747" spans="9:10">
      <c r="I747" t="s">
        <v>9275</v>
      </c>
      <c r="J747" t="s">
        <v>9276</v>
      </c>
    </row>
    <row r="748" spans="9:10">
      <c r="I748" t="s">
        <v>9277</v>
      </c>
      <c r="J748" t="s">
        <v>9278</v>
      </c>
    </row>
    <row r="749" spans="9:10">
      <c r="I749" t="s">
        <v>9279</v>
      </c>
      <c r="J749" t="s">
        <v>9280</v>
      </c>
    </row>
    <row r="750" spans="9:10">
      <c r="I750" t="s">
        <v>9281</v>
      </c>
      <c r="J750" t="s">
        <v>9282</v>
      </c>
    </row>
    <row r="751" spans="9:10">
      <c r="I751" t="s">
        <v>9283</v>
      </c>
      <c r="J751" t="s">
        <v>8980</v>
      </c>
    </row>
    <row r="752" spans="9:10">
      <c r="I752" t="s">
        <v>9284</v>
      </c>
      <c r="J752" t="s">
        <v>8245</v>
      </c>
    </row>
    <row r="753" spans="9:10">
      <c r="I753" t="s">
        <v>9285</v>
      </c>
      <c r="J753" t="s">
        <v>8247</v>
      </c>
    </row>
    <row r="754" spans="9:10">
      <c r="I754" t="s">
        <v>9286</v>
      </c>
      <c r="J754" t="s">
        <v>8245</v>
      </c>
    </row>
    <row r="755" spans="9:10">
      <c r="I755" t="s">
        <v>9287</v>
      </c>
      <c r="J755" t="s">
        <v>8247</v>
      </c>
    </row>
    <row r="756" spans="9:10">
      <c r="I756" t="s">
        <v>9288</v>
      </c>
      <c r="J756" t="s">
        <v>7795</v>
      </c>
    </row>
    <row r="757" spans="9:10">
      <c r="I757" t="s">
        <v>9289</v>
      </c>
      <c r="J757" t="s">
        <v>8245</v>
      </c>
    </row>
    <row r="758" spans="9:10">
      <c r="I758" t="s">
        <v>9290</v>
      </c>
      <c r="J758" t="s">
        <v>8247</v>
      </c>
    </row>
    <row r="759" spans="9:10">
      <c r="I759" t="s">
        <v>9291</v>
      </c>
      <c r="J759" t="s">
        <v>9292</v>
      </c>
    </row>
    <row r="760" spans="9:10">
      <c r="I760" t="s">
        <v>9293</v>
      </c>
      <c r="J760" t="s">
        <v>9294</v>
      </c>
    </row>
    <row r="761" spans="9:10">
      <c r="I761" t="s">
        <v>9295</v>
      </c>
      <c r="J761" t="s">
        <v>9296</v>
      </c>
    </row>
    <row r="762" spans="9:10">
      <c r="I762" t="s">
        <v>9297</v>
      </c>
      <c r="J762" t="s">
        <v>9298</v>
      </c>
    </row>
    <row r="763" spans="9:10">
      <c r="I763" t="s">
        <v>9299</v>
      </c>
      <c r="J763" t="s">
        <v>9300</v>
      </c>
    </row>
    <row r="764" spans="9:10">
      <c r="I764" t="s">
        <v>9301</v>
      </c>
      <c r="J764" t="s">
        <v>9302</v>
      </c>
    </row>
    <row r="765" spans="9:10">
      <c r="I765" t="s">
        <v>9303</v>
      </c>
      <c r="J765" t="s">
        <v>9304</v>
      </c>
    </row>
    <row r="766" spans="9:10">
      <c r="I766" t="s">
        <v>9305</v>
      </c>
      <c r="J766" t="s">
        <v>9306</v>
      </c>
    </row>
    <row r="767" spans="9:10">
      <c r="I767" t="s">
        <v>9307</v>
      </c>
      <c r="J767" t="s">
        <v>9308</v>
      </c>
    </row>
    <row r="768" spans="9:10">
      <c r="I768" t="s">
        <v>9309</v>
      </c>
      <c r="J768" t="s">
        <v>9310</v>
      </c>
    </row>
    <row r="769" spans="9:10">
      <c r="I769" t="s">
        <v>9311</v>
      </c>
      <c r="J769" t="s">
        <v>9312</v>
      </c>
    </row>
    <row r="770" spans="9:10">
      <c r="I770" t="s">
        <v>9313</v>
      </c>
      <c r="J770" t="s">
        <v>8245</v>
      </c>
    </row>
    <row r="771" spans="9:10">
      <c r="I771" t="s">
        <v>9314</v>
      </c>
      <c r="J771" t="s">
        <v>8247</v>
      </c>
    </row>
    <row r="772" spans="9:10">
      <c r="I772" t="s">
        <v>9315</v>
      </c>
      <c r="J772" t="s">
        <v>9316</v>
      </c>
    </row>
    <row r="773" spans="9:10">
      <c r="I773" t="s">
        <v>9317</v>
      </c>
      <c r="J773" t="s">
        <v>9318</v>
      </c>
    </row>
    <row r="774" spans="9:10">
      <c r="I774" t="s">
        <v>9319</v>
      </c>
      <c r="J774" t="s">
        <v>9320</v>
      </c>
    </row>
    <row r="775" spans="9:10">
      <c r="I775" t="s">
        <v>9321</v>
      </c>
      <c r="J775" t="s">
        <v>9322</v>
      </c>
    </row>
    <row r="776" spans="9:10">
      <c r="I776" t="s">
        <v>9323</v>
      </c>
      <c r="J776" t="s">
        <v>9324</v>
      </c>
    </row>
    <row r="777" spans="9:10">
      <c r="I777" t="s">
        <v>9325</v>
      </c>
      <c r="J777" t="s">
        <v>9326</v>
      </c>
    </row>
    <row r="778" spans="9:10">
      <c r="I778" t="s">
        <v>9327</v>
      </c>
      <c r="J778" t="s">
        <v>9328</v>
      </c>
    </row>
    <row r="779" spans="9:10">
      <c r="I779" t="s">
        <v>9329</v>
      </c>
      <c r="J779" t="s">
        <v>9330</v>
      </c>
    </row>
    <row r="780" spans="9:10">
      <c r="I780" t="s">
        <v>9331</v>
      </c>
      <c r="J780" t="s">
        <v>9332</v>
      </c>
    </row>
    <row r="781" spans="9:10">
      <c r="I781" t="s">
        <v>9333</v>
      </c>
      <c r="J781" t="s">
        <v>9334</v>
      </c>
    </row>
    <row r="782" spans="9:10">
      <c r="I782" t="s">
        <v>9335</v>
      </c>
      <c r="J782" t="s">
        <v>9336</v>
      </c>
    </row>
    <row r="783" spans="9:10">
      <c r="I783" t="s">
        <v>9337</v>
      </c>
      <c r="J783" t="s">
        <v>9338</v>
      </c>
    </row>
    <row r="784" spans="9:10">
      <c r="I784" t="s">
        <v>9339</v>
      </c>
      <c r="J784" t="s">
        <v>9340</v>
      </c>
    </row>
    <row r="785" spans="9:10">
      <c r="I785" t="s">
        <v>9341</v>
      </c>
      <c r="J785" t="s">
        <v>9342</v>
      </c>
    </row>
    <row r="786" spans="9:10">
      <c r="I786" t="s">
        <v>9343</v>
      </c>
      <c r="J786" t="s">
        <v>9344</v>
      </c>
    </row>
    <row r="787" spans="9:10">
      <c r="I787" t="s">
        <v>9345</v>
      </c>
      <c r="J787" t="s">
        <v>9346</v>
      </c>
    </row>
    <row r="788" spans="9:10">
      <c r="I788" t="s">
        <v>9347</v>
      </c>
      <c r="J788" t="s">
        <v>9348</v>
      </c>
    </row>
    <row r="789" spans="9:10">
      <c r="I789" t="s">
        <v>9349</v>
      </c>
      <c r="J789" t="s">
        <v>9350</v>
      </c>
    </row>
    <row r="790" spans="9:10">
      <c r="I790" t="s">
        <v>9351</v>
      </c>
      <c r="J790" t="s">
        <v>9352</v>
      </c>
    </row>
    <row r="791" spans="9:10">
      <c r="I791" t="s">
        <v>9353</v>
      </c>
      <c r="J791" t="s">
        <v>9354</v>
      </c>
    </row>
    <row r="792" spans="9:10">
      <c r="I792" t="s">
        <v>9355</v>
      </c>
      <c r="J792" t="s">
        <v>9356</v>
      </c>
    </row>
    <row r="793" spans="9:10">
      <c r="I793" t="s">
        <v>9357</v>
      </c>
      <c r="J793" t="s">
        <v>9358</v>
      </c>
    </row>
    <row r="794" spans="9:10">
      <c r="I794" t="s">
        <v>9359</v>
      </c>
      <c r="J794" t="s">
        <v>9360</v>
      </c>
    </row>
    <row r="795" spans="9:10">
      <c r="I795" t="s">
        <v>9361</v>
      </c>
      <c r="J795" t="s">
        <v>9362</v>
      </c>
    </row>
    <row r="796" spans="9:10">
      <c r="I796" t="s">
        <v>9363</v>
      </c>
      <c r="J796" t="s">
        <v>9364</v>
      </c>
    </row>
    <row r="797" spans="9:10">
      <c r="I797" t="s">
        <v>9365</v>
      </c>
      <c r="J797" t="s">
        <v>9366</v>
      </c>
    </row>
    <row r="798" spans="9:10">
      <c r="I798" t="s">
        <v>9367</v>
      </c>
      <c r="J798" t="s">
        <v>9368</v>
      </c>
    </row>
    <row r="799" spans="9:10">
      <c r="I799" t="s">
        <v>9369</v>
      </c>
      <c r="J799" t="s">
        <v>9370</v>
      </c>
    </row>
    <row r="800" spans="9:10">
      <c r="I800" t="s">
        <v>9371</v>
      </c>
      <c r="J800" t="s">
        <v>9372</v>
      </c>
    </row>
    <row r="801" spans="9:10">
      <c r="I801" t="s">
        <v>9373</v>
      </c>
      <c r="J801" t="s">
        <v>9374</v>
      </c>
    </row>
    <row r="802" spans="9:10">
      <c r="I802" t="s">
        <v>9375</v>
      </c>
      <c r="J802" t="s">
        <v>9376</v>
      </c>
    </row>
    <row r="803" spans="9:10">
      <c r="I803" t="s">
        <v>9377</v>
      </c>
      <c r="J803" t="s">
        <v>9378</v>
      </c>
    </row>
    <row r="804" spans="9:10">
      <c r="I804" t="s">
        <v>9379</v>
      </c>
      <c r="J804" t="s">
        <v>9380</v>
      </c>
    </row>
    <row r="805" spans="9:10">
      <c r="I805" t="s">
        <v>9381</v>
      </c>
      <c r="J805" t="s">
        <v>9382</v>
      </c>
    </row>
    <row r="806" spans="9:10">
      <c r="I806" t="s">
        <v>9383</v>
      </c>
      <c r="J806" t="s">
        <v>9384</v>
      </c>
    </row>
    <row r="807" spans="9:10">
      <c r="I807" t="s">
        <v>9385</v>
      </c>
      <c r="J807" t="s">
        <v>9386</v>
      </c>
    </row>
    <row r="808" spans="9:10">
      <c r="I808" t="s">
        <v>9387</v>
      </c>
      <c r="J808" t="s">
        <v>9388</v>
      </c>
    </row>
    <row r="809" spans="9:10">
      <c r="I809" t="s">
        <v>9389</v>
      </c>
      <c r="J809" t="s">
        <v>9390</v>
      </c>
    </row>
    <row r="810" spans="9:10">
      <c r="I810" t="s">
        <v>9391</v>
      </c>
      <c r="J810" t="s">
        <v>9392</v>
      </c>
    </row>
    <row r="811" spans="9:10">
      <c r="I811" t="s">
        <v>9393</v>
      </c>
      <c r="J811" t="s">
        <v>9394</v>
      </c>
    </row>
    <row r="812" spans="9:10">
      <c r="I812" t="s">
        <v>9395</v>
      </c>
      <c r="J812" t="s">
        <v>9396</v>
      </c>
    </row>
    <row r="813" spans="9:10">
      <c r="I813" t="s">
        <v>9397</v>
      </c>
      <c r="J813" t="s">
        <v>9398</v>
      </c>
    </row>
    <row r="814" spans="9:10">
      <c r="I814" t="s">
        <v>9399</v>
      </c>
      <c r="J814" t="s">
        <v>9400</v>
      </c>
    </row>
    <row r="815" spans="9:10">
      <c r="I815" t="s">
        <v>9401</v>
      </c>
      <c r="J815" t="s">
        <v>9402</v>
      </c>
    </row>
    <row r="816" spans="9:10">
      <c r="I816" t="s">
        <v>9403</v>
      </c>
      <c r="J816" t="s">
        <v>9404</v>
      </c>
    </row>
    <row r="817" spans="9:10">
      <c r="I817" t="s">
        <v>9405</v>
      </c>
      <c r="J817" t="s">
        <v>9406</v>
      </c>
    </row>
    <row r="818" spans="9:10">
      <c r="I818" t="s">
        <v>9407</v>
      </c>
      <c r="J818" t="s">
        <v>9408</v>
      </c>
    </row>
    <row r="819" spans="9:10">
      <c r="I819" t="s">
        <v>9409</v>
      </c>
      <c r="J819" t="s">
        <v>9410</v>
      </c>
    </row>
    <row r="820" spans="9:10">
      <c r="I820" t="s">
        <v>9411</v>
      </c>
      <c r="J820" t="s">
        <v>9412</v>
      </c>
    </row>
    <row r="821" spans="9:10">
      <c r="I821" t="s">
        <v>9413</v>
      </c>
      <c r="J821" t="s">
        <v>9414</v>
      </c>
    </row>
    <row r="822" spans="9:10">
      <c r="I822" t="s">
        <v>9415</v>
      </c>
      <c r="J822" t="s">
        <v>9416</v>
      </c>
    </row>
    <row r="823" spans="9:10">
      <c r="I823" t="s">
        <v>9417</v>
      </c>
      <c r="J823" t="s">
        <v>9418</v>
      </c>
    </row>
    <row r="824" spans="9:10">
      <c r="I824" t="s">
        <v>9419</v>
      </c>
      <c r="J824" t="s">
        <v>9420</v>
      </c>
    </row>
    <row r="825" spans="9:10">
      <c r="I825" t="s">
        <v>9421</v>
      </c>
      <c r="J825" t="s">
        <v>9422</v>
      </c>
    </row>
    <row r="826" spans="9:10">
      <c r="I826" t="s">
        <v>9423</v>
      </c>
      <c r="J826" t="s">
        <v>9424</v>
      </c>
    </row>
    <row r="827" spans="9:10">
      <c r="I827" t="s">
        <v>9425</v>
      </c>
      <c r="J827" t="s">
        <v>9426</v>
      </c>
    </row>
    <row r="828" spans="9:10">
      <c r="I828" t="s">
        <v>9427</v>
      </c>
      <c r="J828" t="s">
        <v>9428</v>
      </c>
    </row>
    <row r="829" spans="9:10">
      <c r="I829" t="s">
        <v>9429</v>
      </c>
      <c r="J829" t="s">
        <v>9430</v>
      </c>
    </row>
    <row r="830" spans="9:10">
      <c r="I830" t="s">
        <v>9431</v>
      </c>
      <c r="J830" t="s">
        <v>9432</v>
      </c>
    </row>
    <row r="831" spans="9:10">
      <c r="I831" t="s">
        <v>9433</v>
      </c>
      <c r="J831" t="s">
        <v>9434</v>
      </c>
    </row>
    <row r="832" spans="9:10">
      <c r="I832" t="s">
        <v>9435</v>
      </c>
      <c r="J832" t="s">
        <v>9436</v>
      </c>
    </row>
    <row r="833" spans="9:10">
      <c r="I833" t="s">
        <v>9437</v>
      </c>
      <c r="J833" t="s">
        <v>9438</v>
      </c>
    </row>
    <row r="834" spans="9:10">
      <c r="I834" t="s">
        <v>9439</v>
      </c>
      <c r="J834" t="s">
        <v>9440</v>
      </c>
    </row>
    <row r="835" spans="9:10">
      <c r="I835" t="s">
        <v>9441</v>
      </c>
      <c r="J835" t="s">
        <v>9442</v>
      </c>
    </row>
    <row r="836" spans="9:10">
      <c r="I836" t="s">
        <v>9443</v>
      </c>
      <c r="J836" t="s">
        <v>9444</v>
      </c>
    </row>
    <row r="837" spans="9:10">
      <c r="I837" t="s">
        <v>9445</v>
      </c>
      <c r="J837" t="s">
        <v>9446</v>
      </c>
    </row>
    <row r="838" spans="9:10">
      <c r="I838" t="s">
        <v>9447</v>
      </c>
      <c r="J838" t="s">
        <v>9448</v>
      </c>
    </row>
    <row r="839" spans="9:10">
      <c r="I839" t="s">
        <v>9449</v>
      </c>
      <c r="J839" t="s">
        <v>9450</v>
      </c>
    </row>
    <row r="840" spans="9:10">
      <c r="I840" t="s">
        <v>9451</v>
      </c>
      <c r="J840" t="s">
        <v>9452</v>
      </c>
    </row>
    <row r="841" spans="9:10">
      <c r="I841" t="s">
        <v>9453</v>
      </c>
      <c r="J841" t="s">
        <v>9454</v>
      </c>
    </row>
    <row r="842" spans="9:10">
      <c r="I842" t="s">
        <v>9455</v>
      </c>
      <c r="J842" t="s">
        <v>9456</v>
      </c>
    </row>
    <row r="843" spans="9:10">
      <c r="I843" t="s">
        <v>9457</v>
      </c>
      <c r="J843" t="s">
        <v>9458</v>
      </c>
    </row>
    <row r="844" spans="9:10">
      <c r="I844" t="s">
        <v>9459</v>
      </c>
      <c r="J844" t="s">
        <v>9460</v>
      </c>
    </row>
    <row r="845" spans="9:10">
      <c r="I845" t="s">
        <v>9461</v>
      </c>
      <c r="J845" t="s">
        <v>9462</v>
      </c>
    </row>
    <row r="846" spans="9:10">
      <c r="I846" t="s">
        <v>9463</v>
      </c>
      <c r="J846" t="s">
        <v>9464</v>
      </c>
    </row>
    <row r="847" spans="9:10">
      <c r="I847" t="s">
        <v>9465</v>
      </c>
      <c r="J847" t="s">
        <v>9466</v>
      </c>
    </row>
    <row r="848" spans="9:10">
      <c r="I848" t="s">
        <v>9467</v>
      </c>
      <c r="J848" t="s">
        <v>9468</v>
      </c>
    </row>
    <row r="849" spans="9:10">
      <c r="I849" t="s">
        <v>9469</v>
      </c>
      <c r="J849" t="s">
        <v>9470</v>
      </c>
    </row>
    <row r="850" spans="9:10">
      <c r="I850" t="s">
        <v>9471</v>
      </c>
      <c r="J850" t="s">
        <v>9472</v>
      </c>
    </row>
    <row r="851" spans="9:10">
      <c r="I851" t="s">
        <v>9473</v>
      </c>
      <c r="J851" t="s">
        <v>9474</v>
      </c>
    </row>
    <row r="852" spans="9:10">
      <c r="I852" t="s">
        <v>9475</v>
      </c>
      <c r="J852" t="s">
        <v>9476</v>
      </c>
    </row>
    <row r="853" spans="9:10">
      <c r="I853" t="s">
        <v>9477</v>
      </c>
      <c r="J853" t="s">
        <v>8245</v>
      </c>
    </row>
    <row r="854" spans="9:10">
      <c r="I854" t="s">
        <v>9478</v>
      </c>
      <c r="J854" t="s">
        <v>8247</v>
      </c>
    </row>
    <row r="855" spans="9:10">
      <c r="I855" t="s">
        <v>9479</v>
      </c>
      <c r="J855" t="s">
        <v>9480</v>
      </c>
    </row>
    <row r="856" spans="9:10">
      <c r="I856" t="s">
        <v>9481</v>
      </c>
      <c r="J856" t="s">
        <v>9482</v>
      </c>
    </row>
    <row r="857" spans="9:10">
      <c r="I857" t="s">
        <v>9483</v>
      </c>
      <c r="J857" t="s">
        <v>8245</v>
      </c>
    </row>
    <row r="858" spans="9:10">
      <c r="I858" t="s">
        <v>9484</v>
      </c>
      <c r="J858" t="s">
        <v>8247</v>
      </c>
    </row>
    <row r="859" spans="9:10">
      <c r="I859" t="s">
        <v>9485</v>
      </c>
      <c r="J859" t="s">
        <v>9486</v>
      </c>
    </row>
    <row r="860" spans="9:10">
      <c r="I860" t="s">
        <v>9487</v>
      </c>
      <c r="J860" t="s">
        <v>8245</v>
      </c>
    </row>
    <row r="861" spans="9:10">
      <c r="I861" t="s">
        <v>9488</v>
      </c>
      <c r="J861" t="s">
        <v>8247</v>
      </c>
    </row>
    <row r="862" spans="9:10">
      <c r="I862" t="s">
        <v>9489</v>
      </c>
      <c r="J862" t="s">
        <v>9490</v>
      </c>
    </row>
    <row r="863" spans="9:10">
      <c r="I863" t="s">
        <v>9491</v>
      </c>
      <c r="J863" t="s">
        <v>9492</v>
      </c>
    </row>
    <row r="864" spans="9:10">
      <c r="I864" t="s">
        <v>9493</v>
      </c>
      <c r="J864" t="s">
        <v>9494</v>
      </c>
    </row>
    <row r="865" spans="9:10">
      <c r="I865" t="s">
        <v>9495</v>
      </c>
      <c r="J865" t="s">
        <v>9496</v>
      </c>
    </row>
    <row r="866" spans="9:10">
      <c r="I866" t="s">
        <v>9497</v>
      </c>
      <c r="J866" t="s">
        <v>9498</v>
      </c>
    </row>
    <row r="867" spans="9:10">
      <c r="I867" t="s">
        <v>9499</v>
      </c>
      <c r="J867" t="s">
        <v>9500</v>
      </c>
    </row>
    <row r="868" spans="9:10">
      <c r="I868" t="s">
        <v>9501</v>
      </c>
      <c r="J868" t="s">
        <v>9502</v>
      </c>
    </row>
    <row r="869" spans="9:10">
      <c r="I869" t="s">
        <v>9503</v>
      </c>
      <c r="J869" t="s">
        <v>9504</v>
      </c>
    </row>
    <row r="870" spans="9:10">
      <c r="I870" t="s">
        <v>9505</v>
      </c>
      <c r="J870" t="s">
        <v>9506</v>
      </c>
    </row>
    <row r="871" spans="9:10">
      <c r="I871" t="s">
        <v>9507</v>
      </c>
      <c r="J871" t="s">
        <v>9508</v>
      </c>
    </row>
    <row r="872" spans="9:10">
      <c r="I872" t="s">
        <v>9509</v>
      </c>
      <c r="J872" t="s">
        <v>9510</v>
      </c>
    </row>
    <row r="873" spans="9:10">
      <c r="I873" t="s">
        <v>9511</v>
      </c>
      <c r="J873" t="s">
        <v>9512</v>
      </c>
    </row>
    <row r="874" spans="9:10">
      <c r="I874" t="s">
        <v>9513</v>
      </c>
      <c r="J874" t="s">
        <v>9514</v>
      </c>
    </row>
    <row r="875" spans="9:10">
      <c r="I875" t="s">
        <v>9515</v>
      </c>
      <c r="J875" t="s">
        <v>9516</v>
      </c>
    </row>
    <row r="876" spans="9:10">
      <c r="I876" t="s">
        <v>9517</v>
      </c>
      <c r="J876" t="s">
        <v>9518</v>
      </c>
    </row>
    <row r="877" spans="9:10">
      <c r="I877" t="s">
        <v>9519</v>
      </c>
      <c r="J877" t="s">
        <v>9520</v>
      </c>
    </row>
    <row r="878" spans="9:10">
      <c r="I878" t="s">
        <v>9521</v>
      </c>
      <c r="J878" t="s">
        <v>9522</v>
      </c>
    </row>
    <row r="879" spans="9:10">
      <c r="I879" t="s">
        <v>9523</v>
      </c>
      <c r="J879" t="s">
        <v>9524</v>
      </c>
    </row>
    <row r="880" spans="9:10">
      <c r="I880" t="s">
        <v>9525</v>
      </c>
      <c r="J880" t="s">
        <v>9526</v>
      </c>
    </row>
    <row r="881" spans="9:10">
      <c r="I881" t="s">
        <v>9527</v>
      </c>
      <c r="J881" t="s">
        <v>9528</v>
      </c>
    </row>
    <row r="882" spans="9:10">
      <c r="I882" t="s">
        <v>9529</v>
      </c>
      <c r="J882" t="s">
        <v>9530</v>
      </c>
    </row>
    <row r="883" spans="9:10">
      <c r="I883" t="s">
        <v>9531</v>
      </c>
      <c r="J883" t="s">
        <v>9532</v>
      </c>
    </row>
    <row r="884" spans="9:10">
      <c r="I884" t="s">
        <v>9533</v>
      </c>
      <c r="J884" t="s">
        <v>9534</v>
      </c>
    </row>
    <row r="885" spans="9:10">
      <c r="I885" t="s">
        <v>9535</v>
      </c>
      <c r="J885" t="s">
        <v>9536</v>
      </c>
    </row>
    <row r="886" spans="9:10">
      <c r="I886" t="s">
        <v>9537</v>
      </c>
      <c r="J886" t="s">
        <v>9538</v>
      </c>
    </row>
    <row r="887" spans="9:10">
      <c r="I887" t="s">
        <v>9539</v>
      </c>
      <c r="J887" t="s">
        <v>9540</v>
      </c>
    </row>
    <row r="888" spans="9:10">
      <c r="I888" t="s">
        <v>9541</v>
      </c>
      <c r="J888" t="s">
        <v>9542</v>
      </c>
    </row>
    <row r="889" spans="9:10">
      <c r="I889" t="s">
        <v>9543</v>
      </c>
      <c r="J889" t="s">
        <v>9544</v>
      </c>
    </row>
    <row r="890" spans="9:10">
      <c r="I890" t="s">
        <v>9545</v>
      </c>
      <c r="J890" t="s">
        <v>9546</v>
      </c>
    </row>
    <row r="891" spans="9:10">
      <c r="I891" t="s">
        <v>9547</v>
      </c>
      <c r="J891" t="s">
        <v>9548</v>
      </c>
    </row>
    <row r="892" spans="9:10">
      <c r="I892" t="s">
        <v>9549</v>
      </c>
      <c r="J892" t="s">
        <v>9550</v>
      </c>
    </row>
    <row r="893" spans="9:10">
      <c r="I893" t="s">
        <v>9551</v>
      </c>
      <c r="J893" t="s">
        <v>9552</v>
      </c>
    </row>
    <row r="894" spans="9:10">
      <c r="I894" t="s">
        <v>9553</v>
      </c>
      <c r="J894" t="s">
        <v>9554</v>
      </c>
    </row>
    <row r="895" spans="9:10">
      <c r="I895" t="s">
        <v>9555</v>
      </c>
      <c r="J895" t="s">
        <v>9556</v>
      </c>
    </row>
    <row r="896" spans="9:10">
      <c r="I896" t="s">
        <v>9557</v>
      </c>
      <c r="J896" t="s">
        <v>9558</v>
      </c>
    </row>
    <row r="897" spans="9:10">
      <c r="I897" t="s">
        <v>9559</v>
      </c>
      <c r="J897" t="s">
        <v>9560</v>
      </c>
    </row>
    <row r="898" spans="9:10">
      <c r="I898" t="s">
        <v>9561</v>
      </c>
      <c r="J898" t="s">
        <v>9562</v>
      </c>
    </row>
    <row r="899" spans="9:10">
      <c r="I899" t="s">
        <v>9563</v>
      </c>
      <c r="J899" t="s">
        <v>9564</v>
      </c>
    </row>
    <row r="900" spans="9:10">
      <c r="I900" t="s">
        <v>9565</v>
      </c>
      <c r="J900" t="s">
        <v>9566</v>
      </c>
    </row>
    <row r="901" spans="9:10">
      <c r="I901" t="s">
        <v>9567</v>
      </c>
      <c r="J901" t="s">
        <v>9568</v>
      </c>
    </row>
    <row r="902" spans="9:10">
      <c r="I902" t="s">
        <v>9569</v>
      </c>
      <c r="J902" t="s">
        <v>9570</v>
      </c>
    </row>
    <row r="903" spans="9:10">
      <c r="I903" t="s">
        <v>9571</v>
      </c>
      <c r="J903" t="s">
        <v>9572</v>
      </c>
    </row>
    <row r="904" spans="9:10">
      <c r="I904" t="s">
        <v>9573</v>
      </c>
      <c r="J904" t="s">
        <v>9574</v>
      </c>
    </row>
    <row r="905" spans="9:10">
      <c r="I905" t="s">
        <v>9575</v>
      </c>
      <c r="J905" t="s">
        <v>9576</v>
      </c>
    </row>
    <row r="906" spans="9:10">
      <c r="I906" t="s">
        <v>9577</v>
      </c>
      <c r="J906" t="s">
        <v>9578</v>
      </c>
    </row>
    <row r="907" spans="9:10">
      <c r="I907" t="s">
        <v>9579</v>
      </c>
      <c r="J907" t="s">
        <v>9580</v>
      </c>
    </row>
    <row r="908" spans="9:10">
      <c r="I908" t="s">
        <v>9581</v>
      </c>
      <c r="J908" t="s">
        <v>9582</v>
      </c>
    </row>
    <row r="909" spans="9:10">
      <c r="I909" t="s">
        <v>7758</v>
      </c>
      <c r="J909" t="s">
        <v>9583</v>
      </c>
    </row>
    <row r="910" spans="9:10">
      <c r="I910" t="s">
        <v>9584</v>
      </c>
      <c r="J910" t="s">
        <v>9585</v>
      </c>
    </row>
    <row r="911" spans="9:10">
      <c r="I911" t="s">
        <v>9586</v>
      </c>
      <c r="J911" t="s">
        <v>9587</v>
      </c>
    </row>
    <row r="912" spans="9:10">
      <c r="I912" t="s">
        <v>9588</v>
      </c>
      <c r="J912" t="s">
        <v>9589</v>
      </c>
    </row>
    <row r="913" spans="9:10">
      <c r="I913" t="s">
        <v>9590</v>
      </c>
      <c r="J913" t="s">
        <v>9591</v>
      </c>
    </row>
    <row r="914" spans="9:10">
      <c r="I914" t="s">
        <v>9592</v>
      </c>
      <c r="J914" t="s">
        <v>9593</v>
      </c>
    </row>
    <row r="915" spans="9:10">
      <c r="I915" t="s">
        <v>9594</v>
      </c>
      <c r="J915" t="s">
        <v>9595</v>
      </c>
    </row>
    <row r="916" spans="9:10">
      <c r="I916" t="s">
        <v>9596</v>
      </c>
      <c r="J916" t="s">
        <v>9597</v>
      </c>
    </row>
    <row r="917" spans="9:10">
      <c r="I917" t="s">
        <v>9598</v>
      </c>
      <c r="J917" t="s">
        <v>9599</v>
      </c>
    </row>
    <row r="918" spans="9:10">
      <c r="I918" t="s">
        <v>9600</v>
      </c>
      <c r="J918" t="s">
        <v>9601</v>
      </c>
    </row>
    <row r="919" spans="9:10">
      <c r="I919" t="s">
        <v>9602</v>
      </c>
      <c r="J919" t="s">
        <v>9603</v>
      </c>
    </row>
    <row r="920" spans="9:10">
      <c r="I920" t="s">
        <v>7762</v>
      </c>
      <c r="J920" t="s">
        <v>9604</v>
      </c>
    </row>
    <row r="921" spans="9:10">
      <c r="I921" t="s">
        <v>9605</v>
      </c>
      <c r="J921" t="s">
        <v>9606</v>
      </c>
    </row>
    <row r="922" spans="9:10">
      <c r="I922" t="s">
        <v>9607</v>
      </c>
      <c r="J922" t="s">
        <v>9608</v>
      </c>
    </row>
    <row r="923" spans="9:10">
      <c r="I923" t="s">
        <v>9609</v>
      </c>
      <c r="J923" t="s">
        <v>9610</v>
      </c>
    </row>
    <row r="924" spans="9:10">
      <c r="I924" t="s">
        <v>9611</v>
      </c>
      <c r="J924" t="s">
        <v>9612</v>
      </c>
    </row>
    <row r="925" spans="9:10">
      <c r="I925" t="s">
        <v>9613</v>
      </c>
      <c r="J925" t="s">
        <v>9614</v>
      </c>
    </row>
    <row r="926" spans="9:10">
      <c r="I926" t="s">
        <v>9615</v>
      </c>
      <c r="J926" t="s">
        <v>9616</v>
      </c>
    </row>
    <row r="927" spans="9:10">
      <c r="I927" t="s">
        <v>9617</v>
      </c>
      <c r="J927" t="s">
        <v>9618</v>
      </c>
    </row>
    <row r="928" spans="9:10">
      <c r="I928" t="s">
        <v>9619</v>
      </c>
      <c r="J928" t="s">
        <v>9620</v>
      </c>
    </row>
    <row r="929" spans="9:10">
      <c r="I929" t="s">
        <v>9621</v>
      </c>
      <c r="J929" t="s">
        <v>9622</v>
      </c>
    </row>
    <row r="930" spans="9:10">
      <c r="I930" t="s">
        <v>9623</v>
      </c>
      <c r="J930" t="s">
        <v>9624</v>
      </c>
    </row>
    <row r="931" spans="9:10">
      <c r="I931" t="s">
        <v>9625</v>
      </c>
      <c r="J931" t="s">
        <v>9626</v>
      </c>
    </row>
    <row r="932" spans="9:10">
      <c r="I932" t="s">
        <v>9627</v>
      </c>
      <c r="J932" t="s">
        <v>9628</v>
      </c>
    </row>
    <row r="933" spans="9:10">
      <c r="I933" t="s">
        <v>9629</v>
      </c>
      <c r="J933" t="s">
        <v>9630</v>
      </c>
    </row>
    <row r="934" spans="9:10">
      <c r="I934" t="s">
        <v>9631</v>
      </c>
      <c r="J934" t="s">
        <v>9632</v>
      </c>
    </row>
    <row r="935" spans="9:10">
      <c r="I935" t="s">
        <v>9633</v>
      </c>
      <c r="J935" t="s">
        <v>9634</v>
      </c>
    </row>
    <row r="936" spans="9:10">
      <c r="I936" t="s">
        <v>9635</v>
      </c>
      <c r="J936" t="s">
        <v>9636</v>
      </c>
    </row>
    <row r="937" spans="9:10">
      <c r="I937" t="s">
        <v>9637</v>
      </c>
      <c r="J937" t="s">
        <v>9638</v>
      </c>
    </row>
    <row r="938" spans="9:10">
      <c r="I938" t="s">
        <v>9639</v>
      </c>
      <c r="J938" t="s">
        <v>9640</v>
      </c>
    </row>
    <row r="939" spans="9:10">
      <c r="I939" t="s">
        <v>9641</v>
      </c>
      <c r="J939" t="s">
        <v>9642</v>
      </c>
    </row>
    <row r="940" spans="9:10">
      <c r="I940" t="s">
        <v>9643</v>
      </c>
      <c r="J940" t="s">
        <v>9644</v>
      </c>
    </row>
    <row r="941" spans="9:10">
      <c r="I941" t="s">
        <v>9645</v>
      </c>
      <c r="J941" t="s">
        <v>9646</v>
      </c>
    </row>
    <row r="942" spans="9:10">
      <c r="I942" t="s">
        <v>9647</v>
      </c>
      <c r="J942" t="s">
        <v>9648</v>
      </c>
    </row>
    <row r="943" spans="9:10">
      <c r="I943" t="s">
        <v>9649</v>
      </c>
      <c r="J943" t="s">
        <v>9650</v>
      </c>
    </row>
    <row r="944" spans="9:10">
      <c r="I944" t="s">
        <v>9651</v>
      </c>
      <c r="J944" t="s">
        <v>9652</v>
      </c>
    </row>
    <row r="945" spans="9:10">
      <c r="I945" t="s">
        <v>9653</v>
      </c>
      <c r="J945" t="s">
        <v>9654</v>
      </c>
    </row>
    <row r="946" spans="9:10">
      <c r="I946" t="s">
        <v>9655</v>
      </c>
      <c r="J946" t="s">
        <v>9656</v>
      </c>
    </row>
    <row r="947" spans="9:10">
      <c r="I947" t="s">
        <v>9657</v>
      </c>
      <c r="J947" t="s">
        <v>9658</v>
      </c>
    </row>
    <row r="948" spans="9:10">
      <c r="I948" t="s">
        <v>9659</v>
      </c>
      <c r="J948" t="s">
        <v>9660</v>
      </c>
    </row>
    <row r="949" spans="9:10">
      <c r="I949" t="s">
        <v>9661</v>
      </c>
      <c r="J949" t="s">
        <v>9662</v>
      </c>
    </row>
    <row r="950" spans="9:10">
      <c r="I950" t="s">
        <v>9663</v>
      </c>
      <c r="J950" t="s">
        <v>9664</v>
      </c>
    </row>
    <row r="951" spans="9:10">
      <c r="I951" t="s">
        <v>9665</v>
      </c>
      <c r="J951" t="s">
        <v>9666</v>
      </c>
    </row>
    <row r="952" spans="9:10">
      <c r="I952" t="s">
        <v>9667</v>
      </c>
      <c r="J952" t="s">
        <v>9668</v>
      </c>
    </row>
    <row r="953" spans="9:10">
      <c r="I953" t="s">
        <v>9669</v>
      </c>
      <c r="J953" t="s">
        <v>9670</v>
      </c>
    </row>
    <row r="954" spans="9:10">
      <c r="I954" t="s">
        <v>7756</v>
      </c>
      <c r="J954" t="s">
        <v>9671</v>
      </c>
    </row>
    <row r="955" spans="9:10">
      <c r="I955" t="s">
        <v>9672</v>
      </c>
      <c r="J955" t="s">
        <v>9673</v>
      </c>
    </row>
    <row r="956" spans="9:10">
      <c r="I956" t="s">
        <v>9674</v>
      </c>
      <c r="J956" t="s">
        <v>9675</v>
      </c>
    </row>
    <row r="957" spans="9:10">
      <c r="I957" t="s">
        <v>7764</v>
      </c>
      <c r="J957" t="s">
        <v>9676</v>
      </c>
    </row>
    <row r="958" spans="9:10">
      <c r="I958" t="s">
        <v>9677</v>
      </c>
      <c r="J958" t="s">
        <v>9678</v>
      </c>
    </row>
    <row r="959" spans="9:10">
      <c r="I959" t="s">
        <v>9679</v>
      </c>
      <c r="J959" t="s">
        <v>9680</v>
      </c>
    </row>
    <row r="960" spans="9:10">
      <c r="I960" t="s">
        <v>9681</v>
      </c>
      <c r="J960" t="s">
        <v>9682</v>
      </c>
    </row>
    <row r="961" spans="9:10">
      <c r="I961" t="s">
        <v>9683</v>
      </c>
      <c r="J961" t="s">
        <v>9684</v>
      </c>
    </row>
    <row r="962" spans="9:10">
      <c r="I962" t="s">
        <v>7760</v>
      </c>
      <c r="J962" t="s">
        <v>9685</v>
      </c>
    </row>
    <row r="963" spans="9:10">
      <c r="I963" t="s">
        <v>9686</v>
      </c>
      <c r="J963" t="s">
        <v>9687</v>
      </c>
    </row>
    <row r="964" spans="9:10">
      <c r="I964" t="s">
        <v>9688</v>
      </c>
      <c r="J964" t="s">
        <v>9689</v>
      </c>
    </row>
    <row r="965" spans="9:10">
      <c r="I965" t="s">
        <v>9690</v>
      </c>
      <c r="J965" t="s">
        <v>9691</v>
      </c>
    </row>
    <row r="966" spans="9:10">
      <c r="I966" t="s">
        <v>9692</v>
      </c>
      <c r="J966" t="s">
        <v>9693</v>
      </c>
    </row>
    <row r="967" spans="9:10">
      <c r="I967" t="s">
        <v>9694</v>
      </c>
      <c r="J967" t="s">
        <v>9695</v>
      </c>
    </row>
    <row r="968" spans="9:10">
      <c r="I968" t="s">
        <v>9696</v>
      </c>
      <c r="J968" t="s">
        <v>9697</v>
      </c>
    </row>
    <row r="969" spans="9:10">
      <c r="I969" t="s">
        <v>9698</v>
      </c>
      <c r="J969" t="s">
        <v>7817</v>
      </c>
    </row>
    <row r="970" spans="9:10">
      <c r="I970" t="s">
        <v>9699</v>
      </c>
      <c r="J970" t="s">
        <v>9700</v>
      </c>
    </row>
    <row r="971" spans="9:10">
      <c r="I971" t="s">
        <v>9701</v>
      </c>
      <c r="J971" t="s">
        <v>9702</v>
      </c>
    </row>
    <row r="972" spans="9:10">
      <c r="I972" t="s">
        <v>9703</v>
      </c>
      <c r="J972" t="s">
        <v>9704</v>
      </c>
    </row>
    <row r="973" spans="9:10">
      <c r="I973" t="s">
        <v>9705</v>
      </c>
      <c r="J973" t="s">
        <v>9706</v>
      </c>
    </row>
    <row r="974" spans="9:10">
      <c r="I974" t="s">
        <v>9707</v>
      </c>
      <c r="J974" t="s">
        <v>9708</v>
      </c>
    </row>
    <row r="975" spans="9:10">
      <c r="I975" t="s">
        <v>9709</v>
      </c>
      <c r="J975" t="s">
        <v>9710</v>
      </c>
    </row>
    <row r="976" spans="9:10">
      <c r="I976" t="s">
        <v>9711</v>
      </c>
      <c r="J976" t="s">
        <v>9712</v>
      </c>
    </row>
    <row r="977" spans="9:10">
      <c r="I977" t="s">
        <v>9713</v>
      </c>
      <c r="J977" t="s">
        <v>9564</v>
      </c>
    </row>
    <row r="978" spans="9:10">
      <c r="I978" t="s">
        <v>9714</v>
      </c>
      <c r="J978" t="s">
        <v>9566</v>
      </c>
    </row>
    <row r="979" spans="9:10">
      <c r="I979" t="s">
        <v>9715</v>
      </c>
      <c r="J979" t="s">
        <v>9568</v>
      </c>
    </row>
    <row r="980" spans="9:10">
      <c r="I980" t="s">
        <v>9716</v>
      </c>
      <c r="J980" t="s">
        <v>9570</v>
      </c>
    </row>
    <row r="981" spans="9:10">
      <c r="I981" t="s">
        <v>9717</v>
      </c>
      <c r="J981" t="s">
        <v>9572</v>
      </c>
    </row>
    <row r="982" spans="9:10">
      <c r="I982" t="s">
        <v>9718</v>
      </c>
      <c r="J982" t="s">
        <v>9574</v>
      </c>
    </row>
    <row r="983" spans="9:10">
      <c r="I983" t="s">
        <v>9719</v>
      </c>
      <c r="J983" t="s">
        <v>9720</v>
      </c>
    </row>
    <row r="984" spans="9:10">
      <c r="I984" t="s">
        <v>9721</v>
      </c>
      <c r="J984" t="s">
        <v>9564</v>
      </c>
    </row>
    <row r="985" spans="9:10">
      <c r="I985" t="s">
        <v>9722</v>
      </c>
      <c r="J985" t="s">
        <v>9566</v>
      </c>
    </row>
    <row r="986" spans="9:10">
      <c r="I986" t="s">
        <v>9723</v>
      </c>
      <c r="J986" t="s">
        <v>9568</v>
      </c>
    </row>
    <row r="987" spans="9:10">
      <c r="I987" t="s">
        <v>9724</v>
      </c>
      <c r="J987" t="s">
        <v>9570</v>
      </c>
    </row>
    <row r="988" spans="9:10">
      <c r="I988" t="s">
        <v>9725</v>
      </c>
      <c r="J988" t="s">
        <v>9572</v>
      </c>
    </row>
    <row r="989" spans="9:10">
      <c r="I989" t="s">
        <v>9726</v>
      </c>
      <c r="J989" t="s">
        <v>9574</v>
      </c>
    </row>
    <row r="990" spans="9:10">
      <c r="I990" t="s">
        <v>9727</v>
      </c>
      <c r="J990" t="s">
        <v>9728</v>
      </c>
    </row>
    <row r="991" spans="9:10">
      <c r="I991" t="s">
        <v>9729</v>
      </c>
      <c r="J991" t="s">
        <v>9730</v>
      </c>
    </row>
    <row r="992" spans="9:10">
      <c r="I992" t="s">
        <v>9731</v>
      </c>
      <c r="J992" t="s">
        <v>9732</v>
      </c>
    </row>
    <row r="993" spans="9:10">
      <c r="I993" t="s">
        <v>9733</v>
      </c>
      <c r="J993" t="s">
        <v>9734</v>
      </c>
    </row>
    <row r="994" spans="9:10">
      <c r="I994" t="s">
        <v>9735</v>
      </c>
      <c r="J994" t="s">
        <v>8245</v>
      </c>
    </row>
    <row r="995" spans="9:10">
      <c r="I995" t="s">
        <v>9736</v>
      </c>
      <c r="J995" t="s">
        <v>8247</v>
      </c>
    </row>
    <row r="996" spans="9:10">
      <c r="I996" t="s">
        <v>9737</v>
      </c>
      <c r="J996" t="s">
        <v>7825</v>
      </c>
    </row>
    <row r="997" spans="9:10">
      <c r="I997" t="s">
        <v>9738</v>
      </c>
      <c r="J997" t="s">
        <v>9739</v>
      </c>
    </row>
    <row r="998" spans="9:10">
      <c r="I998" t="s">
        <v>9740</v>
      </c>
      <c r="J998" t="s">
        <v>9741</v>
      </c>
    </row>
    <row r="999" spans="9:10">
      <c r="I999" t="s">
        <v>9742</v>
      </c>
      <c r="J999" t="s">
        <v>9743</v>
      </c>
    </row>
    <row r="1000" spans="9:10">
      <c r="I1000" t="s">
        <v>9744</v>
      </c>
      <c r="J1000" t="s">
        <v>9745</v>
      </c>
    </row>
    <row r="1001" spans="9:10">
      <c r="I1001" t="s">
        <v>9746</v>
      </c>
      <c r="J1001" t="s">
        <v>9747</v>
      </c>
    </row>
    <row r="1002" spans="9:10">
      <c r="I1002" t="s">
        <v>9748</v>
      </c>
      <c r="J1002" t="s">
        <v>9749</v>
      </c>
    </row>
    <row r="1003" spans="9:10">
      <c r="I1003" t="s">
        <v>9750</v>
      </c>
      <c r="J1003" t="s">
        <v>8245</v>
      </c>
    </row>
    <row r="1004" spans="9:10">
      <c r="I1004" t="s">
        <v>9751</v>
      </c>
      <c r="J1004" t="s">
        <v>8247</v>
      </c>
    </row>
    <row r="1005" spans="9:10">
      <c r="I1005" t="s">
        <v>9752</v>
      </c>
      <c r="J1005" t="s">
        <v>9753</v>
      </c>
    </row>
    <row r="1006" spans="9:10">
      <c r="I1006" t="s">
        <v>9754</v>
      </c>
      <c r="J1006" t="s">
        <v>9755</v>
      </c>
    </row>
    <row r="1007" spans="9:10">
      <c r="I1007" t="s">
        <v>9756</v>
      </c>
      <c r="J1007" t="s">
        <v>9757</v>
      </c>
    </row>
    <row r="1008" spans="9:10">
      <c r="I1008" t="s">
        <v>9758</v>
      </c>
      <c r="J1008" t="s">
        <v>9759</v>
      </c>
    </row>
    <row r="1009" spans="9:10">
      <c r="I1009" t="s">
        <v>9760</v>
      </c>
      <c r="J1009" t="s">
        <v>9761</v>
      </c>
    </row>
    <row r="1010" spans="9:10">
      <c r="I1010" t="s">
        <v>9762</v>
      </c>
      <c r="J1010" t="s">
        <v>9763</v>
      </c>
    </row>
    <row r="1011" spans="9:10">
      <c r="I1011" t="s">
        <v>9764</v>
      </c>
      <c r="J1011" t="s">
        <v>9765</v>
      </c>
    </row>
    <row r="1012" spans="9:10">
      <c r="I1012" t="s">
        <v>9766</v>
      </c>
      <c r="J1012" t="s">
        <v>7833</v>
      </c>
    </row>
    <row r="1013" spans="9:10">
      <c r="I1013" t="s">
        <v>9767</v>
      </c>
      <c r="J1013" t="s">
        <v>8245</v>
      </c>
    </row>
    <row r="1014" spans="9:10">
      <c r="I1014" t="s">
        <v>9768</v>
      </c>
      <c r="J1014" t="s">
        <v>8247</v>
      </c>
    </row>
    <row r="1015" spans="9:10">
      <c r="I1015" t="s">
        <v>9769</v>
      </c>
      <c r="J1015" t="s">
        <v>9770</v>
      </c>
    </row>
    <row r="1016" spans="9:10">
      <c r="I1016" t="s">
        <v>9771</v>
      </c>
      <c r="J1016" t="s">
        <v>9772</v>
      </c>
    </row>
    <row r="1017" spans="9:10">
      <c r="I1017" t="s">
        <v>9773</v>
      </c>
      <c r="J1017" t="s">
        <v>9774</v>
      </c>
    </row>
    <row r="1018" spans="9:10">
      <c r="I1018" t="s">
        <v>9775</v>
      </c>
      <c r="J1018" t="s">
        <v>9776</v>
      </c>
    </row>
    <row r="1019" spans="9:10">
      <c r="I1019" t="s">
        <v>9777</v>
      </c>
      <c r="J1019" t="s">
        <v>9778</v>
      </c>
    </row>
    <row r="1020" spans="9:10">
      <c r="I1020" t="s">
        <v>9779</v>
      </c>
      <c r="J1020" t="s">
        <v>9780</v>
      </c>
    </row>
    <row r="1021" spans="9:10">
      <c r="I1021" t="s">
        <v>9781</v>
      </c>
      <c r="J1021" t="s">
        <v>8245</v>
      </c>
    </row>
    <row r="1022" spans="9:10">
      <c r="I1022" t="s">
        <v>9782</v>
      </c>
      <c r="J1022" t="s">
        <v>9783</v>
      </c>
    </row>
    <row r="1023" spans="9:10">
      <c r="I1023" t="s">
        <v>9784</v>
      </c>
      <c r="J1023" t="s">
        <v>9785</v>
      </c>
    </row>
    <row r="1024" spans="9:10">
      <c r="I1024" t="s">
        <v>9786</v>
      </c>
      <c r="J1024" t="s">
        <v>9787</v>
      </c>
    </row>
    <row r="1025" spans="9:10">
      <c r="I1025" t="s">
        <v>9788</v>
      </c>
      <c r="J1025" t="s">
        <v>9789</v>
      </c>
    </row>
    <row r="1026" spans="9:10">
      <c r="I1026" t="s">
        <v>9790</v>
      </c>
      <c r="J1026" t="s">
        <v>9791</v>
      </c>
    </row>
    <row r="1027" spans="9:10">
      <c r="I1027" t="s">
        <v>9792</v>
      </c>
      <c r="J1027" t="s">
        <v>9793</v>
      </c>
    </row>
    <row r="1028" spans="9:10">
      <c r="I1028" t="s">
        <v>9794</v>
      </c>
      <c r="J1028" t="s">
        <v>8245</v>
      </c>
    </row>
    <row r="1029" spans="9:10">
      <c r="I1029" t="s">
        <v>9795</v>
      </c>
      <c r="J1029" t="s">
        <v>8247</v>
      </c>
    </row>
    <row r="1030" spans="9:10">
      <c r="I1030" t="s">
        <v>9796</v>
      </c>
      <c r="J1030" t="s">
        <v>7839</v>
      </c>
    </row>
    <row r="1031" spans="9:10">
      <c r="I1031" t="s">
        <v>9797</v>
      </c>
      <c r="J1031" t="s">
        <v>8245</v>
      </c>
    </row>
    <row r="1032" spans="9:10">
      <c r="I1032" t="s">
        <v>7768</v>
      </c>
      <c r="J1032" t="s">
        <v>9798</v>
      </c>
    </row>
    <row r="1033" spans="9:10">
      <c r="I1033" t="s">
        <v>9799</v>
      </c>
      <c r="J1033" t="s">
        <v>9800</v>
      </c>
    </row>
    <row r="1034" spans="9:10">
      <c r="I1034" t="s">
        <v>9801</v>
      </c>
      <c r="J1034" t="s">
        <v>9802</v>
      </c>
    </row>
    <row r="1035" spans="9:10">
      <c r="I1035" t="s">
        <v>9803</v>
      </c>
      <c r="J1035" t="s">
        <v>9804</v>
      </c>
    </row>
    <row r="1036" spans="9:10">
      <c r="I1036" t="s">
        <v>9805</v>
      </c>
      <c r="J1036" t="s">
        <v>8245</v>
      </c>
    </row>
    <row r="1037" spans="9:10">
      <c r="I1037" t="s">
        <v>9806</v>
      </c>
      <c r="J1037" t="s">
        <v>8247</v>
      </c>
    </row>
    <row r="1038" spans="9:10">
      <c r="I1038" t="s">
        <v>7770</v>
      </c>
      <c r="J1038" t="s">
        <v>9807</v>
      </c>
    </row>
    <row r="1039" spans="9:10">
      <c r="I1039" t="s">
        <v>9808</v>
      </c>
      <c r="J1039" t="s">
        <v>9809</v>
      </c>
    </row>
    <row r="1040" spans="9:10">
      <c r="I1040" t="s">
        <v>9810</v>
      </c>
      <c r="J1040" t="s">
        <v>9811</v>
      </c>
    </row>
    <row r="1041" spans="9:10">
      <c r="I1041" t="s">
        <v>9812</v>
      </c>
      <c r="J1041" t="s">
        <v>8245</v>
      </c>
    </row>
    <row r="1042" spans="9:10">
      <c r="I1042" t="s">
        <v>9813</v>
      </c>
      <c r="J1042" t="s">
        <v>8247</v>
      </c>
    </row>
    <row r="1043" spans="9:10">
      <c r="I1043" t="s">
        <v>9814</v>
      </c>
      <c r="J1043" t="s">
        <v>9815</v>
      </c>
    </row>
    <row r="1044" spans="9:10">
      <c r="I1044" t="s">
        <v>9816</v>
      </c>
      <c r="J1044" t="s">
        <v>9817</v>
      </c>
    </row>
    <row r="1045" spans="9:10">
      <c r="I1045" t="s">
        <v>9818</v>
      </c>
      <c r="J1045" t="s">
        <v>8245</v>
      </c>
    </row>
    <row r="1046" spans="9:10">
      <c r="I1046" t="s">
        <v>9819</v>
      </c>
      <c r="J1046" t="s">
        <v>8247</v>
      </c>
    </row>
    <row r="1047" spans="9:10">
      <c r="I1047" t="s">
        <v>7776</v>
      </c>
      <c r="J1047" t="s">
        <v>7841</v>
      </c>
    </row>
    <row r="1048" spans="9:10">
      <c r="I1048" t="s">
        <v>9820</v>
      </c>
      <c r="J1048" t="s">
        <v>9821</v>
      </c>
    </row>
    <row r="1049" spans="9:10">
      <c r="I1049" t="s">
        <v>9822</v>
      </c>
      <c r="J1049" t="s">
        <v>9823</v>
      </c>
    </row>
    <row r="1050" spans="9:10">
      <c r="I1050" t="s">
        <v>9824</v>
      </c>
      <c r="J1050" t="s">
        <v>9825</v>
      </c>
    </row>
    <row r="1051" spans="9:10">
      <c r="I1051" t="s">
        <v>9826</v>
      </c>
      <c r="J1051" t="s">
        <v>9827</v>
      </c>
    </row>
    <row r="1052" spans="9:10">
      <c r="I1052" t="s">
        <v>9828</v>
      </c>
      <c r="J1052" t="s">
        <v>9829</v>
      </c>
    </row>
    <row r="1053" spans="9:10">
      <c r="I1053" t="s">
        <v>9830</v>
      </c>
      <c r="J1053" t="s">
        <v>9831</v>
      </c>
    </row>
    <row r="1054" spans="9:10">
      <c r="I1054" t="s">
        <v>9832</v>
      </c>
      <c r="J1054" t="s">
        <v>9833</v>
      </c>
    </row>
    <row r="1055" spans="9:10">
      <c r="I1055" t="s">
        <v>9834</v>
      </c>
      <c r="J1055" t="s">
        <v>9835</v>
      </c>
    </row>
    <row r="1056" spans="9:10">
      <c r="I1056" t="s">
        <v>9836</v>
      </c>
      <c r="J1056" t="s">
        <v>9837</v>
      </c>
    </row>
    <row r="1057" spans="9:10">
      <c r="I1057" t="s">
        <v>9838</v>
      </c>
      <c r="J1057" t="s">
        <v>9839</v>
      </c>
    </row>
    <row r="1058" spans="9:10">
      <c r="I1058" t="s">
        <v>9840</v>
      </c>
      <c r="J1058" t="s">
        <v>9841</v>
      </c>
    </row>
    <row r="1059" spans="9:10">
      <c r="I1059" t="s">
        <v>9842</v>
      </c>
      <c r="J1059" t="s">
        <v>9843</v>
      </c>
    </row>
    <row r="1060" spans="9:10">
      <c r="I1060" t="s">
        <v>9844</v>
      </c>
      <c r="J1060" t="s">
        <v>9845</v>
      </c>
    </row>
    <row r="1061" spans="9:10">
      <c r="I1061" t="s">
        <v>9846</v>
      </c>
      <c r="J1061" t="s">
        <v>9847</v>
      </c>
    </row>
    <row r="1062" spans="9:10">
      <c r="I1062" t="s">
        <v>9848</v>
      </c>
      <c r="J1062" t="s">
        <v>9849</v>
      </c>
    </row>
    <row r="1063" spans="9:10">
      <c r="I1063" t="s">
        <v>9850</v>
      </c>
      <c r="J1063" t="s">
        <v>9851</v>
      </c>
    </row>
    <row r="1064" spans="9:10">
      <c r="I1064" t="s">
        <v>9852</v>
      </c>
      <c r="J1064" t="s">
        <v>9853</v>
      </c>
    </row>
    <row r="1065" spans="9:10">
      <c r="I1065" t="s">
        <v>9854</v>
      </c>
      <c r="J1065" t="s">
        <v>9855</v>
      </c>
    </row>
    <row r="1066" spans="9:10">
      <c r="I1066" t="s">
        <v>9856</v>
      </c>
      <c r="J1066" t="s">
        <v>9857</v>
      </c>
    </row>
    <row r="1067" spans="9:10">
      <c r="I1067" t="s">
        <v>9858</v>
      </c>
      <c r="J1067" t="s">
        <v>9859</v>
      </c>
    </row>
    <row r="1068" spans="9:10">
      <c r="I1068" t="s">
        <v>9860</v>
      </c>
      <c r="J1068" t="s">
        <v>9861</v>
      </c>
    </row>
    <row r="1069" spans="9:10">
      <c r="I1069" t="s">
        <v>9862</v>
      </c>
      <c r="J1069" t="s">
        <v>9863</v>
      </c>
    </row>
    <row r="1070" spans="9:10">
      <c r="I1070" t="s">
        <v>9864</v>
      </c>
      <c r="J1070" t="s">
        <v>9865</v>
      </c>
    </row>
    <row r="1071" spans="9:10">
      <c r="I1071" t="s">
        <v>9866</v>
      </c>
      <c r="J1071" t="s">
        <v>9867</v>
      </c>
    </row>
    <row r="1072" spans="9:10">
      <c r="I1072" t="s">
        <v>9868</v>
      </c>
      <c r="J1072" t="s">
        <v>9869</v>
      </c>
    </row>
    <row r="1073" spans="9:10">
      <c r="I1073" t="s">
        <v>9870</v>
      </c>
      <c r="J1073" t="s">
        <v>8245</v>
      </c>
    </row>
    <row r="1074" spans="9:10">
      <c r="I1074" t="s">
        <v>9871</v>
      </c>
      <c r="J1074" t="s">
        <v>8247</v>
      </c>
    </row>
    <row r="1075" spans="9:10">
      <c r="I1075" t="s">
        <v>9872</v>
      </c>
      <c r="J1075" t="s">
        <v>9873</v>
      </c>
    </row>
    <row r="1076" spans="9:10">
      <c r="I1076" t="s">
        <v>9874</v>
      </c>
      <c r="J1076" t="s">
        <v>9875</v>
      </c>
    </row>
    <row r="1077" spans="9:10">
      <c r="I1077" t="s">
        <v>9876</v>
      </c>
      <c r="J1077" t="s">
        <v>9877</v>
      </c>
    </row>
    <row r="1078" spans="9:10">
      <c r="I1078" t="s">
        <v>9878</v>
      </c>
      <c r="J1078" t="s">
        <v>8247</v>
      </c>
    </row>
    <row r="1079" spans="9:10">
      <c r="I1079" t="s">
        <v>9879</v>
      </c>
      <c r="J1079" t="s">
        <v>9880</v>
      </c>
    </row>
    <row r="1080" spans="9:10">
      <c r="I1080" t="s">
        <v>9881</v>
      </c>
      <c r="J1080" t="s">
        <v>9882</v>
      </c>
    </row>
    <row r="1081" spans="9:10">
      <c r="I1081" t="s">
        <v>9883</v>
      </c>
      <c r="J1081" t="s">
        <v>9884</v>
      </c>
    </row>
    <row r="1082" spans="9:10">
      <c r="I1082" t="s">
        <v>9885</v>
      </c>
      <c r="J1082" t="s">
        <v>9886</v>
      </c>
    </row>
    <row r="1083" spans="9:10">
      <c r="I1083" t="s">
        <v>9887</v>
      </c>
      <c r="J1083" t="s">
        <v>9888</v>
      </c>
    </row>
    <row r="1084" spans="9:10">
      <c r="I1084" t="s">
        <v>9889</v>
      </c>
      <c r="J1084" t="s">
        <v>9890</v>
      </c>
    </row>
    <row r="1085" spans="9:10">
      <c r="I1085" t="s">
        <v>9891</v>
      </c>
      <c r="J1085" t="s">
        <v>9892</v>
      </c>
    </row>
    <row r="1086" spans="9:10">
      <c r="I1086" t="s">
        <v>9893</v>
      </c>
      <c r="J1086" t="s">
        <v>9894</v>
      </c>
    </row>
    <row r="1087" spans="9:10">
      <c r="I1087" t="s">
        <v>9895</v>
      </c>
      <c r="J1087" t="s">
        <v>9896</v>
      </c>
    </row>
    <row r="1088" spans="9:10">
      <c r="I1088" t="s">
        <v>9897</v>
      </c>
      <c r="J1088" t="s">
        <v>9898</v>
      </c>
    </row>
    <row r="1089" spans="9:10">
      <c r="I1089" t="s">
        <v>9899</v>
      </c>
      <c r="J1089" t="s">
        <v>9900</v>
      </c>
    </row>
    <row r="1090" spans="9:10">
      <c r="I1090" t="s">
        <v>9901</v>
      </c>
      <c r="J1090" t="s">
        <v>9902</v>
      </c>
    </row>
    <row r="1091" spans="9:10">
      <c r="I1091" t="s">
        <v>9903</v>
      </c>
      <c r="J1091" t="s">
        <v>9904</v>
      </c>
    </row>
    <row r="1092" spans="9:10">
      <c r="I1092" t="s">
        <v>9905</v>
      </c>
      <c r="J1092" t="s">
        <v>8245</v>
      </c>
    </row>
    <row r="1093" spans="9:10">
      <c r="I1093" t="s">
        <v>9906</v>
      </c>
      <c r="J1093" t="s">
        <v>8247</v>
      </c>
    </row>
    <row r="1094" spans="9:10">
      <c r="I1094" t="s">
        <v>9907</v>
      </c>
      <c r="J1094" t="s">
        <v>9908</v>
      </c>
    </row>
    <row r="1095" spans="9:10">
      <c r="I1095" t="s">
        <v>9909</v>
      </c>
      <c r="J1095" t="s">
        <v>9910</v>
      </c>
    </row>
    <row r="1096" spans="9:10">
      <c r="I1096" t="s">
        <v>9911</v>
      </c>
      <c r="J1096" t="s">
        <v>9912</v>
      </c>
    </row>
    <row r="1097" spans="9:10">
      <c r="I1097" t="s">
        <v>9913</v>
      </c>
      <c r="J1097" t="s">
        <v>9914</v>
      </c>
    </row>
    <row r="1098" spans="9:10">
      <c r="I1098" t="s">
        <v>9915</v>
      </c>
      <c r="J1098" t="s">
        <v>9916</v>
      </c>
    </row>
    <row r="1099" spans="9:10">
      <c r="I1099" t="s">
        <v>9917</v>
      </c>
      <c r="J1099" t="s">
        <v>9918</v>
      </c>
    </row>
    <row r="1100" spans="9:10">
      <c r="I1100" t="s">
        <v>9919</v>
      </c>
      <c r="J1100" t="s">
        <v>9920</v>
      </c>
    </row>
    <row r="1101" spans="9:10">
      <c r="I1101" t="s">
        <v>9921</v>
      </c>
      <c r="J1101" t="s">
        <v>9922</v>
      </c>
    </row>
    <row r="1102" spans="9:10">
      <c r="I1102" t="s">
        <v>9923</v>
      </c>
      <c r="J1102" t="s">
        <v>9924</v>
      </c>
    </row>
    <row r="1103" spans="9:10">
      <c r="I1103" t="s">
        <v>9925</v>
      </c>
      <c r="J1103" t="s">
        <v>9926</v>
      </c>
    </row>
    <row r="1104" spans="9:10">
      <c r="I1104" t="s">
        <v>9927</v>
      </c>
      <c r="J1104" t="s">
        <v>9928</v>
      </c>
    </row>
    <row r="1105" spans="9:10">
      <c r="I1105" t="s">
        <v>9929</v>
      </c>
      <c r="J1105" t="s">
        <v>9930</v>
      </c>
    </row>
    <row r="1106" spans="9:10">
      <c r="I1106" t="s">
        <v>9931</v>
      </c>
      <c r="J1106" t="s">
        <v>9932</v>
      </c>
    </row>
    <row r="1107" spans="9:10">
      <c r="I1107" t="s">
        <v>9933</v>
      </c>
      <c r="J1107" t="s">
        <v>9934</v>
      </c>
    </row>
    <row r="1108" spans="9:10">
      <c r="I1108" t="s">
        <v>9935</v>
      </c>
      <c r="J1108" t="s">
        <v>9936</v>
      </c>
    </row>
    <row r="1109" spans="9:10">
      <c r="I1109" t="s">
        <v>9937</v>
      </c>
      <c r="J1109" t="s">
        <v>9938</v>
      </c>
    </row>
    <row r="1110" spans="9:10">
      <c r="I1110" t="s">
        <v>9939</v>
      </c>
      <c r="J1110" t="s">
        <v>9940</v>
      </c>
    </row>
    <row r="1111" spans="9:10">
      <c r="I1111" t="s">
        <v>9941</v>
      </c>
      <c r="J1111" t="s">
        <v>9942</v>
      </c>
    </row>
    <row r="1112" spans="9:10">
      <c r="I1112" t="s">
        <v>9943</v>
      </c>
      <c r="J1112" t="s">
        <v>8245</v>
      </c>
    </row>
    <row r="1113" spans="9:10">
      <c r="I1113" t="s">
        <v>9944</v>
      </c>
      <c r="J1113" t="s">
        <v>8247</v>
      </c>
    </row>
    <row r="1114" spans="9:10">
      <c r="I1114" t="s">
        <v>9945</v>
      </c>
      <c r="J1114" t="s">
        <v>9946</v>
      </c>
    </row>
    <row r="1115" spans="9:10">
      <c r="I1115" t="s">
        <v>9947</v>
      </c>
      <c r="J1115" t="s">
        <v>9948</v>
      </c>
    </row>
    <row r="1116" spans="9:10">
      <c r="I1116" t="s">
        <v>9949</v>
      </c>
      <c r="J1116" t="s">
        <v>9950</v>
      </c>
    </row>
    <row r="1117" spans="9:10">
      <c r="I1117" t="s">
        <v>9951</v>
      </c>
      <c r="J1117" t="s">
        <v>9952</v>
      </c>
    </row>
    <row r="1118" spans="9:10">
      <c r="I1118" t="s">
        <v>9953</v>
      </c>
      <c r="J1118" t="s">
        <v>8245</v>
      </c>
    </row>
    <row r="1119" spans="9:10">
      <c r="I1119" t="s">
        <v>9954</v>
      </c>
      <c r="J1119" t="s">
        <v>8247</v>
      </c>
    </row>
    <row r="1120" spans="9:10">
      <c r="I1120" t="s">
        <v>9955</v>
      </c>
      <c r="J1120" t="s">
        <v>9956</v>
      </c>
    </row>
    <row r="1121" spans="9:10">
      <c r="I1121" t="s">
        <v>9957</v>
      </c>
      <c r="J1121" t="s">
        <v>9958</v>
      </c>
    </row>
    <row r="1122" spans="9:10">
      <c r="I1122" t="s">
        <v>9959</v>
      </c>
      <c r="J1122" t="s">
        <v>247</v>
      </c>
    </row>
    <row r="1123" spans="9:10">
      <c r="I1123" t="s">
        <v>9960</v>
      </c>
      <c r="J1123" t="s">
        <v>1318</v>
      </c>
    </row>
    <row r="1124" spans="9:10">
      <c r="I1124" t="s">
        <v>7774</v>
      </c>
      <c r="J1124" t="s">
        <v>9961</v>
      </c>
    </row>
    <row r="1125" spans="9:10">
      <c r="I1125" t="s">
        <v>9962</v>
      </c>
      <c r="J1125" t="s">
        <v>8245</v>
      </c>
    </row>
    <row r="1126" spans="9:10">
      <c r="I1126" t="s">
        <v>9963</v>
      </c>
      <c r="J1126" t="s">
        <v>8247</v>
      </c>
    </row>
    <row r="1127" spans="9:10">
      <c r="I1127" t="s">
        <v>9964</v>
      </c>
      <c r="J1127" t="s">
        <v>9965</v>
      </c>
    </row>
    <row r="1128" spans="9:10">
      <c r="I1128" t="s">
        <v>9966</v>
      </c>
      <c r="J1128" t="s">
        <v>247</v>
      </c>
    </row>
  </sheetData>
  <sheetProtection sheet="1" objects="1" scenarios="1"/>
  <phoneticPr fontId="51" type="noConversion"/>
  <hyperlinks>
    <hyperlink ref="B36" r:id="rId1"/>
    <hyperlink ref="B37" r:id="rId2"/>
  </hyperlinks>
  <pageMargins left="0.78740157480314998" right="0.35433070866141703" top="0.511811023622047" bottom="0.11811023622047198" header="0.511811023622047" footer="0.511811023622047"/>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90"/>
  <sheetViews>
    <sheetView workbookViewId="0">
      <selection activeCell="D3" sqref="D3"/>
    </sheetView>
  </sheetViews>
  <sheetFormatPr defaultColWidth="9" defaultRowHeight="15.6"/>
  <cols>
    <col min="1" max="1" width="9" style="2"/>
    <col min="2" max="8" width="9" style="3"/>
    <col min="9" max="9" width="9.09765625" style="3" customWidth="1"/>
    <col min="10" max="16384" width="9" style="3"/>
  </cols>
  <sheetData>
    <row r="1" spans="1:10" ht="24.9" customHeight="1">
      <c r="A1" s="4"/>
      <c r="B1" s="4"/>
      <c r="C1" s="4"/>
      <c r="D1" s="5"/>
      <c r="E1" s="5" t="s">
        <v>271</v>
      </c>
      <c r="F1" s="2694">
        <f>基本情况!B18</f>
        <v>0</v>
      </c>
      <c r="G1" s="2694"/>
      <c r="H1" s="2694"/>
      <c r="I1" s="2694"/>
    </row>
    <row r="2" spans="1:10" ht="9" customHeight="1">
      <c r="A2" s="6"/>
      <c r="B2" s="6"/>
      <c r="C2" s="6"/>
      <c r="D2" s="6"/>
      <c r="E2" s="6"/>
      <c r="F2" s="6"/>
      <c r="G2" s="6"/>
      <c r="H2" s="6"/>
      <c r="I2" s="6"/>
    </row>
    <row r="3" spans="1:10" ht="18" customHeight="1">
      <c r="A3" s="7"/>
      <c r="B3" s="7"/>
      <c r="C3" s="7"/>
      <c r="D3" s="7"/>
      <c r="E3" s="5" t="s">
        <v>272</v>
      </c>
      <c r="F3" s="2704" t="str">
        <f>基本情况!B3</f>
        <v>企业所得税年度纳税申报审核</v>
      </c>
      <c r="G3" s="2704"/>
      <c r="H3" s="2704"/>
      <c r="I3" s="2704"/>
    </row>
    <row r="4" spans="1:10" ht="24.9" customHeight="1">
      <c r="A4" s="8"/>
      <c r="B4" s="8"/>
      <c r="C4" s="8"/>
      <c r="D4" s="8"/>
      <c r="E4" s="8"/>
      <c r="F4" s="8"/>
      <c r="G4" s="8"/>
      <c r="H4" s="8"/>
      <c r="I4" s="8"/>
    </row>
    <row r="5" spans="1:10" ht="24.9" customHeight="1">
      <c r="A5" s="6"/>
      <c r="B5" s="6"/>
      <c r="C5" s="6"/>
      <c r="D5" s="6"/>
      <c r="E5" s="6"/>
      <c r="F5" s="6"/>
      <c r="G5" s="6"/>
      <c r="H5" s="6"/>
      <c r="I5" s="6"/>
    </row>
    <row r="6" spans="1:10" ht="25.5" customHeight="1">
      <c r="A6" s="2695" t="str">
        <f>基本情况!B8</f>
        <v>中汇百邦（厦门）税务师事务所有限公司</v>
      </c>
      <c r="B6" s="2696"/>
      <c r="C6" s="2696"/>
      <c r="D6" s="2696"/>
      <c r="E6" s="2696"/>
      <c r="F6" s="2696"/>
      <c r="G6" s="2696"/>
      <c r="H6" s="2696"/>
      <c r="I6" s="2696"/>
    </row>
    <row r="7" spans="1:10" ht="39.75" customHeight="1">
      <c r="A7" s="2697" t="s">
        <v>273</v>
      </c>
      <c r="B7" s="2697"/>
      <c r="C7" s="2697"/>
      <c r="D7" s="2697"/>
      <c r="E7" s="2697"/>
      <c r="F7" s="2697"/>
      <c r="G7" s="2697"/>
      <c r="H7" s="2697"/>
      <c r="I7" s="2697"/>
    </row>
    <row r="8" spans="1:10" ht="39.75" customHeight="1">
      <c r="A8" s="9"/>
      <c r="B8" s="9"/>
      <c r="C8" s="9"/>
      <c r="D8" s="9"/>
      <c r="E8" s="9"/>
      <c r="F8" s="9"/>
      <c r="G8" s="9"/>
      <c r="H8" s="9"/>
      <c r="I8" s="9"/>
    </row>
    <row r="9" spans="1:10" ht="39.75" customHeight="1">
      <c r="A9" s="9"/>
      <c r="B9" s="9"/>
      <c r="C9" s="9"/>
      <c r="D9" s="9"/>
      <c r="E9" s="9"/>
      <c r="F9" s="9"/>
      <c r="G9" s="9"/>
      <c r="H9" s="9"/>
      <c r="I9" s="9"/>
    </row>
    <row r="10" spans="1:10" ht="24.9" customHeight="1">
      <c r="A10" s="6"/>
      <c r="B10" s="6"/>
      <c r="C10" s="6"/>
      <c r="D10" s="6"/>
      <c r="E10" s="6"/>
      <c r="F10" s="6"/>
      <c r="G10" s="6"/>
      <c r="H10" s="6"/>
      <c r="I10" s="6"/>
    </row>
    <row r="11" spans="1:10" ht="39.75" customHeight="1">
      <c r="A11" s="7" t="s">
        <v>274</v>
      </c>
      <c r="B11" s="7"/>
      <c r="C11" s="7"/>
      <c r="D11" s="2699">
        <f>基本情况!B18</f>
        <v>0</v>
      </c>
      <c r="E11" s="2699"/>
      <c r="F11" s="2699"/>
      <c r="G11" s="2699"/>
      <c r="H11" s="7"/>
      <c r="I11" s="7"/>
    </row>
    <row r="12" spans="1:10" ht="56.25" customHeight="1">
      <c r="A12" s="7" t="s">
        <v>275</v>
      </c>
      <c r="B12" s="7"/>
      <c r="C12" s="7"/>
      <c r="D12" s="2700">
        <f>基本情况!B2</f>
        <v>0</v>
      </c>
      <c r="E12" s="2700"/>
      <c r="F12" s="2700"/>
      <c r="G12" s="2700"/>
      <c r="H12" s="7"/>
      <c r="I12" s="7"/>
    </row>
    <row r="13" spans="1:10" ht="56.25" customHeight="1">
      <c r="A13" s="7" t="s">
        <v>276</v>
      </c>
      <c r="B13" s="10"/>
      <c r="C13" s="11"/>
      <c r="D13" s="2700" t="str">
        <f>IF(OR(基本情况!B6&lt;&gt;"12月31日",基本情况!F5&lt;&gt;"01",基本情况!G5&lt;&gt;"01"),基本情况!B7,基本情况!B4&amp;"年度")</f>
        <v>2016年度</v>
      </c>
      <c r="E13" s="2700"/>
      <c r="F13" s="2700"/>
      <c r="G13" s="2700"/>
      <c r="H13" s="7"/>
      <c r="I13" s="7"/>
      <c r="J13" s="12"/>
    </row>
    <row r="14" spans="1:10" ht="56.25" customHeight="1">
      <c r="A14" s="7" t="s">
        <v>277</v>
      </c>
      <c r="B14" s="7"/>
      <c r="C14" s="7"/>
      <c r="D14" s="2701">
        <f>基本情况!B11</f>
        <v>0</v>
      </c>
      <c r="E14" s="2701"/>
      <c r="F14" s="2701"/>
      <c r="G14" s="2701"/>
      <c r="H14" s="7"/>
      <c r="I14" s="7"/>
    </row>
    <row r="15" spans="1:10" ht="59.25" customHeight="1">
      <c r="A15" s="7" t="s">
        <v>278</v>
      </c>
      <c r="B15" s="7"/>
      <c r="C15" s="7"/>
      <c r="D15" s="2702" t="str">
        <f>基本情况!B20</f>
        <v>2017年5月4日</v>
      </c>
      <c r="E15" s="2702"/>
      <c r="F15" s="2702"/>
      <c r="G15" s="2702"/>
      <c r="H15" s="7"/>
      <c r="I15" s="7"/>
    </row>
    <row r="16" spans="1:10" ht="56.25" customHeight="1">
      <c r="A16" s="2703" t="s">
        <v>279</v>
      </c>
      <c r="B16" s="2703"/>
      <c r="C16" s="2703"/>
      <c r="D16" s="2703"/>
      <c r="E16" s="2703"/>
      <c r="F16" s="2703"/>
      <c r="G16" s="2703"/>
      <c r="H16" s="2703"/>
      <c r="I16" s="2703"/>
    </row>
    <row r="17" spans="1:9" ht="24.9" customHeight="1">
      <c r="A17" s="6"/>
      <c r="B17" s="6"/>
      <c r="C17" s="6"/>
      <c r="D17" s="6"/>
      <c r="E17" s="6"/>
      <c r="F17" s="6"/>
      <c r="G17" s="6"/>
      <c r="H17" s="6"/>
      <c r="I17" s="6"/>
    </row>
    <row r="18" spans="1:9" ht="24.9" customHeight="1">
      <c r="A18" s="6"/>
      <c r="B18" s="6"/>
      <c r="C18" s="6"/>
      <c r="D18" s="6"/>
      <c r="E18" s="6"/>
      <c r="F18" s="6"/>
      <c r="G18" s="6"/>
      <c r="H18" s="6"/>
      <c r="I18" s="6"/>
    </row>
    <row r="19" spans="1:9" ht="24.9" customHeight="1">
      <c r="A19" s="6"/>
      <c r="B19" s="6"/>
      <c r="C19" s="6"/>
      <c r="D19" s="6"/>
      <c r="E19" s="6"/>
      <c r="F19" s="6"/>
      <c r="G19" s="6" t="s">
        <v>280</v>
      </c>
      <c r="H19" s="2698"/>
      <c r="I19" s="2698"/>
    </row>
    <row r="20" spans="1:9" ht="24.9" customHeight="1">
      <c r="A20" s="12"/>
      <c r="B20" s="12"/>
      <c r="C20" s="12"/>
      <c r="D20" s="12"/>
      <c r="E20" s="12"/>
      <c r="F20" s="12"/>
      <c r="G20" s="12"/>
      <c r="H20" s="12"/>
      <c r="I20" s="12"/>
    </row>
    <row r="21" spans="1:9" ht="24.9" customHeight="1">
      <c r="A21" s="12"/>
      <c r="B21" s="12"/>
      <c r="C21" s="12"/>
      <c r="D21" s="12"/>
      <c r="E21" s="12"/>
      <c r="F21" s="12"/>
      <c r="G21" s="12"/>
      <c r="H21" s="12"/>
      <c r="I21" s="12"/>
    </row>
    <row r="22" spans="1:9" ht="24.9" customHeight="1">
      <c r="A22" s="12"/>
      <c r="B22" s="12"/>
      <c r="C22" s="12"/>
      <c r="D22" s="12"/>
      <c r="E22" s="12"/>
      <c r="F22" s="12"/>
    </row>
    <row r="23" spans="1:9" ht="24.9" customHeight="1">
      <c r="A23" s="12"/>
      <c r="B23" s="12"/>
      <c r="C23" s="12"/>
      <c r="D23" s="12"/>
      <c r="E23" s="12"/>
      <c r="F23" s="12"/>
    </row>
    <row r="24" spans="1:9" ht="24.9" customHeight="1">
      <c r="A24" s="12"/>
      <c r="B24" s="12"/>
      <c r="C24" s="12"/>
      <c r="D24" s="12"/>
      <c r="E24" s="12"/>
      <c r="F24" s="12"/>
    </row>
    <row r="25" spans="1:9" ht="24.9" customHeight="1">
      <c r="A25" s="12"/>
      <c r="B25" s="12"/>
      <c r="C25" s="12"/>
      <c r="D25" s="12"/>
      <c r="E25" s="12"/>
      <c r="F25" s="12"/>
    </row>
    <row r="26" spans="1:9" ht="24.9" customHeight="1">
      <c r="A26" s="12"/>
      <c r="B26" s="12"/>
      <c r="C26" s="12"/>
      <c r="D26" s="12"/>
      <c r="E26" s="12"/>
      <c r="F26" s="12"/>
    </row>
    <row r="27" spans="1:9" ht="24.9" customHeight="1">
      <c r="A27" s="12"/>
      <c r="B27" s="12"/>
      <c r="C27" s="12"/>
      <c r="D27" s="12"/>
      <c r="E27" s="12"/>
      <c r="F27" s="12"/>
    </row>
    <row r="28" spans="1:9" ht="24.9" customHeight="1">
      <c r="A28" s="12"/>
      <c r="B28" s="12"/>
      <c r="C28" s="12"/>
      <c r="D28" s="12"/>
      <c r="E28" s="12"/>
      <c r="F28" s="12"/>
    </row>
    <row r="29" spans="1:9" ht="24.9" customHeight="1">
      <c r="A29" s="12"/>
      <c r="B29" s="12"/>
      <c r="C29" s="12"/>
      <c r="D29" s="12"/>
      <c r="E29" s="12"/>
      <c r="F29" s="12"/>
    </row>
    <row r="30" spans="1:9" ht="24.9" customHeight="1">
      <c r="A30" s="12"/>
      <c r="B30" s="12"/>
      <c r="C30" s="12"/>
      <c r="D30" s="12"/>
      <c r="E30" s="12"/>
      <c r="F30" s="12"/>
    </row>
    <row r="31" spans="1:9" ht="24.9" customHeight="1">
      <c r="A31" s="12"/>
      <c r="B31" s="12"/>
      <c r="C31" s="12"/>
      <c r="D31" s="12"/>
      <c r="E31" s="12"/>
      <c r="F31" s="12"/>
    </row>
    <row r="32" spans="1:9" ht="24.9" customHeight="1">
      <c r="A32" s="12"/>
      <c r="B32" s="12"/>
      <c r="C32" s="12"/>
      <c r="D32" s="12"/>
      <c r="E32" s="12"/>
      <c r="F32" s="12"/>
    </row>
    <row r="33" spans="1:6" ht="24.9" customHeight="1">
      <c r="A33" s="12"/>
      <c r="B33" s="12"/>
      <c r="C33" s="12"/>
      <c r="D33" s="12"/>
      <c r="E33" s="12"/>
      <c r="F33" s="12"/>
    </row>
    <row r="34" spans="1:6" ht="24.9" customHeight="1">
      <c r="A34" s="12"/>
      <c r="B34" s="12"/>
      <c r="C34" s="12"/>
      <c r="D34" s="12"/>
      <c r="E34" s="12"/>
      <c r="F34" s="12"/>
    </row>
    <row r="35" spans="1:6" ht="24.9" customHeight="1">
      <c r="A35" s="12"/>
      <c r="B35" s="12"/>
      <c r="C35" s="12"/>
      <c r="D35" s="12"/>
      <c r="E35" s="12"/>
      <c r="F35" s="12"/>
    </row>
    <row r="36" spans="1:6" ht="24.9" customHeight="1">
      <c r="A36" s="12"/>
      <c r="B36" s="12"/>
      <c r="C36" s="12"/>
      <c r="D36" s="12"/>
      <c r="E36" s="12"/>
      <c r="F36" s="12"/>
    </row>
    <row r="37" spans="1:6" ht="24.9" customHeight="1">
      <c r="A37" s="12"/>
      <c r="B37" s="12"/>
      <c r="C37" s="12"/>
      <c r="D37" s="12"/>
      <c r="E37" s="12"/>
      <c r="F37" s="12"/>
    </row>
    <row r="38" spans="1:6" ht="24.9" customHeight="1">
      <c r="A38" s="12"/>
      <c r="B38" s="12"/>
      <c r="C38" s="12"/>
      <c r="D38" s="12"/>
      <c r="E38" s="12"/>
      <c r="F38" s="12"/>
    </row>
    <row r="39" spans="1:6" ht="24.9" customHeight="1">
      <c r="A39" s="12"/>
      <c r="B39" s="12"/>
      <c r="C39" s="12"/>
      <c r="D39" s="12"/>
      <c r="E39" s="12"/>
      <c r="F39" s="12"/>
    </row>
    <row r="40" spans="1:6" ht="24.9" customHeight="1">
      <c r="A40" s="12"/>
      <c r="B40" s="12"/>
      <c r="C40" s="12"/>
      <c r="D40" s="12"/>
      <c r="E40" s="12"/>
      <c r="F40" s="12"/>
    </row>
    <row r="41" spans="1:6" ht="24.9" customHeight="1">
      <c r="A41" s="12"/>
      <c r="B41" s="12"/>
      <c r="C41" s="12"/>
      <c r="D41" s="12"/>
      <c r="E41" s="12"/>
      <c r="F41" s="12"/>
    </row>
    <row r="42" spans="1:6" ht="24.9" customHeight="1">
      <c r="A42" s="12"/>
      <c r="B42" s="12"/>
      <c r="C42" s="12"/>
      <c r="D42" s="12"/>
      <c r="E42" s="12"/>
      <c r="F42" s="12"/>
    </row>
    <row r="43" spans="1:6" ht="24.9" customHeight="1">
      <c r="A43" s="12"/>
      <c r="B43" s="12"/>
      <c r="C43" s="12"/>
      <c r="D43" s="12"/>
      <c r="E43" s="12"/>
      <c r="F43" s="12"/>
    </row>
    <row r="44" spans="1:6" ht="24.9" customHeight="1">
      <c r="A44" s="12"/>
      <c r="B44" s="12"/>
      <c r="C44" s="12"/>
      <c r="D44" s="12"/>
      <c r="E44" s="12"/>
      <c r="F44" s="12"/>
    </row>
    <row r="45" spans="1:6" ht="24.9" customHeight="1">
      <c r="A45" s="12"/>
      <c r="B45" s="12"/>
      <c r="C45" s="12"/>
      <c r="D45" s="12"/>
      <c r="E45" s="12"/>
      <c r="F45" s="12"/>
    </row>
    <row r="46" spans="1:6" ht="24.9" customHeight="1">
      <c r="A46" s="12"/>
      <c r="B46" s="12"/>
      <c r="C46" s="12"/>
      <c r="D46" s="12"/>
      <c r="E46" s="12"/>
      <c r="F46" s="12"/>
    </row>
    <row r="47" spans="1:6" ht="24.9" customHeight="1">
      <c r="A47" s="12"/>
      <c r="B47" s="12"/>
      <c r="C47" s="12"/>
      <c r="D47" s="12"/>
      <c r="E47" s="12"/>
      <c r="F47" s="12"/>
    </row>
    <row r="48" spans="1:6" ht="24.9" customHeight="1">
      <c r="A48" s="12"/>
      <c r="B48" s="12"/>
      <c r="C48" s="12"/>
      <c r="D48" s="12"/>
      <c r="E48" s="12"/>
      <c r="F48" s="12"/>
    </row>
    <row r="49" spans="1:6" ht="24.9" customHeight="1">
      <c r="A49" s="12"/>
      <c r="B49" s="12"/>
      <c r="C49" s="12"/>
      <c r="D49" s="12"/>
      <c r="E49" s="12"/>
      <c r="F49" s="12"/>
    </row>
    <row r="50" spans="1:6" ht="24.9" customHeight="1">
      <c r="A50" s="12"/>
      <c r="B50" s="12"/>
      <c r="C50" s="12"/>
      <c r="D50" s="12"/>
      <c r="E50" s="12"/>
      <c r="F50" s="12"/>
    </row>
    <row r="51" spans="1:6">
      <c r="A51" s="12"/>
      <c r="B51" s="12"/>
      <c r="C51" s="12"/>
      <c r="D51" s="12"/>
      <c r="E51" s="12"/>
      <c r="F51" s="12"/>
    </row>
    <row r="52" spans="1:6">
      <c r="A52" s="12"/>
      <c r="B52" s="12"/>
      <c r="C52" s="12"/>
      <c r="D52" s="12"/>
      <c r="E52" s="12"/>
      <c r="F52" s="12"/>
    </row>
    <row r="53" spans="1:6">
      <c r="A53" s="12"/>
      <c r="B53" s="12"/>
      <c r="C53" s="12"/>
      <c r="D53" s="12"/>
      <c r="E53" s="12"/>
      <c r="F53" s="12"/>
    </row>
    <row r="54" spans="1:6">
      <c r="A54" s="12"/>
      <c r="B54" s="12"/>
      <c r="C54" s="12"/>
      <c r="D54" s="12"/>
      <c r="E54" s="12"/>
      <c r="F54" s="12"/>
    </row>
    <row r="55" spans="1:6">
      <c r="A55" s="12"/>
      <c r="B55" s="12"/>
      <c r="C55" s="12"/>
      <c r="D55" s="12"/>
      <c r="E55" s="12"/>
      <c r="F55" s="12"/>
    </row>
    <row r="56" spans="1:6">
      <c r="A56" s="12"/>
      <c r="B56" s="12"/>
      <c r="C56" s="12"/>
      <c r="D56" s="12"/>
      <c r="E56" s="12"/>
      <c r="F56" s="12"/>
    </row>
    <row r="57" spans="1:6">
      <c r="A57" s="12"/>
      <c r="B57" s="12"/>
      <c r="C57" s="12"/>
      <c r="D57" s="12"/>
      <c r="E57" s="12"/>
      <c r="F57" s="12"/>
    </row>
    <row r="58" spans="1:6">
      <c r="A58" s="12"/>
      <c r="B58" s="12"/>
      <c r="C58" s="12"/>
      <c r="D58" s="12"/>
      <c r="E58" s="12"/>
      <c r="F58" s="12"/>
    </row>
    <row r="59" spans="1:6">
      <c r="A59" s="12"/>
      <c r="B59" s="12"/>
      <c r="C59" s="12"/>
      <c r="D59" s="12"/>
      <c r="E59" s="12"/>
      <c r="F59" s="12"/>
    </row>
    <row r="60" spans="1:6">
      <c r="A60" s="12"/>
      <c r="B60" s="12"/>
      <c r="C60" s="12"/>
      <c r="D60" s="12"/>
      <c r="E60" s="12"/>
      <c r="F60" s="12"/>
    </row>
    <row r="61" spans="1:6">
      <c r="A61" s="12"/>
      <c r="B61" s="12"/>
      <c r="C61" s="12"/>
      <c r="D61" s="12"/>
      <c r="E61" s="12"/>
      <c r="F61" s="12"/>
    </row>
    <row r="62" spans="1:6">
      <c r="A62" s="12"/>
      <c r="B62" s="12"/>
      <c r="C62" s="12"/>
      <c r="D62" s="12"/>
      <c r="E62" s="12"/>
      <c r="F62" s="12"/>
    </row>
    <row r="63" spans="1:6">
      <c r="A63" s="12"/>
      <c r="B63" s="12"/>
      <c r="C63" s="12"/>
      <c r="D63" s="12"/>
      <c r="E63" s="12"/>
      <c r="F63" s="12"/>
    </row>
    <row r="64" spans="1:6">
      <c r="A64" s="12"/>
      <c r="B64" s="12"/>
      <c r="C64" s="12"/>
      <c r="D64" s="12"/>
      <c r="E64" s="12"/>
      <c r="F64" s="12"/>
    </row>
    <row r="65" spans="1:6">
      <c r="A65" s="12"/>
      <c r="B65" s="12"/>
      <c r="C65" s="12"/>
      <c r="D65" s="12"/>
      <c r="E65" s="12"/>
      <c r="F65" s="12"/>
    </row>
    <row r="66" spans="1:6">
      <c r="A66" s="12"/>
      <c r="B66" s="12"/>
      <c r="C66" s="12"/>
      <c r="D66" s="12"/>
      <c r="E66" s="12"/>
      <c r="F66" s="12"/>
    </row>
    <row r="67" spans="1:6">
      <c r="A67" s="12"/>
      <c r="B67" s="12"/>
      <c r="C67" s="12"/>
      <c r="D67" s="12"/>
      <c r="E67" s="12"/>
      <c r="F67" s="12"/>
    </row>
    <row r="68" spans="1:6">
      <c r="A68" s="12"/>
      <c r="B68" s="12"/>
      <c r="C68" s="12"/>
      <c r="D68" s="12"/>
      <c r="E68" s="12"/>
      <c r="F68" s="12"/>
    </row>
    <row r="69" spans="1:6">
      <c r="A69" s="12"/>
      <c r="B69" s="12"/>
      <c r="C69" s="12"/>
      <c r="D69" s="12"/>
      <c r="E69" s="12"/>
      <c r="F69" s="12"/>
    </row>
    <row r="70" spans="1:6">
      <c r="A70" s="12"/>
      <c r="B70" s="12"/>
      <c r="C70" s="12"/>
      <c r="D70" s="12"/>
      <c r="E70" s="12"/>
      <c r="F70" s="12"/>
    </row>
    <row r="71" spans="1:6">
      <c r="A71" s="12"/>
      <c r="B71" s="12"/>
      <c r="C71" s="12"/>
      <c r="D71" s="12"/>
      <c r="E71" s="12"/>
      <c r="F71" s="12"/>
    </row>
    <row r="72" spans="1:6">
      <c r="A72" s="12"/>
      <c r="B72" s="12"/>
      <c r="C72" s="12"/>
      <c r="D72" s="12"/>
      <c r="E72" s="12"/>
      <c r="F72" s="12"/>
    </row>
    <row r="73" spans="1:6">
      <c r="A73" s="12"/>
      <c r="B73" s="12"/>
      <c r="C73" s="12"/>
      <c r="D73" s="12"/>
      <c r="E73" s="12"/>
      <c r="F73" s="12"/>
    </row>
    <row r="74" spans="1:6">
      <c r="A74" s="12"/>
      <c r="B74" s="12"/>
      <c r="C74" s="12"/>
      <c r="D74" s="12"/>
      <c r="E74" s="12"/>
      <c r="F74" s="12"/>
    </row>
    <row r="75" spans="1:6">
      <c r="A75" s="12"/>
      <c r="B75" s="12"/>
      <c r="C75" s="12"/>
      <c r="D75" s="12"/>
      <c r="E75" s="12"/>
      <c r="F75" s="12"/>
    </row>
    <row r="76" spans="1:6">
      <c r="A76" s="12"/>
      <c r="B76" s="12"/>
      <c r="C76" s="12"/>
      <c r="D76" s="12"/>
      <c r="E76" s="12"/>
      <c r="F76" s="12"/>
    </row>
    <row r="77" spans="1:6">
      <c r="A77" s="12"/>
      <c r="B77" s="12"/>
      <c r="C77" s="12"/>
      <c r="D77" s="12"/>
      <c r="E77" s="12"/>
      <c r="F77" s="12"/>
    </row>
    <row r="78" spans="1:6">
      <c r="A78" s="12"/>
      <c r="B78" s="12"/>
      <c r="C78" s="12"/>
      <c r="D78" s="12"/>
      <c r="E78" s="12"/>
      <c r="F78" s="12"/>
    </row>
    <row r="79" spans="1:6">
      <c r="A79" s="12"/>
      <c r="B79" s="12"/>
      <c r="C79" s="12"/>
      <c r="D79" s="12"/>
      <c r="E79" s="12"/>
      <c r="F79" s="12"/>
    </row>
    <row r="80" spans="1:6">
      <c r="A80" s="12"/>
      <c r="B80" s="12"/>
      <c r="C80" s="12"/>
      <c r="D80" s="12"/>
      <c r="E80" s="12"/>
      <c r="F80" s="12"/>
    </row>
    <row r="81" spans="1:6">
      <c r="A81" s="12"/>
      <c r="B81" s="12"/>
      <c r="C81" s="12"/>
      <c r="D81" s="12"/>
      <c r="E81" s="12"/>
      <c r="F81" s="12"/>
    </row>
    <row r="82" spans="1:6">
      <c r="A82" s="12"/>
      <c r="B82" s="12"/>
      <c r="C82" s="12"/>
      <c r="D82" s="12"/>
      <c r="E82" s="12"/>
      <c r="F82" s="12"/>
    </row>
    <row r="83" spans="1:6">
      <c r="A83" s="12"/>
      <c r="B83" s="12"/>
      <c r="C83" s="12"/>
      <c r="D83" s="12"/>
      <c r="E83" s="12"/>
      <c r="F83" s="12"/>
    </row>
    <row r="84" spans="1:6">
      <c r="A84" s="12"/>
      <c r="B84" s="12"/>
      <c r="C84" s="12"/>
      <c r="D84" s="12"/>
      <c r="E84" s="12"/>
      <c r="F84" s="12"/>
    </row>
    <row r="85" spans="1:6">
      <c r="A85" s="12"/>
      <c r="B85" s="12"/>
      <c r="C85" s="12"/>
      <c r="D85" s="12"/>
      <c r="E85" s="12"/>
      <c r="F85" s="12"/>
    </row>
    <row r="86" spans="1:6">
      <c r="A86" s="12"/>
      <c r="B86" s="12"/>
      <c r="C86" s="12"/>
      <c r="D86" s="12"/>
      <c r="E86" s="12"/>
      <c r="F86" s="12"/>
    </row>
    <row r="87" spans="1:6">
      <c r="A87" s="12"/>
      <c r="B87" s="12"/>
      <c r="C87" s="12"/>
      <c r="D87" s="12"/>
      <c r="E87" s="12"/>
      <c r="F87" s="12"/>
    </row>
    <row r="88" spans="1:6">
      <c r="A88" s="12"/>
      <c r="B88" s="12"/>
      <c r="C88" s="12"/>
      <c r="D88" s="12"/>
      <c r="E88" s="12"/>
      <c r="F88" s="12"/>
    </row>
    <row r="89" spans="1:6">
      <c r="A89" s="12"/>
      <c r="B89" s="12"/>
      <c r="C89" s="12"/>
      <c r="D89" s="12"/>
      <c r="E89" s="12"/>
      <c r="F89" s="12"/>
    </row>
    <row r="90" spans="1:6">
      <c r="A90" s="12"/>
      <c r="B90" s="12"/>
      <c r="C90" s="12"/>
      <c r="D90" s="12"/>
      <c r="E90" s="12"/>
      <c r="F90" s="12"/>
    </row>
  </sheetData>
  <sheetProtection selectLockedCells="1" selectUnlockedCells="1"/>
  <mergeCells count="11">
    <mergeCell ref="F1:I1"/>
    <mergeCell ref="A6:I6"/>
    <mergeCell ref="A7:I7"/>
    <mergeCell ref="H19:I19"/>
    <mergeCell ref="D11:G11"/>
    <mergeCell ref="D12:G12"/>
    <mergeCell ref="D13:G13"/>
    <mergeCell ref="D14:G14"/>
    <mergeCell ref="D15:G15"/>
    <mergeCell ref="A16:I16"/>
    <mergeCell ref="F3:I3"/>
  </mergeCells>
  <phoneticPr fontId="51" type="noConversion"/>
  <conditionalFormatting sqref="A1:I1">
    <cfRule type="cellIs" dxfId="1" priority="1" stopIfTrue="1" operator="between">
      <formula>"厦百邦"</formula>
      <formula>"号"</formula>
    </cfRule>
  </conditionalFormatting>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S50"/>
  <sheetViews>
    <sheetView workbookViewId="0">
      <selection activeCell="B23" sqref="B23:I24"/>
    </sheetView>
  </sheetViews>
  <sheetFormatPr defaultRowHeight="15.6"/>
  <cols>
    <col min="1" max="1" width="9.3984375" customWidth="1"/>
    <col min="2" max="2" width="31.59765625" customWidth="1"/>
    <col min="3" max="3" width="6.09765625" customWidth="1"/>
    <col min="4" max="4" width="3.3984375" customWidth="1"/>
    <col min="5" max="6" width="5" customWidth="1"/>
    <col min="7" max="7" width="2.8984375" customWidth="1"/>
    <col min="8" max="8" width="3.5" customWidth="1"/>
    <col min="9" max="9" width="5.3984375" customWidth="1"/>
    <col min="10" max="10" width="4.8984375" customWidth="1"/>
    <col min="11" max="11" width="7.3984375" customWidth="1"/>
  </cols>
  <sheetData>
    <row r="1" spans="1:19" ht="22.2">
      <c r="A1" s="2719" t="s">
        <v>446</v>
      </c>
      <c r="B1" s="2719"/>
      <c r="C1" s="2719"/>
      <c r="D1" s="2719"/>
      <c r="E1" s="2719"/>
      <c r="F1" s="2719"/>
      <c r="G1" s="2719"/>
      <c r="H1" s="2719"/>
      <c r="I1" s="2719"/>
      <c r="J1" s="2719"/>
      <c r="K1" s="2719"/>
      <c r="L1" s="84"/>
      <c r="M1" s="84"/>
      <c r="N1" s="84"/>
      <c r="O1" s="84"/>
      <c r="P1" s="84"/>
      <c r="Q1" s="84"/>
      <c r="R1" s="84"/>
      <c r="S1" s="84"/>
    </row>
    <row r="2" spans="1:19">
      <c r="A2" s="85"/>
      <c r="B2" s="85"/>
      <c r="C2" s="85"/>
      <c r="D2" s="85"/>
      <c r="E2" s="85"/>
      <c r="F2" s="85"/>
      <c r="G2" s="85"/>
      <c r="H2" s="85"/>
      <c r="I2" s="85"/>
      <c r="J2" s="85"/>
      <c r="K2" s="85"/>
      <c r="L2" s="84"/>
      <c r="M2" s="84"/>
      <c r="N2" s="1332"/>
      <c r="O2" s="84"/>
      <c r="P2" s="84"/>
      <c r="Q2" s="84"/>
      <c r="R2" s="84"/>
      <c r="S2" s="84"/>
    </row>
    <row r="3" spans="1:19">
      <c r="A3" s="2720" t="s">
        <v>447</v>
      </c>
      <c r="B3" s="2721">
        <f>基本情况!B2</f>
        <v>0</v>
      </c>
      <c r="C3" s="2722"/>
      <c r="D3" s="2722"/>
      <c r="E3" s="2722" t="s">
        <v>448</v>
      </c>
      <c r="F3" s="2722"/>
      <c r="G3" s="2722"/>
      <c r="H3" s="2722" t="s">
        <v>449</v>
      </c>
      <c r="I3" s="2722"/>
      <c r="J3" s="2722"/>
      <c r="K3" s="86" t="s">
        <v>283</v>
      </c>
      <c r="L3" s="84"/>
      <c r="M3" s="84"/>
      <c r="N3" s="84"/>
      <c r="O3" s="84"/>
      <c r="P3" s="84"/>
      <c r="Q3" s="84"/>
      <c r="R3" s="84"/>
      <c r="S3" s="84"/>
    </row>
    <row r="4" spans="1:19">
      <c r="A4" s="2720"/>
      <c r="B4" s="2721"/>
      <c r="C4" s="2723" t="s">
        <v>450</v>
      </c>
      <c r="D4" s="2723"/>
      <c r="E4" s="2724">
        <f>基本情况!B12</f>
        <v>0</v>
      </c>
      <c r="F4" s="2724"/>
      <c r="G4" s="2724"/>
      <c r="H4" s="2725" t="str">
        <f>TEXT(基本情况!B21,"yyyy-mm-dd")</f>
        <v>2017-03-16</v>
      </c>
      <c r="I4" s="2725"/>
      <c r="J4" s="2725"/>
      <c r="K4" s="2727"/>
      <c r="L4" s="84"/>
      <c r="M4" s="84"/>
      <c r="N4" s="84"/>
      <c r="O4" s="84"/>
      <c r="P4" s="84"/>
      <c r="Q4" s="84"/>
      <c r="R4" s="84"/>
      <c r="S4" s="84"/>
    </row>
    <row r="5" spans="1:19">
      <c r="A5" s="87" t="s">
        <v>451</v>
      </c>
      <c r="B5" s="88" t="str">
        <f>基本情况!B7</f>
        <v>2016年01月01日至2016年12月31日</v>
      </c>
      <c r="C5" s="2728" t="s">
        <v>452</v>
      </c>
      <c r="D5" s="2728"/>
      <c r="E5" s="2716">
        <f>基本情况!B11</f>
        <v>0</v>
      </c>
      <c r="F5" s="2716"/>
      <c r="G5" s="2716"/>
      <c r="H5" s="2716" t="str">
        <f>TEXT(基本情况!B22,"yyyy-mm-dd")</f>
        <v>2017-05-04</v>
      </c>
      <c r="I5" s="2716"/>
      <c r="J5" s="2716"/>
      <c r="K5" s="2727"/>
      <c r="L5" s="84"/>
      <c r="M5" s="84"/>
      <c r="N5" s="84"/>
      <c r="O5" s="84"/>
      <c r="P5" s="84"/>
      <c r="Q5" s="84"/>
      <c r="R5" s="84"/>
      <c r="S5" s="84"/>
    </row>
    <row r="6" spans="1:19" ht="7.5" customHeight="1">
      <c r="A6" s="2717"/>
      <c r="B6" s="2717"/>
      <c r="C6" s="2717"/>
      <c r="D6" s="2717"/>
      <c r="E6" s="2717"/>
      <c r="F6" s="2717"/>
      <c r="G6" s="2717"/>
      <c r="H6" s="2717"/>
      <c r="I6" s="2717"/>
      <c r="J6" s="2717"/>
      <c r="K6" s="2717"/>
      <c r="L6" s="84"/>
      <c r="M6" s="84"/>
      <c r="N6" s="84"/>
      <c r="O6" s="84"/>
      <c r="P6" s="84"/>
      <c r="Q6" s="84"/>
      <c r="R6" s="84"/>
      <c r="S6" s="84"/>
    </row>
    <row r="7" spans="1:19">
      <c r="A7" s="2720" t="s">
        <v>453</v>
      </c>
      <c r="B7" s="2722" t="s">
        <v>454</v>
      </c>
      <c r="C7" s="2722"/>
      <c r="D7" s="2722"/>
      <c r="E7" s="2722"/>
      <c r="F7" s="2722"/>
      <c r="G7" s="2722"/>
      <c r="H7" s="2722"/>
      <c r="I7" s="2722"/>
      <c r="J7" s="2726" t="s">
        <v>455</v>
      </c>
      <c r="K7" s="2726"/>
      <c r="L7" s="84"/>
      <c r="M7" s="84"/>
      <c r="N7" s="84"/>
      <c r="O7" s="84"/>
      <c r="P7" s="84"/>
      <c r="Q7" s="84"/>
      <c r="R7" s="84"/>
      <c r="S7" s="84"/>
    </row>
    <row r="8" spans="1:19">
      <c r="A8" s="2720"/>
      <c r="B8" s="2722"/>
      <c r="C8" s="2722"/>
      <c r="D8" s="2722"/>
      <c r="E8" s="2722"/>
      <c r="F8" s="2722"/>
      <c r="G8" s="2722"/>
      <c r="H8" s="2722"/>
      <c r="I8" s="2722"/>
      <c r="J8" s="2726"/>
      <c r="K8" s="2726"/>
      <c r="L8" s="2718" t="s">
        <v>395</v>
      </c>
      <c r="M8" s="2718"/>
      <c r="N8" s="2718"/>
      <c r="O8" s="84"/>
      <c r="P8" s="84"/>
      <c r="Q8" s="84"/>
      <c r="R8" s="84"/>
      <c r="S8" s="84"/>
    </row>
    <row r="9" spans="1:19">
      <c r="A9" s="2705">
        <v>1</v>
      </c>
      <c r="B9" s="2715"/>
      <c r="C9" s="2715"/>
      <c r="D9" s="2715"/>
      <c r="E9" s="2715"/>
      <c r="F9" s="2715"/>
      <c r="G9" s="2715"/>
      <c r="H9" s="2715"/>
      <c r="I9" s="2715"/>
      <c r="J9" s="2714"/>
      <c r="K9" s="2714"/>
      <c r="L9" s="84"/>
      <c r="M9" s="84"/>
      <c r="N9" s="84"/>
      <c r="O9" s="84"/>
      <c r="P9" s="84"/>
      <c r="Q9" s="84"/>
      <c r="R9" s="84"/>
      <c r="S9" s="84"/>
    </row>
    <row r="10" spans="1:19">
      <c r="A10" s="2705"/>
      <c r="B10" s="2715"/>
      <c r="C10" s="2715"/>
      <c r="D10" s="2715"/>
      <c r="E10" s="2715"/>
      <c r="F10" s="2715"/>
      <c r="G10" s="2715"/>
      <c r="H10" s="2715"/>
      <c r="I10" s="2715"/>
      <c r="J10" s="2714"/>
      <c r="K10" s="2714"/>
      <c r="L10" s="84"/>
      <c r="M10" s="84"/>
      <c r="N10" s="84"/>
      <c r="O10" s="84"/>
      <c r="P10" s="84"/>
      <c r="Q10" s="84"/>
      <c r="R10" s="84"/>
      <c r="S10" s="84"/>
    </row>
    <row r="11" spans="1:19">
      <c r="A11" s="2705">
        <v>2</v>
      </c>
      <c r="B11" s="2706"/>
      <c r="C11" s="2706"/>
      <c r="D11" s="2706"/>
      <c r="E11" s="2706"/>
      <c r="F11" s="2706"/>
      <c r="G11" s="2706"/>
      <c r="H11" s="2706"/>
      <c r="I11" s="2706"/>
      <c r="J11" s="2714"/>
      <c r="K11" s="2714"/>
      <c r="L11" s="84"/>
      <c r="M11" s="84"/>
      <c r="N11" s="84"/>
      <c r="O11" s="84"/>
      <c r="P11" s="84"/>
      <c r="Q11" s="84"/>
      <c r="R11" s="84"/>
      <c r="S11" s="84"/>
    </row>
    <row r="12" spans="1:19">
      <c r="A12" s="2705"/>
      <c r="B12" s="2706"/>
      <c r="C12" s="2706"/>
      <c r="D12" s="2706"/>
      <c r="E12" s="2706"/>
      <c r="F12" s="2706"/>
      <c r="G12" s="2706"/>
      <c r="H12" s="2706"/>
      <c r="I12" s="2706"/>
      <c r="J12" s="2714"/>
      <c r="K12" s="2714"/>
      <c r="L12" s="84"/>
      <c r="M12" s="84"/>
      <c r="N12" s="84"/>
      <c r="O12" s="84"/>
      <c r="P12" s="84"/>
      <c r="Q12" s="84"/>
      <c r="R12" s="84"/>
      <c r="S12" s="84"/>
    </row>
    <row r="13" spans="1:19">
      <c r="A13" s="2705">
        <v>3</v>
      </c>
      <c r="B13" s="2715"/>
      <c r="C13" s="2715"/>
      <c r="D13" s="2715"/>
      <c r="E13" s="2715"/>
      <c r="F13" s="2715"/>
      <c r="G13" s="2715"/>
      <c r="H13" s="2715"/>
      <c r="I13" s="2715"/>
      <c r="J13" s="2714"/>
      <c r="K13" s="2714"/>
      <c r="L13" s="90" t="s">
        <v>456</v>
      </c>
      <c r="M13" s="84"/>
      <c r="N13" s="84"/>
      <c r="O13" s="84"/>
      <c r="P13" s="84"/>
      <c r="Q13" s="84"/>
      <c r="R13" s="84"/>
      <c r="S13" s="84"/>
    </row>
    <row r="14" spans="1:19">
      <c r="A14" s="2705"/>
      <c r="B14" s="2715"/>
      <c r="C14" s="2715"/>
      <c r="D14" s="2715"/>
      <c r="E14" s="2715"/>
      <c r="F14" s="2715"/>
      <c r="G14" s="2715"/>
      <c r="H14" s="2715"/>
      <c r="I14" s="2715"/>
      <c r="J14" s="2714"/>
      <c r="K14" s="2714"/>
      <c r="L14" s="90" t="s">
        <v>457</v>
      </c>
      <c r="M14" s="84"/>
      <c r="N14" s="84"/>
      <c r="O14" s="84"/>
      <c r="P14" s="84"/>
      <c r="Q14" s="84"/>
      <c r="R14" s="84"/>
      <c r="S14" s="84"/>
    </row>
    <row r="15" spans="1:19">
      <c r="A15" s="2705">
        <v>4</v>
      </c>
      <c r="B15" s="2706"/>
      <c r="C15" s="2706"/>
      <c r="D15" s="2706"/>
      <c r="E15" s="2706"/>
      <c r="F15" s="2706"/>
      <c r="G15" s="2706"/>
      <c r="H15" s="2706"/>
      <c r="I15" s="2706"/>
      <c r="J15" s="2714"/>
      <c r="K15" s="2714"/>
      <c r="L15" s="84"/>
      <c r="M15" s="84"/>
      <c r="N15" s="84"/>
      <c r="O15" s="84"/>
      <c r="P15" s="84"/>
      <c r="Q15" s="84"/>
      <c r="R15" s="84"/>
      <c r="S15" s="84"/>
    </row>
    <row r="16" spans="1:19">
      <c r="A16" s="2705"/>
      <c r="B16" s="2706"/>
      <c r="C16" s="2706"/>
      <c r="D16" s="2706"/>
      <c r="E16" s="2706"/>
      <c r="F16" s="2706"/>
      <c r="G16" s="2706"/>
      <c r="H16" s="2706"/>
      <c r="I16" s="2706"/>
      <c r="J16" s="2714"/>
      <c r="K16" s="2714"/>
      <c r="L16" s="84"/>
      <c r="M16" s="84"/>
      <c r="N16" s="84"/>
      <c r="O16" s="84"/>
      <c r="P16" s="84"/>
      <c r="Q16" s="84"/>
      <c r="R16" s="84"/>
      <c r="S16" s="84"/>
    </row>
    <row r="17" spans="1:19">
      <c r="A17" s="2705">
        <v>5</v>
      </c>
      <c r="B17" s="2706"/>
      <c r="C17" s="2706"/>
      <c r="D17" s="2706"/>
      <c r="E17" s="2706"/>
      <c r="F17" s="2706"/>
      <c r="G17" s="2706"/>
      <c r="H17" s="2706"/>
      <c r="I17" s="2706"/>
      <c r="J17" s="2714"/>
      <c r="K17" s="2714"/>
      <c r="L17" s="84"/>
      <c r="M17" s="84"/>
      <c r="N17" s="84"/>
      <c r="O17" s="84"/>
      <c r="P17" s="84"/>
      <c r="Q17" s="84"/>
      <c r="R17" s="84"/>
      <c r="S17" s="84"/>
    </row>
    <row r="18" spans="1:19">
      <c r="A18" s="2705"/>
      <c r="B18" s="2706"/>
      <c r="C18" s="2706"/>
      <c r="D18" s="2706"/>
      <c r="E18" s="2706"/>
      <c r="F18" s="2706"/>
      <c r="G18" s="2706"/>
      <c r="H18" s="2706"/>
      <c r="I18" s="2706"/>
      <c r="J18" s="2714"/>
      <c r="K18" s="2714"/>
      <c r="L18" s="84"/>
      <c r="M18" s="84"/>
      <c r="N18" s="84"/>
      <c r="O18" s="84"/>
      <c r="P18" s="84"/>
      <c r="Q18" s="84"/>
      <c r="R18" s="84"/>
      <c r="S18" s="84"/>
    </row>
    <row r="19" spans="1:19">
      <c r="A19" s="2705">
        <v>6</v>
      </c>
      <c r="B19" s="2706"/>
      <c r="C19" s="2706"/>
      <c r="D19" s="2706"/>
      <c r="E19" s="2706"/>
      <c r="F19" s="2706"/>
      <c r="G19" s="2706"/>
      <c r="H19" s="2706"/>
      <c r="I19" s="2706"/>
      <c r="J19" s="2714"/>
      <c r="K19" s="2714"/>
      <c r="L19" s="84"/>
      <c r="M19" s="84"/>
      <c r="N19" s="84"/>
      <c r="O19" s="84"/>
      <c r="P19" s="84"/>
      <c r="Q19" s="84"/>
      <c r="R19" s="84"/>
      <c r="S19" s="84"/>
    </row>
    <row r="20" spans="1:19">
      <c r="A20" s="2705"/>
      <c r="B20" s="2706"/>
      <c r="C20" s="2706"/>
      <c r="D20" s="2706"/>
      <c r="E20" s="2706"/>
      <c r="F20" s="2706"/>
      <c r="G20" s="2706"/>
      <c r="H20" s="2706"/>
      <c r="I20" s="2706"/>
      <c r="J20" s="2714"/>
      <c r="K20" s="2714"/>
      <c r="L20" s="84"/>
      <c r="M20" s="84"/>
      <c r="N20" s="84"/>
      <c r="O20" s="84"/>
      <c r="P20" s="84"/>
      <c r="Q20" s="84"/>
      <c r="R20" s="84"/>
      <c r="S20" s="84"/>
    </row>
    <row r="21" spans="1:19">
      <c r="A21" s="2705">
        <v>7</v>
      </c>
      <c r="B21" s="2706"/>
      <c r="C21" s="2706"/>
      <c r="D21" s="2706"/>
      <c r="E21" s="2706"/>
      <c r="F21" s="2706"/>
      <c r="G21" s="2706"/>
      <c r="H21" s="2706"/>
      <c r="I21" s="2706"/>
      <c r="J21" s="2714"/>
      <c r="K21" s="2714"/>
      <c r="L21" s="84"/>
      <c r="M21" s="84"/>
      <c r="N21" s="84"/>
      <c r="O21" s="84"/>
      <c r="P21" s="84"/>
      <c r="Q21" s="84"/>
      <c r="R21" s="84"/>
      <c r="S21" s="84"/>
    </row>
    <row r="22" spans="1:19">
      <c r="A22" s="2705"/>
      <c r="B22" s="2706"/>
      <c r="C22" s="2706"/>
      <c r="D22" s="2706"/>
      <c r="E22" s="2706"/>
      <c r="F22" s="2706"/>
      <c r="G22" s="2706"/>
      <c r="H22" s="2706"/>
      <c r="I22" s="2706"/>
      <c r="J22" s="2714"/>
      <c r="K22" s="2714"/>
      <c r="L22" s="84"/>
      <c r="M22" s="84"/>
      <c r="N22" s="84"/>
      <c r="O22" s="84"/>
      <c r="P22" s="84"/>
      <c r="Q22" s="84"/>
      <c r="R22" s="84"/>
      <c r="S22" s="84"/>
    </row>
    <row r="23" spans="1:19">
      <c r="A23" s="2705">
        <v>8</v>
      </c>
      <c r="B23" s="2706"/>
      <c r="C23" s="2706"/>
      <c r="D23" s="2706"/>
      <c r="E23" s="2706"/>
      <c r="F23" s="2706"/>
      <c r="G23" s="2706"/>
      <c r="H23" s="2706"/>
      <c r="I23" s="2706"/>
      <c r="J23" s="2714"/>
      <c r="K23" s="2714"/>
      <c r="L23" s="84"/>
      <c r="M23" s="84"/>
      <c r="N23" s="84"/>
      <c r="O23" s="84"/>
      <c r="P23" s="84"/>
      <c r="Q23" s="84"/>
      <c r="R23" s="84"/>
      <c r="S23" s="84"/>
    </row>
    <row r="24" spans="1:19">
      <c r="A24" s="2705"/>
      <c r="B24" s="2706"/>
      <c r="C24" s="2706"/>
      <c r="D24" s="2706"/>
      <c r="E24" s="2706"/>
      <c r="F24" s="2706"/>
      <c r="G24" s="2706"/>
      <c r="H24" s="2706"/>
      <c r="I24" s="2706"/>
      <c r="J24" s="2714"/>
      <c r="K24" s="2714"/>
      <c r="L24" s="84"/>
      <c r="M24" s="84"/>
      <c r="N24" s="84"/>
      <c r="O24" s="84"/>
      <c r="P24" s="84"/>
      <c r="Q24" s="84"/>
      <c r="R24" s="84"/>
      <c r="S24" s="84"/>
    </row>
    <row r="25" spans="1:19">
      <c r="A25" s="2705">
        <v>9</v>
      </c>
      <c r="B25" s="2706"/>
      <c r="C25" s="2706"/>
      <c r="D25" s="2706"/>
      <c r="E25" s="2706"/>
      <c r="F25" s="2706"/>
      <c r="G25" s="2706"/>
      <c r="H25" s="2706"/>
      <c r="I25" s="2706"/>
      <c r="J25" s="2714"/>
      <c r="K25" s="2714"/>
      <c r="L25" s="84"/>
      <c r="M25" s="84"/>
      <c r="N25" s="84"/>
      <c r="O25" s="84"/>
      <c r="P25" s="84"/>
      <c r="Q25" s="84"/>
      <c r="R25" s="84"/>
      <c r="S25" s="84"/>
    </row>
    <row r="26" spans="1:19">
      <c r="A26" s="2705"/>
      <c r="B26" s="2706"/>
      <c r="C26" s="2706"/>
      <c r="D26" s="2706"/>
      <c r="E26" s="2706"/>
      <c r="F26" s="2706"/>
      <c r="G26" s="2706"/>
      <c r="H26" s="2706"/>
      <c r="I26" s="2706"/>
      <c r="J26" s="2714"/>
      <c r="K26" s="2714"/>
      <c r="L26" s="84"/>
      <c r="M26" s="84"/>
      <c r="N26" s="84"/>
      <c r="O26" s="84"/>
      <c r="P26" s="84"/>
      <c r="Q26" s="84"/>
      <c r="R26" s="84"/>
      <c r="S26" s="84"/>
    </row>
    <row r="27" spans="1:19">
      <c r="A27" s="2705">
        <v>10</v>
      </c>
      <c r="B27" s="2706"/>
      <c r="C27" s="2706"/>
      <c r="D27" s="2706"/>
      <c r="E27" s="2706"/>
      <c r="F27" s="2706"/>
      <c r="G27" s="2706"/>
      <c r="H27" s="2706"/>
      <c r="I27" s="2706"/>
      <c r="J27" s="2714"/>
      <c r="K27" s="2714"/>
      <c r="L27" s="84"/>
      <c r="M27" s="84"/>
      <c r="N27" s="84"/>
      <c r="O27" s="84"/>
      <c r="P27" s="84"/>
      <c r="Q27" s="84"/>
      <c r="R27" s="84"/>
      <c r="S27" s="84"/>
    </row>
    <row r="28" spans="1:19">
      <c r="A28" s="2705"/>
      <c r="B28" s="2706"/>
      <c r="C28" s="2706"/>
      <c r="D28" s="2706"/>
      <c r="E28" s="2706"/>
      <c r="F28" s="2706"/>
      <c r="G28" s="2706"/>
      <c r="H28" s="2706"/>
      <c r="I28" s="2706"/>
      <c r="J28" s="2714"/>
      <c r="K28" s="2714"/>
      <c r="L28" s="84"/>
      <c r="M28" s="84"/>
      <c r="N28" s="84"/>
      <c r="O28" s="84"/>
      <c r="P28" s="84"/>
      <c r="Q28" s="84"/>
      <c r="R28" s="84"/>
      <c r="S28" s="84"/>
    </row>
    <row r="29" spans="1:19">
      <c r="A29" s="2705">
        <v>11</v>
      </c>
      <c r="B29" s="2706"/>
      <c r="C29" s="2706"/>
      <c r="D29" s="2706"/>
      <c r="E29" s="2706"/>
      <c r="F29" s="2706"/>
      <c r="G29" s="2706"/>
      <c r="H29" s="2706"/>
      <c r="I29" s="2706"/>
      <c r="J29" s="2714"/>
      <c r="K29" s="2714"/>
      <c r="L29" s="84"/>
      <c r="M29" s="84"/>
      <c r="N29" s="84"/>
      <c r="O29" s="84"/>
      <c r="P29" s="84"/>
      <c r="Q29" s="84"/>
      <c r="R29" s="84"/>
      <c r="S29" s="84"/>
    </row>
    <row r="30" spans="1:19">
      <c r="A30" s="2705"/>
      <c r="B30" s="2706"/>
      <c r="C30" s="2706"/>
      <c r="D30" s="2706"/>
      <c r="E30" s="2706"/>
      <c r="F30" s="2706"/>
      <c r="G30" s="2706"/>
      <c r="H30" s="2706"/>
      <c r="I30" s="2706"/>
      <c r="J30" s="2714"/>
      <c r="K30" s="2714"/>
      <c r="L30" s="84"/>
      <c r="M30" s="84"/>
      <c r="N30" s="84"/>
      <c r="O30" s="84"/>
      <c r="P30" s="84"/>
      <c r="Q30" s="84"/>
      <c r="R30" s="84"/>
      <c r="S30" s="84"/>
    </row>
    <row r="31" spans="1:19">
      <c r="A31" s="2705">
        <v>12</v>
      </c>
      <c r="B31" s="2706"/>
      <c r="C31" s="2706"/>
      <c r="D31" s="2706"/>
      <c r="E31" s="2706"/>
      <c r="F31" s="2706"/>
      <c r="G31" s="2706"/>
      <c r="H31" s="2706"/>
      <c r="I31" s="2706"/>
      <c r="J31" s="2714"/>
      <c r="K31" s="2714"/>
      <c r="L31" s="84"/>
      <c r="M31" s="84"/>
      <c r="N31" s="84"/>
      <c r="O31" s="84"/>
      <c r="P31" s="84"/>
      <c r="Q31" s="84"/>
      <c r="R31" s="84"/>
      <c r="S31" s="84"/>
    </row>
    <row r="32" spans="1:19">
      <c r="A32" s="2705"/>
      <c r="B32" s="2706"/>
      <c r="C32" s="2706"/>
      <c r="D32" s="2706"/>
      <c r="E32" s="2706"/>
      <c r="F32" s="2706"/>
      <c r="G32" s="2706"/>
      <c r="H32" s="2706"/>
      <c r="I32" s="2706"/>
      <c r="J32" s="2714"/>
      <c r="K32" s="2714"/>
      <c r="L32" s="84"/>
      <c r="M32" s="84"/>
      <c r="N32" s="84"/>
      <c r="O32" s="84"/>
      <c r="P32" s="84"/>
      <c r="Q32" s="84"/>
      <c r="R32" s="84"/>
      <c r="S32" s="84"/>
    </row>
    <row r="33" spans="1:19">
      <c r="A33" s="2705">
        <v>13</v>
      </c>
      <c r="B33" s="2706"/>
      <c r="C33" s="2706"/>
      <c r="D33" s="2706"/>
      <c r="E33" s="2706"/>
      <c r="F33" s="2706"/>
      <c r="G33" s="2706"/>
      <c r="H33" s="2706"/>
      <c r="I33" s="2706"/>
      <c r="J33" s="2714"/>
      <c r="K33" s="2714"/>
      <c r="L33" s="84"/>
      <c r="M33" s="84"/>
      <c r="N33" s="84"/>
      <c r="O33" s="84"/>
      <c r="P33" s="84"/>
      <c r="Q33" s="84"/>
      <c r="R33" s="84"/>
      <c r="S33" s="84"/>
    </row>
    <row r="34" spans="1:19">
      <c r="A34" s="2705"/>
      <c r="B34" s="2706"/>
      <c r="C34" s="2706"/>
      <c r="D34" s="2706"/>
      <c r="E34" s="2706"/>
      <c r="F34" s="2706"/>
      <c r="G34" s="2706"/>
      <c r="H34" s="2706"/>
      <c r="I34" s="2706"/>
      <c r="J34" s="2714"/>
      <c r="K34" s="2714"/>
      <c r="L34" s="84"/>
      <c r="M34" s="84"/>
      <c r="N34" s="84"/>
      <c r="O34" s="84"/>
      <c r="P34" s="84"/>
      <c r="Q34" s="84"/>
      <c r="R34" s="84"/>
      <c r="S34" s="84"/>
    </row>
    <row r="35" spans="1:19">
      <c r="A35" s="2705">
        <v>14</v>
      </c>
      <c r="B35" s="2706"/>
      <c r="C35" s="2706"/>
      <c r="D35" s="2706"/>
      <c r="E35" s="2706"/>
      <c r="F35" s="2706"/>
      <c r="G35" s="2706"/>
      <c r="H35" s="2706"/>
      <c r="I35" s="2706"/>
      <c r="J35" s="2714"/>
      <c r="K35" s="2714"/>
      <c r="L35" s="84"/>
      <c r="M35" s="84"/>
      <c r="N35" s="84"/>
      <c r="O35" s="84"/>
      <c r="P35" s="84"/>
      <c r="Q35" s="84"/>
      <c r="R35" s="84"/>
      <c r="S35" s="84"/>
    </row>
    <row r="36" spans="1:19">
      <c r="A36" s="2705"/>
      <c r="B36" s="2706"/>
      <c r="C36" s="2706"/>
      <c r="D36" s="2706"/>
      <c r="E36" s="2706"/>
      <c r="F36" s="2706"/>
      <c r="G36" s="2706"/>
      <c r="H36" s="2706"/>
      <c r="I36" s="2706"/>
      <c r="J36" s="2714"/>
      <c r="K36" s="2714"/>
      <c r="L36" s="84"/>
      <c r="M36" s="84"/>
      <c r="N36" s="84"/>
      <c r="O36" s="84"/>
      <c r="P36" s="84"/>
      <c r="Q36" s="84"/>
      <c r="R36" s="84"/>
      <c r="S36" s="84"/>
    </row>
    <row r="37" spans="1:19">
      <c r="A37" s="2705">
        <v>15</v>
      </c>
      <c r="B37" s="2706"/>
      <c r="C37" s="2706"/>
      <c r="D37" s="2706"/>
      <c r="E37" s="2706"/>
      <c r="F37" s="2706"/>
      <c r="G37" s="2706"/>
      <c r="H37" s="2706"/>
      <c r="I37" s="2706"/>
      <c r="J37" s="2714"/>
      <c r="K37" s="2714"/>
      <c r="L37" s="84"/>
      <c r="M37" s="84"/>
      <c r="N37" s="84"/>
      <c r="O37" s="84"/>
      <c r="P37" s="84"/>
      <c r="Q37" s="84"/>
      <c r="R37" s="84"/>
      <c r="S37" s="84"/>
    </row>
    <row r="38" spans="1:19">
      <c r="A38" s="2705"/>
      <c r="B38" s="2706"/>
      <c r="C38" s="2706"/>
      <c r="D38" s="2706"/>
      <c r="E38" s="2706"/>
      <c r="F38" s="2706"/>
      <c r="G38" s="2706"/>
      <c r="H38" s="2706"/>
      <c r="I38" s="2706"/>
      <c r="J38" s="2714"/>
      <c r="K38" s="2714"/>
      <c r="L38" s="84"/>
      <c r="M38" s="84"/>
      <c r="N38" s="84"/>
      <c r="O38" s="84"/>
      <c r="P38" s="84"/>
      <c r="Q38" s="84"/>
      <c r="R38" s="84"/>
      <c r="S38" s="84"/>
    </row>
    <row r="39" spans="1:19">
      <c r="A39" s="2711">
        <v>16</v>
      </c>
      <c r="B39" s="2712"/>
      <c r="C39" s="2712"/>
      <c r="D39" s="2712"/>
      <c r="E39" s="2712"/>
      <c r="F39" s="2712"/>
      <c r="G39" s="2712"/>
      <c r="H39" s="2712"/>
      <c r="I39" s="2712"/>
      <c r="J39" s="2713"/>
      <c r="K39" s="2713"/>
      <c r="L39" s="84"/>
      <c r="M39" s="84"/>
      <c r="N39" s="84"/>
      <c r="O39" s="84"/>
      <c r="P39" s="84"/>
      <c r="Q39" s="84"/>
      <c r="R39" s="84"/>
      <c r="S39" s="84"/>
    </row>
    <row r="40" spans="1:19">
      <c r="A40" s="2711"/>
      <c r="B40" s="2712"/>
      <c r="C40" s="2712"/>
      <c r="D40" s="2712"/>
      <c r="E40" s="2712"/>
      <c r="F40" s="2712"/>
      <c r="G40" s="2712"/>
      <c r="H40" s="2712"/>
      <c r="I40" s="2712"/>
      <c r="J40" s="2713"/>
      <c r="K40" s="2713"/>
      <c r="L40" s="84"/>
      <c r="M40" s="84"/>
      <c r="N40" s="84"/>
      <c r="O40" s="84"/>
      <c r="P40" s="84"/>
      <c r="Q40" s="84"/>
      <c r="R40" s="84"/>
      <c r="S40" s="84"/>
    </row>
    <row r="41" spans="1:19">
      <c r="A41" s="2705">
        <v>17</v>
      </c>
      <c r="B41" s="2706"/>
      <c r="C41" s="2706"/>
      <c r="D41" s="2706"/>
      <c r="E41" s="2706"/>
      <c r="F41" s="2706"/>
      <c r="G41" s="2706"/>
      <c r="H41" s="2706"/>
      <c r="I41" s="2706"/>
      <c r="J41" s="2707"/>
      <c r="K41" s="2707"/>
      <c r="L41" s="84"/>
      <c r="M41" s="84"/>
      <c r="N41" s="84"/>
      <c r="O41" s="84"/>
      <c r="P41" s="84"/>
      <c r="Q41" s="84"/>
      <c r="R41" s="84"/>
      <c r="S41" s="84"/>
    </row>
    <row r="42" spans="1:19">
      <c r="A42" s="2705"/>
      <c r="B42" s="2706"/>
      <c r="C42" s="2706"/>
      <c r="D42" s="2706"/>
      <c r="E42" s="2706"/>
      <c r="F42" s="2706"/>
      <c r="G42" s="2706"/>
      <c r="H42" s="2706"/>
      <c r="I42" s="2706"/>
      <c r="J42" s="2707"/>
      <c r="K42" s="2707"/>
      <c r="L42" s="84"/>
      <c r="M42" s="84"/>
      <c r="N42" s="84"/>
      <c r="O42" s="84"/>
      <c r="P42" s="84"/>
      <c r="Q42" s="84"/>
      <c r="R42" s="84"/>
      <c r="S42" s="84"/>
    </row>
    <row r="43" spans="1:19">
      <c r="A43" s="2705">
        <v>18</v>
      </c>
      <c r="B43" s="2706"/>
      <c r="C43" s="2706"/>
      <c r="D43" s="2706"/>
      <c r="E43" s="2706"/>
      <c r="F43" s="2706"/>
      <c r="G43" s="2706"/>
      <c r="H43" s="2706"/>
      <c r="I43" s="2706"/>
      <c r="J43" s="2707"/>
      <c r="K43" s="2707"/>
      <c r="L43" s="84"/>
      <c r="M43" s="84"/>
      <c r="N43" s="84"/>
      <c r="O43" s="84"/>
      <c r="P43" s="84"/>
      <c r="Q43" s="84"/>
      <c r="R43" s="84"/>
      <c r="S43" s="84"/>
    </row>
    <row r="44" spans="1:19">
      <c r="A44" s="2705"/>
      <c r="B44" s="2706"/>
      <c r="C44" s="2706"/>
      <c r="D44" s="2706"/>
      <c r="E44" s="2706"/>
      <c r="F44" s="2706"/>
      <c r="G44" s="2706"/>
      <c r="H44" s="2706"/>
      <c r="I44" s="2706"/>
      <c r="J44" s="2707"/>
      <c r="K44" s="2707"/>
      <c r="L44" s="84"/>
      <c r="M44" s="84"/>
      <c r="N44" s="84"/>
      <c r="O44" s="84"/>
      <c r="P44" s="84"/>
      <c r="Q44" s="84"/>
      <c r="R44" s="84"/>
      <c r="S44" s="84"/>
    </row>
    <row r="45" spans="1:19">
      <c r="A45" s="2705">
        <v>19</v>
      </c>
      <c r="B45" s="2706"/>
      <c r="C45" s="2706"/>
      <c r="D45" s="2706"/>
      <c r="E45" s="2706"/>
      <c r="F45" s="2706"/>
      <c r="G45" s="2706"/>
      <c r="H45" s="2706"/>
      <c r="I45" s="2706"/>
      <c r="J45" s="2707"/>
      <c r="K45" s="2707"/>
      <c r="L45" s="84"/>
      <c r="M45" s="84"/>
      <c r="N45" s="84"/>
      <c r="O45" s="84"/>
      <c r="P45" s="84"/>
      <c r="Q45" s="84"/>
      <c r="R45" s="84"/>
      <c r="S45" s="84"/>
    </row>
    <row r="46" spans="1:19">
      <c r="A46" s="2705"/>
      <c r="B46" s="2706"/>
      <c r="C46" s="2706"/>
      <c r="D46" s="2706"/>
      <c r="E46" s="2706"/>
      <c r="F46" s="2706"/>
      <c r="G46" s="2706"/>
      <c r="H46" s="2706"/>
      <c r="I46" s="2706"/>
      <c r="J46" s="2707"/>
      <c r="K46" s="2707"/>
      <c r="L46" s="84"/>
      <c r="M46" s="84"/>
      <c r="N46" s="84"/>
      <c r="O46" s="84"/>
      <c r="P46" s="84"/>
      <c r="Q46" s="84"/>
      <c r="R46" s="84"/>
      <c r="S46" s="84"/>
    </row>
    <row r="47" spans="1:19">
      <c r="A47" s="2705">
        <v>20</v>
      </c>
      <c r="B47" s="2706"/>
      <c r="C47" s="2706"/>
      <c r="D47" s="2706"/>
      <c r="E47" s="2706"/>
      <c r="F47" s="2706"/>
      <c r="G47" s="2706"/>
      <c r="H47" s="2706"/>
      <c r="I47" s="2706"/>
      <c r="J47" s="2707"/>
      <c r="K47" s="2707"/>
      <c r="L47" s="84"/>
      <c r="M47" s="84"/>
      <c r="N47" s="84"/>
      <c r="O47" s="84"/>
      <c r="P47" s="84"/>
      <c r="Q47" s="84"/>
      <c r="R47" s="84"/>
      <c r="S47" s="84"/>
    </row>
    <row r="48" spans="1:19">
      <c r="A48" s="2705"/>
      <c r="B48" s="2706"/>
      <c r="C48" s="2706"/>
      <c r="D48" s="2706"/>
      <c r="E48" s="2706"/>
      <c r="F48" s="2706"/>
      <c r="G48" s="2706"/>
      <c r="H48" s="2706"/>
      <c r="I48" s="2706"/>
      <c r="J48" s="2707"/>
      <c r="K48" s="2707"/>
      <c r="L48" s="84"/>
      <c r="M48" s="84"/>
      <c r="N48" s="84"/>
      <c r="O48" s="84"/>
      <c r="P48" s="84"/>
      <c r="Q48" s="84"/>
      <c r="R48" s="84"/>
      <c r="S48" s="84"/>
    </row>
    <row r="49" spans="1:19">
      <c r="A49" s="2708">
        <v>21</v>
      </c>
      <c r="B49" s="2709"/>
      <c r="C49" s="2709"/>
      <c r="D49" s="2709"/>
      <c r="E49" s="2709"/>
      <c r="F49" s="2709"/>
      <c r="G49" s="2709"/>
      <c r="H49" s="2709"/>
      <c r="I49" s="2709"/>
      <c r="J49" s="2710"/>
      <c r="K49" s="2710"/>
      <c r="L49" s="84"/>
      <c r="M49" s="84"/>
      <c r="N49" s="84"/>
      <c r="O49" s="84"/>
      <c r="P49" s="84"/>
      <c r="Q49" s="84"/>
      <c r="R49" s="84"/>
      <c r="S49" s="84"/>
    </row>
    <row r="50" spans="1:19">
      <c r="A50" s="2708"/>
      <c r="B50" s="2709"/>
      <c r="C50" s="2709"/>
      <c r="D50" s="2709"/>
      <c r="E50" s="2709"/>
      <c r="F50" s="2709"/>
      <c r="G50" s="2709"/>
      <c r="H50" s="2709"/>
      <c r="I50" s="2709"/>
      <c r="J50" s="2710"/>
      <c r="K50" s="2710"/>
      <c r="L50" s="84"/>
      <c r="M50" s="84"/>
      <c r="N50" s="84"/>
      <c r="O50" s="84"/>
      <c r="P50" s="84"/>
      <c r="Q50" s="84"/>
      <c r="R50" s="84"/>
      <c r="S50" s="84"/>
    </row>
  </sheetData>
  <sheetProtection selectLockedCells="1" selectUnlockedCells="1"/>
  <mergeCells count="81">
    <mergeCell ref="L8:N8"/>
    <mergeCell ref="A1:K1"/>
    <mergeCell ref="A3:A4"/>
    <mergeCell ref="B3:B4"/>
    <mergeCell ref="C3:D3"/>
    <mergeCell ref="E3:G3"/>
    <mergeCell ref="H3:J3"/>
    <mergeCell ref="C4:D4"/>
    <mergeCell ref="E4:G4"/>
    <mergeCell ref="H4:J4"/>
    <mergeCell ref="A7:A8"/>
    <mergeCell ref="B7:I8"/>
    <mergeCell ref="J7:K8"/>
    <mergeCell ref="K4:K5"/>
    <mergeCell ref="C5:D5"/>
    <mergeCell ref="E5:G5"/>
    <mergeCell ref="H5:J5"/>
    <mergeCell ref="A6:K6"/>
    <mergeCell ref="A9:A10"/>
    <mergeCell ref="B9:I10"/>
    <mergeCell ref="J9:K10"/>
    <mergeCell ref="A11:A12"/>
    <mergeCell ref="B11:I12"/>
    <mergeCell ref="J11:K12"/>
    <mergeCell ref="A13:A14"/>
    <mergeCell ref="B13:I14"/>
    <mergeCell ref="J13:K14"/>
    <mergeCell ref="A15:A16"/>
    <mergeCell ref="B15:I16"/>
    <mergeCell ref="J15:K16"/>
    <mergeCell ref="A17:A18"/>
    <mergeCell ref="B17:I18"/>
    <mergeCell ref="J17:K18"/>
    <mergeCell ref="A19:A20"/>
    <mergeCell ref="B19:I20"/>
    <mergeCell ref="J19:K20"/>
    <mergeCell ref="A21:A22"/>
    <mergeCell ref="B21:I22"/>
    <mergeCell ref="J21:K22"/>
    <mergeCell ref="A23:A24"/>
    <mergeCell ref="B23:I24"/>
    <mergeCell ref="J23:K24"/>
    <mergeCell ref="A25:A26"/>
    <mergeCell ref="B25:I26"/>
    <mergeCell ref="J25:K26"/>
    <mergeCell ref="A27:A28"/>
    <mergeCell ref="B27:I28"/>
    <mergeCell ref="J27:K28"/>
    <mergeCell ref="A29:A30"/>
    <mergeCell ref="B29:I30"/>
    <mergeCell ref="J29:K30"/>
    <mergeCell ref="A31:A32"/>
    <mergeCell ref="B31:I32"/>
    <mergeCell ref="J31:K32"/>
    <mergeCell ref="A33:A34"/>
    <mergeCell ref="B33:I34"/>
    <mergeCell ref="J33:K34"/>
    <mergeCell ref="A35:A36"/>
    <mergeCell ref="B35:I36"/>
    <mergeCell ref="J35:K36"/>
    <mergeCell ref="A37:A38"/>
    <mergeCell ref="B37:I38"/>
    <mergeCell ref="J37:K38"/>
    <mergeCell ref="A39:A40"/>
    <mergeCell ref="B39:I40"/>
    <mergeCell ref="J39:K40"/>
    <mergeCell ref="A41:A42"/>
    <mergeCell ref="B41:I42"/>
    <mergeCell ref="J41:K42"/>
    <mergeCell ref="A43:A44"/>
    <mergeCell ref="B43:I44"/>
    <mergeCell ref="J43:K44"/>
    <mergeCell ref="A49:A50"/>
    <mergeCell ref="B49:I50"/>
    <mergeCell ref="J49:K50"/>
    <mergeCell ref="A45:A46"/>
    <mergeCell ref="B45:I46"/>
    <mergeCell ref="J45:K46"/>
    <mergeCell ref="A47:A48"/>
    <mergeCell ref="B47:I48"/>
    <mergeCell ref="J47:K48"/>
  </mergeCells>
  <phoneticPr fontId="51" type="noConversion"/>
  <dataValidations count="1">
    <dataValidation allowBlank="1" showErrorMessage="1" sqref="E4:G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K75"/>
  <sheetViews>
    <sheetView topLeftCell="A16" workbookViewId="0">
      <selection activeCell="H18" sqref="H18"/>
    </sheetView>
  </sheetViews>
  <sheetFormatPr defaultColWidth="9" defaultRowHeight="15.6"/>
  <cols>
    <col min="1" max="1" width="8.59765625" style="13" customWidth="1"/>
    <col min="2" max="2" width="29" style="13" customWidth="1"/>
    <col min="3" max="4" width="6.59765625" style="13" customWidth="1"/>
    <col min="5" max="5" width="29.09765625" style="13" customWidth="1"/>
    <col min="6" max="6" width="6.59765625" style="13" customWidth="1"/>
    <col min="7" max="16384" width="9" style="13"/>
  </cols>
  <sheetData>
    <row r="1" spans="1:11" ht="22.2">
      <c r="A1" s="2729" t="s">
        <v>281</v>
      </c>
      <c r="B1" s="2729"/>
      <c r="C1" s="2729"/>
      <c r="D1" s="2729"/>
      <c r="E1" s="2729"/>
      <c r="F1" s="2729"/>
      <c r="G1" s="14"/>
      <c r="H1" s="14"/>
      <c r="I1" s="14"/>
      <c r="J1" s="14"/>
      <c r="K1" s="14"/>
    </row>
    <row r="2" spans="1:11" ht="24.75" customHeight="1">
      <c r="A2" s="2730" t="s">
        <v>282</v>
      </c>
      <c r="B2" s="2731">
        <f>基本情况!B2</f>
        <v>0</v>
      </c>
      <c r="C2" s="2732" t="str">
        <f>"联系人："&amp;基本情况!B37</f>
        <v>联系人：0</v>
      </c>
      <c r="D2" s="2732"/>
      <c r="E2" s="2733" t="str">
        <f>"     联系电话："&amp;基本情况!B34</f>
        <v xml:space="preserve">     联系电话：0</v>
      </c>
      <c r="F2" s="2733"/>
      <c r="G2" s="14"/>
      <c r="H2" s="14"/>
      <c r="I2" s="14"/>
      <c r="J2" s="14"/>
      <c r="K2" s="14"/>
    </row>
    <row r="3" spans="1:11" ht="33.75" customHeight="1">
      <c r="A3" s="2730"/>
      <c r="B3" s="2731"/>
      <c r="C3" s="2732"/>
      <c r="D3" s="2732"/>
      <c r="E3" s="2733"/>
      <c r="F3" s="2733"/>
      <c r="G3" s="14"/>
      <c r="H3" s="14"/>
      <c r="I3" s="14"/>
      <c r="J3" s="14"/>
      <c r="K3" s="14"/>
    </row>
    <row r="4" spans="1:11" ht="18.75" customHeight="1">
      <c r="A4" s="15" t="s">
        <v>283</v>
      </c>
      <c r="B4" s="15" t="s">
        <v>284</v>
      </c>
      <c r="C4" s="15" t="s">
        <v>285</v>
      </c>
      <c r="D4" s="15" t="s">
        <v>283</v>
      </c>
      <c r="E4" s="15" t="s">
        <v>284</v>
      </c>
      <c r="F4" s="15" t="s">
        <v>285</v>
      </c>
      <c r="G4" s="14"/>
      <c r="H4" s="14"/>
      <c r="I4" s="14"/>
      <c r="J4" s="14"/>
      <c r="K4" s="14"/>
    </row>
    <row r="5" spans="1:11" ht="18.75" customHeight="1">
      <c r="A5" s="16" t="s">
        <v>286</v>
      </c>
      <c r="B5" s="17"/>
      <c r="C5" s="15"/>
      <c r="D5" s="19" t="s">
        <v>287</v>
      </c>
      <c r="E5" s="17"/>
      <c r="F5" s="20"/>
      <c r="G5" s="2102"/>
      <c r="H5" s="14"/>
      <c r="I5" s="14"/>
      <c r="J5" s="14"/>
      <c r="K5" s="14"/>
    </row>
    <row r="6" spans="1:11" ht="18.75" customHeight="1">
      <c r="A6" s="21" t="s">
        <v>288</v>
      </c>
      <c r="B6" s="22" t="s">
        <v>289</v>
      </c>
      <c r="C6" s="15"/>
      <c r="D6" s="2099" t="s">
        <v>6677</v>
      </c>
      <c r="E6" s="2096" t="s">
        <v>6657</v>
      </c>
      <c r="F6" s="15"/>
      <c r="G6" s="2103"/>
      <c r="H6" s="14"/>
      <c r="I6" s="14"/>
      <c r="J6" s="14"/>
      <c r="K6" s="14"/>
    </row>
    <row r="7" spans="1:11" ht="18.75" customHeight="1">
      <c r="A7" s="21" t="s">
        <v>290</v>
      </c>
      <c r="B7" s="22" t="s">
        <v>291</v>
      </c>
      <c r="C7" s="15"/>
      <c r="D7" s="2099" t="s">
        <v>6678</v>
      </c>
      <c r="E7" s="31" t="s">
        <v>6658</v>
      </c>
      <c r="F7" s="15"/>
      <c r="G7" s="2104"/>
      <c r="H7" s="14"/>
      <c r="I7" s="14"/>
      <c r="J7" s="14"/>
      <c r="K7" s="14"/>
    </row>
    <row r="8" spans="1:11" ht="18.75" customHeight="1">
      <c r="A8" s="21" t="s">
        <v>293</v>
      </c>
      <c r="B8" s="22" t="s">
        <v>294</v>
      </c>
      <c r="C8" s="15"/>
      <c r="D8" s="2099" t="s">
        <v>6679</v>
      </c>
      <c r="E8" s="2097" t="s">
        <v>6659</v>
      </c>
      <c r="F8" s="15"/>
      <c r="G8" s="2104"/>
      <c r="H8" s="14"/>
      <c r="I8" s="14"/>
      <c r="J8" s="14"/>
      <c r="K8" s="14"/>
    </row>
    <row r="9" spans="1:11" ht="18.75" customHeight="1">
      <c r="A9" s="21" t="s">
        <v>297</v>
      </c>
      <c r="B9" s="22" t="s">
        <v>298</v>
      </c>
      <c r="C9" s="15"/>
      <c r="D9" s="2099" t="s">
        <v>6680</v>
      </c>
      <c r="E9" s="2098" t="s">
        <v>6660</v>
      </c>
      <c r="F9" s="15"/>
      <c r="G9" s="2105"/>
      <c r="H9" s="14"/>
      <c r="I9" s="14"/>
      <c r="J9" s="14"/>
      <c r="K9" s="14"/>
    </row>
    <row r="10" spans="1:11" ht="18.75" customHeight="1">
      <c r="A10" s="21" t="s">
        <v>301</v>
      </c>
      <c r="B10" s="22" t="s">
        <v>302</v>
      </c>
      <c r="C10" s="15"/>
      <c r="D10" s="2099" t="s">
        <v>6681</v>
      </c>
      <c r="E10" s="2106" t="s">
        <v>6661</v>
      </c>
      <c r="F10" s="15"/>
      <c r="G10" s="14"/>
      <c r="H10" s="14"/>
      <c r="I10" s="14"/>
      <c r="J10" s="14"/>
      <c r="K10" s="14"/>
    </row>
    <row r="11" spans="1:11" ht="18.75" customHeight="1">
      <c r="A11" s="21" t="s">
        <v>305</v>
      </c>
      <c r="B11" s="22" t="s">
        <v>306</v>
      </c>
      <c r="C11" s="15"/>
      <c r="D11" s="2099" t="s">
        <v>6682</v>
      </c>
      <c r="E11" s="2106" t="s">
        <v>6662</v>
      </c>
      <c r="F11" s="15"/>
      <c r="G11" s="14"/>
      <c r="H11" s="14"/>
      <c r="I11" s="14"/>
      <c r="J11" s="14"/>
      <c r="K11" s="14"/>
    </row>
    <row r="12" spans="1:11" ht="18.75" customHeight="1">
      <c r="A12" s="21" t="s">
        <v>309</v>
      </c>
      <c r="B12" s="22" t="s">
        <v>310</v>
      </c>
      <c r="C12" s="15"/>
      <c r="D12" s="2099" t="s">
        <v>6683</v>
      </c>
      <c r="E12" s="2106" t="s">
        <v>6663</v>
      </c>
      <c r="F12" s="15"/>
      <c r="G12" s="14"/>
      <c r="H12" s="14"/>
      <c r="I12" s="14"/>
      <c r="J12" s="14"/>
      <c r="K12" s="14"/>
    </row>
    <row r="13" spans="1:11" ht="18.75" customHeight="1">
      <c r="A13" s="21" t="s">
        <v>313</v>
      </c>
      <c r="B13" s="22" t="s">
        <v>314</v>
      </c>
      <c r="C13" s="15"/>
      <c r="D13" s="2099" t="s">
        <v>6684</v>
      </c>
      <c r="E13" s="2106" t="s">
        <v>6664</v>
      </c>
      <c r="F13" s="15"/>
      <c r="G13" s="14"/>
      <c r="H13" s="14"/>
      <c r="I13" s="14"/>
      <c r="J13" s="14"/>
      <c r="K13" s="14"/>
    </row>
    <row r="14" spans="1:11" ht="18.75" customHeight="1">
      <c r="A14" s="21" t="s">
        <v>317</v>
      </c>
      <c r="B14" s="22" t="s">
        <v>318</v>
      </c>
      <c r="C14" s="15"/>
      <c r="D14" s="2099" t="s">
        <v>6685</v>
      </c>
      <c r="E14" s="2106" t="s">
        <v>6665</v>
      </c>
      <c r="F14" s="15"/>
      <c r="G14" s="14"/>
      <c r="H14" s="14"/>
      <c r="I14" s="14"/>
      <c r="J14" s="14"/>
      <c r="K14" s="14"/>
    </row>
    <row r="15" spans="1:11" ht="18.75" customHeight="1">
      <c r="A15" s="21" t="s">
        <v>321</v>
      </c>
      <c r="B15" s="22" t="s">
        <v>322</v>
      </c>
      <c r="C15" s="15"/>
      <c r="D15" s="2099" t="s">
        <v>6686</v>
      </c>
      <c r="E15" s="2108" t="s">
        <v>6666</v>
      </c>
      <c r="F15" s="15"/>
      <c r="G15" s="14"/>
      <c r="H15" s="14"/>
      <c r="I15" s="14"/>
      <c r="J15" s="14"/>
      <c r="K15" s="14"/>
    </row>
    <row r="16" spans="1:11" ht="18.75" customHeight="1">
      <c r="A16" s="21" t="s">
        <v>325</v>
      </c>
      <c r="B16" s="22" t="s">
        <v>326</v>
      </c>
      <c r="C16" s="15"/>
      <c r="D16" s="2099" t="s">
        <v>6687</v>
      </c>
      <c r="E16" s="2106" t="s">
        <v>6668</v>
      </c>
      <c r="F16" s="15"/>
      <c r="G16" s="14"/>
      <c r="H16" s="14"/>
      <c r="I16" s="14"/>
      <c r="J16" s="14"/>
      <c r="K16" s="14"/>
    </row>
    <row r="17" spans="1:11" ht="18.75" customHeight="1">
      <c r="A17" s="21" t="s">
        <v>329</v>
      </c>
      <c r="B17" s="22" t="s">
        <v>330</v>
      </c>
      <c r="C17" s="15"/>
      <c r="D17" s="2099" t="s">
        <v>6688</v>
      </c>
      <c r="E17" s="2106" t="s">
        <v>6669</v>
      </c>
      <c r="F17" s="15"/>
      <c r="G17" s="14"/>
      <c r="H17" s="14"/>
      <c r="I17" s="14"/>
      <c r="J17" s="14"/>
      <c r="K17" s="14"/>
    </row>
    <row r="18" spans="1:11" ht="18.75" customHeight="1">
      <c r="A18" s="21" t="s">
        <v>333</v>
      </c>
      <c r="B18" s="22" t="s">
        <v>334</v>
      </c>
      <c r="C18" s="15"/>
      <c r="D18" s="2099" t="s">
        <v>6689</v>
      </c>
      <c r="E18" s="2106" t="s">
        <v>6670</v>
      </c>
      <c r="F18" s="15"/>
      <c r="G18" s="14"/>
      <c r="H18" s="14"/>
      <c r="I18" s="14"/>
      <c r="J18" s="14"/>
      <c r="K18" s="14"/>
    </row>
    <row r="19" spans="1:11" ht="24" customHeight="1">
      <c r="A19" s="25" t="s">
        <v>335</v>
      </c>
      <c r="B19" s="17"/>
      <c r="C19" s="18"/>
      <c r="D19" s="2099" t="s">
        <v>6690</v>
      </c>
      <c r="E19" s="2106" t="s">
        <v>6671</v>
      </c>
      <c r="F19" s="15"/>
      <c r="G19" s="14"/>
      <c r="H19" s="14"/>
      <c r="I19" s="14"/>
      <c r="J19" s="14"/>
      <c r="K19" s="14"/>
    </row>
    <row r="20" spans="1:11" ht="22.5" customHeight="1">
      <c r="A20" s="19" t="s">
        <v>337</v>
      </c>
      <c r="B20" s="17"/>
      <c r="C20" s="23"/>
      <c r="D20" s="2099" t="s">
        <v>6691</v>
      </c>
      <c r="E20" s="2107" t="s">
        <v>6672</v>
      </c>
      <c r="F20" s="15"/>
      <c r="G20" s="14"/>
      <c r="H20" s="14"/>
      <c r="I20" s="14"/>
      <c r="J20" s="14"/>
      <c r="K20" s="14"/>
    </row>
    <row r="21" spans="1:11" ht="22.5" customHeight="1">
      <c r="A21" s="21" t="s">
        <v>340</v>
      </c>
      <c r="B21" s="22" t="s">
        <v>341</v>
      </c>
      <c r="C21" s="20"/>
      <c r="D21" s="25" t="s">
        <v>292</v>
      </c>
      <c r="E21" s="17"/>
      <c r="F21" s="20"/>
      <c r="G21" s="14"/>
      <c r="H21" s="14"/>
      <c r="I21" s="14"/>
      <c r="J21" s="14"/>
      <c r="K21" s="14"/>
    </row>
    <row r="22" spans="1:11" ht="22.5" customHeight="1">
      <c r="A22" s="21" t="s">
        <v>344</v>
      </c>
      <c r="B22" s="22" t="s">
        <v>345</v>
      </c>
      <c r="C22" s="20"/>
      <c r="D22" s="21" t="s">
        <v>295</v>
      </c>
      <c r="E22" s="22" t="s">
        <v>296</v>
      </c>
      <c r="F22" s="20"/>
      <c r="G22" s="14"/>
      <c r="H22" s="14"/>
      <c r="I22" s="14"/>
      <c r="J22" s="14"/>
      <c r="K22" s="14"/>
    </row>
    <row r="23" spans="1:11" ht="22.5" customHeight="1">
      <c r="A23" s="21" t="s">
        <v>348</v>
      </c>
      <c r="B23" s="22" t="s">
        <v>349</v>
      </c>
      <c r="C23" s="20"/>
      <c r="D23" s="21" t="s">
        <v>299</v>
      </c>
      <c r="E23" s="22" t="s">
        <v>300</v>
      </c>
      <c r="F23" s="20"/>
      <c r="G23" s="14"/>
      <c r="H23" s="14"/>
      <c r="I23" s="14"/>
      <c r="J23" s="14"/>
      <c r="K23" s="14"/>
    </row>
    <row r="24" spans="1:11" ht="22.5" customHeight="1">
      <c r="A24" s="21" t="s">
        <v>352</v>
      </c>
      <c r="B24" s="22" t="s">
        <v>353</v>
      </c>
      <c r="C24" s="20"/>
      <c r="D24" s="21" t="s">
        <v>303</v>
      </c>
      <c r="E24" s="22" t="s">
        <v>304</v>
      </c>
      <c r="F24" s="20"/>
      <c r="G24" s="14"/>
      <c r="H24" s="14"/>
      <c r="I24" s="14"/>
      <c r="J24" s="14"/>
      <c r="K24" s="14"/>
    </row>
    <row r="25" spans="1:11" ht="22.5" customHeight="1">
      <c r="A25" s="21" t="s">
        <v>356</v>
      </c>
      <c r="B25" s="28" t="s">
        <v>10081</v>
      </c>
      <c r="C25" s="20"/>
      <c r="D25" s="21" t="s">
        <v>307</v>
      </c>
      <c r="E25" s="22" t="s">
        <v>308</v>
      </c>
      <c r="F25" s="20"/>
      <c r="G25" s="14"/>
      <c r="H25" s="14"/>
      <c r="I25" s="14"/>
      <c r="J25" s="14"/>
      <c r="K25" s="14"/>
    </row>
    <row r="26" spans="1:11" ht="22.5" customHeight="1">
      <c r="A26" s="21" t="s">
        <v>359</v>
      </c>
      <c r="B26" s="22" t="s">
        <v>360</v>
      </c>
      <c r="C26" s="20"/>
      <c r="D26" s="21" t="s">
        <v>311</v>
      </c>
      <c r="E26" s="22" t="s">
        <v>312</v>
      </c>
      <c r="F26" s="20"/>
      <c r="G26" s="14"/>
      <c r="H26" s="14"/>
      <c r="I26" s="14"/>
      <c r="J26" s="14"/>
      <c r="K26" s="14"/>
    </row>
    <row r="27" spans="1:11" ht="22.5" customHeight="1">
      <c r="A27" s="21" t="s">
        <v>363</v>
      </c>
      <c r="B27" s="22" t="s">
        <v>364</v>
      </c>
      <c r="C27" s="20"/>
      <c r="D27" s="21" t="s">
        <v>315</v>
      </c>
      <c r="E27" s="22" t="s">
        <v>316</v>
      </c>
      <c r="F27" s="20"/>
      <c r="G27" s="14"/>
      <c r="H27" s="14"/>
      <c r="I27" s="14"/>
      <c r="J27" s="14"/>
      <c r="K27" s="14"/>
    </row>
    <row r="28" spans="1:11" ht="22.5" customHeight="1">
      <c r="A28" s="21" t="s">
        <v>367</v>
      </c>
      <c r="B28" s="22" t="s">
        <v>368</v>
      </c>
      <c r="C28" s="20"/>
      <c r="D28" s="21" t="s">
        <v>319</v>
      </c>
      <c r="E28" s="22" t="s">
        <v>320</v>
      </c>
      <c r="F28" s="20"/>
      <c r="G28" s="14"/>
      <c r="H28" s="14"/>
      <c r="I28" s="14"/>
      <c r="J28" s="14"/>
      <c r="K28" s="14"/>
    </row>
    <row r="29" spans="1:11" ht="22.5" customHeight="1">
      <c r="A29" s="21" t="s">
        <v>371</v>
      </c>
      <c r="B29" s="22" t="s">
        <v>372</v>
      </c>
      <c r="C29" s="20"/>
      <c r="D29" s="21" t="s">
        <v>323</v>
      </c>
      <c r="E29" s="22" t="s">
        <v>324</v>
      </c>
      <c r="F29" s="20"/>
      <c r="G29" s="14"/>
      <c r="H29" s="14"/>
      <c r="I29" s="14"/>
      <c r="J29" s="14"/>
      <c r="K29" s="14"/>
    </row>
    <row r="30" spans="1:11" ht="22.5" customHeight="1">
      <c r="A30" s="21" t="s">
        <v>375</v>
      </c>
      <c r="B30" s="22" t="s">
        <v>376</v>
      </c>
      <c r="C30" s="20"/>
      <c r="D30" s="21" t="s">
        <v>327</v>
      </c>
      <c r="E30" s="22" t="s">
        <v>328</v>
      </c>
      <c r="F30" s="20"/>
      <c r="G30" s="14"/>
      <c r="H30" s="14"/>
      <c r="I30" s="14"/>
      <c r="J30" s="14"/>
      <c r="K30" s="14"/>
    </row>
    <row r="31" spans="1:11" ht="22.5" customHeight="1">
      <c r="A31" s="21" t="s">
        <v>379</v>
      </c>
      <c r="B31" s="22" t="s">
        <v>380</v>
      </c>
      <c r="C31" s="20"/>
      <c r="D31" s="21" t="s">
        <v>331</v>
      </c>
      <c r="E31" s="22" t="s">
        <v>332</v>
      </c>
      <c r="F31" s="20"/>
      <c r="G31" s="14"/>
      <c r="H31" s="14"/>
      <c r="I31" s="14"/>
      <c r="J31" s="14"/>
      <c r="K31" s="14"/>
    </row>
    <row r="32" spans="1:11" ht="22.5" customHeight="1">
      <c r="A32" s="21" t="s">
        <v>381</v>
      </c>
      <c r="B32" s="31" t="s">
        <v>382</v>
      </c>
      <c r="C32" s="20"/>
      <c r="D32" s="26"/>
      <c r="E32" s="24"/>
      <c r="F32" s="20"/>
      <c r="G32" s="14"/>
      <c r="H32" s="14"/>
      <c r="I32" s="14"/>
      <c r="J32" s="14"/>
      <c r="K32" s="14"/>
    </row>
    <row r="33" spans="1:11" ht="24" customHeight="1">
      <c r="A33" s="21" t="s">
        <v>1443</v>
      </c>
      <c r="B33" s="1281" t="s">
        <v>1445</v>
      </c>
      <c r="C33" s="20"/>
      <c r="D33" s="27" t="s">
        <v>336</v>
      </c>
      <c r="E33" s="17"/>
      <c r="F33" s="20"/>
      <c r="G33" s="14"/>
      <c r="H33" s="14"/>
      <c r="I33" s="14"/>
      <c r="J33" s="14"/>
      <c r="K33" s="14"/>
    </row>
    <row r="34" spans="1:11" ht="22.5" customHeight="1">
      <c r="A34" s="21" t="s">
        <v>1444</v>
      </c>
      <c r="B34" s="1282" t="s">
        <v>1446</v>
      </c>
      <c r="C34" s="20"/>
      <c r="D34" s="21" t="s">
        <v>338</v>
      </c>
      <c r="E34" s="22" t="s">
        <v>339</v>
      </c>
      <c r="F34" s="20"/>
      <c r="G34" s="14"/>
      <c r="H34" s="14"/>
      <c r="I34" s="14"/>
      <c r="J34" s="14"/>
      <c r="K34" s="14"/>
    </row>
    <row r="35" spans="1:11" ht="22.5" customHeight="1">
      <c r="A35" s="21" t="s">
        <v>6633</v>
      </c>
      <c r="B35" s="2095" t="s">
        <v>6647</v>
      </c>
      <c r="C35" s="20"/>
      <c r="D35" s="21" t="s">
        <v>342</v>
      </c>
      <c r="E35" s="22" t="s">
        <v>343</v>
      </c>
      <c r="F35" s="20"/>
      <c r="G35" s="14"/>
      <c r="H35" s="14"/>
      <c r="I35" s="14"/>
      <c r="J35" s="14"/>
      <c r="K35" s="14"/>
    </row>
    <row r="36" spans="1:11" ht="22.5" customHeight="1">
      <c r="A36" s="21" t="s">
        <v>6634</v>
      </c>
      <c r="B36" s="22" t="s">
        <v>6648</v>
      </c>
      <c r="C36" s="20"/>
      <c r="D36" s="21" t="s">
        <v>346</v>
      </c>
      <c r="E36" s="22" t="s">
        <v>347</v>
      </c>
      <c r="F36" s="20"/>
      <c r="G36" s="14"/>
      <c r="H36" s="14"/>
      <c r="I36" s="14"/>
      <c r="J36" s="14"/>
      <c r="K36" s="14"/>
    </row>
    <row r="37" spans="1:11" ht="22.5" customHeight="1">
      <c r="A37" s="21" t="s">
        <v>6635</v>
      </c>
      <c r="B37" s="22" t="s">
        <v>6649</v>
      </c>
      <c r="C37" s="20"/>
      <c r="D37" s="21" t="s">
        <v>350</v>
      </c>
      <c r="E37" s="22" t="s">
        <v>351</v>
      </c>
      <c r="F37" s="20"/>
      <c r="G37" s="14"/>
      <c r="H37" s="14"/>
      <c r="I37" s="14"/>
      <c r="J37" s="14"/>
      <c r="K37" s="14"/>
    </row>
    <row r="38" spans="1:11" ht="22.5" customHeight="1">
      <c r="A38" s="21" t="s">
        <v>6636</v>
      </c>
      <c r="B38" s="22" t="s">
        <v>6650</v>
      </c>
      <c r="C38" s="20"/>
      <c r="D38" s="21" t="s">
        <v>354</v>
      </c>
      <c r="E38" s="22" t="s">
        <v>355</v>
      </c>
      <c r="F38" s="20"/>
      <c r="G38" s="14"/>
      <c r="H38" s="14"/>
      <c r="I38" s="14"/>
      <c r="J38" s="14"/>
      <c r="K38" s="14"/>
    </row>
    <row r="39" spans="1:11" ht="22.5" customHeight="1">
      <c r="A39" s="21" t="s">
        <v>6637</v>
      </c>
      <c r="B39" s="22" t="s">
        <v>6651</v>
      </c>
      <c r="C39" s="20"/>
      <c r="D39" s="21" t="s">
        <v>357</v>
      </c>
      <c r="E39" s="22" t="s">
        <v>358</v>
      </c>
      <c r="F39" s="20"/>
      <c r="G39" s="14"/>
      <c r="H39" s="14"/>
      <c r="I39" s="14"/>
      <c r="J39" s="14"/>
      <c r="K39" s="14"/>
    </row>
    <row r="40" spans="1:11" ht="22.5" customHeight="1">
      <c r="A40" s="21" t="s">
        <v>6638</v>
      </c>
      <c r="B40" s="22" t="s">
        <v>6652</v>
      </c>
      <c r="C40" s="20"/>
      <c r="D40" s="21" t="s">
        <v>361</v>
      </c>
      <c r="E40" s="22" t="s">
        <v>362</v>
      </c>
      <c r="F40" s="20"/>
      <c r="G40" s="14"/>
      <c r="H40" s="14"/>
      <c r="I40" s="14"/>
      <c r="J40" s="14"/>
      <c r="K40" s="14"/>
    </row>
    <row r="41" spans="1:11" ht="22.5" customHeight="1">
      <c r="A41" s="21" t="s">
        <v>6639</v>
      </c>
      <c r="B41" s="22" t="s">
        <v>6653</v>
      </c>
      <c r="C41" s="20"/>
      <c r="D41" s="21" t="s">
        <v>365</v>
      </c>
      <c r="E41" s="22" t="s">
        <v>366</v>
      </c>
      <c r="F41" s="20"/>
      <c r="G41" s="14"/>
      <c r="H41" s="14"/>
      <c r="I41" s="14"/>
      <c r="J41" s="14"/>
      <c r="K41" s="14"/>
    </row>
    <row r="42" spans="1:11" ht="22.5" customHeight="1">
      <c r="A42" s="21" t="s">
        <v>6640</v>
      </c>
      <c r="B42" s="22" t="s">
        <v>6654</v>
      </c>
      <c r="C42" s="20"/>
      <c r="D42" s="21" t="s">
        <v>369</v>
      </c>
      <c r="E42" s="22" t="s">
        <v>370</v>
      </c>
      <c r="F42" s="20"/>
      <c r="G42" s="14"/>
      <c r="H42" s="14"/>
      <c r="I42" s="14"/>
      <c r="J42" s="14"/>
      <c r="K42" s="14"/>
    </row>
    <row r="43" spans="1:11" ht="22.5" customHeight="1">
      <c r="A43" s="21" t="s">
        <v>6641</v>
      </c>
      <c r="B43" s="22" t="s">
        <v>6655</v>
      </c>
      <c r="C43" s="20"/>
      <c r="D43" s="21" t="s">
        <v>373</v>
      </c>
      <c r="E43" s="28" t="s">
        <v>374</v>
      </c>
      <c r="F43" s="20"/>
      <c r="G43" s="14"/>
      <c r="H43" s="14"/>
      <c r="I43" s="14"/>
      <c r="J43" s="14"/>
      <c r="K43" s="14"/>
    </row>
    <row r="44" spans="1:11" ht="22.5" customHeight="1">
      <c r="A44" s="21" t="s">
        <v>6642</v>
      </c>
      <c r="B44" s="22" t="s">
        <v>6656</v>
      </c>
      <c r="C44" s="20"/>
      <c r="D44" s="21" t="s">
        <v>377</v>
      </c>
      <c r="E44" s="22" t="s">
        <v>378</v>
      </c>
      <c r="F44" s="20"/>
      <c r="G44" s="14"/>
      <c r="H44" s="14"/>
      <c r="I44" s="14"/>
      <c r="J44" s="14"/>
      <c r="K44" s="14"/>
    </row>
    <row r="45" spans="1:11" ht="22.5" customHeight="1">
      <c r="A45" s="21" t="s">
        <v>6643</v>
      </c>
      <c r="B45" s="2106" t="s">
        <v>6673</v>
      </c>
      <c r="C45" s="20"/>
      <c r="D45" s="29"/>
      <c r="E45" s="30"/>
      <c r="F45" s="20"/>
      <c r="G45" s="14"/>
      <c r="H45" s="14"/>
      <c r="I45" s="14"/>
      <c r="J45" s="14"/>
      <c r="K45" s="14"/>
    </row>
    <row r="46" spans="1:11" ht="22.5" customHeight="1">
      <c r="A46" s="21" t="s">
        <v>6644</v>
      </c>
      <c r="B46" s="2106" t="s">
        <v>6674</v>
      </c>
      <c r="C46" s="32"/>
      <c r="D46" s="33"/>
      <c r="E46" s="34"/>
      <c r="F46" s="32"/>
      <c r="G46" s="14"/>
      <c r="H46" s="14"/>
      <c r="I46" s="14"/>
      <c r="J46" s="14"/>
      <c r="K46" s="14"/>
    </row>
    <row r="47" spans="1:11" ht="22.5" customHeight="1">
      <c r="A47" s="21" t="s">
        <v>6645</v>
      </c>
      <c r="B47" s="2106" t="s">
        <v>6675</v>
      </c>
      <c r="C47" s="35"/>
      <c r="D47" s="36" t="s">
        <v>383</v>
      </c>
      <c r="E47" s="37"/>
      <c r="F47" s="38"/>
      <c r="G47" s="14"/>
      <c r="H47" s="14"/>
      <c r="I47" s="14"/>
      <c r="J47" s="14"/>
      <c r="K47" s="14"/>
    </row>
    <row r="48" spans="1:11" ht="22.5" customHeight="1">
      <c r="A48" s="21" t="s">
        <v>6646</v>
      </c>
      <c r="B48" s="2106" t="s">
        <v>6676</v>
      </c>
      <c r="C48" s="35"/>
      <c r="D48" s="36"/>
      <c r="E48" s="37"/>
      <c r="F48" s="38"/>
      <c r="G48" s="14"/>
      <c r="H48" s="14"/>
      <c r="I48" s="14"/>
      <c r="J48" s="14"/>
      <c r="K48" s="14"/>
    </row>
    <row r="49" spans="1:6" ht="22.5" customHeight="1">
      <c r="A49" s="2100"/>
      <c r="B49" s="2101"/>
      <c r="C49" s="39"/>
      <c r="D49" s="40"/>
      <c r="E49" s="41"/>
      <c r="F49" s="39"/>
    </row>
    <row r="50" spans="1:6">
      <c r="A50" s="42"/>
      <c r="B50" s="43"/>
      <c r="C50" s="43"/>
      <c r="D50" s="42"/>
      <c r="E50" s="43"/>
      <c r="F50" s="43"/>
    </row>
    <row r="51" spans="1:6">
      <c r="A51" s="42"/>
      <c r="B51" s="43"/>
      <c r="C51" s="43"/>
      <c r="D51" s="42"/>
      <c r="E51" s="43"/>
      <c r="F51" s="43"/>
    </row>
    <row r="52" spans="1:6">
      <c r="D52" s="44"/>
    </row>
    <row r="53" spans="1:6">
      <c r="D53" s="44"/>
    </row>
    <row r="54" spans="1:6">
      <c r="D54" s="44"/>
    </row>
    <row r="55" spans="1:6">
      <c r="D55" s="44"/>
    </row>
    <row r="56" spans="1:6">
      <c r="D56" s="44"/>
    </row>
    <row r="57" spans="1:6">
      <c r="D57" s="44"/>
    </row>
    <row r="58" spans="1:6">
      <c r="D58" s="44"/>
    </row>
    <row r="59" spans="1:6">
      <c r="D59" s="44"/>
    </row>
    <row r="60" spans="1:6">
      <c r="D60" s="44"/>
    </row>
    <row r="61" spans="1:6">
      <c r="D61" s="44"/>
    </row>
    <row r="62" spans="1:6">
      <c r="D62" s="44"/>
    </row>
    <row r="63" spans="1:6">
      <c r="D63" s="44"/>
    </row>
    <row r="64" spans="1:6">
      <c r="D64" s="44"/>
    </row>
    <row r="65" spans="4:4">
      <c r="D65" s="44"/>
    </row>
    <row r="66" spans="4:4">
      <c r="D66" s="44"/>
    </row>
    <row r="67" spans="4:4">
      <c r="D67" s="44"/>
    </row>
    <row r="68" spans="4:4">
      <c r="D68" s="44"/>
    </row>
    <row r="69" spans="4:4">
      <c r="D69" s="44"/>
    </row>
    <row r="70" spans="4:4">
      <c r="D70" s="44"/>
    </row>
    <row r="71" spans="4:4">
      <c r="D71" s="44"/>
    </row>
    <row r="72" spans="4:4">
      <c r="D72" s="44"/>
    </row>
    <row r="73" spans="4:4">
      <c r="D73" s="44"/>
    </row>
    <row r="74" spans="4:4">
      <c r="D74" s="44"/>
    </row>
    <row r="75" spans="4:4">
      <c r="D75" s="44"/>
    </row>
  </sheetData>
  <sheetProtection selectLockedCells="1" selectUnlockedCells="1"/>
  <mergeCells count="5">
    <mergeCell ref="A1:F1"/>
    <mergeCell ref="A2:A3"/>
    <mergeCell ref="B2:B3"/>
    <mergeCell ref="C2:D3"/>
    <mergeCell ref="E2:F3"/>
  </mergeCells>
  <phoneticPr fontId="51" type="noConversion"/>
  <hyperlinks>
    <hyperlink ref="E22" location="主营收支!A1" display="主营业务收支审核表"/>
    <hyperlink ref="E23" location="收入与申报核对表!A1" display="收入与纳税申报核对审核表"/>
    <hyperlink ref="E24" location="制造费用、生产成本!A1" display="制造费用、生产成本审核表 "/>
    <hyperlink ref="E25" location="成本倒轧!A1" display="主营业务成本倒轧审核表"/>
    <hyperlink ref="E26" location="主营税金!A1" display="主营业务税金附加审核表"/>
    <hyperlink ref="E27" location="其他业务!A1" display="其他业务收支审核表"/>
    <hyperlink ref="E28" location="营业费用!A1" display="营业费用审核表"/>
    <hyperlink ref="E29" location="管理费用!A1" display="管理费用审核表"/>
    <hyperlink ref="E30" location="财务费用!A1" display="财务费用审核表"/>
    <hyperlink ref="E31" location="营外收支!A1" display="营业外收支审核表"/>
    <hyperlink ref="E34" location="货币资金!A1" display="货币资金审核表"/>
    <hyperlink ref="E35" location="应收!A1" display="应收账款审核表"/>
    <hyperlink ref="E36" location="预付!A1" display="预付账款审核表"/>
    <hyperlink ref="E37" location="其他应收!A1" display="其他应收款审核表"/>
    <hyperlink ref="E38" location="存货!A1" display="存货审核表"/>
    <hyperlink ref="E39" location="待摊预提!A1" display="待摊费用、预提费用审核表"/>
    <hyperlink ref="E40" location="应付!A1" display="应付账款审核表"/>
    <hyperlink ref="E41" location="预收!A1" display="预收账款审核表"/>
    <hyperlink ref="E42" location="其他应付!A1" display="其他应付款审核表"/>
    <hyperlink ref="E43" location="实收公积!A1" display="实收资本、资本公积、盈余公积审核表"/>
    <hyperlink ref="E44" location="未分利润!A1" display="未分配利润审核表"/>
    <hyperlink ref="B6" location="签发单!A1" display="报告审核签发单"/>
    <hyperlink ref="B7" location="报告正文!A1" display="正式报告书及送审稿"/>
    <hyperlink ref="B8" location="三级复核!A1" display="三级复核表"/>
    <hyperlink ref="B9" location="业务约定!A1" display="业务约定书"/>
    <hyperlink ref="B10" location="基本情况!A1" display="企业基本情况表"/>
    <hyperlink ref="B11" location="当局声明!A1" display="客户管理当局声明书"/>
    <hyperlink ref="B12" location="计划!A1" display="审核整体工作计划"/>
    <hyperlink ref="B13" location="内控!A1" display="企业内部控制制度调查问卷"/>
    <hyperlink ref="B14" location="审核问卷!A1" display="审核调查问卷"/>
    <hyperlink ref="B15" location="重大问题!A1" display="重大问题请示报告"/>
    <hyperlink ref="B16" location="交换意见!A1" display="与客户交换意见记录"/>
    <hyperlink ref="B17" location="资料清单!A1" display="客户提供资料一览表"/>
    <hyperlink ref="B18" location="审核标识!A1" display="审核标识说明表"/>
    <hyperlink ref="B21" location="工资福利!A1" display="工资薪金、三项经费审核表"/>
    <hyperlink ref="B22" location="招待!A1" display="业务招待费用审核表"/>
    <hyperlink ref="B23" location="固资折旧!A1" display="固定资产及累计折旧审核表"/>
    <hyperlink ref="B24" location="无形长摊!A1" display="无形资产、长期待摊费用审核表"/>
    <hyperlink ref="B25" location="社保!A1" display="社会保障性缴款和住房公积金鉴证表"/>
    <hyperlink ref="B26" location="广宣!A1" display="广告费、业务宣传费支出审核表"/>
    <hyperlink ref="B27" location="捐赠!A1" display="捐赠、赞助支出审核表"/>
    <hyperlink ref="B28" location="利息!A1" display="利息支出审核表"/>
    <hyperlink ref="B29" location="租金!A1" display="租金支出审核表"/>
    <hyperlink ref="B30" location="补亏!A1" display="弥补亏损审核表"/>
    <hyperlink ref="B31" location="其他事项!A1" display="其他事项审核表"/>
    <hyperlink ref="B32" location="凭证检查!A1" display="原始凭证检查底稿"/>
    <hyperlink ref="B33" location="无限期结转扣除项目情况表!A1" display="无限期结转审核表"/>
    <hyperlink ref="B34" location="跨年度确认所得情况表!A1" display="跨年度确认所得审核表"/>
    <hyperlink ref="B45" location="跨地区经营汇总纳税企业年度分摊企业所得税审核表!A1" display="汇总纳税分摊企业所得税审核表"/>
    <hyperlink ref="B35" location="视同销售和房地产开发企业特定业务审核表!A1" display="视同销售和房地产开发企业特定业务审核表"/>
    <hyperlink ref="B36" location="未按权责发生制确认收入审核表!A1" display="未按权责发生制确认收入审核表"/>
    <hyperlink ref="B37" location="投资收益审核表!A1" display="投资收益审核表"/>
    <hyperlink ref="B38" location="专项用途财政性资金审核表!A1" display="专项用途财政性资金审核表"/>
    <hyperlink ref="B39" location="固定资产加速折旧审核表!A1" display="固定资产加速折旧审核表"/>
    <hyperlink ref="B40" location="资产损失税前扣除审核表!A1" display="资产损失税前扣除审核表"/>
    <hyperlink ref="B41" location="'资产损失（专项申报）税前扣除审核表'!A1" display="资产损失（专项申报）审核表"/>
    <hyperlink ref="B42" location="企业重组审核表!A1" display="企业重组审核表"/>
    <hyperlink ref="B43" location="政策性搬迁审核表!A1" display="政策性搬迁审核表"/>
    <hyperlink ref="B44" location="特殊行业准备金审核表!A1" display="特殊行业准备金审核表"/>
    <hyperlink ref="B46" location="企业所得税汇总纳税分支机构所得税分配表!A1" display="汇总纳税分支机构所得税分配表"/>
    <hyperlink ref="B47" location="减值准备审核表!A1" display="减值准备审核表"/>
    <hyperlink ref="B48" location="公允价值变动审定表!A1" display="公允价值变动审定表"/>
    <hyperlink ref="E6" location="免税、减计收入及加计扣除优惠审核表!A1" display="免税、减计收入及加计扣除审核表"/>
    <hyperlink ref="E7" location="股息红利优惠审核表!A1" display="股息红利优惠审核表"/>
    <hyperlink ref="E8" location="综合利用资源生产产品取得的收入优惠审核表!A1" display="综合利用资源生产产品取得收入审核表"/>
    <hyperlink ref="E9" location="金融保险等机构取得涉农利息保费收入优惠审核表!A1" display="金融保险机构涉农利息保费收入审核表"/>
    <hyperlink ref="E10" location="研发费用加计扣除优惠审核表!A1" display="研发费用加计扣除优惠审核表"/>
    <hyperlink ref="E11" location="所得减免优惠审核表!A1" display="所得减免优惠审核表"/>
    <hyperlink ref="E12" location="抵扣应纳税所得额审核表!A1" display="抵扣应纳税所得额审核表"/>
    <hyperlink ref="E13" location="减免所得税优惠审核表!A1" display="减免所得税优惠审核表"/>
    <hyperlink ref="E14" location="高新技术企业优惠情况审核表!A1" display="高新技术企业优惠情况审核表"/>
    <hyperlink ref="E15" location="软件、集成电路企业优惠情况审核表!A1" display="软件、集成电路企业优惠情况审核表"/>
    <hyperlink ref="E16" location="税额抵免优惠审核表!A1" display="税额抵免优惠审核表"/>
    <hyperlink ref="E17" location="境外所得税收抵免审核表!A1" display="境外所得税收抵免审核表"/>
    <hyperlink ref="E18" location="境外所得纳税调整后所得审核表!A1" display="境外所得纳税调整后所得审核表"/>
    <hyperlink ref="E19" location="境外分支机构弥补亏损审核表!A1" display="境外分支机构弥补亏损审核表"/>
    <hyperlink ref="E20" location="跨年度结转抵免境外所得税审核表!A1" display="跨年度结转抵免境外所得税审核表"/>
  </hyperlinks>
  <pageMargins left="0.78740157480314998" right="0.35433070866141703" top="0.511811023622047" bottom="0.11811023622047198" header="0.511811023622047" footer="0.511811023622047"/>
  <pageSetup paperSize="9" scale="98" firstPageNumber="0" fitToHeight="0" orientation="portrait" blackAndWhite="1" r:id="rId1"/>
  <headerFooter alignWithMargins="0">
    <oddHeader>&amp;R第 &amp;P 页</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25"/>
  <sheetViews>
    <sheetView workbookViewId="0">
      <selection sqref="A1:E1"/>
    </sheetView>
  </sheetViews>
  <sheetFormatPr defaultColWidth="9" defaultRowHeight="15.6"/>
  <cols>
    <col min="1" max="1" width="10.19921875" style="91" customWidth="1"/>
    <col min="2" max="2" width="32.5" style="92" customWidth="1"/>
    <col min="3" max="3" width="8.19921875" style="92" customWidth="1"/>
    <col min="4" max="4" width="9.5" style="92" customWidth="1"/>
    <col min="5" max="5" width="19.19921875" style="92" customWidth="1"/>
    <col min="6" max="16384" width="9" style="92"/>
  </cols>
  <sheetData>
    <row r="1" spans="1:11" s="95" customFormat="1" ht="24" customHeight="1">
      <c r="A1" s="2751" t="s">
        <v>7698</v>
      </c>
      <c r="B1" s="2751"/>
      <c r="C1" s="2751"/>
      <c r="D1" s="2751"/>
      <c r="E1" s="2751"/>
      <c r="F1" s="93"/>
      <c r="G1" s="93"/>
      <c r="H1" s="93"/>
      <c r="I1" s="94"/>
      <c r="J1" s="94"/>
      <c r="K1" s="94"/>
    </row>
    <row r="2" spans="1:11" ht="24" customHeight="1">
      <c r="A2" s="2752" t="s">
        <v>458</v>
      </c>
      <c r="B2" s="2752"/>
      <c r="C2" s="2752"/>
      <c r="D2" s="2752"/>
      <c r="E2" s="96" t="str">
        <f>"索引号："&amp;档案索引!A20</f>
        <v>索引号：A、调增项目类</v>
      </c>
      <c r="F2" s="97"/>
      <c r="G2" s="97"/>
      <c r="H2" s="97"/>
      <c r="I2" s="98"/>
      <c r="J2" s="98"/>
      <c r="K2" s="98"/>
    </row>
    <row r="3" spans="1:11" ht="6.75" customHeight="1">
      <c r="A3" s="2753"/>
      <c r="B3" s="2753"/>
      <c r="C3" s="2753"/>
      <c r="D3" s="2753"/>
      <c r="E3" s="2753"/>
      <c r="F3" s="97"/>
      <c r="G3" s="97"/>
      <c r="H3" s="97"/>
      <c r="I3" s="98"/>
      <c r="J3" s="98"/>
      <c r="K3" s="98"/>
    </row>
    <row r="4" spans="1:11" ht="36" customHeight="1">
      <c r="A4" s="99" t="s">
        <v>447</v>
      </c>
      <c r="B4" s="2754">
        <f>基本情况!B2</f>
        <v>0</v>
      </c>
      <c r="C4" s="2754"/>
      <c r="D4" s="99" t="s">
        <v>459</v>
      </c>
      <c r="E4" s="1314">
        <f>基本情况!B17</f>
        <v>1500</v>
      </c>
      <c r="F4" s="97"/>
      <c r="G4" s="97"/>
      <c r="H4" s="97"/>
      <c r="I4" s="98"/>
      <c r="J4" s="98"/>
      <c r="K4" s="98"/>
    </row>
    <row r="5" spans="1:11" ht="32.25" customHeight="1">
      <c r="A5" s="99" t="s">
        <v>402</v>
      </c>
      <c r="B5" s="2754">
        <f>基本情况!B18</f>
        <v>0</v>
      </c>
      <c r="C5" s="2754"/>
      <c r="D5" s="99" t="s">
        <v>460</v>
      </c>
      <c r="E5" s="100" t="str">
        <f>基本情况!B3</f>
        <v>企业所得税年度纳税申报审核</v>
      </c>
      <c r="F5" s="97"/>
      <c r="G5" s="97"/>
      <c r="H5" s="97"/>
      <c r="I5" s="98"/>
      <c r="J5" s="98"/>
      <c r="K5" s="98"/>
    </row>
    <row r="6" spans="1:11" ht="33" customHeight="1">
      <c r="A6" s="2758" t="s">
        <v>461</v>
      </c>
      <c r="B6" s="2755"/>
      <c r="C6" s="2755"/>
      <c r="D6" s="2755"/>
      <c r="E6" s="2755"/>
      <c r="F6" s="98"/>
      <c r="G6" s="98"/>
      <c r="H6" s="98"/>
      <c r="I6" s="98"/>
      <c r="J6" s="98"/>
      <c r="K6" s="98"/>
    </row>
    <row r="7" spans="1:11" ht="33" customHeight="1">
      <c r="A7" s="2758"/>
      <c r="B7" s="2755"/>
      <c r="C7" s="2755"/>
      <c r="D7" s="2755"/>
      <c r="E7" s="2755"/>
      <c r="F7" s="98"/>
      <c r="G7" s="98"/>
      <c r="H7" s="98"/>
      <c r="I7" s="98"/>
      <c r="J7" s="98"/>
      <c r="K7" s="98"/>
    </row>
    <row r="8" spans="1:11" ht="28.5" customHeight="1">
      <c r="A8" s="2758"/>
      <c r="B8" s="2756" t="str">
        <f>"  签字："&amp;基本情况!B12&amp;"                         日期："&amp;基本情况!B20</f>
        <v xml:space="preserve">  签字：                         日期：2017年5月4日</v>
      </c>
      <c r="C8" s="2756"/>
      <c r="D8" s="2756"/>
      <c r="E8" s="2756"/>
      <c r="F8" s="98"/>
      <c r="G8" s="98"/>
      <c r="H8" s="98"/>
      <c r="I8" s="98"/>
      <c r="J8" s="98"/>
      <c r="K8" s="98"/>
    </row>
    <row r="9" spans="1:11" ht="33" customHeight="1">
      <c r="A9" s="2735" t="s">
        <v>462</v>
      </c>
      <c r="B9" s="2757"/>
      <c r="C9" s="2757"/>
      <c r="D9" s="2757"/>
      <c r="E9" s="2757"/>
      <c r="F9" s="98"/>
      <c r="G9" s="98"/>
      <c r="H9" s="98"/>
      <c r="I9" s="98"/>
      <c r="J9" s="98"/>
      <c r="K9" s="98"/>
    </row>
    <row r="10" spans="1:11" ht="33" customHeight="1">
      <c r="A10" s="2735"/>
      <c r="B10" s="2757"/>
      <c r="C10" s="2757"/>
      <c r="D10" s="2757"/>
      <c r="E10" s="2757"/>
      <c r="F10" s="98"/>
      <c r="G10" s="98"/>
      <c r="H10" s="98"/>
      <c r="I10" s="98"/>
      <c r="J10" s="98"/>
      <c r="K10" s="98"/>
    </row>
    <row r="11" spans="1:11" ht="36" customHeight="1">
      <c r="A11" s="2735"/>
      <c r="B11" s="2737" t="str">
        <f>"  签字："&amp;基本情况!B11&amp;"                         日期："&amp;基本情况!B20</f>
        <v xml:space="preserve">  签字：                         日期：2017年5月4日</v>
      </c>
      <c r="C11" s="2737"/>
      <c r="D11" s="2737"/>
      <c r="E11" s="2737"/>
      <c r="F11" s="98"/>
      <c r="G11" s="98"/>
      <c r="H11" s="98"/>
      <c r="I11" s="98"/>
      <c r="J11" s="98"/>
      <c r="K11" s="98"/>
    </row>
    <row r="12" spans="1:11" ht="33" customHeight="1">
      <c r="A12" s="2735" t="s">
        <v>463</v>
      </c>
      <c r="B12" s="2736"/>
      <c r="C12" s="2736"/>
      <c r="D12" s="2736"/>
      <c r="E12" s="2736"/>
      <c r="F12" s="98"/>
      <c r="G12" s="98"/>
      <c r="H12" s="98"/>
      <c r="I12" s="98"/>
      <c r="J12" s="98"/>
      <c r="K12" s="98"/>
    </row>
    <row r="13" spans="1:11" ht="33" customHeight="1">
      <c r="A13" s="2735"/>
      <c r="B13" s="2736"/>
      <c r="C13" s="2736"/>
      <c r="D13" s="2736"/>
      <c r="E13" s="2736"/>
      <c r="F13" s="98"/>
      <c r="G13" s="98"/>
      <c r="H13" s="98"/>
      <c r="I13" s="98"/>
      <c r="J13" s="98"/>
      <c r="K13" s="98"/>
    </row>
    <row r="14" spans="1:11" ht="36" customHeight="1">
      <c r="A14" s="2735"/>
      <c r="B14" s="2737" t="str">
        <f>"  签字："&amp;基本情况!B10&amp;"                         日期："&amp;基本情况!B20</f>
        <v xml:space="preserve">  签字：                         日期：2017年5月4日</v>
      </c>
      <c r="C14" s="2737"/>
      <c r="D14" s="2737"/>
      <c r="E14" s="2737"/>
      <c r="F14" s="98"/>
      <c r="G14" s="98"/>
      <c r="H14" s="98"/>
      <c r="I14" s="98"/>
      <c r="J14" s="98"/>
      <c r="K14" s="98"/>
    </row>
    <row r="15" spans="1:11" ht="33" customHeight="1">
      <c r="A15" s="2735" t="s">
        <v>464</v>
      </c>
      <c r="B15" s="2736"/>
      <c r="C15" s="2736"/>
      <c r="D15" s="2736"/>
      <c r="E15" s="2736"/>
      <c r="F15" s="98"/>
      <c r="G15" s="98"/>
      <c r="H15" s="98"/>
      <c r="I15" s="98"/>
      <c r="J15" s="98"/>
      <c r="K15" s="98"/>
    </row>
    <row r="16" spans="1:11" ht="33" customHeight="1">
      <c r="A16" s="2735"/>
      <c r="B16" s="2736"/>
      <c r="C16" s="2736"/>
      <c r="D16" s="2736"/>
      <c r="E16" s="2736"/>
      <c r="F16" s="98"/>
      <c r="G16" s="98"/>
      <c r="H16" s="98"/>
      <c r="I16" s="98"/>
      <c r="J16" s="98"/>
      <c r="K16" s="98"/>
    </row>
    <row r="17" spans="1:11" ht="36" customHeight="1">
      <c r="A17" s="2735"/>
      <c r="B17" s="2737" t="str">
        <f>"  签字："&amp;基本情况!B9&amp;"                         日期："&amp;基本情况!B20</f>
        <v xml:space="preserve">  签字：                         日期：2017年5月4日</v>
      </c>
      <c r="C17" s="2737"/>
      <c r="D17" s="2737"/>
      <c r="E17" s="2737"/>
      <c r="F17" s="98"/>
      <c r="G17" s="98"/>
      <c r="H17" s="98"/>
      <c r="I17" s="98"/>
      <c r="J17" s="98"/>
      <c r="K17" s="98"/>
    </row>
    <row r="18" spans="1:11" ht="30" customHeight="1">
      <c r="A18" s="2735" t="s">
        <v>465</v>
      </c>
      <c r="B18" s="101" t="s">
        <v>466</v>
      </c>
      <c r="C18" s="2738" t="s">
        <v>467</v>
      </c>
      <c r="D18" s="2738"/>
      <c r="E18" s="2738"/>
      <c r="F18" s="98"/>
      <c r="G18" s="98"/>
      <c r="H18" s="98"/>
      <c r="I18" s="98"/>
      <c r="J18" s="98"/>
      <c r="K18" s="98"/>
    </row>
    <row r="19" spans="1:11" ht="22.5" customHeight="1">
      <c r="A19" s="2735"/>
      <c r="B19" s="2746" t="s">
        <v>468</v>
      </c>
      <c r="C19" s="2746"/>
      <c r="D19" s="2746"/>
      <c r="E19" s="2746"/>
      <c r="F19" s="98"/>
      <c r="G19" s="98"/>
      <c r="H19" s="98"/>
      <c r="I19" s="98"/>
      <c r="J19" s="98"/>
      <c r="K19" s="98"/>
    </row>
    <row r="20" spans="1:11" ht="36" customHeight="1">
      <c r="A20" s="2735"/>
      <c r="B20" s="2739" t="s">
        <v>1453</v>
      </c>
      <c r="C20" s="2739"/>
      <c r="D20" s="2739"/>
      <c r="E20" s="2739"/>
      <c r="F20" s="98"/>
      <c r="G20" s="98"/>
      <c r="H20" s="98"/>
      <c r="I20" s="98"/>
      <c r="J20" s="98"/>
      <c r="K20" s="98"/>
    </row>
    <row r="21" spans="1:11" ht="30" customHeight="1">
      <c r="A21" s="2735"/>
      <c r="B21" s="102" t="s">
        <v>1454</v>
      </c>
      <c r="C21" s="2761" t="s">
        <v>1455</v>
      </c>
      <c r="D21" s="2761"/>
      <c r="E21" s="2761"/>
      <c r="F21" s="98"/>
      <c r="G21" s="98"/>
      <c r="H21" s="98"/>
      <c r="I21" s="98"/>
      <c r="J21" s="98"/>
      <c r="K21" s="98"/>
    </row>
    <row r="22" spans="1:11" ht="30" customHeight="1">
      <c r="A22" s="2740" t="s">
        <v>455</v>
      </c>
      <c r="B22" s="2742" t="s">
        <v>266</v>
      </c>
      <c r="C22" s="2743"/>
      <c r="D22" s="2744">
        <f ca="1">'A100000中华人民共和国企业所得税年度纳税申报表（A类）'!D22</f>
        <v>0</v>
      </c>
      <c r="E22" s="2745"/>
      <c r="F22" s="2759" t="s">
        <v>648</v>
      </c>
      <c r="G22" s="2760"/>
      <c r="H22" s="2760"/>
      <c r="I22" s="2760"/>
      <c r="J22" s="98"/>
      <c r="K22" s="98"/>
    </row>
    <row r="23" spans="1:11" ht="24" customHeight="1">
      <c r="A23" s="2741"/>
      <c r="B23" s="2762" t="s">
        <v>265</v>
      </c>
      <c r="C23" s="2763"/>
      <c r="D23" s="2744">
        <f ca="1">'A100000中华人民共和国企业所得税年度纳税申报表（A类）'!D26</f>
        <v>0</v>
      </c>
      <c r="E23" s="2745"/>
      <c r="F23" s="98"/>
      <c r="G23" s="98"/>
      <c r="H23" s="98"/>
      <c r="I23" s="98"/>
      <c r="J23" s="98"/>
      <c r="K23" s="98"/>
    </row>
    <row r="24" spans="1:11" ht="24" customHeight="1">
      <c r="A24" s="2741"/>
      <c r="B24" s="2749" t="s">
        <v>263</v>
      </c>
      <c r="C24" s="2750"/>
      <c r="D24" s="2747">
        <f ca="1">'A100000中华人民共和国企业所得税年度纳税申报表（A类）'!D36</f>
        <v>0</v>
      </c>
      <c r="E24" s="2748"/>
      <c r="F24" s="98"/>
      <c r="G24" s="98"/>
      <c r="H24" s="98"/>
      <c r="I24" s="98"/>
      <c r="J24" s="98"/>
      <c r="K24" s="98"/>
    </row>
    <row r="25" spans="1:11" ht="39" customHeight="1">
      <c r="A25" s="2717"/>
      <c r="B25" s="2734"/>
      <c r="C25" s="2734"/>
      <c r="D25" s="2734"/>
      <c r="E25" s="2734"/>
      <c r="F25" s="98"/>
      <c r="G25" s="98"/>
      <c r="H25" s="98"/>
      <c r="I25" s="98"/>
      <c r="J25" s="98"/>
      <c r="K25" s="98"/>
    </row>
  </sheetData>
  <sheetProtection selectLockedCells="1" selectUnlockedCells="1"/>
  <mergeCells count="31">
    <mergeCell ref="F22:I22"/>
    <mergeCell ref="C21:E21"/>
    <mergeCell ref="B23:C23"/>
    <mergeCell ref="B11:E11"/>
    <mergeCell ref="A12:A14"/>
    <mergeCell ref="B12:E13"/>
    <mergeCell ref="B14:E14"/>
    <mergeCell ref="B6:E7"/>
    <mergeCell ref="B8:E8"/>
    <mergeCell ref="A9:A11"/>
    <mergeCell ref="B9:E10"/>
    <mergeCell ref="A6:A8"/>
    <mergeCell ref="A1:E1"/>
    <mergeCell ref="A2:D2"/>
    <mergeCell ref="A3:E3"/>
    <mergeCell ref="B4:C4"/>
    <mergeCell ref="B5:C5"/>
    <mergeCell ref="B25:E25"/>
    <mergeCell ref="A15:A17"/>
    <mergeCell ref="B15:E16"/>
    <mergeCell ref="B17:E17"/>
    <mergeCell ref="A18:A21"/>
    <mergeCell ref="C18:E18"/>
    <mergeCell ref="B20:E20"/>
    <mergeCell ref="A22:A25"/>
    <mergeCell ref="B22:C22"/>
    <mergeCell ref="D22:E22"/>
    <mergeCell ref="B19:E19"/>
    <mergeCell ref="D23:E23"/>
    <mergeCell ref="D24:E24"/>
    <mergeCell ref="B24:C24"/>
  </mergeCells>
  <phoneticPr fontId="51" type="noConversion"/>
  <hyperlinks>
    <hyperlink ref="F22:I22" location="'A100000中华人民共和国企业所得税年度纳税申报表（A类）'!A30" display="申报主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44"/>
  <sheetViews>
    <sheetView workbookViewId="0">
      <selection activeCell="F3" sqref="F3"/>
    </sheetView>
  </sheetViews>
  <sheetFormatPr defaultColWidth="9" defaultRowHeight="15.6"/>
  <cols>
    <col min="1" max="1" width="4.59765625" style="103" customWidth="1"/>
    <col min="2" max="2" width="5" style="103" customWidth="1"/>
    <col min="3" max="9" width="6" style="103" customWidth="1"/>
    <col min="10" max="10" width="22.19921875" style="103" customWidth="1"/>
    <col min="11" max="11" width="8.19921875" style="103" customWidth="1"/>
    <col min="12" max="16384" width="9" style="103"/>
  </cols>
  <sheetData>
    <row r="1" spans="1:17" ht="27" customHeight="1">
      <c r="A1" s="2785" t="s">
        <v>294</v>
      </c>
      <c r="B1" s="2785"/>
      <c r="C1" s="2785"/>
      <c r="D1" s="2785"/>
      <c r="E1" s="2785"/>
      <c r="F1" s="2785"/>
      <c r="G1" s="2785"/>
      <c r="H1" s="2785"/>
      <c r="I1" s="2785"/>
      <c r="J1" s="2785"/>
      <c r="K1" s="2785"/>
      <c r="L1" s="104"/>
      <c r="M1" s="104"/>
      <c r="N1" s="104"/>
      <c r="O1" s="104"/>
      <c r="P1" s="104"/>
      <c r="Q1" s="104"/>
    </row>
    <row r="2" spans="1:17" ht="25.5" customHeight="1">
      <c r="A2" s="2786" t="str">
        <f>"委托单位名称："&amp;基本情况!B2</f>
        <v>委托单位名称：0</v>
      </c>
      <c r="B2" s="2786"/>
      <c r="C2" s="2786"/>
      <c r="D2" s="2786"/>
      <c r="E2" s="2786"/>
      <c r="F2" s="2786"/>
      <c r="G2" s="2786"/>
      <c r="H2" s="2786"/>
      <c r="I2" s="2786"/>
      <c r="J2" s="2786"/>
      <c r="K2" s="105" t="s">
        <v>283</v>
      </c>
      <c r="L2" s="104"/>
      <c r="M2" s="104"/>
      <c r="N2" s="104"/>
      <c r="O2" s="104"/>
      <c r="P2" s="104"/>
      <c r="Q2" s="104"/>
    </row>
    <row r="3" spans="1:17" ht="30" customHeight="1">
      <c r="A3" s="2787" t="s">
        <v>1456</v>
      </c>
      <c r="B3" s="2787"/>
      <c r="C3" s="106"/>
      <c r="D3" s="107"/>
      <c r="E3" s="106"/>
      <c r="F3" s="106"/>
      <c r="G3" s="107"/>
      <c r="H3" s="107"/>
      <c r="I3" s="2788" t="str">
        <f>"纳税所属年度："&amp;IF(OR(基本情况!B6&lt;&gt;"12月31日",基本情况!F5&lt;&gt;"01",基本情况!G5&lt;&gt;"01"),基本情况!B7,基本情况!B4&amp;"年度")</f>
        <v>纳税所属年度：2016年度</v>
      </c>
      <c r="J3" s="2788"/>
      <c r="K3" s="2789" t="str">
        <f>档案索引!A22</f>
        <v>2A-2</v>
      </c>
      <c r="L3" s="104"/>
      <c r="M3" s="104"/>
      <c r="N3" s="104"/>
      <c r="O3" s="104"/>
      <c r="P3" s="104"/>
      <c r="Q3" s="104"/>
    </row>
    <row r="4" spans="1:17" ht="25.5" customHeight="1">
      <c r="A4" s="108" t="str">
        <f>"报告文号："&amp;基本情况!B18</f>
        <v>报告文号：</v>
      </c>
      <c r="B4" s="109"/>
      <c r="C4" s="109"/>
      <c r="D4" s="110"/>
      <c r="E4" s="110"/>
      <c r="F4" s="110"/>
      <c r="G4" s="111"/>
      <c r="H4" s="112"/>
      <c r="I4" s="2790" t="str">
        <f>"业务类型："&amp;基本情况!B3</f>
        <v>业务类型：企业所得税年度纳税申报审核</v>
      </c>
      <c r="J4" s="2790"/>
      <c r="K4" s="2789"/>
      <c r="L4" s="104"/>
      <c r="M4" s="104"/>
      <c r="N4" s="104"/>
      <c r="O4" s="104"/>
      <c r="P4" s="104"/>
      <c r="Q4" s="104"/>
    </row>
    <row r="5" spans="1:17" ht="7.5" customHeight="1">
      <c r="A5" s="2778"/>
      <c r="B5" s="2778"/>
      <c r="C5" s="2778"/>
      <c r="D5" s="2778"/>
      <c r="E5" s="2778"/>
      <c r="F5" s="2778"/>
      <c r="G5" s="2778"/>
      <c r="H5" s="2778"/>
      <c r="I5" s="2778"/>
      <c r="J5" s="2778"/>
      <c r="K5" s="2778"/>
      <c r="L5" s="104"/>
      <c r="M5" s="104"/>
      <c r="N5" s="104"/>
      <c r="O5" s="104"/>
      <c r="P5" s="104"/>
      <c r="Q5" s="104"/>
    </row>
    <row r="6" spans="1:17" ht="28.5" customHeight="1">
      <c r="A6" s="113" t="s">
        <v>1457</v>
      </c>
      <c r="B6" s="2779" t="s">
        <v>1458</v>
      </c>
      <c r="C6" s="2779"/>
      <c r="D6" s="2779"/>
      <c r="E6" s="114" t="s">
        <v>1459</v>
      </c>
      <c r="F6" s="2779" t="s">
        <v>1419</v>
      </c>
      <c r="G6" s="2779"/>
      <c r="H6" s="2779"/>
      <c r="I6" s="2779"/>
      <c r="J6" s="2779"/>
      <c r="K6" s="115" t="s">
        <v>1420</v>
      </c>
      <c r="L6" s="104"/>
      <c r="M6" s="104"/>
      <c r="N6" s="104"/>
      <c r="O6" s="104"/>
      <c r="P6" s="104"/>
      <c r="Q6" s="104"/>
    </row>
    <row r="7" spans="1:17" ht="22.5" customHeight="1">
      <c r="A7" s="2780" t="s">
        <v>398</v>
      </c>
      <c r="B7" s="2781" t="s">
        <v>1421</v>
      </c>
      <c r="C7" s="2781"/>
      <c r="D7" s="2781"/>
      <c r="E7" s="2782"/>
      <c r="F7" s="2783"/>
      <c r="G7" s="2783"/>
      <c r="H7" s="2783"/>
      <c r="I7" s="2783"/>
      <c r="J7" s="2783"/>
      <c r="K7" s="2784"/>
      <c r="L7" s="104"/>
      <c r="M7" s="104"/>
      <c r="N7" s="104"/>
      <c r="O7" s="104"/>
      <c r="P7" s="104"/>
      <c r="Q7" s="104"/>
    </row>
    <row r="8" spans="1:17" ht="22.5" customHeight="1">
      <c r="A8" s="2780"/>
      <c r="B8" s="2781"/>
      <c r="C8" s="2781"/>
      <c r="D8" s="2781"/>
      <c r="E8" s="2782"/>
      <c r="F8" s="2773"/>
      <c r="G8" s="2773"/>
      <c r="H8" s="2773"/>
      <c r="I8" s="2773"/>
      <c r="J8" s="2773"/>
      <c r="K8" s="2784"/>
      <c r="L8" s="104"/>
      <c r="M8" s="104"/>
      <c r="N8" s="104"/>
      <c r="O8" s="104"/>
      <c r="P8" s="104"/>
      <c r="Q8" s="104"/>
    </row>
    <row r="9" spans="1:17" ht="22.5" customHeight="1">
      <c r="A9" s="2780"/>
      <c r="B9" s="2781"/>
      <c r="C9" s="2781"/>
      <c r="D9" s="2781"/>
      <c r="E9" s="2782"/>
      <c r="F9" s="2773"/>
      <c r="G9" s="2773"/>
      <c r="H9" s="2773"/>
      <c r="I9" s="2773"/>
      <c r="J9" s="2773"/>
      <c r="K9" s="2784"/>
      <c r="L9" s="104"/>
      <c r="M9" s="104"/>
      <c r="N9" s="104"/>
      <c r="O9" s="104"/>
      <c r="P9" s="104"/>
      <c r="Q9" s="104"/>
    </row>
    <row r="10" spans="1:17" ht="21" customHeight="1">
      <c r="A10" s="2780"/>
      <c r="B10" s="2781"/>
      <c r="C10" s="2781"/>
      <c r="D10" s="2781"/>
      <c r="E10" s="2782"/>
      <c r="F10" s="2773"/>
      <c r="G10" s="2773"/>
      <c r="H10" s="2773"/>
      <c r="I10" s="2773"/>
      <c r="J10" s="2773"/>
      <c r="K10" s="2784"/>
      <c r="L10" s="104"/>
      <c r="M10" s="104"/>
      <c r="N10" s="104"/>
      <c r="O10" s="104"/>
      <c r="P10" s="104"/>
      <c r="Q10" s="104"/>
    </row>
    <row r="11" spans="1:17" ht="15" customHeight="1">
      <c r="A11" s="2780"/>
      <c r="B11" s="2781"/>
      <c r="C11" s="2781"/>
      <c r="D11" s="2781"/>
      <c r="E11" s="2782"/>
      <c r="F11" s="2773"/>
      <c r="G11" s="2773"/>
      <c r="H11" s="2773"/>
      <c r="I11" s="2773"/>
      <c r="J11" s="2773"/>
      <c r="K11" s="2784"/>
      <c r="L11" s="104"/>
      <c r="M11" s="104"/>
      <c r="N11" s="104"/>
      <c r="O11" s="104"/>
      <c r="P11" s="104"/>
      <c r="Q11" s="104"/>
    </row>
    <row r="12" spans="1:17" ht="13.5" customHeight="1">
      <c r="A12" s="2780"/>
      <c r="B12" s="2781"/>
      <c r="C12" s="2781"/>
      <c r="D12" s="2781"/>
      <c r="E12" s="2782"/>
      <c r="F12" s="2773"/>
      <c r="G12" s="2773"/>
      <c r="H12" s="2773"/>
      <c r="I12" s="2773"/>
      <c r="J12" s="2773"/>
      <c r="K12" s="2784"/>
      <c r="L12" s="104"/>
      <c r="M12" s="104"/>
      <c r="N12" s="104"/>
      <c r="O12" s="104"/>
      <c r="P12" s="104"/>
      <c r="Q12" s="104"/>
    </row>
    <row r="13" spans="1:17" ht="14.25" customHeight="1">
      <c r="A13" s="2780"/>
      <c r="B13" s="2781"/>
      <c r="C13" s="2781"/>
      <c r="D13" s="2781"/>
      <c r="E13" s="2782"/>
      <c r="F13" s="2773"/>
      <c r="G13" s="2773"/>
      <c r="H13" s="2773"/>
      <c r="I13" s="2773"/>
      <c r="J13" s="2773"/>
      <c r="K13" s="2784"/>
      <c r="L13" s="104"/>
      <c r="M13" s="104"/>
      <c r="N13" s="104"/>
      <c r="O13" s="104"/>
      <c r="P13" s="104"/>
      <c r="Q13" s="104"/>
    </row>
    <row r="14" spans="1:17" ht="14.25" customHeight="1">
      <c r="A14" s="2780"/>
      <c r="B14" s="2781"/>
      <c r="C14" s="2781"/>
      <c r="D14" s="2781"/>
      <c r="E14" s="2782"/>
      <c r="F14" s="2774" t="str">
        <f>"签名："&amp;基本情况!B11&amp;"               日期："&amp;基本情况!B20</f>
        <v>签名：               日期：2017年5月4日</v>
      </c>
      <c r="G14" s="2774"/>
      <c r="H14" s="2774"/>
      <c r="I14" s="2774"/>
      <c r="J14" s="2774"/>
      <c r="K14" s="2784"/>
      <c r="L14" s="104"/>
      <c r="M14" s="104"/>
      <c r="N14" s="104"/>
      <c r="O14" s="104"/>
      <c r="P14" s="104"/>
      <c r="Q14" s="104"/>
    </row>
    <row r="15" spans="1:17" ht="12" customHeight="1">
      <c r="A15" s="2780"/>
      <c r="B15" s="2781"/>
      <c r="C15" s="2781"/>
      <c r="D15" s="2781"/>
      <c r="E15" s="2782"/>
      <c r="F15" s="2774"/>
      <c r="G15" s="2774"/>
      <c r="H15" s="2774"/>
      <c r="I15" s="2774"/>
      <c r="J15" s="2774"/>
      <c r="K15" s="2784"/>
      <c r="L15" s="104"/>
      <c r="M15" s="104"/>
      <c r="N15" s="104"/>
      <c r="O15" s="104"/>
      <c r="P15" s="104"/>
      <c r="Q15" s="104"/>
    </row>
    <row r="16" spans="1:17" ht="20.25" customHeight="1">
      <c r="A16" s="2768" t="s">
        <v>1422</v>
      </c>
      <c r="B16" s="2769" t="s">
        <v>1423</v>
      </c>
      <c r="C16" s="2769"/>
      <c r="D16" s="2769"/>
      <c r="E16" s="2770"/>
      <c r="F16" s="2771"/>
      <c r="G16" s="2771"/>
      <c r="H16" s="2771"/>
      <c r="I16" s="2771"/>
      <c r="J16" s="2771"/>
      <c r="K16" s="2772"/>
      <c r="L16" s="104"/>
      <c r="M16" s="104"/>
      <c r="N16" s="104"/>
      <c r="O16" s="104"/>
      <c r="P16" s="104"/>
      <c r="Q16" s="104"/>
    </row>
    <row r="17" spans="1:17" ht="11.25" customHeight="1">
      <c r="A17" s="2768"/>
      <c r="B17" s="2769"/>
      <c r="C17" s="2769"/>
      <c r="D17" s="2769"/>
      <c r="E17" s="2770"/>
      <c r="F17" s="2773"/>
      <c r="G17" s="2773"/>
      <c r="H17" s="2773"/>
      <c r="I17" s="2773"/>
      <c r="J17" s="2773"/>
      <c r="K17" s="2772"/>
      <c r="L17" s="104"/>
      <c r="M17" s="104"/>
      <c r="N17" s="104"/>
      <c r="O17" s="104"/>
      <c r="P17" s="104"/>
      <c r="Q17" s="104"/>
    </row>
    <row r="18" spans="1:17" ht="15.75" customHeight="1">
      <c r="A18" s="2768"/>
      <c r="B18" s="2769"/>
      <c r="C18" s="2769"/>
      <c r="D18" s="2769"/>
      <c r="E18" s="2770"/>
      <c r="F18" s="2773"/>
      <c r="G18" s="2773"/>
      <c r="H18" s="2773"/>
      <c r="I18" s="2773"/>
      <c r="J18" s="2773"/>
      <c r="K18" s="2772"/>
      <c r="L18" s="104"/>
      <c r="M18" s="104"/>
      <c r="N18" s="104"/>
      <c r="O18" s="104"/>
      <c r="P18" s="104"/>
      <c r="Q18" s="104"/>
    </row>
    <row r="19" spans="1:17" ht="22.5" customHeight="1">
      <c r="A19" s="2768"/>
      <c r="B19" s="2769"/>
      <c r="C19" s="2769"/>
      <c r="D19" s="2769"/>
      <c r="E19" s="2770"/>
      <c r="F19" s="2773"/>
      <c r="G19" s="2773"/>
      <c r="H19" s="2773"/>
      <c r="I19" s="2773"/>
      <c r="J19" s="2773"/>
      <c r="K19" s="2772"/>
      <c r="L19" s="104"/>
      <c r="M19" s="104"/>
      <c r="N19" s="104"/>
      <c r="O19" s="104"/>
      <c r="P19" s="104"/>
      <c r="Q19" s="104"/>
    </row>
    <row r="20" spans="1:17" ht="17.25" customHeight="1">
      <c r="A20" s="2768"/>
      <c r="B20" s="2769"/>
      <c r="C20" s="2769"/>
      <c r="D20" s="2769"/>
      <c r="E20" s="2770"/>
      <c r="F20" s="2773"/>
      <c r="G20" s="2773"/>
      <c r="H20" s="2773"/>
      <c r="I20" s="2773"/>
      <c r="J20" s="2773"/>
      <c r="K20" s="2772"/>
      <c r="L20" s="104"/>
      <c r="M20" s="104"/>
      <c r="N20" s="104"/>
      <c r="O20" s="104"/>
      <c r="P20" s="104"/>
      <c r="Q20" s="104"/>
    </row>
    <row r="21" spans="1:17" ht="12.75" customHeight="1">
      <c r="A21" s="2768"/>
      <c r="B21" s="2769"/>
      <c r="C21" s="2769"/>
      <c r="D21" s="2769"/>
      <c r="E21" s="2770"/>
      <c r="F21" s="2773"/>
      <c r="G21" s="2773"/>
      <c r="H21" s="2773"/>
      <c r="I21" s="2773"/>
      <c r="J21" s="2773"/>
      <c r="K21" s="2772"/>
      <c r="L21" s="104"/>
      <c r="M21" s="104"/>
      <c r="N21" s="104"/>
      <c r="O21" s="104"/>
      <c r="P21" s="104"/>
      <c r="Q21" s="104"/>
    </row>
    <row r="22" spans="1:17" ht="12.75" customHeight="1">
      <c r="A22" s="2768"/>
      <c r="B22" s="2769"/>
      <c r="C22" s="2769"/>
      <c r="D22" s="2769"/>
      <c r="E22" s="2770"/>
      <c r="F22" s="2773"/>
      <c r="G22" s="2773"/>
      <c r="H22" s="2773"/>
      <c r="I22" s="2773"/>
      <c r="J22" s="2773"/>
      <c r="K22" s="2772"/>
      <c r="L22" s="104"/>
      <c r="M22" s="104"/>
      <c r="N22" s="104"/>
      <c r="O22" s="104"/>
      <c r="P22" s="104"/>
      <c r="Q22" s="104"/>
    </row>
    <row r="23" spans="1:17" ht="12" customHeight="1">
      <c r="A23" s="2768"/>
      <c r="B23" s="2769"/>
      <c r="C23" s="2769"/>
      <c r="D23" s="2769"/>
      <c r="E23" s="2770"/>
      <c r="F23" s="2773"/>
      <c r="G23" s="2773"/>
      <c r="H23" s="2773"/>
      <c r="I23" s="2773"/>
      <c r="J23" s="2773"/>
      <c r="K23" s="2772"/>
      <c r="L23" s="104"/>
      <c r="M23" s="104"/>
      <c r="N23" s="104"/>
      <c r="O23" s="104"/>
      <c r="P23" s="104"/>
      <c r="Q23" s="104"/>
    </row>
    <row r="24" spans="1:17" ht="15" customHeight="1">
      <c r="A24" s="2768"/>
      <c r="B24" s="2769"/>
      <c r="C24" s="2769"/>
      <c r="D24" s="2769"/>
      <c r="E24" s="2770"/>
      <c r="F24" s="2774" t="str">
        <f>"签名："&amp;基本情况!B10&amp;"               日期:"&amp;基本情况!B20</f>
        <v>签名：               日期:2017年5月4日</v>
      </c>
      <c r="G24" s="2774"/>
      <c r="H24" s="2774"/>
      <c r="I24" s="2774"/>
      <c r="J24" s="2774"/>
      <c r="K24" s="2772"/>
      <c r="L24" s="104"/>
      <c r="M24" s="104"/>
      <c r="N24" s="104"/>
      <c r="O24" s="104"/>
      <c r="P24" s="104"/>
      <c r="Q24" s="104"/>
    </row>
    <row r="25" spans="1:17" ht="19.5" customHeight="1">
      <c r="A25" s="2768"/>
      <c r="B25" s="2769"/>
      <c r="C25" s="2769"/>
      <c r="D25" s="2769"/>
      <c r="E25" s="2770"/>
      <c r="F25" s="2774"/>
      <c r="G25" s="2774"/>
      <c r="H25" s="2774"/>
      <c r="I25" s="2774"/>
      <c r="J25" s="2774"/>
      <c r="K25" s="2772"/>
      <c r="L25" s="104"/>
      <c r="M25" s="104"/>
      <c r="N25" s="104"/>
      <c r="O25" s="104"/>
      <c r="P25" s="104"/>
      <c r="Q25" s="104"/>
    </row>
    <row r="26" spans="1:17" ht="22.5" customHeight="1">
      <c r="A26" s="2768" t="s">
        <v>1424</v>
      </c>
      <c r="B26" s="2769" t="s">
        <v>98</v>
      </c>
      <c r="C26" s="2769"/>
      <c r="D26" s="2769"/>
      <c r="E26" s="2770"/>
      <c r="F26" s="2771"/>
      <c r="G26" s="2771"/>
      <c r="H26" s="2771"/>
      <c r="I26" s="2771"/>
      <c r="J26" s="2771"/>
      <c r="K26" s="2772"/>
      <c r="L26" s="104"/>
      <c r="M26" s="104"/>
      <c r="N26" s="104"/>
      <c r="O26" s="104"/>
      <c r="P26" s="104"/>
      <c r="Q26" s="104"/>
    </row>
    <row r="27" spans="1:17" ht="19.5" customHeight="1">
      <c r="A27" s="2768"/>
      <c r="B27" s="2769"/>
      <c r="C27" s="2769"/>
      <c r="D27" s="2769"/>
      <c r="E27" s="2770"/>
      <c r="F27" s="2773"/>
      <c r="G27" s="2773"/>
      <c r="H27" s="2773"/>
      <c r="I27" s="2773"/>
      <c r="J27" s="2773"/>
      <c r="K27" s="2772"/>
      <c r="L27" s="104"/>
      <c r="M27" s="104"/>
      <c r="N27" s="104"/>
      <c r="O27" s="104"/>
      <c r="P27" s="104"/>
      <c r="Q27" s="104"/>
    </row>
    <row r="28" spans="1:17" ht="22.5" customHeight="1">
      <c r="A28" s="2768"/>
      <c r="B28" s="2769"/>
      <c r="C28" s="2769"/>
      <c r="D28" s="2769"/>
      <c r="E28" s="2770"/>
      <c r="F28" s="2773"/>
      <c r="G28" s="2773"/>
      <c r="H28" s="2773"/>
      <c r="I28" s="2773"/>
      <c r="J28" s="2773"/>
      <c r="K28" s="2772"/>
      <c r="L28" s="104"/>
      <c r="M28" s="104"/>
      <c r="N28" s="104"/>
      <c r="O28" s="104"/>
      <c r="P28" s="104"/>
      <c r="Q28" s="104"/>
    </row>
    <row r="29" spans="1:17" ht="22.5" customHeight="1">
      <c r="A29" s="2768"/>
      <c r="B29" s="2769"/>
      <c r="C29" s="2769"/>
      <c r="D29" s="2769"/>
      <c r="E29" s="2770"/>
      <c r="F29" s="2773"/>
      <c r="G29" s="2773"/>
      <c r="H29" s="2773"/>
      <c r="I29" s="2773"/>
      <c r="J29" s="2773"/>
      <c r="K29" s="2772"/>
      <c r="L29" s="104"/>
      <c r="M29" s="104"/>
      <c r="N29" s="104"/>
      <c r="O29" s="104"/>
      <c r="P29" s="104"/>
      <c r="Q29" s="104"/>
    </row>
    <row r="30" spans="1:17" ht="4.5" customHeight="1">
      <c r="A30" s="2768"/>
      <c r="B30" s="2769"/>
      <c r="C30" s="2769"/>
      <c r="D30" s="2769"/>
      <c r="E30" s="2770"/>
      <c r="F30" s="2773"/>
      <c r="G30" s="2773"/>
      <c r="H30" s="2773"/>
      <c r="I30" s="2773"/>
      <c r="J30" s="2773"/>
      <c r="K30" s="2772"/>
      <c r="L30" s="104"/>
      <c r="M30" s="104"/>
      <c r="N30" s="104"/>
      <c r="O30" s="104"/>
      <c r="P30" s="104"/>
      <c r="Q30" s="104"/>
    </row>
    <row r="31" spans="1:17" ht="6.75" customHeight="1">
      <c r="A31" s="2768"/>
      <c r="B31" s="2769"/>
      <c r="C31" s="2769"/>
      <c r="D31" s="2769"/>
      <c r="E31" s="2770"/>
      <c r="F31" s="2773"/>
      <c r="G31" s="2773"/>
      <c r="H31" s="2773"/>
      <c r="I31" s="2773"/>
      <c r="J31" s="2773"/>
      <c r="K31" s="2772"/>
      <c r="L31" s="104"/>
      <c r="M31" s="104"/>
      <c r="N31" s="104"/>
      <c r="O31" s="104"/>
      <c r="P31" s="104"/>
      <c r="Q31" s="104"/>
    </row>
    <row r="32" spans="1:17" ht="15.75" customHeight="1">
      <c r="A32" s="2768"/>
      <c r="B32" s="2769"/>
      <c r="C32" s="2769"/>
      <c r="D32" s="2769"/>
      <c r="E32" s="2770"/>
      <c r="F32" s="2774" t="str">
        <f>"签名："&amp;基本情况!B9&amp;"               日期："&amp;基本情况!B20</f>
        <v>签名：               日期：2017年5月4日</v>
      </c>
      <c r="G32" s="2774"/>
      <c r="H32" s="2774"/>
      <c r="I32" s="2774"/>
      <c r="J32" s="2774"/>
      <c r="K32" s="2772"/>
      <c r="L32" s="104"/>
      <c r="M32" s="104"/>
      <c r="N32" s="104"/>
      <c r="O32" s="104"/>
      <c r="P32" s="104"/>
      <c r="Q32" s="104"/>
    </row>
    <row r="33" spans="1:17" ht="12" customHeight="1">
      <c r="A33" s="2768"/>
      <c r="B33" s="2769"/>
      <c r="C33" s="2769"/>
      <c r="D33" s="2769"/>
      <c r="E33" s="2770"/>
      <c r="F33" s="2774"/>
      <c r="G33" s="2774"/>
      <c r="H33" s="2774"/>
      <c r="I33" s="2774"/>
      <c r="J33" s="2774"/>
      <c r="K33" s="2772"/>
      <c r="L33" s="104"/>
      <c r="M33" s="104"/>
      <c r="N33" s="104"/>
      <c r="O33" s="104"/>
      <c r="P33" s="104"/>
      <c r="Q33" s="104"/>
    </row>
    <row r="34" spans="1:17" ht="23.25" customHeight="1">
      <c r="A34" s="2775" t="s">
        <v>99</v>
      </c>
      <c r="B34" s="2775"/>
      <c r="C34" s="2775"/>
      <c r="D34" s="2775"/>
      <c r="E34" s="2775"/>
      <c r="F34" s="2775"/>
      <c r="G34" s="2775"/>
      <c r="H34" s="2775"/>
      <c r="I34" s="2775"/>
      <c r="J34" s="2775"/>
      <c r="K34" s="2775"/>
      <c r="L34" s="104"/>
      <c r="M34" s="104"/>
      <c r="N34" s="104"/>
      <c r="O34" s="104"/>
      <c r="P34" s="104"/>
      <c r="Q34" s="104"/>
    </row>
    <row r="35" spans="1:17">
      <c r="A35" s="2776" t="s">
        <v>100</v>
      </c>
      <c r="B35" s="2777"/>
      <c r="C35" s="2777"/>
      <c r="D35" s="2777"/>
      <c r="E35" s="2777"/>
      <c r="F35" s="2777"/>
      <c r="G35" s="2777"/>
      <c r="H35" s="2777"/>
      <c r="I35" s="2777"/>
      <c r="J35" s="2777"/>
      <c r="K35" s="2777"/>
      <c r="L35" s="104"/>
      <c r="M35" s="104"/>
      <c r="N35" s="104"/>
      <c r="O35" s="104"/>
      <c r="P35" s="104"/>
      <c r="Q35" s="104"/>
    </row>
    <row r="36" spans="1:17">
      <c r="A36" s="2776"/>
      <c r="B36" s="2777"/>
      <c r="C36" s="2777"/>
      <c r="D36" s="2777"/>
      <c r="E36" s="2777"/>
      <c r="F36" s="2777"/>
      <c r="G36" s="2777"/>
      <c r="H36" s="2777"/>
      <c r="I36" s="2777"/>
      <c r="J36" s="2777"/>
      <c r="K36" s="2777"/>
      <c r="L36" s="104"/>
      <c r="M36" s="104"/>
      <c r="N36" s="104"/>
      <c r="O36" s="104"/>
      <c r="P36" s="104"/>
      <c r="Q36" s="104"/>
    </row>
    <row r="37" spans="1:17">
      <c r="A37" s="2766" t="s">
        <v>101</v>
      </c>
      <c r="B37" s="2767"/>
      <c r="C37" s="2767"/>
      <c r="D37" s="2767"/>
      <c r="E37" s="2767"/>
      <c r="F37" s="2767"/>
      <c r="G37" s="2767"/>
      <c r="H37" s="2767"/>
      <c r="I37" s="2767"/>
      <c r="J37" s="2767"/>
      <c r="K37" s="2767"/>
      <c r="L37" s="104"/>
      <c r="M37" s="104"/>
      <c r="N37" s="104"/>
      <c r="O37" s="104"/>
      <c r="P37" s="104"/>
      <c r="Q37" s="104"/>
    </row>
    <row r="38" spans="1:17">
      <c r="A38" s="2766"/>
      <c r="B38" s="2767"/>
      <c r="C38" s="2767"/>
      <c r="D38" s="2767"/>
      <c r="E38" s="2767"/>
      <c r="F38" s="2767"/>
      <c r="G38" s="2767"/>
      <c r="H38" s="2767"/>
      <c r="I38" s="2767"/>
      <c r="J38" s="2767"/>
      <c r="K38" s="2767"/>
      <c r="L38" s="104"/>
      <c r="M38" s="104"/>
      <c r="N38" s="104"/>
      <c r="O38" s="104"/>
      <c r="P38" s="104"/>
      <c r="Q38" s="104"/>
    </row>
    <row r="39" spans="1:17">
      <c r="A39" s="2766" t="s">
        <v>102</v>
      </c>
      <c r="B39" s="2767"/>
      <c r="C39" s="2767"/>
      <c r="D39" s="2767"/>
      <c r="E39" s="2767"/>
      <c r="F39" s="2767"/>
      <c r="G39" s="2767"/>
      <c r="H39" s="2767"/>
      <c r="I39" s="2767"/>
      <c r="J39" s="2767"/>
      <c r="K39" s="2767"/>
      <c r="L39" s="104"/>
      <c r="M39" s="104"/>
      <c r="N39" s="104"/>
      <c r="O39" s="104"/>
      <c r="P39" s="104"/>
      <c r="Q39" s="104"/>
    </row>
    <row r="40" spans="1:17">
      <c r="A40" s="2766"/>
      <c r="B40" s="2767"/>
      <c r="C40" s="2767"/>
      <c r="D40" s="2767"/>
      <c r="E40" s="2767"/>
      <c r="F40" s="2767"/>
      <c r="G40" s="2767"/>
      <c r="H40" s="2767"/>
      <c r="I40" s="2767"/>
      <c r="J40" s="2767"/>
      <c r="K40" s="2767"/>
      <c r="L40" s="104"/>
      <c r="M40" s="104"/>
      <c r="N40" s="104"/>
      <c r="O40" s="104"/>
      <c r="P40" s="104"/>
      <c r="Q40" s="104"/>
    </row>
    <row r="41" spans="1:17">
      <c r="A41" s="2766" t="s">
        <v>103</v>
      </c>
      <c r="B41" s="2767"/>
      <c r="C41" s="2767"/>
      <c r="D41" s="2767"/>
      <c r="E41" s="2767"/>
      <c r="F41" s="2767"/>
      <c r="G41" s="2767"/>
      <c r="H41" s="2767"/>
      <c r="I41" s="2767"/>
      <c r="J41" s="2767"/>
      <c r="K41" s="2767"/>
      <c r="L41" s="104"/>
      <c r="M41" s="104"/>
      <c r="N41" s="104"/>
      <c r="O41" s="104"/>
      <c r="P41" s="104"/>
      <c r="Q41" s="104"/>
    </row>
    <row r="42" spans="1:17">
      <c r="A42" s="2766"/>
      <c r="B42" s="2767"/>
      <c r="C42" s="2767"/>
      <c r="D42" s="2767"/>
      <c r="E42" s="2767"/>
      <c r="F42" s="2767"/>
      <c r="G42" s="2767"/>
      <c r="H42" s="2767"/>
      <c r="I42" s="2767"/>
      <c r="J42" s="2767"/>
      <c r="K42" s="2767"/>
      <c r="L42" s="104"/>
      <c r="M42" s="104"/>
      <c r="N42" s="104"/>
      <c r="O42" s="104"/>
      <c r="P42" s="104"/>
      <c r="Q42" s="104"/>
    </row>
    <row r="43" spans="1:17">
      <c r="A43" s="2764" t="s">
        <v>104</v>
      </c>
      <c r="B43" s="2765"/>
      <c r="C43" s="2765"/>
      <c r="D43" s="2765"/>
      <c r="E43" s="2765"/>
      <c r="F43" s="2765"/>
      <c r="G43" s="2765"/>
      <c r="H43" s="2765"/>
      <c r="I43" s="2765"/>
      <c r="J43" s="2765"/>
      <c r="K43" s="2765"/>
      <c r="L43" s="104"/>
      <c r="M43" s="104"/>
      <c r="N43" s="104"/>
      <c r="O43" s="104"/>
      <c r="P43" s="104"/>
      <c r="Q43" s="104"/>
    </row>
    <row r="44" spans="1:17">
      <c r="A44" s="2764"/>
      <c r="B44" s="2765"/>
      <c r="C44" s="2765"/>
      <c r="D44" s="2765"/>
      <c r="E44" s="2765"/>
      <c r="F44" s="2765"/>
      <c r="G44" s="2765"/>
      <c r="H44" s="2765"/>
      <c r="I44" s="2765"/>
      <c r="J44" s="2765"/>
      <c r="K44" s="2765"/>
      <c r="L44" s="104"/>
      <c r="M44" s="104"/>
      <c r="N44" s="104"/>
      <c r="O44" s="104"/>
      <c r="P44" s="104"/>
      <c r="Q44" s="104"/>
    </row>
  </sheetData>
  <sheetProtection selectLockedCells="1" selectUnlockedCells="1"/>
  <mergeCells count="52">
    <mergeCell ref="A1:K1"/>
    <mergeCell ref="A2:J2"/>
    <mergeCell ref="A3:B3"/>
    <mergeCell ref="I3:J3"/>
    <mergeCell ref="K3:K4"/>
    <mergeCell ref="I4:J4"/>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6:A25"/>
    <mergeCell ref="B16:D25"/>
    <mergeCell ref="E16:E25"/>
    <mergeCell ref="F16:J16"/>
    <mergeCell ref="K16:K25"/>
    <mergeCell ref="F17:J18"/>
    <mergeCell ref="F19:J19"/>
    <mergeCell ref="F20:J21"/>
    <mergeCell ref="F22:J23"/>
    <mergeCell ref="F24:J25"/>
    <mergeCell ref="A37:A38"/>
    <mergeCell ref="B37:K38"/>
    <mergeCell ref="A26:A33"/>
    <mergeCell ref="B26:D33"/>
    <mergeCell ref="E26:E33"/>
    <mergeCell ref="F26:J26"/>
    <mergeCell ref="K26:K33"/>
    <mergeCell ref="F31:J31"/>
    <mergeCell ref="F32:J33"/>
    <mergeCell ref="A34:K34"/>
    <mergeCell ref="A35:A36"/>
    <mergeCell ref="B35:K36"/>
    <mergeCell ref="F27:J27"/>
    <mergeCell ref="F28:J28"/>
    <mergeCell ref="F29:J29"/>
    <mergeCell ref="F30:J30"/>
    <mergeCell ref="A43:A44"/>
    <mergeCell ref="B43:K44"/>
    <mergeCell ref="A39:A40"/>
    <mergeCell ref="B39:K40"/>
    <mergeCell ref="A41:A42"/>
    <mergeCell ref="B41:K42"/>
  </mergeCells>
  <phoneticPr fontId="51" type="noConversion"/>
  <dataValidations count="1">
    <dataValidation type="list" allowBlank="1" showInputMessage="1" showErrorMessage="1" prompt="请选择执业人员" sqref="C3:H3">
      <formula1>工作人员列表</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H36"/>
  <sheetViews>
    <sheetView workbookViewId="0">
      <selection activeCell="C4" sqref="C4:F4"/>
    </sheetView>
  </sheetViews>
  <sheetFormatPr defaultColWidth="9" defaultRowHeight="18" customHeight="1"/>
  <cols>
    <col min="1" max="1" width="6.59765625" style="92" customWidth="1"/>
    <col min="2" max="2" width="8.3984375" style="92" customWidth="1"/>
    <col min="3" max="3" width="11.59765625" style="92" customWidth="1"/>
    <col min="4" max="5" width="11.09765625" style="92" customWidth="1"/>
    <col min="6" max="6" width="13.59765625" style="92" customWidth="1"/>
    <col min="7" max="7" width="13.8984375" style="92" customWidth="1"/>
    <col min="8" max="8" width="12" style="92" customWidth="1"/>
    <col min="9" max="16384" width="9" style="92"/>
  </cols>
  <sheetData>
    <row r="1" spans="1:8" ht="23.25" customHeight="1">
      <c r="A1" s="2797" t="s">
        <v>9971</v>
      </c>
      <c r="B1" s="2797"/>
      <c r="C1" s="2797"/>
      <c r="D1" s="2797"/>
      <c r="E1" s="2797"/>
      <c r="F1" s="2797"/>
      <c r="G1" s="2797"/>
      <c r="H1" s="2797"/>
    </row>
    <row r="2" spans="1:8" ht="18" customHeight="1">
      <c r="A2" s="2798" t="str">
        <f>"索引号："&amp;档案索引!A23</f>
        <v>索引号：2A-3</v>
      </c>
      <c r="B2" s="2798"/>
      <c r="C2" s="2798"/>
      <c r="D2" s="2798"/>
      <c r="E2" s="2798"/>
      <c r="F2" s="2798"/>
      <c r="G2" s="2798"/>
      <c r="H2" s="2798"/>
    </row>
    <row r="3" spans="1:8" ht="18" customHeight="1">
      <c r="A3" s="2799" t="s">
        <v>7701</v>
      </c>
      <c r="B3" s="2799"/>
      <c r="C3" s="2800">
        <f>基本情况!B2</f>
        <v>0</v>
      </c>
      <c r="D3" s="2800"/>
      <c r="E3" s="2800"/>
      <c r="F3" s="2800"/>
      <c r="G3" s="2571"/>
      <c r="H3" s="2571"/>
    </row>
    <row r="4" spans="1:8" ht="18" customHeight="1">
      <c r="A4" s="2801" t="s">
        <v>7703</v>
      </c>
      <c r="B4" s="2801"/>
      <c r="C4" s="2802" t="str">
        <f>基本情况!B48</f>
        <v>0</v>
      </c>
      <c r="D4" s="2802"/>
      <c r="E4" s="2802"/>
      <c r="F4" s="2802"/>
      <c r="G4" s="2571"/>
      <c r="H4" s="2571"/>
    </row>
    <row r="5" spans="1:8" ht="18" customHeight="1">
      <c r="A5" s="2792" t="str">
        <f>"受托方：  "&amp; 基本情况!B8 &amp;"   （以下简称乙方）"</f>
        <v>受托方：  中汇百邦（厦门）税务师事务所有限公司   （以下简称乙方）</v>
      </c>
      <c r="B5" s="2792"/>
      <c r="C5" s="2792"/>
      <c r="D5" s="2792"/>
      <c r="E5" s="2792"/>
      <c r="F5" s="2792"/>
      <c r="G5" s="2792"/>
      <c r="H5" s="2792"/>
    </row>
    <row r="6" spans="1:8" ht="18" customHeight="1">
      <c r="A6" s="2792" t="s">
        <v>105</v>
      </c>
      <c r="B6" s="2792"/>
      <c r="C6" s="2792"/>
      <c r="D6" s="2792"/>
      <c r="E6" s="2792"/>
      <c r="F6" s="2792"/>
      <c r="G6" s="2792"/>
      <c r="H6" s="2792"/>
    </row>
    <row r="7" spans="1:8" ht="18" customHeight="1">
      <c r="A7" s="2792" t="s">
        <v>106</v>
      </c>
      <c r="B7" s="2792"/>
      <c r="C7" s="2792"/>
      <c r="D7" s="2792"/>
      <c r="E7" s="2792"/>
      <c r="F7" s="2792"/>
      <c r="G7" s="2792"/>
      <c r="H7" s="2792"/>
    </row>
    <row r="8" spans="1:8" ht="18" customHeight="1">
      <c r="A8" s="116" t="s">
        <v>107</v>
      </c>
      <c r="B8" s="116"/>
      <c r="C8" s="2794" t="str">
        <f>"对"&amp;IF(OR(基本情况!B6&lt;&gt;"12月31日",基本情况!F5&lt;&gt;"01",基本情况!G5&lt;&gt;"01"),基本情况!B7,基本情况!B4&amp;"年度")&amp;LEFT(基本情况!B3,5)&amp;"进行"&amp;RIGHT(基本情况!B3,8)&amp;"。"</f>
        <v>对2016年度企业所得税进行年度纳税申报审核。</v>
      </c>
      <c r="D8" s="2794"/>
      <c r="E8" s="2794"/>
      <c r="F8" s="2794"/>
      <c r="G8" s="2794"/>
      <c r="H8" s="2794"/>
    </row>
    <row r="9" spans="1:8" ht="18" customHeight="1">
      <c r="A9" s="2792" t="s">
        <v>108</v>
      </c>
      <c r="B9" s="2792"/>
      <c r="C9" s="2792"/>
      <c r="D9" s="2792"/>
      <c r="E9" s="2792"/>
      <c r="F9" s="2792"/>
      <c r="G9" s="2792"/>
      <c r="H9" s="2792"/>
    </row>
    <row r="10" spans="1:8" ht="18" customHeight="1">
      <c r="A10" s="2791" t="s">
        <v>1651</v>
      </c>
      <c r="B10" s="2791"/>
      <c r="C10" s="2791"/>
      <c r="D10" s="2791"/>
      <c r="E10" s="2791"/>
      <c r="F10" s="2791"/>
      <c r="G10" s="2791"/>
      <c r="H10" s="2791"/>
    </row>
    <row r="11" spans="1:8" ht="22.95" customHeight="1">
      <c r="A11" s="2791"/>
      <c r="B11" s="2791"/>
      <c r="C11" s="2791"/>
      <c r="D11" s="2791"/>
      <c r="E11" s="2791"/>
      <c r="F11" s="2791"/>
      <c r="G11" s="2791"/>
      <c r="H11" s="2791"/>
    </row>
    <row r="12" spans="1:8" ht="30.75" customHeight="1">
      <c r="A12" s="2791"/>
      <c r="B12" s="2791"/>
      <c r="C12" s="2791"/>
      <c r="D12" s="2791"/>
      <c r="E12" s="2791"/>
      <c r="F12" s="2791"/>
      <c r="G12" s="2791"/>
      <c r="H12" s="2791"/>
    </row>
    <row r="13" spans="1:8" ht="27" customHeight="1">
      <c r="A13" s="2795" t="s">
        <v>1013</v>
      </c>
      <c r="B13" s="2795"/>
      <c r="C13" s="2795"/>
      <c r="D13" s="2795"/>
      <c r="E13" s="2795"/>
      <c r="F13" s="2795"/>
      <c r="G13" s="2795"/>
      <c r="H13" s="2795"/>
    </row>
    <row r="14" spans="1:8" ht="17.25" customHeight="1">
      <c r="A14" s="2792" t="s">
        <v>1014</v>
      </c>
      <c r="B14" s="2792"/>
      <c r="C14" s="2792"/>
      <c r="D14" s="2792"/>
      <c r="E14" s="2792"/>
      <c r="F14" s="2792"/>
      <c r="G14" s="2792"/>
      <c r="H14" s="2792"/>
    </row>
    <row r="15" spans="1:8" ht="30" customHeight="1">
      <c r="A15" s="2796" t="str">
        <f>"    1、根据国家有关收费规定和委托项目的工作量、难易度及风险程度确定业务费用总金额为 "&amp;IF(基本情况!B17=0,"       ",TEXT(基本情况!B17,"#,##0.00"))&amp;" 元人民币。"</f>
        <v xml:space="preserve">    1、根据国家有关收费规定和委托项目的工作量、难易度及风险程度确定业务费用总金额为 1,500.00 元人民币。</v>
      </c>
      <c r="B15" s="2796"/>
      <c r="C15" s="2796"/>
      <c r="D15" s="2796"/>
      <c r="E15" s="2796"/>
      <c r="F15" s="2796"/>
      <c r="G15" s="2796"/>
      <c r="H15" s="2796"/>
    </row>
    <row r="16" spans="1:8" ht="29.25" customHeight="1">
      <c r="A16" s="2791" t="s">
        <v>9975</v>
      </c>
      <c r="B16" s="2791"/>
      <c r="C16" s="2791"/>
      <c r="D16" s="2791"/>
      <c r="E16" s="2791"/>
      <c r="F16" s="2791"/>
      <c r="G16" s="2791"/>
      <c r="H16" s="2791"/>
    </row>
    <row r="17" spans="1:8" ht="18" customHeight="1">
      <c r="A17" s="2792" t="s">
        <v>1015</v>
      </c>
      <c r="B17" s="2792"/>
      <c r="C17" s="2792"/>
      <c r="D17" s="2792"/>
      <c r="E17" s="2792"/>
      <c r="F17" s="2792"/>
      <c r="G17" s="2792"/>
      <c r="H17" s="2792"/>
    </row>
    <row r="18" spans="1:8" ht="23.25" customHeight="1">
      <c r="A18" s="2792" t="s">
        <v>1016</v>
      </c>
      <c r="B18" s="2792"/>
      <c r="C18" s="2792"/>
      <c r="D18" s="2792"/>
      <c r="E18" s="2792"/>
      <c r="F18" s="2792"/>
      <c r="G18" s="2792"/>
      <c r="H18" s="2792"/>
    </row>
    <row r="19" spans="1:8" ht="34.200000000000003" customHeight="1">
      <c r="A19" s="2791" t="s">
        <v>1017</v>
      </c>
      <c r="B19" s="2791"/>
      <c r="C19" s="2791"/>
      <c r="D19" s="2791"/>
      <c r="E19" s="2791"/>
      <c r="F19" s="2791"/>
      <c r="G19" s="2791"/>
      <c r="H19" s="2791"/>
    </row>
    <row r="20" spans="1:8" ht="28.5" customHeight="1">
      <c r="A20" s="2791" t="s">
        <v>1018</v>
      </c>
      <c r="B20" s="2791"/>
      <c r="C20" s="2791"/>
      <c r="D20" s="2791"/>
      <c r="E20" s="2791"/>
      <c r="F20" s="2791"/>
      <c r="G20" s="2791"/>
      <c r="H20" s="2791"/>
    </row>
    <row r="21" spans="1:8" ht="23.25" customHeight="1">
      <c r="A21" s="2792" t="s">
        <v>1019</v>
      </c>
      <c r="B21" s="2792"/>
      <c r="C21" s="2792"/>
      <c r="D21" s="2792"/>
      <c r="E21" s="2792"/>
      <c r="F21" s="2792"/>
      <c r="G21" s="2792"/>
      <c r="H21" s="2792"/>
    </row>
    <row r="22" spans="1:8" ht="22.5" customHeight="1">
      <c r="A22" s="2792" t="s">
        <v>1020</v>
      </c>
      <c r="B22" s="2792"/>
      <c r="C22" s="2792"/>
      <c r="D22" s="2792"/>
      <c r="E22" s="2792"/>
      <c r="F22" s="2792"/>
      <c r="G22" s="2792"/>
      <c r="H22" s="2792"/>
    </row>
    <row r="23" spans="1:8" ht="18" customHeight="1">
      <c r="A23" s="2792" t="s">
        <v>1021</v>
      </c>
      <c r="B23" s="2792"/>
      <c r="C23" s="2792"/>
      <c r="D23" s="2792"/>
      <c r="E23" s="2792"/>
      <c r="F23" s="2792"/>
      <c r="G23" s="2792"/>
      <c r="H23" s="2792"/>
    </row>
    <row r="24" spans="1:8" ht="30" customHeight="1">
      <c r="A24" s="2791" t="s">
        <v>1022</v>
      </c>
      <c r="B24" s="2791"/>
      <c r="C24" s="2791"/>
      <c r="D24" s="2791"/>
      <c r="E24" s="2791"/>
      <c r="F24" s="2791"/>
      <c r="G24" s="2791"/>
      <c r="H24" s="2791"/>
    </row>
    <row r="25" spans="1:8" ht="31.5" customHeight="1">
      <c r="A25" s="2791" t="s">
        <v>1023</v>
      </c>
      <c r="B25" s="2791"/>
      <c r="C25" s="2791"/>
      <c r="D25" s="2791"/>
      <c r="E25" s="2791"/>
      <c r="F25" s="2791"/>
      <c r="G25" s="2791"/>
      <c r="H25" s="2791"/>
    </row>
    <row r="26" spans="1:8" ht="18" customHeight="1">
      <c r="A26" s="116" t="s">
        <v>1024</v>
      </c>
      <c r="B26" s="116"/>
      <c r="C26" s="116"/>
      <c r="D26" s="116"/>
      <c r="E26" s="116"/>
      <c r="F26" s="116"/>
      <c r="G26" s="116"/>
      <c r="H26" s="116"/>
    </row>
    <row r="27" spans="1:8" ht="27" customHeight="1">
      <c r="A27" s="117"/>
      <c r="B27" s="117"/>
      <c r="C27" s="117"/>
      <c r="D27" s="118"/>
      <c r="E27" s="118"/>
      <c r="F27" s="118"/>
      <c r="G27" s="118"/>
      <c r="H27" s="118"/>
    </row>
    <row r="28" spans="1:8" ht="18" customHeight="1">
      <c r="A28" s="98"/>
      <c r="B28" s="98"/>
      <c r="C28" s="98"/>
      <c r="D28" s="98"/>
      <c r="E28" s="98"/>
      <c r="F28" s="98"/>
      <c r="G28" s="98"/>
      <c r="H28" s="98"/>
    </row>
    <row r="29" spans="1:8" ht="18" customHeight="1">
      <c r="A29" s="2792" t="str">
        <f>"    甲方（签章）：                         乙方（签章）："&amp;基本情况!B8</f>
        <v xml:space="preserve">    甲方（签章）：                         乙方（签章）：中汇百邦（厦门）税务师事务所有限公司</v>
      </c>
      <c r="B29" s="2792"/>
      <c r="C29" s="2792"/>
      <c r="D29" s="2792"/>
      <c r="E29" s="2792"/>
      <c r="F29" s="2792"/>
      <c r="G29" s="2792"/>
      <c r="H29" s="2792"/>
    </row>
    <row r="30" spans="1:8" ht="18" customHeight="1">
      <c r="A30" s="119" t="s">
        <v>1025</v>
      </c>
      <c r="B30" s="98"/>
      <c r="C30" s="98"/>
      <c r="D30" s="98"/>
      <c r="E30" s="98"/>
      <c r="F30" s="98"/>
      <c r="G30" s="98"/>
      <c r="H30" s="98"/>
    </row>
    <row r="31" spans="1:8" ht="18" customHeight="1">
      <c r="A31" s="2792" t="s">
        <v>1026</v>
      </c>
      <c r="B31" s="2792"/>
      <c r="C31" s="2792"/>
      <c r="D31" s="2792"/>
      <c r="E31" s="2792"/>
      <c r="F31" s="2792"/>
      <c r="G31" s="2792"/>
      <c r="H31" s="2792"/>
    </row>
    <row r="32" spans="1:8" ht="18" customHeight="1">
      <c r="A32" s="119"/>
      <c r="B32" s="98"/>
      <c r="C32" s="98"/>
      <c r="D32" s="98"/>
      <c r="E32" s="98"/>
      <c r="F32" s="98"/>
      <c r="G32" s="98"/>
      <c r="H32" s="98"/>
    </row>
    <row r="33" spans="1:8" ht="18" customHeight="1">
      <c r="A33" s="2793" t="str">
        <f>"    签约时间："&amp;"                             签约时间："&amp;"   "</f>
        <v xml:space="preserve">    签约时间：                             签约时间：   </v>
      </c>
      <c r="B33" s="2793"/>
      <c r="C33" s="2793"/>
      <c r="D33" s="2793"/>
      <c r="E33" s="2793"/>
      <c r="F33" s="2793"/>
      <c r="G33" s="2793"/>
      <c r="H33" s="2793"/>
    </row>
    <row r="34" spans="1:8" ht="18" customHeight="1">
      <c r="A34" s="119" t="s">
        <v>1027</v>
      </c>
      <c r="B34" s="98"/>
      <c r="C34" s="98"/>
      <c r="D34" s="98"/>
      <c r="E34" s="98"/>
      <c r="F34" s="98"/>
      <c r="G34" s="98"/>
      <c r="H34" s="98"/>
    </row>
    <row r="35" spans="1:8" ht="18" customHeight="1">
      <c r="A35" s="98"/>
      <c r="B35" s="98"/>
      <c r="C35" s="98"/>
      <c r="D35" s="98"/>
      <c r="E35" s="98"/>
      <c r="F35" s="98"/>
      <c r="G35" s="98"/>
      <c r="H35" s="98"/>
    </row>
    <row r="36" spans="1:8" ht="18" customHeight="1">
      <c r="A36" s="98"/>
      <c r="B36" s="98"/>
      <c r="C36" s="98"/>
      <c r="D36" s="98"/>
      <c r="E36" s="98"/>
      <c r="F36" s="98"/>
      <c r="G36" s="98"/>
      <c r="H36" s="98"/>
    </row>
  </sheetData>
  <sheetProtection selectLockedCells="1" selectUnlockedCells="1"/>
  <mergeCells count="28">
    <mergeCell ref="A1:H1"/>
    <mergeCell ref="A2:H2"/>
    <mergeCell ref="A3:B3"/>
    <mergeCell ref="C3:F3"/>
    <mergeCell ref="A4:B4"/>
    <mergeCell ref="C4:F4"/>
    <mergeCell ref="A18:H18"/>
    <mergeCell ref="A5:H5"/>
    <mergeCell ref="A6:H6"/>
    <mergeCell ref="A7:H7"/>
    <mergeCell ref="C8:H8"/>
    <mergeCell ref="A9:H9"/>
    <mergeCell ref="A10:H12"/>
    <mergeCell ref="A13:H13"/>
    <mergeCell ref="A14:H14"/>
    <mergeCell ref="A15:H15"/>
    <mergeCell ref="A16:H16"/>
    <mergeCell ref="A17:H17"/>
    <mergeCell ref="A25:H25"/>
    <mergeCell ref="A29:H29"/>
    <mergeCell ref="A31:H31"/>
    <mergeCell ref="A33:H33"/>
    <mergeCell ref="A19:H19"/>
    <mergeCell ref="A20:H20"/>
    <mergeCell ref="A21:H21"/>
    <mergeCell ref="A22:H22"/>
    <mergeCell ref="A23:H23"/>
    <mergeCell ref="A24:H24"/>
  </mergeCells>
  <phoneticPr fontId="51" type="noConversion"/>
  <pageMargins left="0.37" right="0.35433070866141703" top="0.511811023622047" bottom="0.11811023622047198" header="0.511811023622047" footer="0.511811023622047"/>
  <pageSetup paperSize="9" firstPageNumber="0" orientation="portrait"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H25"/>
  <sheetViews>
    <sheetView workbookViewId="0">
      <selection activeCell="A22" sqref="A22"/>
    </sheetView>
  </sheetViews>
  <sheetFormatPr defaultColWidth="9" defaultRowHeight="15.6"/>
  <cols>
    <col min="1" max="1" width="21.8984375" style="1316" customWidth="1"/>
    <col min="2" max="2" width="19.59765625" style="1316" customWidth="1"/>
    <col min="3" max="3" width="19.8984375" style="1316" customWidth="1"/>
    <col min="4" max="4" width="20" style="1316" customWidth="1"/>
    <col min="5" max="5" width="20.5" style="1316" customWidth="1"/>
    <col min="6" max="6" width="17.5" style="1316" customWidth="1"/>
    <col min="7" max="7" width="16.59765625" style="1316" customWidth="1"/>
    <col min="8" max="16384" width="9" style="1316"/>
  </cols>
  <sheetData>
    <row r="1" spans="1:8" ht="14.25" customHeight="1">
      <c r="A1" s="1317"/>
      <c r="B1" s="1318"/>
      <c r="E1" s="1317"/>
      <c r="F1" s="1318"/>
    </row>
    <row r="2" spans="1:8" ht="14.25" customHeight="1">
      <c r="A2" s="1317"/>
      <c r="E2" s="1317"/>
    </row>
    <row r="3" spans="1:8" ht="14.25" customHeight="1">
      <c r="A3" s="1317"/>
      <c r="E3" s="1317"/>
    </row>
    <row r="4" spans="1:8" ht="15.6" customHeight="1">
      <c r="A4" s="1317"/>
      <c r="E4" s="1317"/>
    </row>
    <row r="5" spans="1:8" ht="15.6" customHeight="1">
      <c r="A5" s="1317"/>
      <c r="E5" s="1317"/>
    </row>
    <row r="6" spans="1:8">
      <c r="A6" s="1317"/>
      <c r="C6" s="1317"/>
      <c r="E6" s="1317"/>
      <c r="G6" s="2227"/>
      <c r="H6" s="1318"/>
    </row>
    <row r="7" spans="1:8">
      <c r="A7" s="2227"/>
      <c r="C7" s="2227"/>
      <c r="E7" s="2227"/>
      <c r="F7" s="1318"/>
      <c r="G7" s="2227"/>
    </row>
    <row r="8" spans="1:8">
      <c r="A8" s="1317"/>
      <c r="C8" s="1317"/>
      <c r="E8" s="1317"/>
      <c r="G8" s="1317"/>
    </row>
    <row r="9" spans="1:8">
      <c r="A9" s="1317"/>
      <c r="C9" s="1317"/>
      <c r="E9" s="1317"/>
      <c r="G9" s="1317"/>
    </row>
    <row r="10" spans="1:8">
      <c r="A10" s="1317"/>
      <c r="C10" s="1317"/>
      <c r="E10" s="1317"/>
      <c r="G10" s="1317"/>
    </row>
    <row r="11" spans="1:8">
      <c r="A11" s="1317"/>
      <c r="C11" s="1317"/>
      <c r="E11" s="1317"/>
      <c r="G11" s="1317"/>
    </row>
    <row r="12" spans="1:8">
      <c r="A12" s="1317"/>
      <c r="C12" s="1317"/>
      <c r="E12" s="1317"/>
      <c r="G12" s="1317"/>
    </row>
    <row r="13" spans="1:8">
      <c r="A13" s="1317"/>
      <c r="B13" s="1318"/>
      <c r="C13" s="1317"/>
      <c r="E13" s="1317"/>
      <c r="G13" s="1317"/>
    </row>
    <row r="14" spans="1:8">
      <c r="A14" s="1317"/>
      <c r="C14" s="1317"/>
      <c r="E14" s="1317"/>
      <c r="G14" s="1317"/>
    </row>
    <row r="15" spans="1:8">
      <c r="A15" s="1317"/>
      <c r="C15" s="1317"/>
      <c r="E15" s="1317"/>
      <c r="G15" s="1317"/>
    </row>
    <row r="16" spans="1:8">
      <c r="A16" s="2289"/>
      <c r="B16" s="1318"/>
      <c r="C16" s="2290"/>
      <c r="D16" s="2290"/>
      <c r="E16" s="2290"/>
      <c r="F16" s="2290"/>
      <c r="G16" s="2290"/>
    </row>
    <row r="17" spans="1:1">
      <c r="A17" s="1317"/>
    </row>
    <row r="18" spans="1:1">
      <c r="A18" s="1317"/>
    </row>
    <row r="21" spans="1:1" ht="14.25" customHeight="1"/>
    <row r="22" spans="1:1" ht="14.25" customHeight="1"/>
    <row r="25" spans="1:1" ht="14.25" customHeight="1">
      <c r="A25" s="1318"/>
    </row>
  </sheetData>
  <phoneticPr fontId="51" type="noConversion"/>
  <pageMargins left="0.78740157480314998" right="0.35433070866141703" top="0.511811023622047" bottom="0.11811023622047198" header="0.511811023622047" footer="0.511811023622047"/>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CT135"/>
  <sheetViews>
    <sheetView tabSelected="1" workbookViewId="0">
      <selection activeCell="B12" sqref="B12:E12"/>
    </sheetView>
  </sheetViews>
  <sheetFormatPr defaultColWidth="9" defaultRowHeight="15.6"/>
  <cols>
    <col min="1" max="1" width="29" style="45" customWidth="1"/>
    <col min="2" max="4" width="13.3984375" style="46" customWidth="1"/>
    <col min="5" max="5" width="13.3984375" style="47" customWidth="1"/>
    <col min="6" max="6" width="53.8984375" style="48" customWidth="1"/>
    <col min="7" max="98" width="9" style="46"/>
    <col min="99" max="16384" width="9" style="45"/>
  </cols>
  <sheetData>
    <row r="1" spans="1:8" ht="35.25" customHeight="1">
      <c r="A1" s="2844" t="s">
        <v>384</v>
      </c>
      <c r="B1" s="2844"/>
      <c r="C1" s="2844"/>
      <c r="D1" s="2844"/>
      <c r="E1" s="2844"/>
      <c r="F1" s="49"/>
      <c r="G1" s="50"/>
      <c r="H1" s="50"/>
    </row>
    <row r="2" spans="1:8" ht="18" customHeight="1">
      <c r="A2" s="51" t="s">
        <v>385</v>
      </c>
      <c r="B2" s="2845">
        <f>地税、基本情况!B2</f>
        <v>0</v>
      </c>
      <c r="C2" s="2846"/>
      <c r="D2" s="2846"/>
      <c r="E2" s="2847"/>
      <c r="F2" s="49" t="s">
        <v>386</v>
      </c>
      <c r="G2" s="50"/>
      <c r="H2" s="50"/>
    </row>
    <row r="3" spans="1:8" s="55" customFormat="1" ht="18" customHeight="1">
      <c r="A3" s="52" t="s">
        <v>387</v>
      </c>
      <c r="B3" s="2848" t="s">
        <v>9970</v>
      </c>
      <c r="C3" s="2848"/>
      <c r="D3" s="2848"/>
      <c r="E3" s="2848"/>
      <c r="F3" s="53"/>
      <c r="G3" s="54"/>
      <c r="H3" s="54"/>
    </row>
    <row r="4" spans="1:8" s="55" customFormat="1" ht="18" customHeight="1">
      <c r="A4" s="52" t="s">
        <v>388</v>
      </c>
      <c r="B4" s="2849">
        <v>2016</v>
      </c>
      <c r="C4" s="2849"/>
      <c r="D4" s="2849"/>
      <c r="E4" s="2849"/>
      <c r="F4" s="56" t="str">
        <f>TEXT(B5,"mm,dd")</f>
        <v>01,01</v>
      </c>
      <c r="G4" s="57" t="str">
        <f>TEXT(B6,"mm,dd")</f>
        <v>12,31</v>
      </c>
      <c r="H4" s="54"/>
    </row>
    <row r="5" spans="1:8" s="55" customFormat="1" ht="18" customHeight="1">
      <c r="A5" s="52" t="s">
        <v>389</v>
      </c>
      <c r="B5" s="2850" t="s">
        <v>10295</v>
      </c>
      <c r="C5" s="2850"/>
      <c r="D5" s="2850"/>
      <c r="E5" s="2850"/>
      <c r="F5" s="57" t="str">
        <f>LEFT(F4,2)</f>
        <v>01</v>
      </c>
      <c r="G5" s="57" t="str">
        <f>RIGHT(F4,2)</f>
        <v>01</v>
      </c>
      <c r="H5" s="54"/>
    </row>
    <row r="6" spans="1:8" s="55" customFormat="1" ht="18" customHeight="1">
      <c r="A6" s="52" t="s">
        <v>390</v>
      </c>
      <c r="B6" s="2850" t="s">
        <v>391</v>
      </c>
      <c r="C6" s="2850"/>
      <c r="D6" s="2850"/>
      <c r="E6" s="2850"/>
      <c r="F6" s="56" t="str">
        <f>LEFT(G4,2)</f>
        <v>12</v>
      </c>
      <c r="G6" s="57" t="str">
        <f>RIGHT(G4,2)</f>
        <v>31</v>
      </c>
      <c r="H6" s="54"/>
    </row>
    <row r="7" spans="1:8" s="55" customFormat="1" ht="18" customHeight="1">
      <c r="A7" s="52" t="s">
        <v>392</v>
      </c>
      <c r="B7" s="2851" t="str">
        <f>B4&amp;"年"&amp;起始月&amp;"月"&amp;起始日&amp;"日"&amp;"至"&amp;本年度&amp;"年"&amp;截止月&amp;"月"&amp;截止日&amp;"日"</f>
        <v>2016年01月01日至2016年12月31日</v>
      </c>
      <c r="C7" s="2851"/>
      <c r="D7" s="2851"/>
      <c r="E7" s="2851"/>
      <c r="F7" s="53"/>
      <c r="G7" s="54"/>
      <c r="H7" s="54"/>
    </row>
    <row r="8" spans="1:8" s="55" customFormat="1" ht="18" customHeight="1">
      <c r="A8" s="52" t="s">
        <v>393</v>
      </c>
      <c r="B8" s="2851" t="s">
        <v>7704</v>
      </c>
      <c r="C8" s="2851"/>
      <c r="D8" s="2851"/>
      <c r="E8" s="2851"/>
      <c r="F8" s="53"/>
      <c r="G8" s="54"/>
      <c r="H8" s="54"/>
    </row>
    <row r="9" spans="1:8" s="55" customFormat="1" ht="18" customHeight="1">
      <c r="A9" s="52" t="s">
        <v>394</v>
      </c>
      <c r="B9" s="2843"/>
      <c r="C9" s="2843"/>
      <c r="D9" s="2843"/>
      <c r="E9" s="2843"/>
      <c r="F9" s="58" t="s">
        <v>395</v>
      </c>
      <c r="G9" s="54"/>
      <c r="H9" s="54"/>
    </row>
    <row r="10" spans="1:8" s="55" customFormat="1" ht="18" customHeight="1">
      <c r="A10" s="52" t="s">
        <v>396</v>
      </c>
      <c r="B10" s="2843"/>
      <c r="C10" s="2843"/>
      <c r="D10" s="2843"/>
      <c r="E10" s="2843"/>
      <c r="F10" s="59" t="s">
        <v>397</v>
      </c>
      <c r="G10" s="54"/>
      <c r="H10" s="54"/>
    </row>
    <row r="11" spans="1:8" s="55" customFormat="1" ht="18" customHeight="1">
      <c r="A11" s="52" t="s">
        <v>398</v>
      </c>
      <c r="B11" s="2843"/>
      <c r="C11" s="2843"/>
      <c r="D11" s="2843"/>
      <c r="E11" s="2843"/>
      <c r="F11" s="60" t="s">
        <v>399</v>
      </c>
      <c r="G11" s="54"/>
      <c r="H11" s="54"/>
    </row>
    <row r="12" spans="1:8" s="55" customFormat="1" ht="18" customHeight="1">
      <c r="A12" s="52" t="s">
        <v>400</v>
      </c>
      <c r="B12" s="2843"/>
      <c r="C12" s="2843"/>
      <c r="D12" s="2843"/>
      <c r="E12" s="2843"/>
      <c r="F12" s="61" t="s">
        <v>401</v>
      </c>
      <c r="G12" s="54"/>
      <c r="H12" s="54"/>
    </row>
    <row r="13" spans="1:8" s="55" customFormat="1" ht="18" customHeight="1">
      <c r="A13" s="52" t="s">
        <v>400</v>
      </c>
      <c r="B13" s="2843"/>
      <c r="C13" s="2843"/>
      <c r="D13" s="2843"/>
      <c r="E13" s="2843"/>
      <c r="F13" s="61"/>
      <c r="G13" s="54"/>
      <c r="H13" s="54"/>
    </row>
    <row r="14" spans="1:8" s="55" customFormat="1" ht="18" customHeight="1">
      <c r="A14" s="52" t="s">
        <v>400</v>
      </c>
      <c r="B14" s="2843"/>
      <c r="C14" s="2843"/>
      <c r="D14" s="2843"/>
      <c r="E14" s="2843"/>
      <c r="F14" s="62"/>
      <c r="G14" s="54"/>
      <c r="H14" s="54"/>
    </row>
    <row r="15" spans="1:8" s="55" customFormat="1" ht="18" customHeight="1">
      <c r="A15" s="52" t="s">
        <v>400</v>
      </c>
      <c r="B15" s="2843"/>
      <c r="C15" s="2843"/>
      <c r="D15" s="2843"/>
      <c r="E15" s="2843"/>
      <c r="F15" s="63"/>
      <c r="G15" s="54"/>
      <c r="H15" s="54"/>
    </row>
    <row r="16" spans="1:8" s="55" customFormat="1" ht="18" customHeight="1">
      <c r="A16" s="52" t="s">
        <v>400</v>
      </c>
      <c r="B16" s="2843"/>
      <c r="C16" s="2843"/>
      <c r="D16" s="2843"/>
      <c r="E16" s="2843"/>
      <c r="F16" s="61" t="s">
        <v>9974</v>
      </c>
      <c r="G16" s="54"/>
      <c r="H16" s="54"/>
    </row>
    <row r="17" spans="1:8" s="55" customFormat="1" ht="18" customHeight="1">
      <c r="A17" s="52" t="s">
        <v>714</v>
      </c>
      <c r="B17" s="2803">
        <f>ROUNDUP(税审收费标准!G3,0)</f>
        <v>1500</v>
      </c>
      <c r="C17" s="2803"/>
      <c r="D17" s="2803"/>
      <c r="E17" s="2803"/>
      <c r="F17" s="2574" t="s">
        <v>9973</v>
      </c>
      <c r="G17" s="54"/>
      <c r="H17" s="54"/>
    </row>
    <row r="18" spans="1:8" ht="18" customHeight="1">
      <c r="A18" s="64" t="s">
        <v>402</v>
      </c>
      <c r="B18" s="2838"/>
      <c r="C18" s="2838"/>
      <c r="D18" s="2838"/>
      <c r="E18" s="2838"/>
      <c r="F18" s="65"/>
      <c r="G18" s="50"/>
      <c r="H18" s="50"/>
    </row>
    <row r="19" spans="1:8" ht="18" customHeight="1">
      <c r="A19" s="64" t="s">
        <v>403</v>
      </c>
      <c r="B19" s="2839" t="str">
        <f>B21</f>
        <v>2017年3月16日</v>
      </c>
      <c r="C19" s="2840"/>
      <c r="D19" s="2840"/>
      <c r="E19" s="2840"/>
      <c r="F19" s="49" t="s">
        <v>1637</v>
      </c>
      <c r="G19" s="50"/>
      <c r="H19" s="50"/>
    </row>
    <row r="20" spans="1:8" s="55" customFormat="1" ht="18" customHeight="1">
      <c r="A20" s="52" t="s">
        <v>404</v>
      </c>
      <c r="B20" s="2841" t="s">
        <v>7700</v>
      </c>
      <c r="C20" s="2841"/>
      <c r="D20" s="2841"/>
      <c r="E20" s="2841"/>
      <c r="F20" s="49" t="str">
        <f>TEXT(B20,"yyyy-mm-dd")</f>
        <v>2017-05-04</v>
      </c>
      <c r="G20" s="54" t="s">
        <v>1267</v>
      </c>
      <c r="H20" s="54"/>
    </row>
    <row r="21" spans="1:8" ht="18" customHeight="1">
      <c r="A21" s="52" t="s">
        <v>405</v>
      </c>
      <c r="B21" s="2841" t="s">
        <v>7699</v>
      </c>
      <c r="C21" s="2841"/>
      <c r="D21" s="2841"/>
      <c r="E21" s="2841"/>
      <c r="F21" s="49" t="str">
        <f>TEXT(B21,"yyyy-mm-dd")</f>
        <v>2017-03-16</v>
      </c>
      <c r="G21" s="50" t="s">
        <v>1266</v>
      </c>
      <c r="H21" s="50"/>
    </row>
    <row r="22" spans="1:8" ht="18" customHeight="1">
      <c r="A22" s="52" t="s">
        <v>406</v>
      </c>
      <c r="B22" s="2839" t="str">
        <f>B20</f>
        <v>2017年5月4日</v>
      </c>
      <c r="C22" s="2840"/>
      <c r="D22" s="2840"/>
      <c r="E22" s="2840"/>
      <c r="F22" s="49"/>
      <c r="G22" s="50"/>
      <c r="H22" s="50"/>
    </row>
    <row r="23" spans="1:8" ht="18" customHeight="1">
      <c r="A23" s="52" t="s">
        <v>6428</v>
      </c>
      <c r="B23" s="2843"/>
      <c r="C23" s="2843"/>
      <c r="D23" s="2843"/>
      <c r="E23" s="2843"/>
      <c r="F23" s="49"/>
      <c r="G23" s="50"/>
      <c r="H23" s="50"/>
    </row>
    <row r="24" spans="1:8" ht="18" customHeight="1">
      <c r="A24" s="66" t="s">
        <v>407</v>
      </c>
      <c r="B24" s="2842">
        <v>361004</v>
      </c>
      <c r="C24" s="2842"/>
      <c r="D24" s="2842"/>
      <c r="E24" s="2842"/>
      <c r="F24" s="49"/>
      <c r="G24" s="50"/>
      <c r="H24" s="50"/>
    </row>
    <row r="25" spans="1:8" ht="18" customHeight="1">
      <c r="A25" s="66" t="s">
        <v>408</v>
      </c>
      <c r="B25" s="2842" t="str">
        <f>IF(B8="中汇百邦（厦门）税务师事务所有限公司","0592-5881030","0592-2988712")</f>
        <v>0592-5881030</v>
      </c>
      <c r="C25" s="2842"/>
      <c r="D25" s="2842"/>
      <c r="E25" s="2842"/>
      <c r="F25" s="49"/>
      <c r="G25" s="50"/>
      <c r="H25" s="50"/>
    </row>
    <row r="26" spans="1:8" ht="18" customHeight="1">
      <c r="A26" s="66" t="s">
        <v>409</v>
      </c>
      <c r="B26" s="2842" t="s">
        <v>410</v>
      </c>
      <c r="C26" s="2842"/>
      <c r="D26" s="2842"/>
      <c r="E26" s="2842"/>
      <c r="F26" s="49"/>
      <c r="G26" s="1313" t="s">
        <v>957</v>
      </c>
      <c r="H26" s="50"/>
    </row>
    <row r="27" spans="1:8" ht="18" customHeight="1">
      <c r="A27" s="66" t="s">
        <v>411</v>
      </c>
      <c r="B27" s="2807"/>
      <c r="C27" s="2807"/>
      <c r="D27" s="2807"/>
      <c r="E27" s="2807"/>
      <c r="F27" s="49"/>
      <c r="G27" s="1313" t="s">
        <v>958</v>
      </c>
      <c r="H27" s="50"/>
    </row>
    <row r="28" spans="1:8" ht="18" customHeight="1">
      <c r="A28" s="67" t="s">
        <v>412</v>
      </c>
      <c r="B28" s="2808" t="s">
        <v>1077</v>
      </c>
      <c r="C28" s="2808"/>
      <c r="D28" s="2808"/>
      <c r="E28" s="2808"/>
      <c r="F28" s="68" t="s">
        <v>414</v>
      </c>
      <c r="G28" s="1313" t="s">
        <v>959</v>
      </c>
      <c r="H28" s="50"/>
    </row>
    <row r="29" spans="1:8" ht="18" customHeight="1">
      <c r="A29" s="67" t="s">
        <v>415</v>
      </c>
      <c r="B29" s="2808" t="s">
        <v>413</v>
      </c>
      <c r="C29" s="2808"/>
      <c r="D29" s="2808"/>
      <c r="E29" s="2808"/>
      <c r="F29" s="68"/>
      <c r="G29" s="1313" t="s">
        <v>960</v>
      </c>
      <c r="H29" s="50"/>
    </row>
    <row r="30" spans="1:8" ht="18" customHeight="1">
      <c r="A30" s="67" t="s">
        <v>10083</v>
      </c>
      <c r="B30" s="2835">
        <v>3</v>
      </c>
      <c r="C30" s="2836"/>
      <c r="D30" s="2836"/>
      <c r="E30" s="2837"/>
      <c r="F30" s="68"/>
      <c r="G30" s="1313" t="s">
        <v>961</v>
      </c>
      <c r="H30" s="50"/>
    </row>
    <row r="31" spans="1:8" ht="18" customHeight="1">
      <c r="A31" s="67" t="s">
        <v>715</v>
      </c>
      <c r="B31" s="2804">
        <f>地税、基本情况!B3</f>
        <v>0</v>
      </c>
      <c r="C31" s="2805"/>
      <c r="D31" s="2805"/>
      <c r="E31" s="2805"/>
      <c r="F31" s="49" t="s">
        <v>386</v>
      </c>
      <c r="G31" s="1313" t="s">
        <v>962</v>
      </c>
      <c r="H31" s="50"/>
    </row>
    <row r="32" spans="1:8" ht="18" customHeight="1">
      <c r="A32" s="67" t="s">
        <v>716</v>
      </c>
      <c r="B32" s="2804">
        <f>地税、基本情况!B4</f>
        <v>0</v>
      </c>
      <c r="C32" s="2805"/>
      <c r="D32" s="2805"/>
      <c r="E32" s="2805"/>
      <c r="F32" s="49"/>
      <c r="G32" s="50"/>
      <c r="H32" s="50"/>
    </row>
    <row r="33" spans="1:8" ht="18" customHeight="1">
      <c r="A33" s="67" t="s">
        <v>407</v>
      </c>
      <c r="B33" s="2804">
        <f>地税、基本情况!D3</f>
        <v>0</v>
      </c>
      <c r="C33" s="2805"/>
      <c r="D33" s="2805"/>
      <c r="E33" s="2805"/>
      <c r="F33" s="49" t="s">
        <v>416</v>
      </c>
      <c r="G33" s="50"/>
      <c r="H33" s="50"/>
    </row>
    <row r="34" spans="1:8" ht="18" customHeight="1">
      <c r="A34" s="64" t="s">
        <v>408</v>
      </c>
      <c r="B34" s="2804">
        <f>地税、基本情况!D7</f>
        <v>0</v>
      </c>
      <c r="C34" s="2805"/>
      <c r="D34" s="2805"/>
      <c r="E34" s="2805"/>
      <c r="F34" s="49" t="s">
        <v>417</v>
      </c>
      <c r="G34" s="50"/>
      <c r="H34" s="50"/>
    </row>
    <row r="35" spans="1:8" ht="18" customHeight="1">
      <c r="A35" s="64" t="s">
        <v>418</v>
      </c>
      <c r="B35" s="2804">
        <f>地税、基本情况!B7</f>
        <v>0</v>
      </c>
      <c r="C35" s="2805"/>
      <c r="D35" s="2805"/>
      <c r="E35" s="2805"/>
      <c r="F35" s="49" t="s">
        <v>417</v>
      </c>
      <c r="G35" s="50"/>
      <c r="H35" s="50"/>
    </row>
    <row r="36" spans="1:8" ht="18" customHeight="1">
      <c r="A36" s="64" t="s">
        <v>419</v>
      </c>
      <c r="B36" s="2804">
        <f>地税、基本情况!B9</f>
        <v>0</v>
      </c>
      <c r="C36" s="2805"/>
      <c r="D36" s="2805"/>
      <c r="E36" s="2805"/>
      <c r="F36" s="49" t="s">
        <v>417</v>
      </c>
      <c r="G36" s="50"/>
      <c r="H36" s="50"/>
    </row>
    <row r="37" spans="1:8" ht="18" customHeight="1">
      <c r="A37" s="64" t="s">
        <v>420</v>
      </c>
      <c r="B37" s="2805">
        <f>B35</f>
        <v>0</v>
      </c>
      <c r="C37" s="2805"/>
      <c r="D37" s="2805"/>
      <c r="E37" s="2805"/>
      <c r="F37" s="49" t="s">
        <v>421</v>
      </c>
      <c r="G37" s="50"/>
      <c r="H37" s="50"/>
    </row>
    <row r="38" spans="1:8" ht="18" customHeight="1">
      <c r="A38" s="64" t="s">
        <v>422</v>
      </c>
      <c r="B38" s="2809" t="str">
        <f>IF(地税、基本情况!X31="","小企业会计准则",地税、基本情况!X31)</f>
        <v>小企业会计准则</v>
      </c>
      <c r="C38" s="2809"/>
      <c r="D38" s="2809"/>
      <c r="E38" s="2809"/>
      <c r="F38" s="69" t="s">
        <v>423</v>
      </c>
      <c r="G38" s="50"/>
      <c r="H38" s="50"/>
    </row>
    <row r="39" spans="1:8" ht="18" customHeight="1">
      <c r="A39" s="64" t="s">
        <v>424</v>
      </c>
      <c r="B39" s="2805" t="e">
        <f>INDEX(地税、基本情况!A:A,MATCH("营业网点",地税、基本情况!A:A,0)+1)</f>
        <v>#N/A</v>
      </c>
      <c r="C39" s="2805"/>
      <c r="D39" s="2805"/>
      <c r="E39" s="2805"/>
      <c r="F39" s="49" t="s">
        <v>425</v>
      </c>
      <c r="G39" s="50"/>
      <c r="H39" s="50"/>
    </row>
    <row r="40" spans="1:8" ht="18" customHeight="1">
      <c r="A40" s="64" t="s">
        <v>426</v>
      </c>
      <c r="B40" s="2805" t="e">
        <f>INDEX(地税、基本情况!D:D,MATCH("营业网点",地税、基本情况!A:A,0)+1)</f>
        <v>#N/A</v>
      </c>
      <c r="C40" s="2805"/>
      <c r="D40" s="2805"/>
      <c r="E40" s="2805"/>
      <c r="F40" s="49" t="s">
        <v>425</v>
      </c>
      <c r="G40" s="50"/>
      <c r="H40" s="50"/>
    </row>
    <row r="41" spans="1:8" ht="18" customHeight="1">
      <c r="A41" s="70" t="s">
        <v>427</v>
      </c>
      <c r="B41" s="2812">
        <f>地税、基本情况!B6</f>
        <v>0</v>
      </c>
      <c r="C41" s="2813"/>
      <c r="D41" s="2813"/>
      <c r="E41" s="2813"/>
      <c r="F41" s="49"/>
      <c r="G41" s="50"/>
      <c r="H41" s="50"/>
    </row>
    <row r="42" spans="1:8" ht="18" customHeight="1">
      <c r="A42" s="70" t="s">
        <v>428</v>
      </c>
      <c r="B42" s="2814">
        <f>地税、基本情况!D5</f>
        <v>0</v>
      </c>
      <c r="C42" s="2815"/>
      <c r="D42" s="2815"/>
      <c r="E42" s="2815"/>
      <c r="F42" s="49"/>
      <c r="G42" s="50"/>
      <c r="H42" s="50"/>
    </row>
    <row r="43" spans="1:8" ht="18" customHeight="1">
      <c r="A43" s="71" t="s">
        <v>429</v>
      </c>
      <c r="B43" s="2810">
        <f>地税、基本情况!B10</f>
        <v>0</v>
      </c>
      <c r="C43" s="2811"/>
      <c r="D43" s="2811"/>
      <c r="E43" s="2811"/>
      <c r="F43" s="49"/>
      <c r="G43" s="50"/>
      <c r="H43" s="50"/>
    </row>
    <row r="44" spans="1:8" ht="18" customHeight="1">
      <c r="A44" s="71" t="s">
        <v>7702</v>
      </c>
      <c r="B44" s="2804">
        <f>地税、基本情况!H6</f>
        <v>0</v>
      </c>
      <c r="C44" s="2805"/>
      <c r="D44" s="2805"/>
      <c r="E44" s="2805"/>
      <c r="F44" s="49" t="s">
        <v>386</v>
      </c>
      <c r="G44" s="50"/>
      <c r="H44" s="50"/>
    </row>
    <row r="45" spans="1:8" ht="18" customHeight="1">
      <c r="A45" s="71" t="s">
        <v>430</v>
      </c>
      <c r="B45" s="2818">
        <f>地税、基本情况!D10</f>
        <v>0</v>
      </c>
      <c r="C45" s="2819"/>
      <c r="D45" s="2819"/>
      <c r="E45" s="2819"/>
      <c r="F45" s="49" t="s">
        <v>386</v>
      </c>
      <c r="G45" s="50"/>
      <c r="H45" s="50"/>
    </row>
    <row r="46" spans="1:8" ht="65.25" customHeight="1">
      <c r="A46" s="72" t="s">
        <v>431</v>
      </c>
      <c r="B46" s="2820">
        <f>地税、基本情况!X9</f>
        <v>0</v>
      </c>
      <c r="C46" s="2821"/>
      <c r="D46" s="2821"/>
      <c r="E46" s="2821"/>
      <c r="F46" s="49" t="s">
        <v>386</v>
      </c>
      <c r="G46" s="50"/>
      <c r="H46" s="50"/>
    </row>
    <row r="47" spans="1:8" ht="19.5" customHeight="1">
      <c r="A47" s="72" t="s">
        <v>432</v>
      </c>
      <c r="B47" s="2822">
        <f>YEAR(地税、基本情况!X18)-YEAR(地税、基本情况!X17)</f>
        <v>0</v>
      </c>
      <c r="C47" s="2823"/>
      <c r="D47" s="2823"/>
      <c r="E47" s="2824"/>
      <c r="F47" s="49" t="s">
        <v>386</v>
      </c>
      <c r="G47" s="50"/>
      <c r="H47" s="50"/>
    </row>
    <row r="48" spans="1:8" ht="19.5" customHeight="1">
      <c r="A48" s="2572" t="s">
        <v>433</v>
      </c>
      <c r="B48" s="2832" t="str">
        <f>TRIM(B44)</f>
        <v>0</v>
      </c>
      <c r="C48" s="2833"/>
      <c r="D48" s="2833"/>
      <c r="E48" s="2834"/>
      <c r="F48" s="49" t="s">
        <v>434</v>
      </c>
      <c r="G48" s="50"/>
      <c r="H48" s="50"/>
    </row>
    <row r="49" spans="1:8" ht="21" customHeight="1">
      <c r="A49" s="71" t="s">
        <v>10059</v>
      </c>
      <c r="B49" s="2827" t="s">
        <v>10112</v>
      </c>
      <c r="C49" s="2828"/>
      <c r="D49" s="2829" t="s">
        <v>10114</v>
      </c>
      <c r="E49" s="2830"/>
      <c r="F49" s="49" t="s">
        <v>435</v>
      </c>
      <c r="G49" s="50"/>
      <c r="H49" s="50"/>
    </row>
    <row r="50" spans="1:8" ht="21" customHeight="1">
      <c r="A50" s="71" t="s">
        <v>10060</v>
      </c>
      <c r="B50" s="2827" t="s">
        <v>10113</v>
      </c>
      <c r="C50" s="2828"/>
      <c r="D50" s="2829" t="s">
        <v>10115</v>
      </c>
      <c r="E50" s="2831"/>
      <c r="F50" s="49" t="s">
        <v>435</v>
      </c>
      <c r="G50" s="50"/>
      <c r="H50" s="50"/>
    </row>
    <row r="51" spans="1:8" s="78" customFormat="1" ht="21" customHeight="1">
      <c r="A51" s="73" t="s">
        <v>436</v>
      </c>
      <c r="B51" s="74" t="s">
        <v>437</v>
      </c>
      <c r="C51" s="74" t="s">
        <v>438</v>
      </c>
      <c r="D51" s="74" t="s">
        <v>439</v>
      </c>
      <c r="E51" s="75" t="s">
        <v>440</v>
      </c>
      <c r="F51" s="76"/>
      <c r="G51" s="77"/>
      <c r="H51" s="77"/>
    </row>
    <row r="52" spans="1:8">
      <c r="A52" s="1458" t="str">
        <f>IF(实收公积!B7="","",实收公积!B7)</f>
        <v/>
      </c>
      <c r="B52" s="1459" t="str">
        <f>IF(实收公积!H7=0,"",实收公积!H7)</f>
        <v/>
      </c>
      <c r="C52" s="79" t="str">
        <f>IF(ISERROR(B52/$B$57),"",B52/$B$57)</f>
        <v/>
      </c>
      <c r="D52" s="1460" t="str">
        <f>B52</f>
        <v/>
      </c>
      <c r="E52" s="80" t="str">
        <f>IF(ISERROR(D52/$B$57),"",D52/$B$57)</f>
        <v/>
      </c>
      <c r="F52" s="49" t="s">
        <v>441</v>
      </c>
      <c r="G52" s="50"/>
      <c r="H52" s="50"/>
    </row>
    <row r="53" spans="1:8">
      <c r="A53" s="1458" t="str">
        <f>IF(实收公积!B8="","",实收公积!B8)</f>
        <v/>
      </c>
      <c r="B53" s="1459" t="str">
        <f>IF(实收公积!H8=0,"",实收公积!H8)</f>
        <v/>
      </c>
      <c r="C53" s="79" t="str">
        <f>IF(ISERROR(B53/$B$57),"",B53/$B$57)</f>
        <v/>
      </c>
      <c r="D53" s="1460" t="str">
        <f>B53</f>
        <v/>
      </c>
      <c r="E53" s="80" t="str">
        <f>IF(ISERROR(D53/$B$57),"",D53/$B$57)</f>
        <v/>
      </c>
      <c r="F53" s="49"/>
      <c r="G53" s="50"/>
      <c r="H53" s="50"/>
    </row>
    <row r="54" spans="1:8">
      <c r="A54" s="1458" t="str">
        <f>IF(实收公积!B9="","",实收公积!B9)</f>
        <v/>
      </c>
      <c r="B54" s="1459" t="str">
        <f>IF(实收公积!H9=0,"",实收公积!H9)</f>
        <v/>
      </c>
      <c r="C54" s="79" t="str">
        <f>IF(ISERROR(B54/$B$57),"",B54/$B$57)</f>
        <v/>
      </c>
      <c r="D54" s="1460" t="str">
        <f>B54</f>
        <v/>
      </c>
      <c r="E54" s="80" t="str">
        <f>IF(ISERROR(D54/$B$57),"",D54/$B$57)</f>
        <v/>
      </c>
      <c r="F54" s="49"/>
      <c r="G54" s="50"/>
      <c r="H54" s="50"/>
    </row>
    <row r="55" spans="1:8">
      <c r="A55" s="1458" t="str">
        <f>IF(实收公积!B10="","",实收公积!B10)</f>
        <v/>
      </c>
      <c r="B55" s="1459" t="str">
        <f>IF(实收公积!H10=0,"",实收公积!H10)</f>
        <v/>
      </c>
      <c r="C55" s="79" t="str">
        <f>IF(ISERROR(B55/$B$57),"",B55/$B$57)</f>
        <v/>
      </c>
      <c r="D55" s="1460" t="str">
        <f>B55</f>
        <v/>
      </c>
      <c r="E55" s="80" t="str">
        <f>IF(ISERROR(D55/$B$57),"",D55/$B$57)</f>
        <v/>
      </c>
      <c r="F55" s="49"/>
      <c r="G55" s="50"/>
      <c r="H55" s="50"/>
    </row>
    <row r="56" spans="1:8">
      <c r="A56" s="1458" t="str">
        <f>IF(实收公积!B11="","",实收公积!B11)</f>
        <v/>
      </c>
      <c r="B56" s="1459" t="str">
        <f>IF(实收公积!H11=0,"",实收公积!H11)</f>
        <v/>
      </c>
      <c r="C56" s="79" t="str">
        <f>IF(ISERROR(B56/$B$57),"",B56/$B$57)</f>
        <v/>
      </c>
      <c r="D56" s="1460" t="str">
        <f>B56</f>
        <v/>
      </c>
      <c r="E56" s="80" t="str">
        <f>IF(ISERROR(D56/$B$57),"",D56/$B$57)</f>
        <v/>
      </c>
      <c r="F56" s="49"/>
      <c r="G56" s="50"/>
      <c r="H56" s="50"/>
    </row>
    <row r="57" spans="1:8">
      <c r="A57" s="81" t="s">
        <v>442</v>
      </c>
      <c r="B57" s="1319">
        <f>SUM(B52:B56)</f>
        <v>0</v>
      </c>
      <c r="C57" s="79">
        <f>SUM(C52:C56)</f>
        <v>0</v>
      </c>
      <c r="D57" s="1319">
        <f>SUM(D52:D56)</f>
        <v>0</v>
      </c>
      <c r="E57" s="80">
        <f>SUM(E52:E56)</f>
        <v>0</v>
      </c>
      <c r="F57" s="49"/>
      <c r="G57" s="50"/>
      <c r="H57" s="50"/>
    </row>
    <row r="58" spans="1:8">
      <c r="A58" s="81" t="s">
        <v>717</v>
      </c>
      <c r="B58" s="2806">
        <f>B57</f>
        <v>0</v>
      </c>
      <c r="C58" s="2806"/>
      <c r="D58" s="2806"/>
      <c r="E58" s="2806"/>
      <c r="F58" s="49"/>
      <c r="G58" s="50"/>
      <c r="H58" s="50"/>
    </row>
    <row r="59" spans="1:8" ht="24">
      <c r="A59" s="1308" t="s">
        <v>828</v>
      </c>
      <c r="B59" s="1309" t="s">
        <v>829</v>
      </c>
      <c r="C59" s="1309" t="s">
        <v>830</v>
      </c>
      <c r="D59" s="1309" t="s">
        <v>831</v>
      </c>
      <c r="E59" s="1307" t="s">
        <v>832</v>
      </c>
      <c r="F59" s="49"/>
      <c r="G59" s="50"/>
      <c r="H59" s="50"/>
    </row>
    <row r="60" spans="1:8" ht="60">
      <c r="A60" s="1312" t="s">
        <v>819</v>
      </c>
      <c r="B60" s="1310" t="s">
        <v>1363</v>
      </c>
      <c r="C60" s="1302" t="s">
        <v>1364</v>
      </c>
      <c r="D60" s="1311">
        <v>0</v>
      </c>
      <c r="E60" s="1307" t="s">
        <v>820</v>
      </c>
      <c r="F60" s="49"/>
      <c r="G60" s="50"/>
      <c r="H60" s="50"/>
    </row>
    <row r="61" spans="1:8" ht="60">
      <c r="A61" s="1312" t="s">
        <v>821</v>
      </c>
      <c r="B61" s="1310" t="s">
        <v>1363</v>
      </c>
      <c r="C61" s="1302" t="s">
        <v>1364</v>
      </c>
      <c r="D61" s="1311">
        <v>0</v>
      </c>
      <c r="E61" s="1307" t="s">
        <v>822</v>
      </c>
      <c r="F61" s="49"/>
      <c r="G61" s="50"/>
      <c r="H61" s="50"/>
    </row>
    <row r="62" spans="1:8" ht="48">
      <c r="A62" s="1312" t="s">
        <v>823</v>
      </c>
      <c r="B62" s="1310" t="s">
        <v>1363</v>
      </c>
      <c r="C62" s="1302" t="s">
        <v>1364</v>
      </c>
      <c r="D62" s="1311">
        <v>0</v>
      </c>
      <c r="E62" s="1307" t="s">
        <v>824</v>
      </c>
      <c r="F62" s="49"/>
      <c r="G62" s="50"/>
      <c r="H62" s="50"/>
    </row>
    <row r="63" spans="1:8" ht="48">
      <c r="A63" s="1312" t="s">
        <v>825</v>
      </c>
      <c r="B63" s="1310" t="s">
        <v>1363</v>
      </c>
      <c r="C63" s="1302" t="s">
        <v>1364</v>
      </c>
      <c r="D63" s="1311">
        <v>0</v>
      </c>
      <c r="E63" s="1307" t="s">
        <v>826</v>
      </c>
      <c r="F63" s="49"/>
      <c r="G63" s="50"/>
      <c r="H63" s="50"/>
    </row>
    <row r="64" spans="1:8" ht="48">
      <c r="A64" s="1312" t="s">
        <v>83</v>
      </c>
      <c r="B64" s="1310" t="s">
        <v>2473</v>
      </c>
      <c r="C64" s="2817" t="s">
        <v>10084</v>
      </c>
      <c r="D64" s="2817"/>
      <c r="E64" s="1307" t="s">
        <v>827</v>
      </c>
      <c r="F64" s="49"/>
      <c r="G64" s="50"/>
      <c r="H64" s="50"/>
    </row>
    <row r="65" spans="1:8" s="78" customFormat="1" ht="21" customHeight="1">
      <c r="A65" s="82" t="s">
        <v>443</v>
      </c>
      <c r="B65" s="2825"/>
      <c r="C65" s="2825"/>
      <c r="D65" s="2825"/>
      <c r="E65" s="2825"/>
      <c r="F65" s="76" t="s">
        <v>444</v>
      </c>
      <c r="G65" s="77"/>
      <c r="H65" s="77"/>
    </row>
    <row r="66" spans="1:8" s="78" customFormat="1" ht="21" customHeight="1">
      <c r="A66" s="83" t="s">
        <v>445</v>
      </c>
      <c r="B66" s="2826"/>
      <c r="C66" s="2826"/>
      <c r="D66" s="2826"/>
      <c r="E66" s="2826"/>
      <c r="F66" s="76" t="s">
        <v>444</v>
      </c>
      <c r="G66" s="77"/>
      <c r="H66" s="77"/>
    </row>
    <row r="67" spans="1:8">
      <c r="A67" s="46"/>
    </row>
    <row r="68" spans="1:8">
      <c r="A68" s="46"/>
    </row>
    <row r="69" spans="1:8">
      <c r="A69" s="46"/>
    </row>
    <row r="70" spans="1:8">
      <c r="A70" s="2816" t="s">
        <v>718</v>
      </c>
      <c r="B70" s="2816"/>
      <c r="C70" s="1303"/>
      <c r="D70" s="2816" t="s">
        <v>719</v>
      </c>
      <c r="E70" s="2816"/>
    </row>
    <row r="71" spans="1:8">
      <c r="A71" s="1304">
        <v>100</v>
      </c>
      <c r="B71" s="1305" t="s">
        <v>734</v>
      </c>
      <c r="C71" s="1303"/>
      <c r="D71" s="1304" t="s">
        <v>720</v>
      </c>
      <c r="E71" s="1305" t="s">
        <v>799</v>
      </c>
      <c r="F71" s="1303"/>
    </row>
    <row r="72" spans="1:8">
      <c r="A72" s="1304">
        <v>110</v>
      </c>
      <c r="B72" s="1305" t="s">
        <v>735</v>
      </c>
      <c r="C72" s="1303"/>
      <c r="D72" s="1304" t="s">
        <v>1600</v>
      </c>
      <c r="E72" s="1305" t="s">
        <v>800</v>
      </c>
      <c r="F72" s="1303"/>
    </row>
    <row r="73" spans="1:8">
      <c r="A73" s="1304">
        <v>120</v>
      </c>
      <c r="B73" s="1305" t="s">
        <v>736</v>
      </c>
      <c r="C73" s="1303"/>
      <c r="D73" s="1304" t="s">
        <v>1616</v>
      </c>
      <c r="E73" s="1305" t="s">
        <v>801</v>
      </c>
      <c r="F73" s="1303"/>
    </row>
    <row r="74" spans="1:8">
      <c r="A74" s="1304">
        <v>130</v>
      </c>
      <c r="B74" s="1305" t="s">
        <v>737</v>
      </c>
      <c r="C74" s="1303"/>
      <c r="D74" s="1304" t="s">
        <v>721</v>
      </c>
      <c r="E74" s="1305" t="s">
        <v>802</v>
      </c>
      <c r="F74" s="1303"/>
    </row>
    <row r="75" spans="1:8">
      <c r="A75" s="1304">
        <v>140</v>
      </c>
      <c r="B75" s="1305" t="s">
        <v>738</v>
      </c>
      <c r="C75" s="1303"/>
      <c r="D75" s="1304" t="s">
        <v>505</v>
      </c>
      <c r="E75" s="1305" t="s">
        <v>803</v>
      </c>
      <c r="F75" s="1303"/>
    </row>
    <row r="76" spans="1:8">
      <c r="A76" s="1304">
        <v>141</v>
      </c>
      <c r="B76" s="1305" t="s">
        <v>739</v>
      </c>
      <c r="C76" s="1303"/>
      <c r="D76" s="1304" t="s">
        <v>722</v>
      </c>
      <c r="E76" s="1305" t="s">
        <v>804</v>
      </c>
      <c r="F76" s="1303"/>
    </row>
    <row r="77" spans="1:8">
      <c r="A77" s="1304">
        <v>142</v>
      </c>
      <c r="B77" s="1305" t="s">
        <v>740</v>
      </c>
      <c r="C77" s="1303"/>
      <c r="D77" s="1304" t="s">
        <v>1608</v>
      </c>
      <c r="E77" s="1305" t="s">
        <v>805</v>
      </c>
      <c r="F77" s="1303"/>
    </row>
    <row r="78" spans="1:8">
      <c r="A78" s="1304">
        <v>143</v>
      </c>
      <c r="B78" s="1305" t="s">
        <v>741</v>
      </c>
      <c r="C78" s="1303"/>
      <c r="D78" s="1304" t="s">
        <v>723</v>
      </c>
      <c r="E78" s="1305" t="s">
        <v>806</v>
      </c>
      <c r="F78" s="1303"/>
    </row>
    <row r="79" spans="1:8">
      <c r="A79" s="1304">
        <v>149</v>
      </c>
      <c r="B79" s="1305" t="s">
        <v>742</v>
      </c>
      <c r="C79" s="1303"/>
      <c r="D79" s="1304" t="s">
        <v>724</v>
      </c>
      <c r="E79" s="1305" t="s">
        <v>807</v>
      </c>
      <c r="F79" s="1303"/>
    </row>
    <row r="80" spans="1:8">
      <c r="A80" s="1304">
        <v>150</v>
      </c>
      <c r="B80" s="1305" t="s">
        <v>743</v>
      </c>
      <c r="C80" s="1303"/>
      <c r="D80" s="1304" t="s">
        <v>725</v>
      </c>
      <c r="E80" s="1305" t="s">
        <v>808</v>
      </c>
      <c r="F80" s="1303"/>
    </row>
    <row r="81" spans="1:6">
      <c r="A81" s="1304">
        <v>151</v>
      </c>
      <c r="B81" s="1305" t="s">
        <v>744</v>
      </c>
      <c r="C81" s="1303"/>
      <c r="D81" s="1304" t="s">
        <v>726</v>
      </c>
      <c r="E81" s="1305" t="s">
        <v>809</v>
      </c>
      <c r="F81" s="1303"/>
    </row>
    <row r="82" spans="1:6">
      <c r="A82" s="1304">
        <v>159</v>
      </c>
      <c r="B82" s="1305" t="s">
        <v>745</v>
      </c>
      <c r="C82" s="1303"/>
      <c r="D82" s="1304" t="s">
        <v>727</v>
      </c>
      <c r="E82" s="1305" t="s">
        <v>810</v>
      </c>
      <c r="F82" s="1303"/>
    </row>
    <row r="83" spans="1:6">
      <c r="A83" s="1304">
        <v>160</v>
      </c>
      <c r="B83" s="1305" t="s">
        <v>746</v>
      </c>
      <c r="C83" s="1303"/>
      <c r="D83" s="1304" t="s">
        <v>728</v>
      </c>
      <c r="E83" s="1305" t="s">
        <v>811</v>
      </c>
      <c r="F83" s="1303"/>
    </row>
    <row r="84" spans="1:6">
      <c r="A84" s="1304">
        <v>170</v>
      </c>
      <c r="B84" s="1305" t="s">
        <v>747</v>
      </c>
      <c r="C84" s="1303"/>
      <c r="D84" s="1304" t="s">
        <v>729</v>
      </c>
      <c r="E84" s="1305" t="s">
        <v>812</v>
      </c>
      <c r="F84" s="1303"/>
    </row>
    <row r="85" spans="1:6">
      <c r="A85" s="1304">
        <v>171</v>
      </c>
      <c r="B85" s="1305" t="s">
        <v>748</v>
      </c>
      <c r="C85" s="1303"/>
      <c r="D85" s="1304" t="s">
        <v>730</v>
      </c>
      <c r="E85" s="1305" t="s">
        <v>813</v>
      </c>
      <c r="F85" s="1303"/>
    </row>
    <row r="86" spans="1:6">
      <c r="A86" s="1304">
        <v>172</v>
      </c>
      <c r="B86" s="1305" t="s">
        <v>749</v>
      </c>
      <c r="C86" s="1303"/>
      <c r="D86" s="1304" t="s">
        <v>731</v>
      </c>
      <c r="E86" s="1305" t="s">
        <v>814</v>
      </c>
      <c r="F86" s="1303"/>
    </row>
    <row r="87" spans="1:6">
      <c r="A87" s="1304">
        <v>173</v>
      </c>
      <c r="B87" s="1305" t="s">
        <v>750</v>
      </c>
      <c r="C87" s="1303"/>
      <c r="D87" s="1304" t="s">
        <v>732</v>
      </c>
      <c r="E87" s="1305" t="s">
        <v>815</v>
      </c>
      <c r="F87" s="1303"/>
    </row>
    <row r="88" spans="1:6">
      <c r="A88" s="1304">
        <v>174</v>
      </c>
      <c r="B88" s="1305" t="s">
        <v>751</v>
      </c>
      <c r="C88" s="1303"/>
      <c r="D88" s="1304" t="s">
        <v>733</v>
      </c>
      <c r="E88" s="1305" t="s">
        <v>816</v>
      </c>
      <c r="F88" s="1303"/>
    </row>
    <row r="89" spans="1:6">
      <c r="A89" s="1304">
        <v>175</v>
      </c>
      <c r="B89" s="1305" t="s">
        <v>752</v>
      </c>
      <c r="C89" s="1303"/>
      <c r="D89" s="1304" t="s">
        <v>1612</v>
      </c>
      <c r="E89" s="1305" t="s">
        <v>817</v>
      </c>
      <c r="F89" s="1303"/>
    </row>
    <row r="90" spans="1:6">
      <c r="A90" s="1304">
        <v>190</v>
      </c>
      <c r="B90" s="1305" t="s">
        <v>753</v>
      </c>
      <c r="C90" s="1303"/>
      <c r="D90" s="1304" t="s">
        <v>1604</v>
      </c>
      <c r="E90" s="1305" t="s">
        <v>818</v>
      </c>
      <c r="F90" s="1303"/>
    </row>
    <row r="91" spans="1:6">
      <c r="A91" s="1304">
        <v>200</v>
      </c>
      <c r="B91" s="1305" t="s">
        <v>754</v>
      </c>
      <c r="C91" s="1303"/>
      <c r="D91" s="1303"/>
      <c r="E91" s="1306"/>
    </row>
    <row r="92" spans="1:6">
      <c r="A92" s="1304">
        <v>210</v>
      </c>
      <c r="B92" s="1305" t="s">
        <v>755</v>
      </c>
      <c r="C92" s="1303"/>
      <c r="D92" s="1303"/>
      <c r="E92" s="1306"/>
    </row>
    <row r="93" spans="1:6">
      <c r="A93" s="1304">
        <v>220</v>
      </c>
      <c r="B93" s="1305" t="s">
        <v>756</v>
      </c>
      <c r="C93" s="1303"/>
      <c r="D93" s="1303"/>
      <c r="E93" s="1306"/>
    </row>
    <row r="94" spans="1:6">
      <c r="A94" s="1304">
        <v>230</v>
      </c>
      <c r="B94" s="1305" t="s">
        <v>757</v>
      </c>
      <c r="C94" s="1303"/>
      <c r="D94" s="1303"/>
      <c r="E94" s="1306"/>
    </row>
    <row r="95" spans="1:6">
      <c r="A95" s="1304">
        <v>240</v>
      </c>
      <c r="B95" s="1305" t="s">
        <v>758</v>
      </c>
      <c r="C95" s="1303"/>
      <c r="D95" s="1303"/>
      <c r="E95" s="1306"/>
    </row>
    <row r="96" spans="1:6">
      <c r="A96" s="1304">
        <v>250</v>
      </c>
      <c r="B96" s="1305" t="s">
        <v>759</v>
      </c>
      <c r="C96" s="1303"/>
      <c r="D96" s="1303"/>
      <c r="E96" s="1306"/>
    </row>
    <row r="97" spans="1:5">
      <c r="A97" s="1304">
        <v>251</v>
      </c>
      <c r="B97" s="1305" t="s">
        <v>760</v>
      </c>
      <c r="C97" s="1303"/>
      <c r="D97" s="1303"/>
      <c r="E97" s="1306"/>
    </row>
    <row r="98" spans="1:5">
      <c r="A98" s="1304">
        <v>252</v>
      </c>
      <c r="B98" s="1305" t="s">
        <v>761</v>
      </c>
      <c r="C98" s="1303"/>
      <c r="D98" s="1303"/>
      <c r="E98" s="1306"/>
    </row>
    <row r="99" spans="1:5">
      <c r="A99" s="1304">
        <v>253</v>
      </c>
      <c r="B99" s="1305" t="s">
        <v>762</v>
      </c>
      <c r="C99" s="1303"/>
      <c r="D99" s="1303"/>
      <c r="E99" s="1306"/>
    </row>
    <row r="100" spans="1:5">
      <c r="A100" s="1304">
        <v>254</v>
      </c>
      <c r="B100" s="1305" t="s">
        <v>763</v>
      </c>
      <c r="C100" s="1303"/>
      <c r="D100" s="1303"/>
      <c r="E100" s="1306"/>
    </row>
    <row r="101" spans="1:5">
      <c r="A101" s="1304">
        <v>259</v>
      </c>
      <c r="B101" s="1305" t="s">
        <v>764</v>
      </c>
      <c r="C101" s="1303"/>
      <c r="D101" s="1303"/>
      <c r="E101" s="1306"/>
    </row>
    <row r="102" spans="1:5">
      <c r="A102" s="1304">
        <v>300</v>
      </c>
      <c r="B102" s="1305" t="s">
        <v>765</v>
      </c>
      <c r="C102" s="1303"/>
      <c r="D102" s="1303"/>
      <c r="E102" s="1306"/>
    </row>
    <row r="103" spans="1:5">
      <c r="A103" s="1304">
        <v>310</v>
      </c>
      <c r="B103" s="1305" t="s">
        <v>766</v>
      </c>
      <c r="C103" s="1303"/>
      <c r="D103" s="1303"/>
      <c r="E103" s="1306"/>
    </row>
    <row r="104" spans="1:5">
      <c r="A104" s="1304">
        <v>320</v>
      </c>
      <c r="B104" s="1305" t="s">
        <v>767</v>
      </c>
      <c r="C104" s="1303"/>
      <c r="D104" s="1303"/>
      <c r="E104" s="1306"/>
    </row>
    <row r="105" spans="1:5">
      <c r="A105" s="1304">
        <v>330</v>
      </c>
      <c r="B105" s="1305" t="s">
        <v>768</v>
      </c>
      <c r="C105" s="1303"/>
      <c r="D105" s="1303"/>
      <c r="E105" s="1306"/>
    </row>
    <row r="106" spans="1:5">
      <c r="A106" s="1304">
        <v>340</v>
      </c>
      <c r="B106" s="1305" t="s">
        <v>769</v>
      </c>
      <c r="C106" s="1303"/>
      <c r="D106" s="1303"/>
      <c r="E106" s="1306"/>
    </row>
    <row r="107" spans="1:5">
      <c r="A107" s="1304">
        <v>350</v>
      </c>
      <c r="B107" s="1305" t="s">
        <v>770</v>
      </c>
      <c r="C107" s="1303"/>
      <c r="D107" s="1303"/>
      <c r="E107" s="1306"/>
    </row>
    <row r="108" spans="1:5">
      <c r="A108" s="1304">
        <v>351</v>
      </c>
      <c r="B108" s="1305" t="s">
        <v>771</v>
      </c>
      <c r="C108" s="1303"/>
      <c r="D108" s="1303"/>
      <c r="E108" s="1306"/>
    </row>
    <row r="109" spans="1:5">
      <c r="A109" s="1304">
        <v>352</v>
      </c>
      <c r="B109" s="1305" t="s">
        <v>772</v>
      </c>
      <c r="C109" s="1303"/>
      <c r="D109" s="1303"/>
      <c r="E109" s="1306"/>
    </row>
    <row r="110" spans="1:5">
      <c r="A110" s="1304">
        <v>353</v>
      </c>
      <c r="B110" s="1305" t="s">
        <v>773</v>
      </c>
      <c r="C110" s="1303"/>
      <c r="D110" s="1303"/>
      <c r="E110" s="1306"/>
    </row>
    <row r="111" spans="1:5">
      <c r="A111" s="1304">
        <v>354</v>
      </c>
      <c r="B111" s="1305" t="s">
        <v>774</v>
      </c>
      <c r="C111" s="1303"/>
      <c r="D111" s="1303"/>
      <c r="E111" s="1306"/>
    </row>
    <row r="112" spans="1:5">
      <c r="A112" s="1304">
        <v>359</v>
      </c>
      <c r="B112" s="1305" t="s">
        <v>775</v>
      </c>
      <c r="C112" s="1303"/>
      <c r="D112" s="1303"/>
      <c r="E112" s="1306"/>
    </row>
    <row r="113" spans="1:5">
      <c r="A113" s="1304">
        <v>400</v>
      </c>
      <c r="B113" s="1305" t="s">
        <v>776</v>
      </c>
      <c r="C113" s="1303"/>
      <c r="D113" s="1303"/>
      <c r="E113" s="1306"/>
    </row>
    <row r="114" spans="1:5">
      <c r="A114" s="1304">
        <v>410</v>
      </c>
      <c r="B114" s="1305" t="s">
        <v>777</v>
      </c>
      <c r="C114" s="1303"/>
      <c r="D114" s="1303"/>
      <c r="E114" s="1306"/>
    </row>
    <row r="115" spans="1:5">
      <c r="A115" s="1304">
        <v>411</v>
      </c>
      <c r="B115" s="1305" t="s">
        <v>778</v>
      </c>
      <c r="C115" s="1303"/>
      <c r="D115" s="1303"/>
      <c r="E115" s="1306"/>
    </row>
    <row r="116" spans="1:5">
      <c r="A116" s="1304">
        <v>412</v>
      </c>
      <c r="B116" s="1305" t="s">
        <v>779</v>
      </c>
      <c r="C116" s="1303"/>
      <c r="D116" s="1303"/>
      <c r="E116" s="1306"/>
    </row>
    <row r="117" spans="1:5">
      <c r="A117" s="1304">
        <v>413</v>
      </c>
      <c r="B117" s="1305" t="s">
        <v>780</v>
      </c>
      <c r="C117" s="1303"/>
      <c r="D117" s="1303"/>
      <c r="E117" s="1306"/>
    </row>
    <row r="118" spans="1:5">
      <c r="A118" s="1304">
        <v>420</v>
      </c>
      <c r="B118" s="1305" t="s">
        <v>781</v>
      </c>
      <c r="C118" s="1303"/>
      <c r="D118" s="1303"/>
      <c r="E118" s="1306"/>
    </row>
    <row r="119" spans="1:5">
      <c r="A119" s="1304">
        <v>421</v>
      </c>
      <c r="B119" s="1305" t="s">
        <v>782</v>
      </c>
      <c r="C119" s="1303"/>
      <c r="D119" s="1303"/>
      <c r="E119" s="1306"/>
    </row>
    <row r="120" spans="1:5">
      <c r="A120" s="1304">
        <v>422</v>
      </c>
      <c r="B120" s="1305" t="s">
        <v>783</v>
      </c>
      <c r="C120" s="1303"/>
      <c r="D120" s="1303"/>
      <c r="E120" s="1306"/>
    </row>
    <row r="121" spans="1:5">
      <c r="A121" s="1304">
        <v>423</v>
      </c>
      <c r="B121" s="1305" t="s">
        <v>784</v>
      </c>
      <c r="C121" s="1303"/>
      <c r="D121" s="1303"/>
      <c r="E121" s="1306"/>
    </row>
    <row r="122" spans="1:5">
      <c r="A122" s="1304">
        <v>430</v>
      </c>
      <c r="B122" s="1305" t="s">
        <v>785</v>
      </c>
      <c r="C122" s="1303"/>
      <c r="D122" s="1303"/>
      <c r="E122" s="1306"/>
    </row>
    <row r="123" spans="1:5">
      <c r="A123" s="1304">
        <v>431</v>
      </c>
      <c r="B123" s="1305" t="s">
        <v>786</v>
      </c>
      <c r="C123" s="1303"/>
      <c r="D123" s="1303"/>
      <c r="E123" s="1306"/>
    </row>
    <row r="124" spans="1:5">
      <c r="A124" s="1304">
        <v>432</v>
      </c>
      <c r="B124" s="1305" t="s">
        <v>787</v>
      </c>
      <c r="C124" s="1303"/>
      <c r="D124" s="1303"/>
      <c r="E124" s="1306"/>
    </row>
    <row r="125" spans="1:5">
      <c r="A125" s="1304">
        <v>433</v>
      </c>
      <c r="B125" s="1305" t="s">
        <v>788</v>
      </c>
      <c r="C125" s="1303"/>
      <c r="D125" s="1303"/>
      <c r="E125" s="1306"/>
    </row>
    <row r="126" spans="1:5">
      <c r="A126" s="1304">
        <v>500</v>
      </c>
      <c r="B126" s="1305" t="s">
        <v>789</v>
      </c>
      <c r="C126" s="1303"/>
      <c r="D126" s="1303"/>
      <c r="E126" s="1306"/>
    </row>
    <row r="127" spans="1:5">
      <c r="A127" s="1304">
        <v>510</v>
      </c>
      <c r="B127" s="1305" t="s">
        <v>790</v>
      </c>
      <c r="C127" s="1303"/>
      <c r="D127" s="1303"/>
      <c r="E127" s="1306"/>
    </row>
    <row r="128" spans="1:5">
      <c r="A128" s="1304">
        <v>520</v>
      </c>
      <c r="B128" s="1305" t="s">
        <v>791</v>
      </c>
      <c r="C128" s="1303"/>
      <c r="D128" s="1303"/>
      <c r="E128" s="1306"/>
    </row>
    <row r="129" spans="1:5">
      <c r="A129" s="1304">
        <v>521</v>
      </c>
      <c r="B129" s="1305" t="s">
        <v>792</v>
      </c>
      <c r="C129" s="1303"/>
      <c r="D129" s="1303"/>
      <c r="E129" s="1306"/>
    </row>
    <row r="130" spans="1:5">
      <c r="A130" s="1304">
        <v>522</v>
      </c>
      <c r="B130" s="1305" t="s">
        <v>793</v>
      </c>
      <c r="C130" s="1303"/>
      <c r="D130" s="1303"/>
      <c r="E130" s="1306"/>
    </row>
    <row r="131" spans="1:5">
      <c r="A131" s="1304">
        <v>523</v>
      </c>
      <c r="B131" s="1305" t="s">
        <v>794</v>
      </c>
      <c r="C131" s="1303"/>
      <c r="D131" s="1303"/>
      <c r="E131" s="1306"/>
    </row>
    <row r="132" spans="1:5">
      <c r="A132" s="1304">
        <v>530</v>
      </c>
      <c r="B132" s="1305" t="s">
        <v>795</v>
      </c>
      <c r="C132" s="1303"/>
      <c r="D132" s="1303"/>
      <c r="E132" s="1306"/>
    </row>
    <row r="133" spans="1:5">
      <c r="A133" s="1304">
        <v>540</v>
      </c>
      <c r="B133" s="1305" t="s">
        <v>796</v>
      </c>
      <c r="C133" s="1303"/>
      <c r="D133" s="1303"/>
      <c r="E133" s="1306"/>
    </row>
    <row r="134" spans="1:5">
      <c r="A134" s="1304">
        <v>550</v>
      </c>
      <c r="B134" s="1305" t="s">
        <v>797</v>
      </c>
      <c r="C134" s="1303"/>
      <c r="D134" s="1303"/>
      <c r="E134" s="1306"/>
    </row>
    <row r="135" spans="1:5">
      <c r="A135" s="1304">
        <v>560</v>
      </c>
      <c r="B135" s="1305" t="s">
        <v>798</v>
      </c>
      <c r="C135" s="1303"/>
      <c r="D135" s="1303"/>
      <c r="E135" s="1306"/>
    </row>
  </sheetData>
  <sheetProtection selectLockedCells="1" selectUnlockedCells="1"/>
  <mergeCells count="58">
    <mergeCell ref="B6:E6"/>
    <mergeCell ref="B15:E15"/>
    <mergeCell ref="B16:E16"/>
    <mergeCell ref="B7:E7"/>
    <mergeCell ref="B14:E14"/>
    <mergeCell ref="B9:E9"/>
    <mergeCell ref="B10:E10"/>
    <mergeCell ref="B8:E8"/>
    <mergeCell ref="B11:E11"/>
    <mergeCell ref="B12:E12"/>
    <mergeCell ref="B13:E13"/>
    <mergeCell ref="A1:E1"/>
    <mergeCell ref="B2:E2"/>
    <mergeCell ref="B3:E3"/>
    <mergeCell ref="B4:E4"/>
    <mergeCell ref="B5:E5"/>
    <mergeCell ref="B33:E33"/>
    <mergeCell ref="B34:E34"/>
    <mergeCell ref="B30:E30"/>
    <mergeCell ref="B18:E18"/>
    <mergeCell ref="B19:E19"/>
    <mergeCell ref="B20:E20"/>
    <mergeCell ref="B21:E21"/>
    <mergeCell ref="B25:E25"/>
    <mergeCell ref="B26:E26"/>
    <mergeCell ref="B22:E22"/>
    <mergeCell ref="B24:E24"/>
    <mergeCell ref="B29:E29"/>
    <mergeCell ref="B23:E23"/>
    <mergeCell ref="A70:B70"/>
    <mergeCell ref="D70:E70"/>
    <mergeCell ref="C64:D64"/>
    <mergeCell ref="B45:E45"/>
    <mergeCell ref="B46:E46"/>
    <mergeCell ref="B47:E47"/>
    <mergeCell ref="B65:E65"/>
    <mergeCell ref="B66:E66"/>
    <mergeCell ref="B49:C49"/>
    <mergeCell ref="B50:C50"/>
    <mergeCell ref="D49:E49"/>
    <mergeCell ref="D50:E50"/>
    <mergeCell ref="B48:E48"/>
    <mergeCell ref="B17:E17"/>
    <mergeCell ref="B32:E32"/>
    <mergeCell ref="B58:E58"/>
    <mergeCell ref="B27:E27"/>
    <mergeCell ref="B28:E28"/>
    <mergeCell ref="B35:E35"/>
    <mergeCell ref="B36:E36"/>
    <mergeCell ref="B37:E37"/>
    <mergeCell ref="B38:E38"/>
    <mergeCell ref="B31:E31"/>
    <mergeCell ref="B43:E43"/>
    <mergeCell ref="B44:E44"/>
    <mergeCell ref="B39:E39"/>
    <mergeCell ref="B40:E40"/>
    <mergeCell ref="B41:E41"/>
    <mergeCell ref="B42:E42"/>
  </mergeCells>
  <phoneticPr fontId="51" type="noConversion"/>
  <dataValidations count="8">
    <dataValidation allowBlank="1" showErrorMessage="1" sqref="B42:E42"/>
    <dataValidation allowBlank="1" showErrorMessage="1" sqref="B41:E41"/>
    <dataValidation type="list" allowBlank="1" showErrorMessage="1" sqref="B4:E4">
      <formula1>"2009,2010,2011,2012,2013,2014,2015,2016,2017"</formula1>
    </dataValidation>
    <dataValidation type="list" allowBlank="1" showErrorMessage="1" sqref="B28:E29">
      <formula1>"是,否"</formula1>
      <formula2>0</formula2>
    </dataValidation>
    <dataValidation allowBlank="1" showErrorMessage="1" sqref="B5:E5">
      <formula1>0</formula1>
      <formula2>0</formula2>
    </dataValidation>
    <dataValidation type="list" allowBlank="1" showErrorMessage="1" sqref="B38:E38">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type="list" allowBlank="1" showErrorMessage="1" sqref="B30:E30">
      <formula1>"1,2,3,4"</formula1>
    </dataValidation>
    <dataValidation type="list" allowBlank="1" showInputMessage="1" showErrorMessage="1" sqref="B8:E8">
      <formula1>"中汇（厦门）税务师事务所有限公司,厦门明正税务师事务所有限公司"</formula1>
    </dataValidation>
  </dataValidations>
  <hyperlinks>
    <hyperlink ref="F10" location="资产负债!A1" display="资产负债!A1"/>
    <hyperlink ref="F11" location="企业情况表!A1" display="企业情况表"/>
  </hyperlinks>
  <pageMargins left="0.78740157480314998" right="0.35433070866141703" top="0.511811023622047" bottom="0.11811023622047198" header="0.511811023622047" footer="0.511811023622047"/>
  <pageSetup paperSize="9" firstPageNumber="0" orientation="portrait" blackAndWhite="1" r:id="rId1"/>
  <headerFooter alignWithMargins="0"/>
  <ignoredErrors>
    <ignoredError sqref="A52 A53:A56 D57 B57:B58 C33:E33 C32:E32 C31:E31 C35:E35 C36:E36 C37:E37 C34:E34 C39:E39 C40:E40 C47:E47 C46:E46 C45:E45 C44:E44" unlockedFormula="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dimension ref="A1:S75"/>
  <sheetViews>
    <sheetView workbookViewId="0">
      <selection activeCell="B1" sqref="B1:H1"/>
    </sheetView>
  </sheetViews>
  <sheetFormatPr defaultRowHeight="15.6"/>
  <cols>
    <col min="1" max="1" width="5.8984375" customWidth="1"/>
    <col min="2" max="2" width="4.69921875" customWidth="1"/>
    <col min="3" max="3" width="30.8984375" customWidth="1"/>
    <col min="4" max="4" width="22.8984375" customWidth="1"/>
    <col min="5" max="5" width="20.3984375" customWidth="1"/>
    <col min="6" max="6" width="16.5" customWidth="1"/>
    <col min="7" max="7" width="21.19921875" customWidth="1"/>
    <col min="8" max="8" width="15" customWidth="1"/>
    <col min="9" max="9" width="2.59765625" customWidth="1"/>
  </cols>
  <sheetData>
    <row r="1" spans="1:19" ht="32.25" customHeight="1">
      <c r="A1" s="2178"/>
      <c r="B1" s="2893" t="s">
        <v>6714</v>
      </c>
      <c r="C1" s="2893"/>
      <c r="D1" s="2893"/>
      <c r="E1" s="2893"/>
      <c r="F1" s="2893"/>
      <c r="G1" s="2893"/>
      <c r="H1" s="2893"/>
      <c r="I1" s="2200"/>
      <c r="J1" s="2178"/>
      <c r="K1" s="2178"/>
      <c r="L1" s="2178"/>
      <c r="M1" s="2178"/>
      <c r="N1" s="2178"/>
      <c r="O1" s="2178"/>
      <c r="P1" s="2178"/>
      <c r="Q1" s="2178"/>
      <c r="R1" s="2178"/>
      <c r="S1" s="2178"/>
    </row>
    <row r="2" spans="1:19" ht="30.75" customHeight="1">
      <c r="A2" s="2178"/>
      <c r="B2" s="2194" t="s">
        <v>6715</v>
      </c>
      <c r="C2" s="2195" t="s">
        <v>6716</v>
      </c>
      <c r="D2" s="2196"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2196" t="s">
        <v>6717</v>
      </c>
      <c r="F2" s="2196" t="s">
        <v>6718</v>
      </c>
      <c r="G2" s="2196" t="s">
        <v>6719</v>
      </c>
      <c r="H2" s="2196" t="str">
        <f>IF(D4="否"," ","下浮50%")</f>
        <v>下浮50%</v>
      </c>
      <c r="I2" s="2200"/>
      <c r="J2" s="2178"/>
      <c r="K2" s="2178"/>
      <c r="L2" s="2178"/>
      <c r="M2" s="2178"/>
      <c r="N2" s="2178"/>
      <c r="O2" s="2178"/>
      <c r="P2" s="2178"/>
      <c r="Q2" s="2178"/>
      <c r="R2" s="2178"/>
      <c r="S2" s="2178"/>
    </row>
    <row r="3" spans="1:19" ht="36.75" customHeight="1">
      <c r="A3" s="2178"/>
      <c r="B3" s="2198"/>
      <c r="C3" s="2197" t="s">
        <v>6788</v>
      </c>
      <c r="D3" s="2192">
        <f>MIN(A000000企业基础信息表!B9*10000,'A100000中华人民共和国企业所得税年度纳税申报表（A类）'!D4)</f>
        <v>0</v>
      </c>
      <c r="E3" s="2193">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2193">
        <f>E3*1.3</f>
        <v>1950</v>
      </c>
      <c r="G3" s="2193">
        <f>ROUND(IF(E3*0.7&lt;1500,1500,E3*0.7),2)</f>
        <v>1500</v>
      </c>
      <c r="H3" s="2193">
        <f>IF(D4="否"," ",IF(E3*0.5&lt;1500,1500,E3*0.5))</f>
        <v>1500</v>
      </c>
      <c r="I3" s="2200"/>
      <c r="J3" s="2178"/>
      <c r="K3" s="2178"/>
      <c r="L3" s="2178"/>
      <c r="M3" s="2178"/>
      <c r="N3" s="2178"/>
      <c r="O3" s="2178"/>
      <c r="P3" s="2178"/>
      <c r="Q3" s="2178"/>
      <c r="R3" s="2178"/>
      <c r="S3" s="2178"/>
    </row>
    <row r="4" spans="1:19" ht="71.25" customHeight="1">
      <c r="A4" s="2178"/>
      <c r="B4" s="2198"/>
      <c r="C4" s="2199" t="s">
        <v>6720</v>
      </c>
      <c r="D4" s="2224" t="s">
        <v>1077</v>
      </c>
      <c r="E4" s="2894"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895"/>
      <c r="G4" s="2895"/>
      <c r="H4" s="2895"/>
      <c r="I4" s="2200"/>
      <c r="J4" s="2178"/>
      <c r="K4" s="2178"/>
      <c r="L4" s="2178"/>
      <c r="M4" s="2178"/>
      <c r="N4" s="2178"/>
      <c r="O4" s="2178"/>
      <c r="P4" s="2178"/>
      <c r="Q4" s="2178"/>
      <c r="R4" s="2178"/>
      <c r="S4" s="2178"/>
    </row>
    <row r="5" spans="1:19" ht="35.25" customHeight="1">
      <c r="A5" s="2178"/>
      <c r="B5" s="2200"/>
      <c r="C5" s="2896"/>
      <c r="D5" s="2896"/>
      <c r="E5" s="2896"/>
      <c r="F5" s="2896"/>
      <c r="G5" s="2896"/>
      <c r="H5" s="2896"/>
      <c r="I5" s="2200"/>
      <c r="J5" s="2178"/>
      <c r="K5" s="2178"/>
      <c r="L5" s="2178"/>
      <c r="M5" s="2178"/>
      <c r="N5" s="2178"/>
      <c r="O5" s="2178"/>
      <c r="P5" s="2178"/>
      <c r="Q5" s="2178"/>
      <c r="R5" s="2178"/>
      <c r="S5" s="2178"/>
    </row>
    <row r="6" spans="1:19" ht="22.2">
      <c r="A6" s="2178"/>
      <c r="B6" s="2897" t="s">
        <v>6721</v>
      </c>
      <c r="C6" s="2897"/>
      <c r="D6" s="2897"/>
      <c r="E6" s="2897"/>
      <c r="F6" s="2897"/>
      <c r="G6" s="2897"/>
      <c r="H6" s="2897"/>
      <c r="I6" s="2897"/>
      <c r="J6" s="2178"/>
      <c r="K6" s="2178"/>
      <c r="L6" s="2178"/>
      <c r="M6" s="2178"/>
      <c r="N6" s="2178"/>
      <c r="O6" s="2178"/>
      <c r="P6" s="2178"/>
      <c r="Q6" s="2178"/>
      <c r="R6" s="2178"/>
      <c r="S6" s="2178"/>
    </row>
    <row r="7" spans="1:19" ht="6.75" customHeight="1" thickBot="1">
      <c r="A7" s="2178"/>
      <c r="B7" s="2898"/>
      <c r="C7" s="2898"/>
      <c r="D7" s="2898"/>
      <c r="E7" s="2898"/>
      <c r="F7" s="2898"/>
      <c r="G7" s="2898"/>
      <c r="H7" s="2898"/>
      <c r="I7" s="2899"/>
      <c r="J7" s="2178"/>
      <c r="K7" s="2178"/>
      <c r="L7" s="2178"/>
      <c r="M7" s="2178"/>
      <c r="N7" s="2178"/>
      <c r="O7" s="2178"/>
      <c r="P7" s="2178"/>
      <c r="Q7" s="2178"/>
      <c r="R7" s="2178"/>
      <c r="S7" s="2178"/>
    </row>
    <row r="8" spans="1:19" ht="13.5" customHeight="1">
      <c r="A8" s="2178"/>
      <c r="B8" s="2900" t="s">
        <v>453</v>
      </c>
      <c r="C8" s="2900" t="s">
        <v>6722</v>
      </c>
      <c r="D8" s="2201" t="s">
        <v>6723</v>
      </c>
      <c r="E8" s="2900" t="s">
        <v>6724</v>
      </c>
      <c r="F8" s="2902" t="s">
        <v>6725</v>
      </c>
      <c r="G8" s="2903"/>
      <c r="H8" s="2900" t="s">
        <v>6726</v>
      </c>
      <c r="I8" s="2202"/>
      <c r="J8" s="2178"/>
      <c r="K8" s="2178"/>
      <c r="L8" s="2178"/>
      <c r="M8" s="2178"/>
      <c r="N8" s="2178"/>
      <c r="O8" s="2178"/>
      <c r="P8" s="2178"/>
      <c r="Q8" s="2178"/>
      <c r="R8" s="2178"/>
      <c r="S8" s="2178"/>
    </row>
    <row r="9" spans="1:19" ht="16.2" thickBot="1">
      <c r="A9" s="2178"/>
      <c r="B9" s="2901"/>
      <c r="C9" s="2901"/>
      <c r="D9" s="2203" t="s">
        <v>6727</v>
      </c>
      <c r="E9" s="2901"/>
      <c r="F9" s="2904"/>
      <c r="G9" s="2905"/>
      <c r="H9" s="2901"/>
      <c r="I9" s="2204"/>
      <c r="J9" s="2178"/>
      <c r="K9" s="2178"/>
      <c r="L9" s="2178"/>
      <c r="M9" s="2178"/>
      <c r="N9" s="2178"/>
      <c r="O9" s="2178"/>
      <c r="P9" s="2178"/>
      <c r="Q9" s="2178"/>
      <c r="R9" s="2178"/>
      <c r="S9" s="2178"/>
    </row>
    <row r="10" spans="1:19" ht="24.75" customHeight="1" thickBot="1">
      <c r="A10" s="2178"/>
      <c r="B10" s="2906"/>
      <c r="C10" s="2909" t="str">
        <f>C3</f>
        <v>企业所得税汇算清缴纳税申报鉴证</v>
      </c>
      <c r="D10" s="2910"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909" t="str">
        <f>IF(OR(C3="企业所得税汇算清缴纳税申报鉴证",C3="增值税纳税审核鉴证",C3="企业所得税税前弥补亏损鉴证"),"元/年",IF(C3="企业财产损失所得税前扣除鉴证","元/次","元/项目"))</f>
        <v>元/年</v>
      </c>
      <c r="F10" s="2911"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2205"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2206"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2204"/>
      <c r="J10" s="2178"/>
      <c r="K10" s="2178"/>
      <c r="L10" s="2178"/>
      <c r="M10" s="2178"/>
      <c r="N10" s="2178"/>
      <c r="O10" s="2178"/>
      <c r="P10" s="2178"/>
      <c r="Q10" s="2178"/>
      <c r="R10" s="2178"/>
      <c r="S10" s="2178"/>
    </row>
    <row r="11" spans="1:19" ht="24.75" customHeight="1" thickBot="1">
      <c r="A11" s="2178"/>
      <c r="B11" s="2907"/>
      <c r="C11" s="2909"/>
      <c r="D11" s="2910"/>
      <c r="E11" s="2909"/>
      <c r="F11" s="2912"/>
      <c r="G11" s="2205"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2206"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2204"/>
      <c r="J11" s="2178"/>
      <c r="K11" s="2178"/>
      <c r="L11" s="2178"/>
      <c r="M11" s="2178"/>
      <c r="N11" s="2178"/>
      <c r="O11" s="2178"/>
      <c r="P11" s="2178"/>
      <c r="Q11" s="2178"/>
      <c r="R11" s="2178"/>
      <c r="S11" s="2178"/>
    </row>
    <row r="12" spans="1:19" ht="33" customHeight="1" thickBot="1">
      <c r="A12" s="2178"/>
      <c r="B12" s="2907"/>
      <c r="C12" s="2909"/>
      <c r="D12" s="2910"/>
      <c r="E12" s="2909"/>
      <c r="F12" s="2912"/>
      <c r="G12" s="2205"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2206"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2204"/>
      <c r="J12" s="2178"/>
      <c r="K12" s="2178"/>
      <c r="L12" s="2178"/>
      <c r="M12" s="2178"/>
      <c r="N12" s="2178"/>
      <c r="O12" s="2178"/>
      <c r="P12" s="2178"/>
      <c r="Q12" s="2178"/>
      <c r="R12" s="2178"/>
      <c r="S12" s="2178"/>
    </row>
    <row r="13" spans="1:19" ht="30.75" customHeight="1" thickBot="1">
      <c r="A13" s="2178"/>
      <c r="B13" s="2907"/>
      <c r="C13" s="2909"/>
      <c r="D13" s="2910"/>
      <c r="E13" s="2909"/>
      <c r="F13" s="2912"/>
      <c r="G13" s="2205"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2206"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2204"/>
      <c r="J13" s="2178"/>
      <c r="K13" s="2178"/>
      <c r="L13" s="2178"/>
      <c r="M13" s="2178"/>
      <c r="N13" s="2178"/>
      <c r="O13" s="2178"/>
      <c r="P13" s="2178"/>
      <c r="Q13" s="2178"/>
      <c r="R13" s="2178"/>
      <c r="S13" s="2178"/>
    </row>
    <row r="14" spans="1:19" ht="24.75" customHeight="1" thickBot="1">
      <c r="A14" s="2178"/>
      <c r="B14" s="2907"/>
      <c r="C14" s="2909"/>
      <c r="D14" s="2910"/>
      <c r="E14" s="2909"/>
      <c r="F14" s="2912"/>
      <c r="G14" s="2205"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2206"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2204"/>
      <c r="J14" s="2178"/>
      <c r="K14" s="2178"/>
      <c r="L14" s="2178"/>
      <c r="M14" s="2178"/>
      <c r="N14" s="2178"/>
      <c r="O14" s="2178"/>
      <c r="P14" s="2178"/>
      <c r="Q14" s="2178"/>
      <c r="R14" s="2178"/>
      <c r="S14" s="2178"/>
    </row>
    <row r="15" spans="1:19" ht="24.75" customHeight="1" thickBot="1">
      <c r="A15" s="2178"/>
      <c r="B15" s="2908"/>
      <c r="C15" s="2909"/>
      <c r="D15" s="2910"/>
      <c r="E15" s="2909"/>
      <c r="F15" s="2913"/>
      <c r="G15" s="2205"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2206"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2204"/>
      <c r="J15" s="2178"/>
      <c r="K15" s="2178"/>
      <c r="L15" s="2178"/>
      <c r="M15" s="2178"/>
      <c r="N15" s="2178"/>
      <c r="O15" s="2178"/>
      <c r="P15" s="2178"/>
      <c r="Q15" s="2178"/>
      <c r="R15" s="2178"/>
      <c r="S15" s="2178"/>
    </row>
    <row r="16" spans="1:19" s="2190" customFormat="1">
      <c r="A16" s="2204"/>
      <c r="B16" s="2204"/>
      <c r="C16" s="2204"/>
      <c r="D16" s="2204"/>
      <c r="E16" s="2204"/>
      <c r="F16" s="2204"/>
      <c r="G16" s="2204"/>
      <c r="H16" s="2204"/>
      <c r="I16" s="2204"/>
      <c r="J16" s="2204"/>
      <c r="K16" s="2204"/>
      <c r="L16" s="2204"/>
      <c r="M16" s="2204"/>
      <c r="N16" s="2204"/>
      <c r="O16" s="2204"/>
      <c r="P16" s="2204"/>
      <c r="Q16" s="2204"/>
      <c r="R16" s="2204"/>
      <c r="S16" s="2204"/>
    </row>
    <row r="17" spans="1:19" hidden="1">
      <c r="A17" s="2178"/>
      <c r="B17" s="2200"/>
      <c r="C17" s="2200"/>
      <c r="D17" s="2200"/>
      <c r="E17" s="2200"/>
      <c r="F17" s="2200"/>
      <c r="G17" s="2200"/>
      <c r="H17" s="2200"/>
      <c r="I17" s="2200"/>
      <c r="J17" s="2200"/>
      <c r="K17" s="2178"/>
      <c r="L17" s="2178"/>
      <c r="M17" s="2178"/>
      <c r="N17" s="2178"/>
      <c r="O17" s="2178"/>
      <c r="P17" s="2178"/>
      <c r="Q17" s="2178"/>
      <c r="R17" s="2178"/>
      <c r="S17" s="2178"/>
    </row>
    <row r="18" spans="1:19" ht="24" hidden="1" customHeight="1">
      <c r="A18" s="2178"/>
      <c r="B18" s="2200">
        <v>1</v>
      </c>
      <c r="C18" s="2207" t="s">
        <v>6728</v>
      </c>
      <c r="D18" s="2208" t="s">
        <v>6729</v>
      </c>
      <c r="E18" s="2200"/>
      <c r="F18" s="2200"/>
      <c r="G18" s="2200"/>
      <c r="H18" s="2200"/>
      <c r="I18" s="2200"/>
      <c r="J18" s="2200"/>
      <c r="K18" s="2178"/>
      <c r="L18" s="2178"/>
      <c r="M18" s="2178"/>
      <c r="N18" s="2178"/>
      <c r="O18" s="2178"/>
      <c r="P18" s="2178"/>
      <c r="Q18" s="2178"/>
      <c r="R18" s="2178"/>
      <c r="S18" s="2178"/>
    </row>
    <row r="19" spans="1:19" ht="24" hidden="1" customHeight="1">
      <c r="A19" s="2178"/>
      <c r="B19" s="2200">
        <v>2</v>
      </c>
      <c r="C19" s="2207" t="s">
        <v>6730</v>
      </c>
      <c r="D19" s="2208" t="s">
        <v>6731</v>
      </c>
      <c r="E19" s="2200"/>
      <c r="F19" s="2200"/>
      <c r="G19" s="2200"/>
      <c r="H19" s="2200"/>
      <c r="I19" s="2200"/>
      <c r="J19" s="2200"/>
      <c r="K19" s="2178"/>
      <c r="L19" s="2178"/>
      <c r="M19" s="2178"/>
      <c r="N19" s="2178"/>
      <c r="O19" s="2178"/>
      <c r="P19" s="2178"/>
      <c r="Q19" s="2178"/>
      <c r="R19" s="2178"/>
      <c r="S19" s="2178"/>
    </row>
    <row r="20" spans="1:19" ht="31.5" hidden="1" customHeight="1">
      <c r="A20" s="2178"/>
      <c r="B20" s="2200">
        <v>3</v>
      </c>
      <c r="C20" s="2207" t="s">
        <v>6732</v>
      </c>
      <c r="D20" s="2200"/>
      <c r="E20" s="2200"/>
      <c r="F20" s="2200"/>
      <c r="G20" s="2200"/>
      <c r="H20" s="2200"/>
      <c r="I20" s="2200"/>
      <c r="J20" s="2200"/>
      <c r="K20" s="2178"/>
      <c r="L20" s="2178"/>
      <c r="M20" s="2178"/>
      <c r="N20" s="2178"/>
      <c r="O20" s="2178"/>
      <c r="P20" s="2178"/>
      <c r="Q20" s="2178"/>
      <c r="R20" s="2178"/>
      <c r="S20" s="2178"/>
    </row>
    <row r="21" spans="1:19" ht="31.5" hidden="1" customHeight="1">
      <c r="A21" s="2178"/>
      <c r="B21" s="2200">
        <v>4</v>
      </c>
      <c r="C21" s="2207" t="s">
        <v>6733</v>
      </c>
      <c r="D21" s="2200"/>
      <c r="E21" s="2200"/>
      <c r="F21" s="2200"/>
      <c r="G21" s="2200"/>
      <c r="H21" s="2200"/>
      <c r="I21" s="2200"/>
      <c r="J21" s="2200"/>
      <c r="K21" s="2178"/>
      <c r="L21" s="2178"/>
      <c r="M21" s="2178"/>
      <c r="N21" s="2178"/>
      <c r="O21" s="2178"/>
      <c r="P21" s="2178"/>
      <c r="Q21" s="2178"/>
      <c r="R21" s="2178"/>
      <c r="S21" s="2178"/>
    </row>
    <row r="22" spans="1:19" ht="31.5" hidden="1" customHeight="1">
      <c r="A22" s="2178"/>
      <c r="B22" s="2200">
        <v>5</v>
      </c>
      <c r="C22" s="2207" t="s">
        <v>6734</v>
      </c>
      <c r="D22" s="2200"/>
      <c r="E22" s="2200"/>
      <c r="F22" s="2200"/>
      <c r="G22" s="2200"/>
      <c r="H22" s="2200"/>
      <c r="I22" s="2200"/>
      <c r="J22" s="2200"/>
      <c r="K22" s="2178"/>
      <c r="L22" s="2178"/>
      <c r="M22" s="2178"/>
      <c r="N22" s="2178"/>
      <c r="O22" s="2178"/>
      <c r="P22" s="2178"/>
      <c r="Q22" s="2178"/>
      <c r="R22" s="2178"/>
      <c r="S22" s="2178"/>
    </row>
    <row r="23" spans="1:19" ht="31.5" hidden="1" customHeight="1">
      <c r="A23" s="2178"/>
      <c r="B23" s="2200">
        <v>6</v>
      </c>
      <c r="C23" s="2207" t="s">
        <v>6735</v>
      </c>
      <c r="D23" s="2200"/>
      <c r="E23" s="2200"/>
      <c r="F23" s="2200"/>
      <c r="G23" s="2200"/>
      <c r="H23" s="2200"/>
      <c r="I23" s="2200"/>
      <c r="J23" s="2200"/>
      <c r="K23" s="2178"/>
      <c r="L23" s="2178"/>
      <c r="M23" s="2178"/>
      <c r="N23" s="2178"/>
      <c r="O23" s="2178"/>
      <c r="P23" s="2178"/>
      <c r="Q23" s="2178"/>
      <c r="R23" s="2178"/>
      <c r="S23" s="2178"/>
    </row>
    <row r="24" spans="1:19" ht="31.5" hidden="1" customHeight="1">
      <c r="A24" s="2178"/>
      <c r="B24" s="2200">
        <v>7</v>
      </c>
      <c r="C24" s="2207" t="s">
        <v>6736</v>
      </c>
      <c r="D24" s="2200"/>
      <c r="E24" s="2200"/>
      <c r="F24" s="2200"/>
      <c r="G24" s="2200"/>
      <c r="H24" s="2200"/>
      <c r="I24" s="2200"/>
      <c r="J24" s="2200"/>
      <c r="K24" s="2178"/>
      <c r="L24" s="2178"/>
      <c r="M24" s="2178"/>
      <c r="N24" s="2178"/>
      <c r="O24" s="2178"/>
      <c r="P24" s="2178"/>
      <c r="Q24" s="2178"/>
      <c r="R24" s="2178"/>
      <c r="S24" s="2178"/>
    </row>
    <row r="25" spans="1:19" ht="31.5" hidden="1" customHeight="1">
      <c r="A25" s="2178"/>
      <c r="B25" s="2200"/>
      <c r="C25" s="2209"/>
      <c r="D25" s="2200"/>
      <c r="E25" s="2200"/>
      <c r="F25" s="2200"/>
      <c r="G25" s="2200"/>
      <c r="H25" s="2200"/>
      <c r="I25" s="2200"/>
      <c r="J25" s="2200"/>
      <c r="K25" s="2178"/>
      <c r="L25" s="2178"/>
      <c r="M25" s="2178"/>
      <c r="N25" s="2178"/>
      <c r="O25" s="2178"/>
      <c r="P25" s="2178"/>
      <c r="Q25" s="2178"/>
      <c r="R25" s="2178"/>
      <c r="S25" s="2178"/>
    </row>
    <row r="26" spans="1:19" hidden="1">
      <c r="A26" s="2178"/>
      <c r="B26" s="2200"/>
      <c r="C26" s="2200"/>
      <c r="D26" s="2200"/>
      <c r="E26" s="2200"/>
      <c r="F26" s="2200"/>
      <c r="G26" s="2200"/>
      <c r="H26" s="2200"/>
      <c r="I26" s="2200"/>
      <c r="J26" s="2200"/>
      <c r="K26" s="2178"/>
      <c r="L26" s="2178"/>
      <c r="M26" s="2178"/>
      <c r="N26" s="2178"/>
      <c r="O26" s="2178"/>
      <c r="P26" s="2178"/>
      <c r="Q26" s="2178"/>
      <c r="R26" s="2178"/>
      <c r="S26" s="2178"/>
    </row>
    <row r="27" spans="1:19" s="2191" customFormat="1" ht="22.2" hidden="1">
      <c r="A27" s="2210"/>
      <c r="B27" s="2210"/>
      <c r="C27" s="2892" t="s">
        <v>6737</v>
      </c>
      <c r="D27" s="2892"/>
      <c r="E27" s="2892"/>
      <c r="F27" s="2892"/>
      <c r="G27" s="2892"/>
      <c r="H27" s="2892"/>
      <c r="I27" s="2892"/>
      <c r="J27" s="2892"/>
      <c r="K27" s="2210"/>
      <c r="L27" s="2210"/>
      <c r="M27" s="2210"/>
      <c r="N27" s="2210"/>
      <c r="O27" s="2210"/>
      <c r="P27" s="2210"/>
      <c r="Q27" s="2210"/>
      <c r="R27" s="2210"/>
      <c r="S27" s="2210"/>
    </row>
    <row r="28" spans="1:19" s="2191" customFormat="1" ht="22.8" hidden="1" thickBot="1">
      <c r="A28" s="2210"/>
      <c r="B28" s="2210"/>
      <c r="C28" s="2883"/>
      <c r="D28" s="2883"/>
      <c r="E28" s="2883"/>
      <c r="F28" s="2883"/>
      <c r="G28" s="2883"/>
      <c r="H28" s="2883"/>
      <c r="I28" s="2883"/>
      <c r="J28" s="2883"/>
      <c r="K28" s="2210"/>
      <c r="L28" s="2210"/>
      <c r="M28" s="2210"/>
      <c r="N28" s="2210"/>
      <c r="O28" s="2210"/>
      <c r="P28" s="2210"/>
      <c r="Q28" s="2210"/>
      <c r="R28" s="2210"/>
      <c r="S28" s="2210"/>
    </row>
    <row r="29" spans="1:19" s="2191" customFormat="1" hidden="1">
      <c r="A29" s="2210"/>
      <c r="B29" s="2210"/>
      <c r="C29" s="2884" t="s">
        <v>453</v>
      </c>
      <c r="D29" s="2884" t="s">
        <v>6722</v>
      </c>
      <c r="E29" s="2211" t="s">
        <v>6723</v>
      </c>
      <c r="F29" s="2884" t="s">
        <v>6724</v>
      </c>
      <c r="G29" s="2886" t="s">
        <v>6725</v>
      </c>
      <c r="H29" s="2887"/>
      <c r="I29" s="2888"/>
      <c r="J29" s="2884" t="s">
        <v>6726</v>
      </c>
      <c r="K29" s="2210"/>
      <c r="L29" s="2210"/>
      <c r="M29" s="2210"/>
      <c r="N29" s="2210"/>
      <c r="O29" s="2210"/>
      <c r="P29" s="2210"/>
      <c r="Q29" s="2210"/>
      <c r="R29" s="2210"/>
      <c r="S29" s="2210"/>
    </row>
    <row r="30" spans="1:19" s="2191" customFormat="1" ht="16.2" hidden="1" thickBot="1">
      <c r="A30" s="2210"/>
      <c r="B30" s="2210"/>
      <c r="C30" s="2885"/>
      <c r="D30" s="2885"/>
      <c r="E30" s="2212" t="s">
        <v>6727</v>
      </c>
      <c r="F30" s="2885"/>
      <c r="G30" s="2889"/>
      <c r="H30" s="2890"/>
      <c r="I30" s="2891"/>
      <c r="J30" s="2885"/>
      <c r="K30" s="2210"/>
      <c r="L30" s="2210"/>
      <c r="M30" s="2210"/>
      <c r="N30" s="2210"/>
      <c r="O30" s="2210"/>
      <c r="P30" s="2210"/>
      <c r="Q30" s="2210"/>
      <c r="R30" s="2210"/>
      <c r="S30" s="2210"/>
    </row>
    <row r="31" spans="1:19" s="2191" customFormat="1" ht="16.2" hidden="1" thickBot="1">
      <c r="A31" s="2210"/>
      <c r="B31" s="2210"/>
      <c r="C31" s="2860">
        <v>1</v>
      </c>
      <c r="D31" s="2860" t="s">
        <v>6738</v>
      </c>
      <c r="E31" s="2860" t="s">
        <v>6739</v>
      </c>
      <c r="F31" s="2213" t="s">
        <v>6740</v>
      </c>
      <c r="G31" s="2860" t="s">
        <v>6741</v>
      </c>
      <c r="H31" s="2853" t="s">
        <v>6742</v>
      </c>
      <c r="I31" s="2854"/>
      <c r="J31" s="2214" t="s">
        <v>6743</v>
      </c>
      <c r="K31" s="2210"/>
      <c r="L31" s="2210"/>
      <c r="M31" s="2210"/>
      <c r="N31" s="2210"/>
      <c r="O31" s="2210"/>
      <c r="P31" s="2210"/>
      <c r="Q31" s="2210"/>
      <c r="R31" s="2210"/>
      <c r="S31" s="2210"/>
    </row>
    <row r="32" spans="1:19" s="2191" customFormat="1" ht="16.2" hidden="1" thickBot="1">
      <c r="A32" s="2210"/>
      <c r="B32" s="2210"/>
      <c r="C32" s="2861"/>
      <c r="D32" s="2861"/>
      <c r="E32" s="2861"/>
      <c r="F32" s="2215"/>
      <c r="G32" s="2861"/>
      <c r="H32" s="2853" t="s">
        <v>6744</v>
      </c>
      <c r="I32" s="2854"/>
      <c r="J32" s="2214">
        <f>0.7/1000</f>
        <v>6.9999999999999999E-4</v>
      </c>
      <c r="K32" s="2210"/>
      <c r="L32" s="2210"/>
      <c r="M32" s="2210"/>
      <c r="N32" s="2210"/>
      <c r="O32" s="2210"/>
      <c r="P32" s="2210"/>
      <c r="Q32" s="2210"/>
      <c r="R32" s="2210"/>
      <c r="S32" s="2210"/>
    </row>
    <row r="33" spans="1:19" s="2191" customFormat="1" ht="16.2" hidden="1" thickBot="1">
      <c r="A33" s="2210"/>
      <c r="B33" s="2210"/>
      <c r="C33" s="2861"/>
      <c r="D33" s="2861"/>
      <c r="E33" s="2861"/>
      <c r="F33" s="2215"/>
      <c r="G33" s="2861"/>
      <c r="H33" s="2853" t="s">
        <v>6745</v>
      </c>
      <c r="I33" s="2854"/>
      <c r="J33" s="2214" t="s">
        <v>199</v>
      </c>
      <c r="K33" s="2210"/>
      <c r="L33" s="2210"/>
      <c r="M33" s="2210"/>
      <c r="N33" s="2210"/>
      <c r="O33" s="2210"/>
      <c r="P33" s="2210"/>
      <c r="Q33" s="2210"/>
      <c r="R33" s="2210"/>
      <c r="S33" s="2210"/>
    </row>
    <row r="34" spans="1:19" s="2191" customFormat="1" ht="16.2" hidden="1" thickBot="1">
      <c r="A34" s="2210"/>
      <c r="B34" s="2210"/>
      <c r="C34" s="2861"/>
      <c r="D34" s="2861"/>
      <c r="E34" s="2861"/>
      <c r="F34" s="2215"/>
      <c r="G34" s="2861"/>
      <c r="H34" s="2853" t="s">
        <v>6746</v>
      </c>
      <c r="I34" s="2854"/>
      <c r="J34" s="2216">
        <f>0.4/1000</f>
        <v>4.0000000000000002E-4</v>
      </c>
      <c r="K34" s="2210"/>
      <c r="L34" s="2210"/>
      <c r="M34" s="2210"/>
      <c r="N34" s="2210"/>
      <c r="O34" s="2210"/>
      <c r="P34" s="2210"/>
      <c r="Q34" s="2210"/>
      <c r="R34" s="2210"/>
      <c r="S34" s="2210"/>
    </row>
    <row r="35" spans="1:19" s="2191" customFormat="1" ht="16.2" hidden="1" thickBot="1">
      <c r="A35" s="2210"/>
      <c r="B35" s="2210"/>
      <c r="C35" s="2861"/>
      <c r="D35" s="2861"/>
      <c r="E35" s="2861"/>
      <c r="F35" s="2217"/>
      <c r="G35" s="2862"/>
      <c r="H35" s="2853" t="s">
        <v>6747</v>
      </c>
      <c r="I35" s="2854"/>
      <c r="J35" s="2216" t="s">
        <v>191</v>
      </c>
      <c r="K35" s="2210"/>
      <c r="L35" s="2210"/>
      <c r="M35" s="2210"/>
      <c r="N35" s="2210"/>
      <c r="O35" s="2210"/>
      <c r="P35" s="2210"/>
      <c r="Q35" s="2210"/>
      <c r="R35" s="2210"/>
      <c r="S35" s="2210"/>
    </row>
    <row r="36" spans="1:19" s="2191" customFormat="1" ht="29.4" hidden="1" thickBot="1">
      <c r="A36" s="2210"/>
      <c r="B36" s="2210"/>
      <c r="C36" s="2862"/>
      <c r="D36" s="2862"/>
      <c r="E36" s="2862"/>
      <c r="F36" s="2218"/>
      <c r="G36" s="2218"/>
      <c r="H36" s="2219" t="s">
        <v>6748</v>
      </c>
      <c r="I36" s="2220"/>
      <c r="J36" s="2216" t="s">
        <v>6749</v>
      </c>
      <c r="K36" s="2210"/>
      <c r="L36" s="2210"/>
      <c r="M36" s="2210"/>
      <c r="N36" s="2210"/>
      <c r="O36" s="2210"/>
      <c r="P36" s="2210"/>
      <c r="Q36" s="2210"/>
      <c r="R36" s="2210"/>
      <c r="S36" s="2210"/>
    </row>
    <row r="37" spans="1:19" s="2191" customFormat="1" ht="16.2" hidden="1" thickBot="1">
      <c r="A37" s="2210"/>
      <c r="B37" s="2210"/>
      <c r="C37" s="2860">
        <v>2</v>
      </c>
      <c r="D37" s="2860" t="s">
        <v>6730</v>
      </c>
      <c r="E37" s="2860" t="s">
        <v>6750</v>
      </c>
      <c r="F37" s="2860" t="s">
        <v>6751</v>
      </c>
      <c r="G37" s="2860" t="s">
        <v>6752</v>
      </c>
      <c r="H37" s="2853" t="s">
        <v>6742</v>
      </c>
      <c r="I37" s="2854"/>
      <c r="J37" s="2216">
        <v>1.2E-2</v>
      </c>
      <c r="K37" s="2210"/>
      <c r="L37" s="2210"/>
      <c r="M37" s="2210"/>
      <c r="N37" s="2210"/>
      <c r="O37" s="2210"/>
      <c r="P37" s="2210"/>
      <c r="Q37" s="2210"/>
      <c r="R37" s="2210"/>
      <c r="S37" s="2210"/>
    </row>
    <row r="38" spans="1:19" s="2191" customFormat="1" ht="16.2" hidden="1" thickBot="1">
      <c r="A38" s="2210"/>
      <c r="B38" s="2210"/>
      <c r="C38" s="2861"/>
      <c r="D38" s="2861"/>
      <c r="E38" s="2861"/>
      <c r="F38" s="2861"/>
      <c r="G38" s="2861"/>
      <c r="H38" s="2881" t="s">
        <v>6744</v>
      </c>
      <c r="I38" s="2882"/>
      <c r="J38" s="2216">
        <v>5.0000000000000001E-3</v>
      </c>
      <c r="K38" s="2210"/>
      <c r="L38" s="2210"/>
      <c r="M38" s="2210"/>
      <c r="N38" s="2210"/>
      <c r="O38" s="2210"/>
      <c r="P38" s="2210"/>
      <c r="Q38" s="2210"/>
      <c r="R38" s="2210"/>
      <c r="S38" s="2210"/>
    </row>
    <row r="39" spans="1:19" s="2191" customFormat="1" ht="16.2" hidden="1" thickBot="1">
      <c r="A39" s="2210"/>
      <c r="B39" s="2210"/>
      <c r="C39" s="2861"/>
      <c r="D39" s="2861"/>
      <c r="E39" s="2861"/>
      <c r="F39" s="2861"/>
      <c r="G39" s="2861"/>
      <c r="H39" s="2853" t="s">
        <v>6745</v>
      </c>
      <c r="I39" s="2854"/>
      <c r="J39" s="2214">
        <v>4.0000000000000001E-3</v>
      </c>
      <c r="K39" s="2210"/>
      <c r="L39" s="2210"/>
      <c r="M39" s="2210"/>
      <c r="N39" s="2210"/>
      <c r="O39" s="2210"/>
      <c r="P39" s="2210"/>
      <c r="Q39" s="2210"/>
      <c r="R39" s="2210"/>
      <c r="S39" s="2210"/>
    </row>
    <row r="40" spans="1:19" s="2191" customFormat="1" ht="16.2" hidden="1" thickBot="1">
      <c r="A40" s="2210"/>
      <c r="B40" s="2210"/>
      <c r="C40" s="2862"/>
      <c r="D40" s="2862"/>
      <c r="E40" s="2862"/>
      <c r="F40" s="2862"/>
      <c r="G40" s="2862"/>
      <c r="H40" s="2853" t="s">
        <v>6753</v>
      </c>
      <c r="I40" s="2854"/>
      <c r="J40" s="2214">
        <v>2E-3</v>
      </c>
      <c r="K40" s="2210"/>
      <c r="L40" s="2210"/>
      <c r="M40" s="2210"/>
      <c r="N40" s="2210"/>
      <c r="O40" s="2210"/>
      <c r="P40" s="2210"/>
      <c r="Q40" s="2210"/>
      <c r="R40" s="2210"/>
      <c r="S40" s="2210"/>
    </row>
    <row r="41" spans="1:19" s="2191" customFormat="1" ht="14.25" hidden="1" customHeight="1">
      <c r="A41" s="2210"/>
      <c r="B41" s="2210"/>
      <c r="C41" s="2860">
        <v>3</v>
      </c>
      <c r="D41" s="2874" t="s">
        <v>6754</v>
      </c>
      <c r="E41" s="2870" t="s">
        <v>6755</v>
      </c>
      <c r="F41" s="2876"/>
      <c r="G41" s="2876"/>
      <c r="H41" s="2876"/>
      <c r="I41" s="2877"/>
      <c r="J41" s="2860" t="s">
        <v>6756</v>
      </c>
      <c r="K41" s="2210"/>
      <c r="L41" s="2210"/>
      <c r="M41" s="2210"/>
      <c r="N41" s="2210"/>
      <c r="O41" s="2210"/>
      <c r="P41" s="2210"/>
      <c r="Q41" s="2210"/>
      <c r="R41" s="2210"/>
      <c r="S41" s="2210"/>
    </row>
    <row r="42" spans="1:19" s="2191" customFormat="1" ht="16.2" hidden="1" thickBot="1">
      <c r="A42" s="2210"/>
      <c r="B42" s="2210"/>
      <c r="C42" s="2862"/>
      <c r="D42" s="2875"/>
      <c r="E42" s="2878"/>
      <c r="F42" s="2879"/>
      <c r="G42" s="2879"/>
      <c r="H42" s="2879"/>
      <c r="I42" s="2880"/>
      <c r="J42" s="2862"/>
      <c r="K42" s="2210"/>
      <c r="L42" s="2210"/>
      <c r="M42" s="2210"/>
      <c r="N42" s="2210"/>
      <c r="O42" s="2210"/>
      <c r="P42" s="2210"/>
      <c r="Q42" s="2210"/>
      <c r="R42" s="2210"/>
      <c r="S42" s="2210"/>
    </row>
    <row r="43" spans="1:19" s="2191" customFormat="1" ht="16.2" hidden="1" thickBot="1">
      <c r="A43" s="2210"/>
      <c r="B43" s="2210"/>
      <c r="C43" s="2860">
        <v>4</v>
      </c>
      <c r="D43" s="2860" t="s">
        <v>6733</v>
      </c>
      <c r="E43" s="2860" t="s">
        <v>6757</v>
      </c>
      <c r="F43" s="2860" t="s">
        <v>6758</v>
      </c>
      <c r="G43" s="2860" t="s">
        <v>6759</v>
      </c>
      <c r="H43" s="2853" t="s">
        <v>6760</v>
      </c>
      <c r="I43" s="2854"/>
      <c r="J43" s="2221" t="s">
        <v>195</v>
      </c>
      <c r="K43" s="2210"/>
      <c r="L43" s="2210"/>
      <c r="M43" s="2210"/>
      <c r="N43" s="2210"/>
      <c r="O43" s="2210"/>
      <c r="P43" s="2210"/>
      <c r="Q43" s="2210"/>
      <c r="R43" s="2210"/>
      <c r="S43" s="2210"/>
    </row>
    <row r="44" spans="1:19" s="2191" customFormat="1" ht="16.2" hidden="1" thickBot="1">
      <c r="A44" s="2210"/>
      <c r="B44" s="2210"/>
      <c r="C44" s="2861"/>
      <c r="D44" s="2861"/>
      <c r="E44" s="2861"/>
      <c r="F44" s="2861"/>
      <c r="G44" s="2861"/>
      <c r="H44" s="2853" t="s">
        <v>6761</v>
      </c>
      <c r="I44" s="2854"/>
      <c r="J44" s="2221" t="s">
        <v>6762</v>
      </c>
      <c r="K44" s="2210"/>
      <c r="L44" s="2210"/>
      <c r="M44" s="2210"/>
      <c r="N44" s="2210"/>
      <c r="O44" s="2210"/>
      <c r="P44" s="2210"/>
      <c r="Q44" s="2210"/>
      <c r="R44" s="2210"/>
      <c r="S44" s="2210"/>
    </row>
    <row r="45" spans="1:19" s="2191" customFormat="1" ht="16.2" hidden="1" thickBot="1">
      <c r="A45" s="2210"/>
      <c r="B45" s="2210"/>
      <c r="C45" s="2861"/>
      <c r="D45" s="2861"/>
      <c r="E45" s="2861"/>
      <c r="F45" s="2861"/>
      <c r="G45" s="2861"/>
      <c r="H45" s="2853" t="s">
        <v>6763</v>
      </c>
      <c r="I45" s="2854"/>
      <c r="J45" s="2221" t="s">
        <v>6764</v>
      </c>
      <c r="K45" s="2210"/>
      <c r="L45" s="2210"/>
      <c r="M45" s="2210"/>
      <c r="N45" s="2210"/>
      <c r="O45" s="2210"/>
      <c r="P45" s="2210"/>
      <c r="Q45" s="2210"/>
      <c r="R45" s="2210"/>
      <c r="S45" s="2210"/>
    </row>
    <row r="46" spans="1:19" s="2191" customFormat="1" ht="29.4" hidden="1" thickBot="1">
      <c r="A46" s="2210"/>
      <c r="B46" s="2210"/>
      <c r="C46" s="2862"/>
      <c r="D46" s="2862"/>
      <c r="E46" s="2862"/>
      <c r="F46" s="2862"/>
      <c r="G46" s="2862"/>
      <c r="H46" s="2853" t="s">
        <v>6765</v>
      </c>
      <c r="I46" s="2854"/>
      <c r="J46" s="2221" t="s">
        <v>6749</v>
      </c>
      <c r="K46" s="2210"/>
      <c r="L46" s="2210"/>
      <c r="M46" s="2210"/>
      <c r="N46" s="2210"/>
      <c r="O46" s="2210"/>
      <c r="P46" s="2210"/>
      <c r="Q46" s="2210"/>
      <c r="R46" s="2210"/>
      <c r="S46" s="2210"/>
    </row>
    <row r="47" spans="1:19" s="2191" customFormat="1" ht="16.2" hidden="1" thickBot="1">
      <c r="A47" s="2210"/>
      <c r="B47" s="2210"/>
      <c r="C47" s="2218"/>
      <c r="D47" s="2860" t="s">
        <v>6734</v>
      </c>
      <c r="E47" s="2860" t="s">
        <v>6766</v>
      </c>
      <c r="F47" s="2860" t="s">
        <v>6767</v>
      </c>
      <c r="G47" s="2860" t="s">
        <v>6768</v>
      </c>
      <c r="H47" s="2853" t="s">
        <v>6742</v>
      </c>
      <c r="I47" s="2854"/>
      <c r="J47" s="2221" t="s">
        <v>6743</v>
      </c>
      <c r="K47" s="2210"/>
      <c r="L47" s="2210"/>
      <c r="M47" s="2210"/>
      <c r="N47" s="2210"/>
      <c r="O47" s="2210"/>
      <c r="P47" s="2210"/>
      <c r="Q47" s="2210"/>
      <c r="R47" s="2210"/>
      <c r="S47" s="2210"/>
    </row>
    <row r="48" spans="1:19" s="2191" customFormat="1" ht="16.2" hidden="1" thickBot="1">
      <c r="A48" s="2210"/>
      <c r="B48" s="2210"/>
      <c r="C48" s="2218"/>
      <c r="D48" s="2861"/>
      <c r="E48" s="2861"/>
      <c r="F48" s="2861"/>
      <c r="G48" s="2861"/>
      <c r="H48" s="2853" t="s">
        <v>6744</v>
      </c>
      <c r="I48" s="2854"/>
      <c r="J48" s="2221" t="s">
        <v>6762</v>
      </c>
      <c r="K48" s="2210"/>
      <c r="L48" s="2210"/>
      <c r="M48" s="2210"/>
      <c r="N48" s="2210"/>
      <c r="O48" s="2210"/>
      <c r="P48" s="2210"/>
      <c r="Q48" s="2210"/>
      <c r="R48" s="2210"/>
      <c r="S48" s="2210"/>
    </row>
    <row r="49" spans="1:19" s="2191" customFormat="1" ht="16.2" hidden="1" thickBot="1">
      <c r="A49" s="2210"/>
      <c r="B49" s="2210"/>
      <c r="C49" s="2218"/>
      <c r="D49" s="2861"/>
      <c r="E49" s="2861"/>
      <c r="F49" s="2861"/>
      <c r="G49" s="2861"/>
      <c r="H49" s="2853" t="s">
        <v>6745</v>
      </c>
      <c r="I49" s="2854"/>
      <c r="J49" s="2221" t="s">
        <v>199</v>
      </c>
      <c r="K49" s="2210"/>
      <c r="L49" s="2210"/>
      <c r="M49" s="2210"/>
      <c r="N49" s="2210"/>
      <c r="O49" s="2210"/>
      <c r="P49" s="2210"/>
      <c r="Q49" s="2210"/>
      <c r="R49" s="2210"/>
      <c r="S49" s="2210"/>
    </row>
    <row r="50" spans="1:19" s="2191" customFormat="1" ht="16.2" hidden="1" thickBot="1">
      <c r="A50" s="2210"/>
      <c r="B50" s="2210"/>
      <c r="C50" s="2218"/>
      <c r="D50" s="2861"/>
      <c r="E50" s="2861"/>
      <c r="F50" s="2861"/>
      <c r="G50" s="2861"/>
      <c r="H50" s="2870" t="s">
        <v>6746</v>
      </c>
      <c r="I50" s="2871"/>
      <c r="J50" s="2221" t="s">
        <v>6769</v>
      </c>
      <c r="K50" s="2210"/>
      <c r="L50" s="2210"/>
      <c r="M50" s="2210"/>
      <c r="N50" s="2210"/>
      <c r="O50" s="2210"/>
      <c r="P50" s="2210"/>
      <c r="Q50" s="2210"/>
      <c r="R50" s="2210"/>
      <c r="S50" s="2210"/>
    </row>
    <row r="51" spans="1:19" s="2191" customFormat="1" ht="16.2" hidden="1" thickBot="1">
      <c r="A51" s="2210"/>
      <c r="B51" s="2210"/>
      <c r="C51" s="2218">
        <v>5</v>
      </c>
      <c r="D51" s="2861"/>
      <c r="E51" s="2861"/>
      <c r="F51" s="2861"/>
      <c r="G51" s="2869"/>
      <c r="H51" s="2872" t="s">
        <v>6770</v>
      </c>
      <c r="I51" s="2873"/>
      <c r="J51" s="2222" t="s">
        <v>191</v>
      </c>
      <c r="K51" s="2210"/>
      <c r="L51" s="2210"/>
      <c r="M51" s="2210"/>
      <c r="N51" s="2210"/>
      <c r="O51" s="2210"/>
      <c r="P51" s="2210"/>
      <c r="Q51" s="2210"/>
      <c r="R51" s="2210"/>
      <c r="S51" s="2210"/>
    </row>
    <row r="52" spans="1:19" s="2191" customFormat="1" ht="16.2" hidden="1" thickBot="1">
      <c r="A52" s="2210"/>
      <c r="B52" s="2210"/>
      <c r="C52" s="2860">
        <v>6</v>
      </c>
      <c r="D52" s="2863" t="s">
        <v>6771</v>
      </c>
      <c r="E52" s="2866" t="s">
        <v>6772</v>
      </c>
      <c r="F52" s="2860" t="s">
        <v>6773</v>
      </c>
      <c r="G52" s="2860" t="s">
        <v>6759</v>
      </c>
      <c r="H52" s="2221" t="s">
        <v>6760</v>
      </c>
      <c r="I52" s="2859" t="s">
        <v>195</v>
      </c>
      <c r="J52" s="2854"/>
      <c r="K52" s="2210"/>
      <c r="L52" s="2210"/>
      <c r="M52" s="2210"/>
      <c r="N52" s="2210"/>
      <c r="O52" s="2210"/>
      <c r="P52" s="2210"/>
      <c r="Q52" s="2210"/>
      <c r="R52" s="2210"/>
      <c r="S52" s="2210"/>
    </row>
    <row r="53" spans="1:19" s="2191" customFormat="1" ht="16.2" hidden="1" thickBot="1">
      <c r="A53" s="2210"/>
      <c r="B53" s="2210"/>
      <c r="C53" s="2861"/>
      <c r="D53" s="2864"/>
      <c r="E53" s="2867"/>
      <c r="F53" s="2861"/>
      <c r="G53" s="2861"/>
      <c r="H53" s="2221" t="s">
        <v>6761</v>
      </c>
      <c r="I53" s="2853" t="s">
        <v>6762</v>
      </c>
      <c r="J53" s="2854"/>
      <c r="K53" s="2210"/>
      <c r="L53" s="2210"/>
      <c r="M53" s="2210"/>
      <c r="N53" s="2210"/>
      <c r="O53" s="2210"/>
      <c r="P53" s="2210"/>
      <c r="Q53" s="2210"/>
      <c r="R53" s="2210"/>
      <c r="S53" s="2210"/>
    </row>
    <row r="54" spans="1:19" s="2191" customFormat="1" ht="16.2" hidden="1" thickBot="1">
      <c r="A54" s="2210"/>
      <c r="B54" s="2210"/>
      <c r="C54" s="2861"/>
      <c r="D54" s="2864"/>
      <c r="E54" s="2867"/>
      <c r="F54" s="2861"/>
      <c r="G54" s="2861"/>
      <c r="H54" s="2221" t="s">
        <v>6763</v>
      </c>
      <c r="I54" s="2853" t="s">
        <v>6774</v>
      </c>
      <c r="J54" s="2854"/>
      <c r="K54" s="2210"/>
      <c r="L54" s="2210"/>
      <c r="M54" s="2210"/>
      <c r="N54" s="2210"/>
      <c r="O54" s="2210"/>
      <c r="P54" s="2210"/>
      <c r="Q54" s="2210"/>
      <c r="R54" s="2210"/>
      <c r="S54" s="2210"/>
    </row>
    <row r="55" spans="1:19" s="2191" customFormat="1" ht="16.2" hidden="1" thickBot="1">
      <c r="A55" s="2210"/>
      <c r="B55" s="2210"/>
      <c r="C55" s="2862"/>
      <c r="D55" s="2865"/>
      <c r="E55" s="2868"/>
      <c r="F55" s="2862"/>
      <c r="G55" s="2862"/>
      <c r="H55" s="2221" t="s">
        <v>6765</v>
      </c>
      <c r="I55" s="2853" t="s">
        <v>6775</v>
      </c>
      <c r="J55" s="2854"/>
      <c r="K55" s="2210"/>
      <c r="L55" s="2210"/>
      <c r="M55" s="2210"/>
      <c r="N55" s="2210"/>
      <c r="O55" s="2210"/>
      <c r="P55" s="2210"/>
      <c r="Q55" s="2210"/>
      <c r="R55" s="2210"/>
      <c r="S55" s="2210"/>
    </row>
    <row r="56" spans="1:19" s="2191" customFormat="1" ht="16.2" hidden="1" thickBot="1">
      <c r="A56" s="2210"/>
      <c r="B56" s="2210"/>
      <c r="C56" s="2860">
        <v>7</v>
      </c>
      <c r="D56" s="2860" t="s">
        <v>6776</v>
      </c>
      <c r="E56" s="2860" t="s">
        <v>6777</v>
      </c>
      <c r="F56" s="2860" t="s">
        <v>6773</v>
      </c>
      <c r="G56" s="2860" t="s">
        <v>6778</v>
      </c>
      <c r="H56" s="2221" t="s">
        <v>6742</v>
      </c>
      <c r="I56" s="2853" t="s">
        <v>6779</v>
      </c>
      <c r="J56" s="2854"/>
      <c r="K56" s="2210"/>
      <c r="L56" s="2210"/>
      <c r="M56" s="2210"/>
      <c r="N56" s="2210"/>
      <c r="O56" s="2210"/>
      <c r="P56" s="2210"/>
      <c r="Q56" s="2210"/>
      <c r="R56" s="2210"/>
      <c r="S56" s="2210"/>
    </row>
    <row r="57" spans="1:19" s="2191" customFormat="1" ht="29.4" hidden="1" thickBot="1">
      <c r="A57" s="2210"/>
      <c r="B57" s="2210"/>
      <c r="C57" s="2861"/>
      <c r="D57" s="2861"/>
      <c r="E57" s="2861"/>
      <c r="F57" s="2861"/>
      <c r="G57" s="2861"/>
      <c r="H57" s="2221" t="s">
        <v>6744</v>
      </c>
      <c r="I57" s="2853" t="s">
        <v>6743</v>
      </c>
      <c r="J57" s="2854"/>
      <c r="K57" s="2210"/>
      <c r="L57" s="2210"/>
      <c r="M57" s="2210"/>
      <c r="N57" s="2210"/>
      <c r="O57" s="2210"/>
      <c r="P57" s="2210"/>
      <c r="Q57" s="2210"/>
      <c r="R57" s="2210"/>
      <c r="S57" s="2210"/>
    </row>
    <row r="58" spans="1:19" s="2191" customFormat="1" ht="29.4" hidden="1" thickBot="1">
      <c r="A58" s="2210"/>
      <c r="B58" s="2210"/>
      <c r="C58" s="2861"/>
      <c r="D58" s="2861"/>
      <c r="E58" s="2861"/>
      <c r="F58" s="2861"/>
      <c r="G58" s="2861"/>
      <c r="H58" s="2221" t="s">
        <v>6745</v>
      </c>
      <c r="I58" s="2853" t="s">
        <v>6780</v>
      </c>
      <c r="J58" s="2854"/>
      <c r="K58" s="2210"/>
      <c r="L58" s="2210"/>
      <c r="M58" s="2210"/>
      <c r="N58" s="2210"/>
      <c r="O58" s="2210"/>
      <c r="P58" s="2210"/>
      <c r="Q58" s="2210"/>
      <c r="R58" s="2210"/>
      <c r="S58" s="2210"/>
    </row>
    <row r="59" spans="1:19" s="2191" customFormat="1" ht="29.4" hidden="1" thickBot="1">
      <c r="A59" s="2210"/>
      <c r="B59" s="2210"/>
      <c r="C59" s="2861"/>
      <c r="D59" s="2861"/>
      <c r="E59" s="2861"/>
      <c r="F59" s="2861"/>
      <c r="G59" s="2861"/>
      <c r="H59" s="2221" t="s">
        <v>6746</v>
      </c>
      <c r="I59" s="2853" t="s">
        <v>195</v>
      </c>
      <c r="J59" s="2854"/>
      <c r="K59" s="2210"/>
      <c r="L59" s="2210"/>
      <c r="M59" s="2210"/>
      <c r="N59" s="2210"/>
      <c r="O59" s="2210"/>
      <c r="P59" s="2210"/>
      <c r="Q59" s="2210"/>
      <c r="R59" s="2210"/>
      <c r="S59" s="2210"/>
    </row>
    <row r="60" spans="1:19" s="2191" customFormat="1" ht="16.2" hidden="1" thickBot="1">
      <c r="A60" s="2210"/>
      <c r="B60" s="2210"/>
      <c r="C60" s="2862"/>
      <c r="D60" s="2862"/>
      <c r="E60" s="2862"/>
      <c r="F60" s="2862"/>
      <c r="G60" s="2862"/>
      <c r="H60" s="2221" t="s">
        <v>6770</v>
      </c>
      <c r="I60" s="2853" t="s">
        <v>6781</v>
      </c>
      <c r="J60" s="2854"/>
      <c r="K60" s="2210"/>
      <c r="L60" s="2210"/>
      <c r="M60" s="2210"/>
      <c r="N60" s="2210"/>
      <c r="O60" s="2210"/>
      <c r="P60" s="2210"/>
      <c r="Q60" s="2210"/>
      <c r="R60" s="2210"/>
      <c r="S60" s="2210"/>
    </row>
    <row r="61" spans="1:19" s="2191" customFormat="1" hidden="1">
      <c r="A61" s="2210"/>
      <c r="B61" s="2210"/>
      <c r="C61" s="2210"/>
      <c r="D61" s="2210"/>
      <c r="E61" s="2210"/>
      <c r="F61" s="2210"/>
      <c r="G61" s="2210"/>
      <c r="H61" s="2210"/>
      <c r="I61" s="2210"/>
      <c r="J61" s="2210"/>
      <c r="K61" s="2210"/>
      <c r="L61" s="2210"/>
      <c r="M61" s="2210"/>
      <c r="N61" s="2210"/>
      <c r="O61" s="2210"/>
      <c r="P61" s="2210"/>
      <c r="Q61" s="2210"/>
      <c r="R61" s="2210"/>
      <c r="S61" s="2210"/>
    </row>
    <row r="62" spans="1:19" s="2191" customFormat="1" hidden="1">
      <c r="A62" s="2210"/>
      <c r="B62" s="2855" t="s">
        <v>6782</v>
      </c>
      <c r="C62" s="2855"/>
      <c r="D62" s="2855"/>
      <c r="E62" s="2855"/>
      <c r="F62" s="2855"/>
      <c r="G62" s="2855"/>
      <c r="H62" s="2855"/>
      <c r="I62" s="2855"/>
      <c r="J62" s="2855"/>
      <c r="K62" s="2210"/>
      <c r="L62" s="2210"/>
      <c r="M62" s="2210"/>
      <c r="N62" s="2210"/>
      <c r="O62" s="2210"/>
      <c r="P62" s="2210"/>
      <c r="Q62" s="2210"/>
      <c r="R62" s="2210"/>
      <c r="S62" s="2210"/>
    </row>
    <row r="63" spans="1:19" s="2191" customFormat="1" hidden="1">
      <c r="A63" s="2210"/>
      <c r="B63" s="2856" t="s">
        <v>6783</v>
      </c>
      <c r="C63" s="2856"/>
      <c r="D63" s="2856"/>
      <c r="E63" s="2856"/>
      <c r="F63" s="2856"/>
      <c r="G63" s="2856"/>
      <c r="H63" s="2856"/>
      <c r="I63" s="2856"/>
      <c r="J63" s="2856"/>
      <c r="K63" s="2210"/>
      <c r="L63" s="2210"/>
      <c r="M63" s="2210"/>
      <c r="N63" s="2210"/>
      <c r="O63" s="2210"/>
      <c r="P63" s="2210"/>
      <c r="Q63" s="2210"/>
      <c r="R63" s="2210"/>
      <c r="S63" s="2210"/>
    </row>
    <row r="64" spans="1:19" s="2191" customFormat="1" ht="17.399999999999999" hidden="1">
      <c r="A64" s="2210"/>
      <c r="B64" s="2223"/>
      <c r="C64" s="2210"/>
      <c r="D64" s="2210"/>
      <c r="E64" s="2210"/>
      <c r="F64" s="2210"/>
      <c r="G64" s="2210"/>
      <c r="H64" s="2210"/>
      <c r="I64" s="2210"/>
      <c r="J64" s="2210"/>
      <c r="K64" s="2210"/>
      <c r="L64" s="2210"/>
      <c r="M64" s="2210"/>
      <c r="N64" s="2210"/>
      <c r="O64" s="2210"/>
      <c r="P64" s="2210"/>
      <c r="Q64" s="2210"/>
      <c r="R64" s="2210"/>
      <c r="S64" s="2210"/>
    </row>
    <row r="65" spans="1:19" s="2191" customFormat="1" ht="17.399999999999999" hidden="1">
      <c r="A65" s="2210"/>
      <c r="B65" s="2857" t="s">
        <v>6784</v>
      </c>
      <c r="C65" s="2857"/>
      <c r="D65" s="2857"/>
      <c r="E65" s="2857"/>
      <c r="F65" s="2857"/>
      <c r="G65" s="2857"/>
      <c r="H65" s="2857"/>
      <c r="I65" s="2857"/>
      <c r="J65" s="2857"/>
      <c r="K65" s="2210"/>
      <c r="L65" s="2210"/>
      <c r="M65" s="2210"/>
      <c r="N65" s="2210"/>
      <c r="O65" s="2210"/>
      <c r="P65" s="2210"/>
      <c r="Q65" s="2210"/>
      <c r="R65" s="2210"/>
      <c r="S65" s="2210"/>
    </row>
    <row r="66" spans="1:19" s="2191" customFormat="1" ht="18" hidden="1">
      <c r="A66" s="2210"/>
      <c r="B66" s="2858" t="s">
        <v>6785</v>
      </c>
      <c r="C66" s="2858"/>
      <c r="D66" s="2858"/>
      <c r="E66" s="2858"/>
      <c r="F66" s="2858"/>
      <c r="G66" s="2858"/>
      <c r="H66" s="2858"/>
      <c r="I66" s="2858"/>
      <c r="J66" s="2858"/>
      <c r="K66" s="2210"/>
      <c r="L66" s="2210"/>
      <c r="M66" s="2210"/>
      <c r="N66" s="2210"/>
      <c r="O66" s="2210"/>
      <c r="P66" s="2210"/>
      <c r="Q66" s="2210"/>
      <c r="R66" s="2210"/>
      <c r="S66" s="2210"/>
    </row>
    <row r="67" spans="1:19" s="2191" customFormat="1" ht="18" hidden="1">
      <c r="A67" s="2210"/>
      <c r="B67" s="2858" t="s">
        <v>6786</v>
      </c>
      <c r="C67" s="2858"/>
      <c r="D67" s="2858"/>
      <c r="E67" s="2858"/>
      <c r="F67" s="2858"/>
      <c r="G67" s="2858"/>
      <c r="H67" s="2858"/>
      <c r="I67" s="2858"/>
      <c r="J67" s="2858"/>
      <c r="K67" s="2210"/>
      <c r="L67" s="2210"/>
      <c r="M67" s="2210"/>
      <c r="N67" s="2210"/>
      <c r="O67" s="2210"/>
      <c r="P67" s="2210"/>
      <c r="Q67" s="2210"/>
      <c r="R67" s="2210"/>
      <c r="S67" s="2210"/>
    </row>
    <row r="68" spans="1:19" s="2191" customFormat="1" ht="18" hidden="1">
      <c r="A68" s="2210"/>
      <c r="B68" s="2852" t="s">
        <v>6787</v>
      </c>
      <c r="C68" s="2852"/>
      <c r="D68" s="2852"/>
      <c r="E68" s="2852"/>
      <c r="F68" s="2852"/>
      <c r="G68" s="2852"/>
      <c r="H68" s="2852"/>
      <c r="I68" s="2852"/>
      <c r="J68" s="2852"/>
      <c r="K68" s="2210"/>
      <c r="L68" s="2210"/>
      <c r="M68" s="2210"/>
      <c r="N68" s="2210"/>
      <c r="O68" s="2210"/>
      <c r="P68" s="2210"/>
      <c r="Q68" s="2210"/>
      <c r="R68" s="2210"/>
      <c r="S68" s="2210"/>
    </row>
    <row r="69" spans="1:19" s="2190" customFormat="1">
      <c r="A69" s="2204"/>
      <c r="B69" s="2204"/>
      <c r="C69" s="2204"/>
      <c r="D69" s="2204"/>
      <c r="E69" s="2204"/>
      <c r="F69" s="2204"/>
      <c r="G69" s="2204"/>
      <c r="H69" s="2204"/>
      <c r="I69" s="2204"/>
      <c r="J69" s="2204"/>
      <c r="K69" s="2204"/>
      <c r="L69" s="2204"/>
      <c r="M69" s="2204"/>
      <c r="N69" s="2204"/>
      <c r="O69" s="2204"/>
      <c r="P69" s="2204"/>
      <c r="Q69" s="2204"/>
      <c r="R69" s="2204"/>
      <c r="S69" s="2204"/>
    </row>
    <row r="70" spans="1:19">
      <c r="A70" s="2178"/>
      <c r="B70" s="2200"/>
      <c r="C70" s="2200"/>
      <c r="D70" s="2200"/>
      <c r="E70" s="2200"/>
      <c r="F70" s="2200"/>
      <c r="G70" s="2200"/>
      <c r="H70" s="2200"/>
      <c r="I70" s="2200"/>
      <c r="J70" s="2200"/>
      <c r="K70" s="2178"/>
      <c r="L70" s="2178"/>
      <c r="M70" s="2178"/>
      <c r="N70" s="2178"/>
      <c r="O70" s="2178"/>
      <c r="P70" s="2178"/>
      <c r="Q70" s="2178"/>
      <c r="R70" s="2178"/>
      <c r="S70" s="2178"/>
    </row>
    <row r="71" spans="1:19">
      <c r="A71" s="2178"/>
      <c r="B71" s="2178"/>
      <c r="C71" s="2178"/>
      <c r="D71" s="2178"/>
      <c r="E71" s="2178"/>
      <c r="F71" s="2178"/>
      <c r="G71" s="2178"/>
      <c r="H71" s="2178"/>
      <c r="I71" s="2178"/>
      <c r="J71" s="2178"/>
      <c r="K71" s="2178"/>
      <c r="L71" s="2178"/>
      <c r="M71" s="2178"/>
      <c r="N71" s="2178"/>
      <c r="O71" s="2178"/>
      <c r="P71" s="2178"/>
      <c r="Q71" s="2178"/>
      <c r="R71" s="2178"/>
      <c r="S71" s="2178"/>
    </row>
    <row r="72" spans="1:19">
      <c r="A72" s="2178"/>
      <c r="B72" s="2178"/>
      <c r="C72" s="2178"/>
      <c r="D72" s="2178"/>
      <c r="E72" s="2178"/>
      <c r="F72" s="2178"/>
      <c r="G72" s="2178"/>
      <c r="H72" s="2178"/>
      <c r="I72" s="2178"/>
      <c r="J72" s="2178"/>
      <c r="K72" s="2178"/>
      <c r="L72" s="2178"/>
      <c r="M72" s="2178"/>
      <c r="N72" s="2178"/>
      <c r="O72" s="2178"/>
      <c r="P72" s="2178"/>
      <c r="Q72" s="2178"/>
      <c r="R72" s="2178"/>
      <c r="S72" s="2178"/>
    </row>
    <row r="73" spans="1:19">
      <c r="A73" s="2178"/>
      <c r="B73" s="2178"/>
      <c r="C73" s="2178"/>
      <c r="D73" s="2178"/>
      <c r="E73" s="2178"/>
      <c r="F73" s="2178"/>
      <c r="G73" s="2178"/>
      <c r="H73" s="2178"/>
      <c r="I73" s="2178"/>
      <c r="J73" s="2178"/>
      <c r="K73" s="2178"/>
      <c r="L73" s="2178"/>
      <c r="M73" s="2178"/>
      <c r="N73" s="2178"/>
      <c r="O73" s="2178"/>
      <c r="P73" s="2178"/>
      <c r="Q73" s="2178"/>
      <c r="R73" s="2178"/>
      <c r="S73" s="2178"/>
    </row>
    <row r="74" spans="1:19">
      <c r="A74" s="2178"/>
      <c r="B74" s="2178"/>
      <c r="C74" s="2178"/>
      <c r="D74" s="2178"/>
      <c r="E74" s="2178"/>
      <c r="F74" s="2178"/>
      <c r="G74" s="2178"/>
      <c r="H74" s="2178"/>
      <c r="I74" s="2178"/>
      <c r="J74" s="2178"/>
      <c r="K74" s="2178"/>
      <c r="L74" s="2178"/>
      <c r="M74" s="2178"/>
      <c r="N74" s="2178"/>
      <c r="O74" s="2178"/>
      <c r="P74" s="2178"/>
      <c r="Q74" s="2178"/>
      <c r="R74" s="2178"/>
      <c r="S74" s="2178"/>
    </row>
    <row r="75" spans="1:19">
      <c r="A75" s="2178"/>
      <c r="B75" s="2178"/>
      <c r="C75" s="2178"/>
      <c r="D75" s="2178"/>
      <c r="E75" s="2178"/>
      <c r="F75" s="2178"/>
      <c r="G75" s="2178"/>
      <c r="H75" s="2178"/>
      <c r="I75" s="2178"/>
      <c r="J75" s="2178"/>
      <c r="K75" s="2178"/>
      <c r="L75" s="2178"/>
      <c r="M75" s="2178"/>
      <c r="N75" s="2178"/>
      <c r="O75" s="2178"/>
      <c r="P75" s="2178"/>
      <c r="Q75" s="2178"/>
      <c r="R75" s="2178"/>
      <c r="S75" s="2178"/>
    </row>
  </sheetData>
  <sheetProtection selectLockedCells="1"/>
  <mergeCells count="87">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 ref="C28:J28"/>
    <mergeCell ref="C29:C30"/>
    <mergeCell ref="D29:D30"/>
    <mergeCell ref="F29:F30"/>
    <mergeCell ref="G29:I30"/>
    <mergeCell ref="J29:J30"/>
    <mergeCell ref="C31:C36"/>
    <mergeCell ref="D31:D36"/>
    <mergeCell ref="E31:E36"/>
    <mergeCell ref="G31:G35"/>
    <mergeCell ref="H31:I31"/>
    <mergeCell ref="H32:I32"/>
    <mergeCell ref="H33:I33"/>
    <mergeCell ref="H34:I34"/>
    <mergeCell ref="H35:I35"/>
    <mergeCell ref="F37:F40"/>
    <mergeCell ref="G37:G40"/>
    <mergeCell ref="C41:C42"/>
    <mergeCell ref="D41:D42"/>
    <mergeCell ref="E41:I42"/>
    <mergeCell ref="H37:I37"/>
    <mergeCell ref="H38:I38"/>
    <mergeCell ref="H39:I39"/>
    <mergeCell ref="H40:I40"/>
    <mergeCell ref="C37:C40"/>
    <mergeCell ref="D37:D40"/>
    <mergeCell ref="E37:E40"/>
    <mergeCell ref="J41:J42"/>
    <mergeCell ref="C43:C46"/>
    <mergeCell ref="D43:D46"/>
    <mergeCell ref="E43:E46"/>
    <mergeCell ref="F43:F46"/>
    <mergeCell ref="G43:G46"/>
    <mergeCell ref="H43:I43"/>
    <mergeCell ref="H44:I44"/>
    <mergeCell ref="H45:I45"/>
    <mergeCell ref="H46:I46"/>
    <mergeCell ref="H47:I47"/>
    <mergeCell ref="H48:I48"/>
    <mergeCell ref="H49:I49"/>
    <mergeCell ref="H50:I50"/>
    <mergeCell ref="H51:I51"/>
    <mergeCell ref="F52:F55"/>
    <mergeCell ref="G52:G55"/>
    <mergeCell ref="D47:D51"/>
    <mergeCell ref="E47:E51"/>
    <mergeCell ref="F47:F51"/>
    <mergeCell ref="G47:G51"/>
    <mergeCell ref="I52:J52"/>
    <mergeCell ref="I53:J53"/>
    <mergeCell ref="I54:J54"/>
    <mergeCell ref="I55:J55"/>
    <mergeCell ref="C56:C60"/>
    <mergeCell ref="D56:D60"/>
    <mergeCell ref="E56:E60"/>
    <mergeCell ref="F56:F60"/>
    <mergeCell ref="G56:G60"/>
    <mergeCell ref="I56:J56"/>
    <mergeCell ref="I57:J57"/>
    <mergeCell ref="I58:J58"/>
    <mergeCell ref="I59:J59"/>
    <mergeCell ref="C52:C55"/>
    <mergeCell ref="D52:D55"/>
    <mergeCell ref="E52:E55"/>
    <mergeCell ref="B68:J68"/>
    <mergeCell ref="I60:J60"/>
    <mergeCell ref="B62:J62"/>
    <mergeCell ref="B63:J63"/>
    <mergeCell ref="B65:J65"/>
    <mergeCell ref="B66:J66"/>
    <mergeCell ref="B67:J67"/>
  </mergeCells>
  <phoneticPr fontId="51" type="noConversion"/>
  <dataValidations count="2">
    <dataValidation type="list" allowBlank="1" showInputMessage="1" showErrorMessage="1" sqref="D4">
      <formula1>$D$18:$D$19</formula1>
    </dataValidation>
    <dataValidation type="list" allowBlank="1" showInputMessage="1" showErrorMessage="1" sqref="C3">
      <formula1>$C$18:$C$24</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H26"/>
  <sheetViews>
    <sheetView workbookViewId="0">
      <selection activeCell="D4" sqref="D4:G4"/>
    </sheetView>
  </sheetViews>
  <sheetFormatPr defaultColWidth="9" defaultRowHeight="24" customHeight="1"/>
  <cols>
    <col min="1" max="1" width="8.09765625" style="120" customWidth="1"/>
    <col min="2" max="2" width="9" style="120"/>
    <col min="3" max="3" width="4.09765625" style="120" customWidth="1"/>
    <col min="4" max="4" width="14.59765625" style="120" customWidth="1"/>
    <col min="5" max="5" width="16.69921875" style="120" customWidth="1"/>
    <col min="6" max="6" width="9" style="120"/>
    <col min="7" max="7" width="18.3984375" style="120" customWidth="1"/>
    <col min="8" max="8" width="9.09765625" style="120" customWidth="1"/>
    <col min="9" max="16384" width="9" style="120"/>
  </cols>
  <sheetData>
    <row r="1" spans="1:8" ht="24" customHeight="1">
      <c r="A1" s="2844" t="s">
        <v>306</v>
      </c>
      <c r="B1" s="2844"/>
      <c r="C1" s="2844"/>
      <c r="D1" s="2844"/>
      <c r="E1" s="2844"/>
      <c r="F1" s="2844"/>
      <c r="G1" s="2844"/>
      <c r="H1" s="121"/>
    </row>
    <row r="2" spans="1:8" ht="50.25" customHeight="1">
      <c r="A2" s="122"/>
      <c r="B2" s="122"/>
      <c r="C2" s="122"/>
      <c r="D2" s="122"/>
      <c r="E2" s="122"/>
      <c r="F2" s="123" t="s">
        <v>1028</v>
      </c>
      <c r="G2" s="124" t="str">
        <f>档案索引!A25</f>
        <v>2A-5</v>
      </c>
      <c r="H2" s="125"/>
    </row>
    <row r="3" spans="1:8" ht="29.25" customHeight="1">
      <c r="A3" s="126" t="str">
        <f>基本情况!B8&amp;"："</f>
        <v>中汇百邦（厦门）税务师事务所有限公司：</v>
      </c>
      <c r="B3" s="122"/>
      <c r="C3" s="122"/>
      <c r="D3" s="122"/>
      <c r="E3" s="122"/>
      <c r="F3" s="122"/>
      <c r="G3" s="122"/>
    </row>
    <row r="4" spans="1:8" ht="24" customHeight="1">
      <c r="A4" s="122" t="s">
        <v>1029</v>
      </c>
      <c r="B4" s="122" t="s">
        <v>1030</v>
      </c>
      <c r="C4" s="122"/>
      <c r="D4" s="2914" t="str">
        <f>IF(OR(基本情况!B6&lt;&gt;"12月31日",基本情况!F5&lt;&gt;"01",基本情况!G5&lt;&gt;"01"),基本情况!B7,基本情况!B4&amp;"年度")&amp;基本情况!B3&amp;"，"</f>
        <v>2016年度企业所得税年度纳税申报审核，</v>
      </c>
      <c r="E4" s="2914"/>
      <c r="F4" s="2914"/>
      <c r="G4" s="2914"/>
    </row>
    <row r="5" spans="1:8" ht="24" customHeight="1">
      <c r="A5" s="122" t="s">
        <v>1031</v>
      </c>
      <c r="B5" s="122"/>
      <c r="C5" s="122"/>
      <c r="D5" s="122"/>
      <c r="E5" s="122"/>
      <c r="F5" s="122"/>
      <c r="G5" s="122"/>
    </row>
    <row r="6" spans="1:8" ht="24" customHeight="1">
      <c r="A6" s="122" t="s">
        <v>1032</v>
      </c>
      <c r="B6" s="122"/>
      <c r="C6" s="122"/>
      <c r="D6" s="122"/>
      <c r="E6" s="122"/>
      <c r="F6" s="122"/>
      <c r="G6" s="122"/>
    </row>
    <row r="7" spans="1:8" ht="24" customHeight="1">
      <c r="A7" s="122" t="s">
        <v>1033</v>
      </c>
      <c r="B7" s="122"/>
      <c r="C7" s="122"/>
      <c r="D7" s="122"/>
      <c r="E7" s="122"/>
      <c r="F7" s="122"/>
      <c r="G7" s="122"/>
    </row>
    <row r="8" spans="1:8" ht="24" customHeight="1">
      <c r="A8" s="122" t="s">
        <v>1034</v>
      </c>
      <c r="B8" s="122"/>
      <c r="C8" s="122"/>
      <c r="D8" s="122"/>
      <c r="E8" s="122"/>
      <c r="F8" s="122"/>
      <c r="G8" s="122"/>
    </row>
    <row r="9" spans="1:8" ht="24" customHeight="1">
      <c r="A9" s="122" t="s">
        <v>1035</v>
      </c>
      <c r="B9" s="122"/>
      <c r="C9" s="122"/>
      <c r="D9" s="122"/>
      <c r="E9" s="122"/>
      <c r="F9" s="122"/>
      <c r="G9" s="122"/>
    </row>
    <row r="10" spans="1:8" ht="24" customHeight="1">
      <c r="A10" s="122" t="s">
        <v>1036</v>
      </c>
      <c r="B10" s="122"/>
      <c r="C10" s="122"/>
      <c r="D10" s="122"/>
      <c r="E10" s="122"/>
      <c r="F10" s="122"/>
      <c r="G10" s="122"/>
    </row>
    <row r="11" spans="1:8" ht="24" customHeight="1">
      <c r="A11" s="122" t="s">
        <v>1037</v>
      </c>
      <c r="B11" s="122"/>
      <c r="C11" s="122"/>
      <c r="D11" s="122"/>
      <c r="E11" s="122"/>
      <c r="F11" s="122"/>
      <c r="G11" s="122"/>
    </row>
    <row r="12" spans="1:8" ht="24" customHeight="1">
      <c r="A12" s="122" t="s">
        <v>1038</v>
      </c>
      <c r="B12" s="122"/>
      <c r="C12" s="122"/>
      <c r="D12" s="122"/>
      <c r="E12" s="122"/>
      <c r="F12" s="122"/>
      <c r="G12" s="122"/>
    </row>
    <row r="13" spans="1:8" ht="24" customHeight="1">
      <c r="A13" s="122" t="s">
        <v>1039</v>
      </c>
      <c r="B13" s="122"/>
      <c r="C13" s="122"/>
      <c r="D13" s="122"/>
      <c r="E13" s="122"/>
      <c r="F13" s="122"/>
      <c r="G13" s="122"/>
    </row>
    <row r="14" spans="1:8" ht="24" customHeight="1">
      <c r="A14" s="122" t="s">
        <v>1040</v>
      </c>
      <c r="B14" s="122"/>
      <c r="C14" s="122"/>
      <c r="D14" s="122"/>
      <c r="E14" s="122"/>
      <c r="F14" s="122"/>
      <c r="G14" s="122"/>
    </row>
    <row r="15" spans="1:8" ht="24" customHeight="1">
      <c r="A15" s="122" t="s">
        <v>1041</v>
      </c>
      <c r="B15" s="122"/>
      <c r="C15" s="122"/>
      <c r="D15" s="122"/>
      <c r="E15" s="122"/>
      <c r="F15" s="122"/>
      <c r="G15" s="122"/>
    </row>
    <row r="16" spans="1:8" ht="24" customHeight="1">
      <c r="A16" s="122" t="s">
        <v>1042</v>
      </c>
      <c r="B16" s="122" t="s">
        <v>1043</v>
      </c>
      <c r="C16" s="122"/>
      <c r="D16" s="122"/>
      <c r="E16" s="122"/>
      <c r="F16" s="122"/>
      <c r="G16" s="122"/>
    </row>
    <row r="17" spans="1:8" ht="24" customHeight="1">
      <c r="A17" s="122" t="s">
        <v>1044</v>
      </c>
      <c r="B17" s="122"/>
      <c r="C17" s="122"/>
      <c r="D17" s="122"/>
      <c r="E17" s="122"/>
      <c r="F17" s="122"/>
      <c r="G17" s="122"/>
    </row>
    <row r="18" spans="1:8" ht="24" customHeight="1">
      <c r="A18" s="122" t="s">
        <v>1045</v>
      </c>
      <c r="B18" s="122"/>
      <c r="C18" s="122"/>
      <c r="D18" s="122"/>
      <c r="E18" s="122"/>
      <c r="F18" s="122"/>
      <c r="G18" s="122"/>
    </row>
    <row r="19" spans="1:8" ht="24" customHeight="1">
      <c r="A19" s="122" t="s">
        <v>1046</v>
      </c>
      <c r="B19" s="122"/>
      <c r="C19" s="122"/>
      <c r="D19" s="122"/>
      <c r="E19" s="122"/>
      <c r="F19" s="122"/>
      <c r="G19" s="122"/>
    </row>
    <row r="20" spans="1:8" ht="24" customHeight="1">
      <c r="A20" s="122" t="s">
        <v>1047</v>
      </c>
      <c r="B20" s="122"/>
      <c r="C20" s="122"/>
      <c r="D20" s="122"/>
      <c r="E20" s="122"/>
      <c r="F20" s="122"/>
      <c r="G20" s="122"/>
    </row>
    <row r="21" spans="1:8" ht="24" customHeight="1">
      <c r="A21" s="2915" t="s">
        <v>1048</v>
      </c>
      <c r="B21" s="2915"/>
      <c r="C21" s="2915"/>
      <c r="D21" s="2915"/>
      <c r="E21" s="2915"/>
      <c r="F21" s="2915"/>
      <c r="G21" s="2915"/>
      <c r="H21" s="127"/>
    </row>
    <row r="22" spans="1:8" ht="24" customHeight="1">
      <c r="A22" s="122"/>
      <c r="B22" s="122"/>
      <c r="C22" s="122"/>
      <c r="D22" s="122"/>
      <c r="E22" s="122"/>
      <c r="F22" s="122"/>
      <c r="G22" s="122"/>
    </row>
    <row r="23" spans="1:8" ht="24" customHeight="1">
      <c r="A23" s="122"/>
      <c r="B23" s="122"/>
      <c r="C23" s="122"/>
      <c r="D23" s="122"/>
      <c r="E23" s="122"/>
      <c r="F23" s="122"/>
      <c r="G23" s="122"/>
    </row>
    <row r="24" spans="1:8" ht="24" customHeight="1">
      <c r="A24" s="122" t="s">
        <v>1049</v>
      </c>
      <c r="B24" s="122"/>
      <c r="C24" s="122"/>
      <c r="D24" s="128"/>
      <c r="E24" s="122"/>
      <c r="F24" s="122" t="s">
        <v>1050</v>
      </c>
      <c r="G24" s="122"/>
    </row>
    <row r="25" spans="1:8" ht="24" customHeight="1">
      <c r="A25" s="122"/>
      <c r="B25" s="122"/>
      <c r="C25" s="122"/>
      <c r="D25" s="128"/>
      <c r="E25" s="122"/>
      <c r="F25" s="122"/>
      <c r="G25" s="122"/>
    </row>
    <row r="26" spans="1:8" ht="24" customHeight="1">
      <c r="A26" s="122" t="s">
        <v>1051</v>
      </c>
      <c r="B26" s="122"/>
      <c r="C26" s="122"/>
      <c r="D26" s="128"/>
      <c r="E26" s="122"/>
      <c r="F26" s="122"/>
      <c r="G26" s="129"/>
    </row>
  </sheetData>
  <sheetProtection selectLockedCells="1" selectUnlockedCells="1"/>
  <mergeCells count="3">
    <mergeCell ref="A1:G1"/>
    <mergeCell ref="D4:G4"/>
    <mergeCell ref="A21:G21"/>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Q33"/>
  <sheetViews>
    <sheetView workbookViewId="0">
      <selection activeCell="B9" sqref="B9:K10"/>
    </sheetView>
  </sheetViews>
  <sheetFormatPr defaultRowHeight="15.6"/>
  <cols>
    <col min="1" max="1" width="1.09765625" customWidth="1"/>
    <col min="2" max="2" width="10.8984375" style="130" customWidth="1"/>
    <col min="3" max="3" width="14.3984375" style="130" customWidth="1"/>
    <col min="4" max="4" width="12.3984375" style="130" customWidth="1"/>
    <col min="5" max="5" width="4.69921875" style="130" customWidth="1"/>
    <col min="6" max="6" width="12.3984375" style="130" customWidth="1"/>
    <col min="7" max="7" width="4.09765625" style="130" customWidth="1"/>
    <col min="8" max="8" width="3.59765625" style="130" customWidth="1"/>
    <col min="9" max="9" width="3.5" style="130" customWidth="1"/>
    <col min="10" max="10" width="4.19921875" style="130" customWidth="1"/>
    <col min="11" max="11" width="12.69921875" style="130" customWidth="1"/>
    <col min="12" max="12" width="13.09765625" customWidth="1"/>
  </cols>
  <sheetData>
    <row r="1" spans="1:17" ht="29.25" customHeight="1">
      <c r="A1" s="131"/>
      <c r="B1" s="2785" t="s">
        <v>310</v>
      </c>
      <c r="C1" s="2785"/>
      <c r="D1" s="2785"/>
      <c r="E1" s="2785"/>
      <c r="F1" s="2785"/>
      <c r="G1" s="2785"/>
      <c r="H1" s="2785"/>
      <c r="I1" s="2785"/>
      <c r="J1" s="2785"/>
      <c r="K1" s="2785"/>
      <c r="L1" s="84"/>
      <c r="M1" s="84"/>
      <c r="N1" s="84"/>
      <c r="O1" s="84"/>
      <c r="P1" s="84"/>
      <c r="Q1" s="84"/>
    </row>
    <row r="2" spans="1:17" ht="15.75" customHeight="1">
      <c r="A2" s="131"/>
      <c r="B2" s="132"/>
      <c r="C2" s="132"/>
      <c r="D2" s="132"/>
      <c r="E2" s="132"/>
      <c r="F2" s="132"/>
      <c r="G2" s="133" t="s">
        <v>1052</v>
      </c>
      <c r="H2" s="133"/>
      <c r="I2" s="133"/>
      <c r="J2" s="133"/>
      <c r="K2" s="134" t="str">
        <f>档案索引!A26</f>
        <v>2A-6</v>
      </c>
      <c r="L2" s="84"/>
      <c r="M2" s="84"/>
      <c r="N2" s="84"/>
      <c r="O2" s="84"/>
      <c r="P2" s="84"/>
      <c r="Q2" s="84"/>
    </row>
    <row r="3" spans="1:17" ht="22.5" customHeight="1">
      <c r="B3" s="135" t="s">
        <v>447</v>
      </c>
      <c r="C3" s="2928">
        <f>基本情况!B2</f>
        <v>0</v>
      </c>
      <c r="D3" s="2928"/>
      <c r="E3" s="2928"/>
      <c r="F3" s="2928"/>
      <c r="G3" s="2929" t="s">
        <v>450</v>
      </c>
      <c r="H3" s="2929"/>
      <c r="I3" s="2929"/>
      <c r="J3" s="2929"/>
      <c r="K3" s="137">
        <f>基本情况!B11</f>
        <v>0</v>
      </c>
      <c r="L3" s="84"/>
      <c r="M3" s="84"/>
      <c r="N3" s="84"/>
      <c r="O3" s="84"/>
      <c r="P3" s="84"/>
      <c r="Q3" s="84"/>
    </row>
    <row r="4" spans="1:17" ht="22.5" customHeight="1">
      <c r="B4" s="138" t="s">
        <v>451</v>
      </c>
      <c r="C4" s="2930" t="str">
        <f>基本情况!B7</f>
        <v>2016年01月01日至2016年12月31日</v>
      </c>
      <c r="D4" s="2930"/>
      <c r="E4" s="2930"/>
      <c r="F4" s="2930"/>
      <c r="G4" s="2931" t="s">
        <v>1053</v>
      </c>
      <c r="H4" s="2931"/>
      <c r="I4" s="2931"/>
      <c r="J4" s="2931"/>
      <c r="K4" s="141">
        <f>基本情况!B19+1</f>
        <v>42811</v>
      </c>
      <c r="L4" s="84"/>
      <c r="M4" s="84"/>
      <c r="N4" s="84"/>
      <c r="O4" s="84"/>
      <c r="P4" s="84"/>
      <c r="Q4" s="84"/>
    </row>
    <row r="5" spans="1:17" ht="7.5" customHeight="1">
      <c r="B5" s="2926"/>
      <c r="C5" s="2926"/>
      <c r="D5" s="2926"/>
      <c r="E5" s="2926"/>
      <c r="F5" s="2926"/>
      <c r="G5" s="2926"/>
      <c r="H5" s="2926"/>
      <c r="I5" s="2926"/>
      <c r="J5" s="2926"/>
      <c r="K5" s="2926"/>
      <c r="L5" s="84"/>
      <c r="M5" s="84"/>
      <c r="N5" s="84"/>
      <c r="O5" s="84"/>
      <c r="P5" s="84"/>
      <c r="Q5" s="84"/>
    </row>
    <row r="6" spans="1:17" ht="22.5" customHeight="1">
      <c r="B6" s="2918" t="s">
        <v>1054</v>
      </c>
      <c r="C6" s="2918"/>
      <c r="D6" s="2918"/>
      <c r="E6" s="2918"/>
      <c r="F6" s="2918"/>
      <c r="G6" s="2918"/>
      <c r="H6" s="2918"/>
      <c r="I6" s="2918"/>
      <c r="J6" s="2918"/>
      <c r="K6" s="2918"/>
      <c r="L6" s="84"/>
      <c r="M6" s="84"/>
      <c r="N6" s="84"/>
      <c r="O6" s="84"/>
      <c r="P6" s="84"/>
      <c r="Q6" s="84"/>
    </row>
    <row r="7" spans="1:17" ht="44.25" customHeight="1">
      <c r="B7" s="2927" t="str">
        <f>IF(OR(基本情况!B6&lt;&gt;"12月31日",基本情况!F5&lt;&gt;"01",基本情况!G5&lt;&gt;"01"),基本情况!B7,基本情况!B4&amp;"年")&amp;"企业所得税年度纳税申报审核"</f>
        <v>2016年企业所得税年度纳税申报审核</v>
      </c>
      <c r="C7" s="2927"/>
      <c r="D7" s="2927"/>
      <c r="E7" s="2927"/>
      <c r="F7" s="2927"/>
      <c r="G7" s="2927"/>
      <c r="H7" s="2927"/>
      <c r="I7" s="2927"/>
      <c r="J7" s="2927"/>
      <c r="K7" s="2927"/>
      <c r="L7" s="84"/>
      <c r="M7" s="84"/>
      <c r="N7" s="84"/>
      <c r="O7" s="84"/>
      <c r="P7" s="84"/>
      <c r="Q7" s="84"/>
    </row>
    <row r="8" spans="1:17" ht="22.5" customHeight="1">
      <c r="B8" s="2918" t="s">
        <v>1055</v>
      </c>
      <c r="C8" s="2918"/>
      <c r="D8" s="2918"/>
      <c r="E8" s="2918"/>
      <c r="F8" s="2918"/>
      <c r="G8" s="2918"/>
      <c r="H8" s="2918"/>
      <c r="I8" s="2918"/>
      <c r="J8" s="2918"/>
      <c r="K8" s="2918"/>
      <c r="L8" s="84"/>
      <c r="M8" s="84"/>
      <c r="N8" s="84"/>
      <c r="O8" s="84"/>
      <c r="P8" s="84"/>
      <c r="Q8" s="84"/>
    </row>
    <row r="9" spans="1:17" ht="22.5" customHeight="1">
      <c r="B9" s="2920" t="str">
        <f>"根据《中华人民共和国企业所得税法》、《中华人民共和国企业所得税法实施条例》以及其他税收法律、法规的规定，按照《注册税务师涉税审核业务基本准则》、《企业所得税汇算清缴纳税申报审核业务准则（试行）》的要求，对该单位"&amp;IF(OR(基本情况!B6&lt;&gt;"12月31日",基本情况!F5&lt;&gt;"01",基本情况!G5&lt;&gt;"01"),基本情况!B7,基本情况!B4&amp;"年")&amp;"企业所得税年度纳税申报进行审核。"</f>
        <v>根据《中华人民共和国企业所得税法》、《中华人民共和国企业所得税法实施条例》以及其他税收法律、法规的规定，按照《注册税务师涉税审核业务基本准则》、《企业所得税汇算清缴纳税申报审核业务准则（试行）》的要求，对该单位2016年企业所得税年度纳税申报进行审核。</v>
      </c>
      <c r="C9" s="2920"/>
      <c r="D9" s="2920"/>
      <c r="E9" s="2920"/>
      <c r="F9" s="2920"/>
      <c r="G9" s="2920"/>
      <c r="H9" s="2920"/>
      <c r="I9" s="2920"/>
      <c r="J9" s="2920"/>
      <c r="K9" s="2920"/>
      <c r="L9" s="84"/>
      <c r="M9" s="84"/>
      <c r="N9" s="84"/>
      <c r="O9" s="84"/>
      <c r="P9" s="84"/>
      <c r="Q9" s="84"/>
    </row>
    <row r="10" spans="1:17" ht="22.5" customHeight="1">
      <c r="B10" s="2920"/>
      <c r="C10" s="2920"/>
      <c r="D10" s="2920"/>
      <c r="E10" s="2920"/>
      <c r="F10" s="2920"/>
      <c r="G10" s="2920"/>
      <c r="H10" s="2920"/>
      <c r="I10" s="2920"/>
      <c r="J10" s="2920"/>
      <c r="K10" s="2920"/>
      <c r="L10" s="84"/>
      <c r="M10" s="84"/>
      <c r="N10" s="84"/>
      <c r="O10" s="84"/>
      <c r="P10" s="84"/>
      <c r="Q10" s="84"/>
    </row>
    <row r="11" spans="1:17" ht="22.5" customHeight="1">
      <c r="A11" s="142"/>
      <c r="B11" s="2918" t="s">
        <v>1056</v>
      </c>
      <c r="C11" s="2918"/>
      <c r="D11" s="2918"/>
      <c r="E11" s="2918"/>
      <c r="F11" s="2918"/>
      <c r="G11" s="2918"/>
      <c r="H11" s="2918"/>
      <c r="I11" s="2918"/>
      <c r="J11" s="2918"/>
      <c r="K11" s="2918"/>
      <c r="L11" s="84"/>
    </row>
    <row r="12" spans="1:17" ht="22.5" customHeight="1">
      <c r="B12" s="2921" t="s">
        <v>1057</v>
      </c>
      <c r="C12" s="2921"/>
      <c r="D12" s="2925">
        <f>基本情况!B19+1</f>
        <v>42811</v>
      </c>
      <c r="E12" s="2925"/>
      <c r="F12" s="2925"/>
      <c r="G12" s="2925"/>
      <c r="H12" s="2925"/>
      <c r="I12" s="2925"/>
      <c r="J12" s="2925"/>
      <c r="K12" s="2925"/>
      <c r="L12" s="144"/>
    </row>
    <row r="13" spans="1:17" ht="22.5" customHeight="1">
      <c r="B13" s="2921" t="s">
        <v>1058</v>
      </c>
      <c r="C13" s="2921"/>
      <c r="D13" s="145">
        <f>基本情况!B19+1</f>
        <v>42811</v>
      </c>
      <c r="E13" s="146" t="s">
        <v>1059</v>
      </c>
      <c r="F13" s="147">
        <f>D13+H13</f>
        <v>42814</v>
      </c>
      <c r="G13" s="148" t="s">
        <v>1060</v>
      </c>
      <c r="H13" s="149">
        <v>3</v>
      </c>
      <c r="I13" s="150" t="s">
        <v>1061</v>
      </c>
      <c r="J13" s="151">
        <f>COUNTA(B18:B25)*H13</f>
        <v>0</v>
      </c>
      <c r="K13" s="152" t="s">
        <v>1062</v>
      </c>
      <c r="L13" s="84"/>
    </row>
    <row r="14" spans="1:17" ht="22.5" customHeight="1">
      <c r="B14" s="2921" t="s">
        <v>1063</v>
      </c>
      <c r="C14" s="2921"/>
      <c r="D14" s="145">
        <f>F13+1</f>
        <v>42815</v>
      </c>
      <c r="E14" s="146" t="s">
        <v>1059</v>
      </c>
      <c r="F14" s="153" t="str">
        <f>基本情况!B20</f>
        <v>2017年5月4日</v>
      </c>
      <c r="G14" s="154"/>
      <c r="H14" s="155"/>
      <c r="I14" s="155"/>
      <c r="J14" s="155"/>
      <c r="K14" s="156"/>
      <c r="L14" s="84"/>
    </row>
    <row r="15" spans="1:17" ht="22.5" customHeight="1">
      <c r="B15" s="2922" t="s">
        <v>1064</v>
      </c>
      <c r="C15" s="2922"/>
      <c r="D15" s="2923" t="str">
        <f>基本情况!B20</f>
        <v>2017年5月4日</v>
      </c>
      <c r="E15" s="2923"/>
      <c r="F15" s="2923"/>
      <c r="G15" s="2923"/>
      <c r="H15" s="2923"/>
      <c r="I15" s="2923"/>
      <c r="J15" s="2923"/>
      <c r="K15" s="2923"/>
      <c r="L15" s="84"/>
      <c r="M15" s="84"/>
      <c r="N15" s="84"/>
      <c r="O15" s="84"/>
      <c r="P15" s="84"/>
      <c r="Q15" s="84"/>
    </row>
    <row r="16" spans="1:17" ht="22.5" customHeight="1">
      <c r="B16" s="2918" t="s">
        <v>1065</v>
      </c>
      <c r="C16" s="2918"/>
      <c r="D16" s="2918"/>
      <c r="E16" s="2918"/>
      <c r="F16" s="2918"/>
      <c r="G16" s="2918"/>
      <c r="H16" s="2918"/>
      <c r="I16" s="2918"/>
      <c r="J16" s="2918"/>
      <c r="K16" s="2918"/>
      <c r="L16" s="84"/>
      <c r="M16" s="84"/>
      <c r="N16" s="84"/>
      <c r="O16" s="84"/>
      <c r="P16" s="84"/>
      <c r="Q16" s="84"/>
    </row>
    <row r="17" spans="2:17" s="157" customFormat="1" ht="22.5" customHeight="1">
      <c r="B17" s="143" t="s">
        <v>1066</v>
      </c>
      <c r="C17" s="158" t="s">
        <v>1067</v>
      </c>
      <c r="D17" s="2924" t="s">
        <v>1068</v>
      </c>
      <c r="E17" s="2924"/>
      <c r="F17" s="2924"/>
      <c r="G17" s="2924"/>
      <c r="H17" s="2924"/>
      <c r="I17" s="2924"/>
      <c r="J17" s="2924"/>
      <c r="K17" s="159" t="s">
        <v>1069</v>
      </c>
      <c r="L17" s="160"/>
      <c r="M17" s="160"/>
      <c r="N17" s="160"/>
      <c r="O17" s="160"/>
      <c r="P17" s="160"/>
      <c r="Q17" s="160"/>
    </row>
    <row r="18" spans="2:17" ht="22.5" customHeight="1">
      <c r="B18" s="161"/>
      <c r="C18" s="162" t="s">
        <v>396</v>
      </c>
      <c r="D18" s="2917" t="s">
        <v>1071</v>
      </c>
      <c r="E18" s="2917"/>
      <c r="F18" s="2917"/>
      <c r="G18" s="2917"/>
      <c r="H18" s="2917"/>
      <c r="I18" s="2917"/>
      <c r="J18" s="2917"/>
      <c r="K18" s="164"/>
      <c r="L18" s="84"/>
      <c r="M18" s="84"/>
      <c r="N18" s="84"/>
      <c r="O18" s="84"/>
      <c r="P18" s="84"/>
      <c r="Q18" s="84"/>
    </row>
    <row r="19" spans="2:17" ht="22.5" customHeight="1">
      <c r="B19" s="161"/>
      <c r="C19" s="162" t="s">
        <v>1070</v>
      </c>
      <c r="D19" s="2917" t="s">
        <v>1071</v>
      </c>
      <c r="E19" s="2917"/>
      <c r="F19" s="2917"/>
      <c r="G19" s="2917"/>
      <c r="H19" s="2917"/>
      <c r="I19" s="2917"/>
      <c r="J19" s="2917"/>
      <c r="K19" s="164"/>
      <c r="L19" s="84"/>
      <c r="M19" s="84"/>
      <c r="N19" s="84"/>
      <c r="O19" s="84"/>
      <c r="P19" s="84"/>
      <c r="Q19" s="84"/>
    </row>
    <row r="20" spans="2:17" ht="22.5" customHeight="1">
      <c r="B20" s="161"/>
      <c r="C20" s="162" t="s">
        <v>1072</v>
      </c>
      <c r="D20" s="2917" t="s">
        <v>400</v>
      </c>
      <c r="E20" s="2917"/>
      <c r="F20" s="2917"/>
      <c r="G20" s="2917"/>
      <c r="H20" s="2917"/>
      <c r="I20" s="2917"/>
      <c r="J20" s="2917"/>
      <c r="K20" s="164"/>
      <c r="L20" s="84"/>
      <c r="M20" s="84"/>
      <c r="N20" s="84"/>
      <c r="O20" s="84"/>
      <c r="P20" s="84"/>
      <c r="Q20" s="84"/>
    </row>
    <row r="21" spans="2:17" ht="22.5" customHeight="1">
      <c r="B21" s="161"/>
      <c r="C21" s="162"/>
      <c r="D21" s="2917"/>
      <c r="E21" s="2917"/>
      <c r="F21" s="2917"/>
      <c r="G21" s="2917"/>
      <c r="H21" s="2917"/>
      <c r="I21" s="2917"/>
      <c r="J21" s="2917"/>
      <c r="K21" s="164"/>
      <c r="L21" s="84"/>
      <c r="M21" s="84"/>
      <c r="N21" s="84"/>
      <c r="O21" s="84"/>
      <c r="P21" s="84"/>
      <c r="Q21" s="84"/>
    </row>
    <row r="22" spans="2:17" ht="22.5" customHeight="1">
      <c r="B22" s="161"/>
      <c r="C22" s="162"/>
      <c r="D22" s="2917"/>
      <c r="E22" s="2917"/>
      <c r="F22" s="2917"/>
      <c r="G22" s="2917"/>
      <c r="H22" s="2917"/>
      <c r="I22" s="2917"/>
      <c r="J22" s="2917"/>
      <c r="K22" s="164"/>
      <c r="L22" s="84"/>
      <c r="M22" s="84"/>
      <c r="N22" s="84"/>
      <c r="O22" s="84"/>
      <c r="P22" s="84"/>
      <c r="Q22" s="84"/>
    </row>
    <row r="23" spans="2:17" ht="22.5" customHeight="1">
      <c r="B23" s="161"/>
      <c r="C23" s="162"/>
      <c r="D23" s="2917"/>
      <c r="E23" s="2917"/>
      <c r="F23" s="2917"/>
      <c r="G23" s="2917"/>
      <c r="H23" s="2917"/>
      <c r="I23" s="2917"/>
      <c r="J23" s="2917"/>
      <c r="K23" s="164"/>
      <c r="L23" s="84"/>
      <c r="M23" s="84"/>
      <c r="N23" s="84"/>
      <c r="O23" s="84"/>
      <c r="P23" s="84"/>
      <c r="Q23" s="84"/>
    </row>
    <row r="24" spans="2:17" ht="22.5" customHeight="1">
      <c r="B24" s="161"/>
      <c r="C24" s="162"/>
      <c r="D24" s="2917"/>
      <c r="E24" s="2917"/>
      <c r="F24" s="2917"/>
      <c r="G24" s="2917"/>
      <c r="H24" s="2917"/>
      <c r="I24" s="2917"/>
      <c r="J24" s="2917"/>
      <c r="K24" s="164"/>
      <c r="L24" s="84"/>
      <c r="M24" s="84"/>
      <c r="N24" s="84"/>
      <c r="O24" s="84"/>
      <c r="P24" s="84"/>
      <c r="Q24" s="84"/>
    </row>
    <row r="25" spans="2:17" ht="22.5" customHeight="1">
      <c r="B25" s="165"/>
      <c r="C25" s="166"/>
      <c r="D25" s="2917"/>
      <c r="E25" s="2917"/>
      <c r="F25" s="2917"/>
      <c r="G25" s="2917"/>
      <c r="H25" s="2917"/>
      <c r="I25" s="2917"/>
      <c r="J25" s="2917"/>
      <c r="K25" s="167"/>
      <c r="L25" s="84"/>
      <c r="M25" s="84"/>
      <c r="N25" s="84"/>
      <c r="O25" s="84"/>
      <c r="P25" s="84"/>
      <c r="Q25" s="84"/>
    </row>
    <row r="26" spans="2:17" ht="22.5" customHeight="1">
      <c r="B26" s="2918" t="s">
        <v>1073</v>
      </c>
      <c r="C26" s="2918"/>
      <c r="D26" s="2918"/>
      <c r="E26" s="2918"/>
      <c r="F26" s="2918"/>
      <c r="G26" s="2918"/>
      <c r="H26" s="2918"/>
      <c r="I26" s="2918"/>
      <c r="J26" s="2918"/>
      <c r="K26" s="2918"/>
      <c r="L26" s="84"/>
      <c r="M26" s="84"/>
      <c r="N26" s="84"/>
      <c r="O26" s="84"/>
      <c r="P26" s="84"/>
      <c r="Q26" s="84"/>
    </row>
    <row r="27" spans="2:17" ht="18" customHeight="1">
      <c r="B27" s="2919"/>
      <c r="C27" s="2919"/>
      <c r="D27" s="2919"/>
      <c r="E27" s="2919"/>
      <c r="F27" s="2919"/>
      <c r="G27" s="2919"/>
      <c r="H27" s="2919"/>
      <c r="I27" s="2919"/>
      <c r="J27" s="2919"/>
      <c r="K27" s="2919"/>
      <c r="L27" s="84"/>
      <c r="M27" s="84"/>
      <c r="N27" s="84"/>
      <c r="O27" s="84"/>
      <c r="P27" s="84"/>
      <c r="Q27" s="84"/>
    </row>
    <row r="28" spans="2:17" ht="32.25" customHeight="1">
      <c r="B28" s="2919"/>
      <c r="C28" s="2919"/>
      <c r="D28" s="2919"/>
      <c r="E28" s="2919"/>
      <c r="F28" s="2919"/>
      <c r="G28" s="2919"/>
      <c r="H28" s="2919"/>
      <c r="I28" s="2919"/>
      <c r="J28" s="2919"/>
      <c r="K28" s="2919"/>
      <c r="L28" s="84"/>
      <c r="M28" s="84"/>
      <c r="N28" s="84"/>
      <c r="O28" s="84"/>
      <c r="P28" s="84"/>
      <c r="Q28" s="84"/>
    </row>
    <row r="29" spans="2:17" ht="27.75" customHeight="1">
      <c r="B29" s="2919"/>
      <c r="C29" s="2919"/>
      <c r="D29" s="2919"/>
      <c r="E29" s="2919"/>
      <c r="F29" s="2919"/>
      <c r="G29" s="2919"/>
      <c r="H29" s="2919"/>
      <c r="I29" s="2919"/>
      <c r="J29" s="2919"/>
      <c r="K29" s="2919"/>
      <c r="L29" s="84"/>
      <c r="M29" s="84"/>
      <c r="N29" s="84"/>
      <c r="O29" s="84"/>
      <c r="P29" s="84"/>
      <c r="Q29" s="84"/>
    </row>
    <row r="30" spans="2:17" ht="26.25" customHeight="1">
      <c r="B30" s="2919"/>
      <c r="C30" s="2919"/>
      <c r="D30" s="2919"/>
      <c r="E30" s="2919"/>
      <c r="F30" s="2919"/>
      <c r="G30" s="2919"/>
      <c r="H30" s="2919"/>
      <c r="I30" s="2919"/>
      <c r="J30" s="2919"/>
      <c r="K30" s="2919"/>
      <c r="L30" s="84"/>
      <c r="M30" s="84"/>
      <c r="N30" s="84"/>
      <c r="O30" s="84"/>
      <c r="P30" s="84"/>
      <c r="Q30" s="84"/>
    </row>
    <row r="31" spans="2:17" ht="22.5" customHeight="1">
      <c r="B31" s="2919"/>
      <c r="C31" s="2919"/>
      <c r="D31" s="2919"/>
      <c r="E31" s="2919"/>
      <c r="F31" s="2919"/>
      <c r="G31" s="2919"/>
      <c r="H31" s="2919"/>
      <c r="I31" s="2919"/>
      <c r="J31" s="2919"/>
      <c r="K31" s="2919"/>
      <c r="L31" s="84"/>
      <c r="M31" s="84"/>
      <c r="N31" s="84"/>
      <c r="O31" s="84"/>
      <c r="P31" s="84"/>
      <c r="Q31" s="84"/>
    </row>
    <row r="32" spans="2:17" ht="18.75" customHeight="1"/>
    <row r="33" spans="2:11">
      <c r="B33" s="2916"/>
      <c r="C33" s="2916"/>
      <c r="D33" s="2916"/>
      <c r="E33" s="2916"/>
      <c r="F33" s="2916"/>
      <c r="G33" s="2916"/>
      <c r="H33" s="2916"/>
      <c r="I33" s="2916"/>
      <c r="J33" s="2916"/>
      <c r="K33" s="2916"/>
    </row>
  </sheetData>
  <sheetProtection selectLockedCells="1" selectUnlockedCells="1"/>
  <mergeCells count="30">
    <mergeCell ref="B5:K5"/>
    <mergeCell ref="B6:K6"/>
    <mergeCell ref="B7:K7"/>
    <mergeCell ref="B1:K1"/>
    <mergeCell ref="C3:F3"/>
    <mergeCell ref="G3:J3"/>
    <mergeCell ref="C4:F4"/>
    <mergeCell ref="G4:J4"/>
    <mergeCell ref="B8:K8"/>
    <mergeCell ref="B9:K10"/>
    <mergeCell ref="B11:K11"/>
    <mergeCell ref="D23:J23"/>
    <mergeCell ref="B13:C13"/>
    <mergeCell ref="B14:C14"/>
    <mergeCell ref="B15:C15"/>
    <mergeCell ref="D15:K15"/>
    <mergeCell ref="B16:K16"/>
    <mergeCell ref="D17:J17"/>
    <mergeCell ref="B12:C12"/>
    <mergeCell ref="D12:K12"/>
    <mergeCell ref="B33:K33"/>
    <mergeCell ref="D18:J18"/>
    <mergeCell ref="D19:J19"/>
    <mergeCell ref="D20:J20"/>
    <mergeCell ref="D21:J21"/>
    <mergeCell ref="D22:J22"/>
    <mergeCell ref="D24:J24"/>
    <mergeCell ref="D25:J25"/>
    <mergeCell ref="B26:K26"/>
    <mergeCell ref="B27:K31"/>
  </mergeCells>
  <phoneticPr fontId="51" type="noConversion"/>
  <dataValidations count="3">
    <dataValidation allowBlank="1" showErrorMessage="1" sqref="K3">
      <formula1>0</formula1>
      <formula2>0</formula2>
    </dataValidation>
    <dataValidation type="list" allowBlank="1" showErrorMessage="1" sqref="C18:C25">
      <formula1>"审核助理,项目经理,总审师,主任税务师"</formula1>
      <formula2>0</formula2>
    </dataValidation>
    <dataValidation type="list" allowBlank="1" showErrorMessage="1" sqref="B18:B25">
      <formula1>工作人员列表</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R34"/>
  <sheetViews>
    <sheetView workbookViewId="0">
      <selection sqref="A1:K1"/>
    </sheetView>
  </sheetViews>
  <sheetFormatPr defaultColWidth="9" defaultRowHeight="15.6"/>
  <cols>
    <col min="1" max="1" width="10.19921875" style="168" customWidth="1"/>
    <col min="2" max="2" width="30.3984375" style="168" customWidth="1"/>
    <col min="3" max="3" width="6.5" style="168" customWidth="1"/>
    <col min="4" max="4" width="0.59765625" style="168" customWidth="1"/>
    <col min="5" max="5" width="7.09765625" style="168" customWidth="1"/>
    <col min="6" max="6" width="0" style="168" hidden="1" customWidth="1"/>
    <col min="7" max="8" width="7.09765625" style="168" customWidth="1"/>
    <col min="9" max="9" width="4.09765625" style="168" customWidth="1"/>
    <col min="10" max="10" width="3" style="168" customWidth="1"/>
    <col min="11" max="11" width="7.09765625" style="168" customWidth="1"/>
    <col min="12" max="16384" width="9" style="168"/>
  </cols>
  <sheetData>
    <row r="1" spans="1:18" ht="22.2">
      <c r="A1" s="2719" t="s">
        <v>314</v>
      </c>
      <c r="B1" s="2719"/>
      <c r="C1" s="2719"/>
      <c r="D1" s="2719"/>
      <c r="E1" s="2719"/>
      <c r="F1" s="2719"/>
      <c r="G1" s="2719"/>
      <c r="H1" s="2719"/>
      <c r="I1" s="2719"/>
      <c r="J1" s="2719"/>
      <c r="K1" s="2719"/>
      <c r="L1" s="169"/>
      <c r="M1" s="169"/>
      <c r="N1" s="169"/>
      <c r="O1" s="169"/>
      <c r="P1" s="169"/>
      <c r="Q1" s="169"/>
      <c r="R1" s="169"/>
    </row>
    <row r="2" spans="1:18" ht="7.5" customHeight="1">
      <c r="A2" s="170"/>
      <c r="B2" s="170"/>
      <c r="C2" s="170"/>
      <c r="D2" s="170"/>
      <c r="E2" s="170"/>
      <c r="F2" s="170"/>
      <c r="G2" s="170"/>
      <c r="H2" s="170"/>
      <c r="I2" s="170"/>
      <c r="J2" s="170"/>
      <c r="K2" s="170"/>
      <c r="L2" s="169"/>
      <c r="M2" s="169"/>
      <c r="N2" s="169"/>
      <c r="O2" s="169"/>
      <c r="P2" s="169"/>
      <c r="Q2" s="169"/>
      <c r="R2" s="169"/>
    </row>
    <row r="3" spans="1:18" s="172" customFormat="1" ht="22.5" customHeight="1">
      <c r="A3" s="2720" t="s">
        <v>447</v>
      </c>
      <c r="B3" s="2946">
        <f>基本情况!B2</f>
        <v>0</v>
      </c>
      <c r="C3" s="2947"/>
      <c r="D3" s="2947"/>
      <c r="E3" s="2722" t="s">
        <v>448</v>
      </c>
      <c r="F3" s="2722"/>
      <c r="G3" s="2722"/>
      <c r="H3" s="2722" t="s">
        <v>449</v>
      </c>
      <c r="I3" s="2722"/>
      <c r="J3" s="2722"/>
      <c r="K3" s="86" t="s">
        <v>283</v>
      </c>
      <c r="L3" s="171"/>
      <c r="M3" s="171"/>
      <c r="N3" s="171"/>
      <c r="O3" s="171"/>
      <c r="P3" s="171"/>
      <c r="Q3" s="171"/>
      <c r="R3" s="171"/>
    </row>
    <row r="4" spans="1:18" s="172" customFormat="1" ht="22.5" customHeight="1">
      <c r="A4" s="2720"/>
      <c r="B4" s="2946"/>
      <c r="C4" s="2723" t="s">
        <v>450</v>
      </c>
      <c r="D4" s="2723"/>
      <c r="E4" s="2948">
        <f>基本情况!B12</f>
        <v>0</v>
      </c>
      <c r="F4" s="2948"/>
      <c r="G4" s="2948"/>
      <c r="H4" s="2949" t="str">
        <f>基本情况!B21</f>
        <v>2017年3月16日</v>
      </c>
      <c r="I4" s="2949"/>
      <c r="J4" s="2949"/>
      <c r="K4" s="2950" t="str">
        <f>档案索引!A27</f>
        <v>2A-7</v>
      </c>
      <c r="L4" s="171"/>
      <c r="M4" s="171"/>
      <c r="N4" s="171"/>
      <c r="O4" s="171"/>
      <c r="P4" s="171"/>
      <c r="Q4" s="171"/>
      <c r="R4" s="171"/>
    </row>
    <row r="5" spans="1:18" s="172" customFormat="1" ht="22.5" customHeight="1">
      <c r="A5" s="87" t="s">
        <v>451</v>
      </c>
      <c r="B5" s="88" t="str">
        <f>基本情况!B7</f>
        <v>2016年01月01日至2016年12月31日</v>
      </c>
      <c r="C5" s="2728" t="s">
        <v>452</v>
      </c>
      <c r="D5" s="2728"/>
      <c r="E5" s="2951">
        <f>基本情况!B11</f>
        <v>0</v>
      </c>
      <c r="F5" s="2951"/>
      <c r="G5" s="2951"/>
      <c r="H5" s="2952" t="str">
        <f>基本情况!B22</f>
        <v>2017年5月4日</v>
      </c>
      <c r="I5" s="2952"/>
      <c r="J5" s="2952"/>
      <c r="K5" s="2950"/>
      <c r="L5" s="171"/>
      <c r="M5" s="171"/>
      <c r="N5" s="171"/>
      <c r="O5" s="171"/>
      <c r="P5" s="171"/>
      <c r="Q5" s="171"/>
      <c r="R5" s="171"/>
    </row>
    <row r="6" spans="1:18" s="172" customFormat="1" ht="7.5" customHeight="1">
      <c r="A6" s="2945"/>
      <c r="B6" s="2945"/>
      <c r="C6" s="2945"/>
      <c r="D6" s="2945"/>
      <c r="E6" s="2945"/>
      <c r="F6" s="2945"/>
      <c r="G6" s="2945"/>
      <c r="H6" s="2945"/>
      <c r="I6" s="2945"/>
      <c r="J6" s="2945"/>
      <c r="K6" s="2945"/>
      <c r="L6" s="171"/>
      <c r="M6" s="171"/>
      <c r="N6" s="171"/>
      <c r="O6" s="171"/>
      <c r="P6" s="171"/>
      <c r="Q6" s="171"/>
      <c r="R6" s="171"/>
    </row>
    <row r="7" spans="1:18" s="172" customFormat="1" ht="22.5" customHeight="1">
      <c r="A7" s="2943" t="s">
        <v>1074</v>
      </c>
      <c r="B7" s="2943"/>
      <c r="C7" s="2722" t="s">
        <v>1075</v>
      </c>
      <c r="D7" s="2722"/>
      <c r="E7" s="2722"/>
      <c r="F7" s="2722"/>
      <c r="G7" s="2722"/>
      <c r="H7" s="2944" t="s">
        <v>1076</v>
      </c>
      <c r="I7" s="2944"/>
      <c r="J7" s="2944"/>
      <c r="K7" s="2944"/>
      <c r="L7" s="171"/>
      <c r="M7" s="171"/>
      <c r="N7" s="171"/>
      <c r="O7" s="171"/>
      <c r="P7" s="171"/>
      <c r="Q7" s="171"/>
      <c r="R7" s="171"/>
    </row>
    <row r="8" spans="1:18" s="172" customFormat="1" ht="22.5" customHeight="1">
      <c r="A8" s="2943"/>
      <c r="B8" s="2943"/>
      <c r="C8" s="2728" t="s">
        <v>1077</v>
      </c>
      <c r="D8" s="2728"/>
      <c r="E8" s="2728" t="s">
        <v>413</v>
      </c>
      <c r="F8" s="2728"/>
      <c r="G8" s="89" t="s">
        <v>1078</v>
      </c>
      <c r="H8" s="89" t="s">
        <v>1079</v>
      </c>
      <c r="I8" s="2728" t="s">
        <v>1080</v>
      </c>
      <c r="J8" s="2728"/>
      <c r="K8" s="173" t="s">
        <v>1081</v>
      </c>
      <c r="L8" s="171"/>
      <c r="M8" s="171"/>
      <c r="N8" s="171"/>
      <c r="O8" s="171"/>
      <c r="P8" s="171"/>
      <c r="Q8" s="171"/>
      <c r="R8" s="171"/>
    </row>
    <row r="9" spans="1:18" s="172" customFormat="1" ht="22.5" customHeight="1">
      <c r="A9" s="2936" t="s">
        <v>1082</v>
      </c>
      <c r="B9" s="2936"/>
      <c r="C9" s="2942"/>
      <c r="D9" s="2942"/>
      <c r="E9" s="2942"/>
      <c r="F9" s="2942"/>
      <c r="G9" s="174"/>
      <c r="H9" s="174"/>
      <c r="I9" s="2942"/>
      <c r="J9" s="2942"/>
      <c r="K9" s="175"/>
      <c r="L9" s="171"/>
      <c r="M9" s="171"/>
      <c r="N9" s="171"/>
      <c r="O9" s="171"/>
      <c r="P9" s="171"/>
      <c r="Q9" s="171"/>
      <c r="R9" s="171"/>
    </row>
    <row r="10" spans="1:18" s="172" customFormat="1" ht="22.5" customHeight="1">
      <c r="A10" s="2938" t="s">
        <v>1083</v>
      </c>
      <c r="B10" s="2938"/>
      <c r="C10" s="2939"/>
      <c r="D10" s="2939"/>
      <c r="E10" s="2939"/>
      <c r="F10" s="2939"/>
      <c r="G10" s="176"/>
      <c r="H10" s="176"/>
      <c r="I10" s="2939"/>
      <c r="J10" s="2939"/>
      <c r="K10" s="177"/>
      <c r="L10" s="171"/>
      <c r="M10" s="171"/>
      <c r="N10" s="178"/>
      <c r="O10" s="171"/>
      <c r="P10" s="171"/>
      <c r="Q10" s="171"/>
      <c r="R10" s="171"/>
    </row>
    <row r="11" spans="1:18" s="172" customFormat="1" ht="22.5" customHeight="1">
      <c r="A11" s="2938" t="s">
        <v>1084</v>
      </c>
      <c r="B11" s="2938"/>
      <c r="C11" s="2939"/>
      <c r="D11" s="2939"/>
      <c r="E11" s="2939"/>
      <c r="F11" s="2939"/>
      <c r="G11" s="176"/>
      <c r="H11" s="176"/>
      <c r="I11" s="2939"/>
      <c r="J11" s="2939"/>
      <c r="K11" s="177"/>
      <c r="L11" s="171"/>
      <c r="M11" s="171"/>
      <c r="N11" s="178"/>
      <c r="O11" s="171"/>
      <c r="P11" s="171"/>
      <c r="Q11" s="171"/>
      <c r="R11" s="171"/>
    </row>
    <row r="12" spans="1:18" s="172" customFormat="1" ht="22.5" customHeight="1">
      <c r="A12" s="2938" t="s">
        <v>1085</v>
      </c>
      <c r="B12" s="2938"/>
      <c r="C12" s="2939"/>
      <c r="D12" s="2939"/>
      <c r="E12" s="2939"/>
      <c r="F12" s="2939"/>
      <c r="G12" s="176"/>
      <c r="H12" s="176"/>
      <c r="I12" s="2939"/>
      <c r="J12" s="2939"/>
      <c r="K12" s="177"/>
      <c r="L12" s="171"/>
      <c r="M12" s="171"/>
      <c r="N12" s="178"/>
      <c r="O12" s="171"/>
      <c r="P12" s="171"/>
      <c r="Q12" s="171"/>
      <c r="R12" s="171"/>
    </row>
    <row r="13" spans="1:18" s="172" customFormat="1" ht="22.5" customHeight="1">
      <c r="A13" s="2938" t="s">
        <v>1086</v>
      </c>
      <c r="B13" s="2938"/>
      <c r="C13" s="2939"/>
      <c r="D13" s="2939"/>
      <c r="E13" s="2939"/>
      <c r="F13" s="2939"/>
      <c r="G13" s="176"/>
      <c r="H13" s="176"/>
      <c r="I13" s="2939"/>
      <c r="J13" s="2939"/>
      <c r="K13" s="177"/>
      <c r="L13" s="171"/>
      <c r="M13" s="171"/>
      <c r="N13" s="178"/>
      <c r="O13" s="171"/>
      <c r="P13" s="171"/>
      <c r="Q13" s="171"/>
      <c r="R13" s="171"/>
    </row>
    <row r="14" spans="1:18" s="172" customFormat="1" ht="22.5" customHeight="1">
      <c r="A14" s="2938" t="s">
        <v>1087</v>
      </c>
      <c r="B14" s="2938"/>
      <c r="C14" s="2939"/>
      <c r="D14" s="2939"/>
      <c r="E14" s="2939"/>
      <c r="F14" s="2939"/>
      <c r="G14" s="176"/>
      <c r="H14" s="176"/>
      <c r="I14" s="2939"/>
      <c r="J14" s="2939"/>
      <c r="K14" s="177"/>
      <c r="L14" s="171"/>
      <c r="M14" s="171"/>
      <c r="N14" s="178"/>
      <c r="O14" s="171"/>
      <c r="P14" s="171"/>
      <c r="Q14" s="171"/>
      <c r="R14" s="171"/>
    </row>
    <row r="15" spans="1:18" s="172" customFormat="1" ht="22.5" customHeight="1">
      <c r="A15" s="2938" t="s">
        <v>1088</v>
      </c>
      <c r="B15" s="2938"/>
      <c r="C15" s="2939"/>
      <c r="D15" s="2939"/>
      <c r="E15" s="2939"/>
      <c r="F15" s="2939"/>
      <c r="G15" s="176"/>
      <c r="H15" s="176"/>
      <c r="I15" s="2939"/>
      <c r="J15" s="2939"/>
      <c r="K15" s="177"/>
      <c r="L15" s="171"/>
      <c r="M15" s="171"/>
      <c r="N15" s="178"/>
      <c r="O15" s="171"/>
      <c r="P15" s="171"/>
      <c r="Q15" s="171"/>
      <c r="R15" s="171"/>
    </row>
    <row r="16" spans="1:18" s="172" customFormat="1" ht="22.5" customHeight="1">
      <c r="A16" s="2938" t="s">
        <v>1089</v>
      </c>
      <c r="B16" s="2938"/>
      <c r="C16" s="2939"/>
      <c r="D16" s="2939"/>
      <c r="E16" s="2939"/>
      <c r="F16" s="2939"/>
      <c r="G16" s="176"/>
      <c r="H16" s="176"/>
      <c r="I16" s="2939"/>
      <c r="J16" s="2939"/>
      <c r="K16" s="177"/>
      <c r="L16" s="171"/>
      <c r="M16" s="171"/>
      <c r="N16" s="178"/>
      <c r="O16" s="171"/>
      <c r="P16" s="171"/>
      <c r="Q16" s="171"/>
      <c r="R16" s="171"/>
    </row>
    <row r="17" spans="1:18" s="172" customFormat="1" ht="22.5" customHeight="1">
      <c r="A17" s="2938" t="s">
        <v>1090</v>
      </c>
      <c r="B17" s="2938"/>
      <c r="C17" s="2939"/>
      <c r="D17" s="2939"/>
      <c r="E17" s="2939"/>
      <c r="F17" s="2939"/>
      <c r="G17" s="176"/>
      <c r="H17" s="176"/>
      <c r="I17" s="2939"/>
      <c r="J17" s="2939"/>
      <c r="K17" s="177"/>
      <c r="L17" s="171"/>
      <c r="M17" s="171"/>
      <c r="N17" s="171"/>
      <c r="O17" s="171"/>
      <c r="P17" s="171"/>
      <c r="Q17" s="171"/>
      <c r="R17" s="171"/>
    </row>
    <row r="18" spans="1:18" s="172" customFormat="1" ht="22.5" customHeight="1">
      <c r="A18" s="2938" t="s">
        <v>1091</v>
      </c>
      <c r="B18" s="2938"/>
      <c r="C18" s="2939"/>
      <c r="D18" s="2939"/>
      <c r="E18" s="2939"/>
      <c r="F18" s="2939"/>
      <c r="G18" s="176"/>
      <c r="H18" s="176"/>
      <c r="I18" s="2939"/>
      <c r="J18" s="2939"/>
      <c r="K18" s="177"/>
      <c r="L18" s="171"/>
      <c r="M18" s="171"/>
      <c r="N18" s="171"/>
      <c r="O18" s="171"/>
      <c r="P18" s="171"/>
      <c r="Q18" s="171"/>
      <c r="R18" s="171"/>
    </row>
    <row r="19" spans="1:18" s="172" customFormat="1" ht="22.5" customHeight="1">
      <c r="A19" s="2938" t="s">
        <v>1092</v>
      </c>
      <c r="B19" s="2938"/>
      <c r="C19" s="2939"/>
      <c r="D19" s="2939"/>
      <c r="E19" s="2939"/>
      <c r="F19" s="2939"/>
      <c r="G19" s="176"/>
      <c r="H19" s="176"/>
      <c r="I19" s="2939"/>
      <c r="J19" s="2939"/>
      <c r="K19" s="177"/>
      <c r="L19" s="171"/>
      <c r="M19" s="171"/>
      <c r="N19" s="171"/>
      <c r="O19" s="171"/>
      <c r="P19" s="171"/>
      <c r="Q19" s="171"/>
      <c r="R19" s="171"/>
    </row>
    <row r="20" spans="1:18" s="172" customFormat="1" ht="22.5" customHeight="1">
      <c r="A20" s="2938" t="s">
        <v>1093</v>
      </c>
      <c r="B20" s="2938"/>
      <c r="C20" s="2939"/>
      <c r="D20" s="2939"/>
      <c r="E20" s="2939"/>
      <c r="F20" s="2939"/>
      <c r="G20" s="176"/>
      <c r="H20" s="176"/>
      <c r="I20" s="2939"/>
      <c r="J20" s="2939"/>
      <c r="K20" s="177"/>
      <c r="L20" s="171"/>
      <c r="M20" s="171"/>
      <c r="N20" s="171"/>
      <c r="O20" s="171"/>
      <c r="P20" s="171"/>
      <c r="Q20" s="171"/>
      <c r="R20" s="171"/>
    </row>
    <row r="21" spans="1:18" s="172" customFormat="1" ht="22.5" customHeight="1">
      <c r="A21" s="2938" t="s">
        <v>1094</v>
      </c>
      <c r="B21" s="2938"/>
      <c r="C21" s="2939"/>
      <c r="D21" s="2939"/>
      <c r="E21" s="2939"/>
      <c r="F21" s="2939"/>
      <c r="G21" s="176"/>
      <c r="H21" s="176"/>
      <c r="I21" s="2939"/>
      <c r="J21" s="2939"/>
      <c r="K21" s="177"/>
      <c r="L21" s="171"/>
      <c r="M21" s="171"/>
      <c r="N21" s="171"/>
      <c r="O21" s="171"/>
      <c r="P21" s="171"/>
      <c r="Q21" s="171"/>
      <c r="R21" s="171"/>
    </row>
    <row r="22" spans="1:18" s="172" customFormat="1" ht="22.5" customHeight="1">
      <c r="A22" s="2940" t="s">
        <v>1095</v>
      </c>
      <c r="B22" s="2940"/>
      <c r="C22" s="2941"/>
      <c r="D22" s="2941"/>
      <c r="E22" s="2941"/>
      <c r="F22" s="2941"/>
      <c r="G22" s="179"/>
      <c r="H22" s="179"/>
      <c r="I22" s="2941"/>
      <c r="J22" s="2941"/>
      <c r="K22" s="180"/>
      <c r="L22" s="171"/>
      <c r="M22" s="171"/>
      <c r="N22" s="171"/>
      <c r="O22" s="171"/>
      <c r="P22" s="171"/>
      <c r="Q22" s="171"/>
      <c r="R22" s="171"/>
    </row>
    <row r="23" spans="1:18" s="172" customFormat="1" ht="22.5" customHeight="1">
      <c r="A23" s="2934" t="s">
        <v>1096</v>
      </c>
      <c r="B23" s="2934"/>
      <c r="C23" s="2935" t="s">
        <v>1097</v>
      </c>
      <c r="D23" s="2935"/>
      <c r="E23" s="2935"/>
      <c r="F23" s="2935"/>
      <c r="G23" s="2935"/>
      <c r="H23" s="2935"/>
      <c r="I23" s="2935"/>
      <c r="J23" s="2935"/>
      <c r="K23" s="2935"/>
      <c r="L23" s="171"/>
      <c r="M23" s="171"/>
      <c r="N23" s="171"/>
      <c r="O23" s="171"/>
      <c r="P23" s="171"/>
      <c r="Q23" s="171"/>
      <c r="R23" s="171"/>
    </row>
    <row r="24" spans="1:18" s="172" customFormat="1" ht="22.5" customHeight="1">
      <c r="A24" s="2936" t="s">
        <v>1098</v>
      </c>
      <c r="B24" s="2936"/>
      <c r="C24" s="2937"/>
      <c r="D24" s="2937"/>
      <c r="E24" s="2937"/>
      <c r="F24" s="2937"/>
      <c r="G24" s="2937"/>
      <c r="H24" s="2937"/>
      <c r="I24" s="2937"/>
      <c r="J24" s="2937"/>
      <c r="K24" s="2937"/>
      <c r="L24" s="171"/>
      <c r="M24" s="171"/>
      <c r="N24" s="171"/>
      <c r="O24" s="171"/>
      <c r="P24" s="171"/>
      <c r="Q24" s="171"/>
      <c r="R24" s="171"/>
    </row>
    <row r="25" spans="1:18" s="172" customFormat="1" ht="22.5" customHeight="1">
      <c r="A25" s="2932" t="s">
        <v>1099</v>
      </c>
      <c r="B25" s="2932"/>
      <c r="C25" s="2933"/>
      <c r="D25" s="2933"/>
      <c r="E25" s="2933"/>
      <c r="F25" s="2933"/>
      <c r="G25" s="2933"/>
      <c r="H25" s="2933"/>
      <c r="I25" s="2933"/>
      <c r="J25" s="2933"/>
      <c r="K25" s="2933"/>
      <c r="L25" s="171"/>
      <c r="M25" s="171"/>
      <c r="N25" s="171"/>
      <c r="O25" s="171"/>
      <c r="P25" s="171"/>
      <c r="Q25" s="171"/>
      <c r="R25" s="171"/>
    </row>
    <row r="26" spans="1:18" s="172" customFormat="1" ht="22.5" customHeight="1">
      <c r="A26" s="2938" t="s">
        <v>1100</v>
      </c>
      <c r="B26" s="2938"/>
      <c r="C26" s="2933"/>
      <c r="D26" s="2933"/>
      <c r="E26" s="2933"/>
      <c r="F26" s="2933"/>
      <c r="G26" s="2933"/>
      <c r="H26" s="2933"/>
      <c r="I26" s="2933"/>
      <c r="J26" s="2933"/>
      <c r="K26" s="2933"/>
      <c r="L26" s="171"/>
      <c r="M26" s="171"/>
      <c r="N26" s="171"/>
      <c r="O26" s="171"/>
      <c r="P26" s="171"/>
      <c r="Q26" s="171"/>
      <c r="R26" s="171"/>
    </row>
    <row r="27" spans="1:18" s="172" customFormat="1" ht="22.5" customHeight="1">
      <c r="A27" s="2932" t="s">
        <v>1101</v>
      </c>
      <c r="B27" s="2932"/>
      <c r="C27" s="2933"/>
      <c r="D27" s="2933"/>
      <c r="E27" s="2933"/>
      <c r="F27" s="2933"/>
      <c r="G27" s="2933"/>
      <c r="H27" s="2933"/>
      <c r="I27" s="2933"/>
      <c r="J27" s="2933"/>
      <c r="K27" s="2933"/>
      <c r="L27" s="171"/>
      <c r="M27" s="171"/>
      <c r="N27" s="171"/>
      <c r="O27" s="171"/>
      <c r="P27" s="171"/>
      <c r="Q27" s="171"/>
      <c r="R27" s="171"/>
    </row>
    <row r="28" spans="1:18" s="172" customFormat="1" ht="22.5" customHeight="1">
      <c r="A28" s="2932" t="s">
        <v>1102</v>
      </c>
      <c r="B28" s="2932"/>
      <c r="C28" s="2933"/>
      <c r="D28" s="2933"/>
      <c r="E28" s="2933"/>
      <c r="F28" s="2933"/>
      <c r="G28" s="2933"/>
      <c r="H28" s="2933"/>
      <c r="I28" s="2933"/>
      <c r="J28" s="2933"/>
      <c r="K28" s="2933"/>
      <c r="L28" s="171"/>
      <c r="M28" s="171"/>
      <c r="N28" s="171"/>
      <c r="O28" s="171"/>
      <c r="P28" s="171"/>
      <c r="Q28" s="171"/>
      <c r="R28" s="171"/>
    </row>
    <row r="29" spans="1:18" s="172" customFormat="1" ht="22.5" customHeight="1">
      <c r="A29" s="2932" t="s">
        <v>1103</v>
      </c>
      <c r="B29" s="2932"/>
      <c r="C29" s="2933"/>
      <c r="D29" s="2933"/>
      <c r="E29" s="2933"/>
      <c r="F29" s="2933"/>
      <c r="G29" s="2933"/>
      <c r="H29" s="2933"/>
      <c r="I29" s="2933"/>
      <c r="J29" s="2933"/>
      <c r="K29" s="2933"/>
      <c r="L29" s="171"/>
      <c r="M29" s="171"/>
      <c r="N29" s="171"/>
      <c r="O29" s="171"/>
      <c r="P29" s="171"/>
      <c r="Q29" s="171"/>
      <c r="R29" s="171"/>
    </row>
    <row r="30" spans="1:18" s="172" customFormat="1" ht="22.5" customHeight="1">
      <c r="A30" s="2932"/>
      <c r="B30" s="2932"/>
      <c r="C30" s="2933"/>
      <c r="D30" s="2933"/>
      <c r="E30" s="2933"/>
      <c r="F30" s="2933"/>
      <c r="G30" s="2933"/>
      <c r="H30" s="2933"/>
      <c r="I30" s="2933"/>
      <c r="J30" s="2933"/>
      <c r="K30" s="2933"/>
      <c r="L30" s="171"/>
      <c r="M30" s="171"/>
      <c r="N30" s="171"/>
      <c r="O30" s="171"/>
      <c r="P30" s="171"/>
      <c r="Q30" s="171"/>
      <c r="R30" s="171"/>
    </row>
    <row r="31" spans="1:18" s="172" customFormat="1" ht="22.5" customHeight="1">
      <c r="A31" s="2932"/>
      <c r="B31" s="2932"/>
      <c r="C31" s="2933"/>
      <c r="D31" s="2933"/>
      <c r="E31" s="2933"/>
      <c r="F31" s="2933"/>
      <c r="G31" s="2933"/>
      <c r="H31" s="2933"/>
      <c r="I31" s="2933"/>
      <c r="J31" s="2933"/>
      <c r="K31" s="2933"/>
      <c r="L31" s="171"/>
      <c r="M31" s="171"/>
      <c r="N31" s="171"/>
      <c r="O31" s="171"/>
      <c r="P31" s="171"/>
      <c r="Q31" s="171"/>
      <c r="R31" s="171"/>
    </row>
    <row r="32" spans="1:18" s="172" customFormat="1" ht="22.5" customHeight="1">
      <c r="A32" s="2932"/>
      <c r="B32" s="2932"/>
      <c r="C32" s="2933"/>
      <c r="D32" s="2933"/>
      <c r="E32" s="2933"/>
      <c r="F32" s="2933"/>
      <c r="G32" s="2933"/>
      <c r="H32" s="2933"/>
      <c r="I32" s="2933"/>
      <c r="J32" s="2933"/>
      <c r="K32" s="2933"/>
      <c r="L32" s="171"/>
      <c r="M32" s="171"/>
      <c r="N32" s="171"/>
      <c r="O32" s="171"/>
      <c r="P32" s="171"/>
      <c r="Q32" s="171"/>
      <c r="R32" s="171"/>
    </row>
    <row r="33" spans="1:18" s="172" customFormat="1" ht="22.5" customHeight="1">
      <c r="A33" s="2932"/>
      <c r="B33" s="2932"/>
      <c r="C33" s="2707"/>
      <c r="D33" s="2707"/>
      <c r="E33" s="2707"/>
      <c r="F33" s="2707"/>
      <c r="G33" s="2707"/>
      <c r="H33" s="2707"/>
      <c r="I33" s="2707"/>
      <c r="J33" s="2707"/>
      <c r="K33" s="2707"/>
      <c r="L33" s="171"/>
      <c r="M33" s="171"/>
      <c r="N33" s="171"/>
      <c r="O33" s="171"/>
      <c r="P33" s="171"/>
      <c r="Q33" s="171"/>
      <c r="R33" s="171"/>
    </row>
    <row r="34" spans="1:18" ht="22.5" customHeight="1">
      <c r="A34" s="169" t="s">
        <v>1104</v>
      </c>
      <c r="B34" s="169"/>
      <c r="C34" s="169"/>
      <c r="D34" s="169"/>
      <c r="E34" s="169"/>
      <c r="F34" s="169"/>
      <c r="G34" s="169"/>
      <c r="H34" s="169"/>
      <c r="I34" s="169"/>
      <c r="J34" s="169"/>
      <c r="K34" s="169"/>
    </row>
  </sheetData>
  <sheetProtection selectLockedCells="1" selectUnlockedCells="1"/>
  <mergeCells count="98">
    <mergeCell ref="A6:K6"/>
    <mergeCell ref="A1:K1"/>
    <mergeCell ref="A3:A4"/>
    <mergeCell ref="B3:B4"/>
    <mergeCell ref="C3:D3"/>
    <mergeCell ref="E3:G3"/>
    <mergeCell ref="H3:J3"/>
    <mergeCell ref="C4:D4"/>
    <mergeCell ref="E4:G4"/>
    <mergeCell ref="H4:J4"/>
    <mergeCell ref="K4:K5"/>
    <mergeCell ref="C5:D5"/>
    <mergeCell ref="E5:G5"/>
    <mergeCell ref="H5:J5"/>
    <mergeCell ref="A9:B9"/>
    <mergeCell ref="C9:D9"/>
    <mergeCell ref="E9:F9"/>
    <mergeCell ref="I9:J9"/>
    <mergeCell ref="A7:B8"/>
    <mergeCell ref="C7:G7"/>
    <mergeCell ref="H7:K7"/>
    <mergeCell ref="C8:D8"/>
    <mergeCell ref="E8:F8"/>
    <mergeCell ref="I8:J8"/>
    <mergeCell ref="A10:B10"/>
    <mergeCell ref="C10:D10"/>
    <mergeCell ref="E10:F10"/>
    <mergeCell ref="I10:J10"/>
    <mergeCell ref="A11:B11"/>
    <mergeCell ref="C11:D11"/>
    <mergeCell ref="E11:F11"/>
    <mergeCell ref="I11:J11"/>
    <mergeCell ref="A12:B12"/>
    <mergeCell ref="C12:D12"/>
    <mergeCell ref="E12:F12"/>
    <mergeCell ref="I12:J12"/>
    <mergeCell ref="A13:B13"/>
    <mergeCell ref="C13:D13"/>
    <mergeCell ref="E13:F13"/>
    <mergeCell ref="I13:J13"/>
    <mergeCell ref="A14:B14"/>
    <mergeCell ref="C14:D14"/>
    <mergeCell ref="E14:F14"/>
    <mergeCell ref="I14:J14"/>
    <mergeCell ref="A15:B15"/>
    <mergeCell ref="C15:D15"/>
    <mergeCell ref="E15:F15"/>
    <mergeCell ref="I15:J15"/>
    <mergeCell ref="A16:B16"/>
    <mergeCell ref="C16:D16"/>
    <mergeCell ref="E16:F16"/>
    <mergeCell ref="I16:J16"/>
    <mergeCell ref="A17:B17"/>
    <mergeCell ref="C17:D17"/>
    <mergeCell ref="E17:F17"/>
    <mergeCell ref="I17:J17"/>
    <mergeCell ref="A18:B18"/>
    <mergeCell ref="C18:D18"/>
    <mergeCell ref="E18:F18"/>
    <mergeCell ref="I18:J18"/>
    <mergeCell ref="A19:B19"/>
    <mergeCell ref="C19:D19"/>
    <mergeCell ref="E19:F19"/>
    <mergeCell ref="I19:J19"/>
    <mergeCell ref="A20:B20"/>
    <mergeCell ref="C20:D20"/>
    <mergeCell ref="E20:F20"/>
    <mergeCell ref="I20:J20"/>
    <mergeCell ref="A22:B22"/>
    <mergeCell ref="C22:D22"/>
    <mergeCell ref="E22:F22"/>
    <mergeCell ref="I22:J22"/>
    <mergeCell ref="A21:B21"/>
    <mergeCell ref="C21:D21"/>
    <mergeCell ref="E21:F21"/>
    <mergeCell ref="I21:J21"/>
    <mergeCell ref="A29:B29"/>
    <mergeCell ref="C29:K29"/>
    <mergeCell ref="A23:B23"/>
    <mergeCell ref="C23:K23"/>
    <mergeCell ref="A24:B24"/>
    <mergeCell ref="C24:K24"/>
    <mergeCell ref="A26:B26"/>
    <mergeCell ref="C26:K26"/>
    <mergeCell ref="A25:B25"/>
    <mergeCell ref="C25:K25"/>
    <mergeCell ref="A27:B27"/>
    <mergeCell ref="C27:K27"/>
    <mergeCell ref="A28:B28"/>
    <mergeCell ref="C28:K28"/>
    <mergeCell ref="A33:B33"/>
    <mergeCell ref="C33:K33"/>
    <mergeCell ref="A30:B30"/>
    <mergeCell ref="C30:K30"/>
    <mergeCell ref="A32:B32"/>
    <mergeCell ref="C32:K32"/>
    <mergeCell ref="A31:B31"/>
    <mergeCell ref="C31:K31"/>
  </mergeCells>
  <phoneticPr fontId="51" type="noConversion"/>
  <dataValidations count="3">
    <dataValidation allowBlank="1" showErrorMessage="1" sqref="E4:G4">
      <formula1>0</formula1>
      <formula2>0</formula2>
    </dataValidation>
    <dataValidation type="list" allowBlank="1" showErrorMessage="1" sqref="C9:K22">
      <formula1>"√,×"</formula1>
      <formula2>0</formula2>
    </dataValidation>
    <dataValidation type="list" allowBlank="1" showErrorMessage="1" sqref="C24:K32">
      <formula1>"是,否"</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7"/>
  <sheetViews>
    <sheetView topLeftCell="A37" workbookViewId="0">
      <selection sqref="A1:N2"/>
    </sheetView>
  </sheetViews>
  <sheetFormatPr defaultRowHeight="15.6"/>
  <cols>
    <col min="1" max="1" width="4.8984375" customWidth="1"/>
    <col min="2" max="2" width="7.69921875" customWidth="1"/>
    <col min="6" max="6" width="9.5" customWidth="1"/>
    <col min="7" max="7" width="9.19921875" customWidth="1"/>
    <col min="8" max="8" width="3.5" customWidth="1"/>
    <col min="9" max="9" width="4.09765625" customWidth="1"/>
    <col min="10" max="10" width="3.8984375" customWidth="1"/>
    <col min="11" max="11" width="6.09765625" customWidth="1"/>
    <col min="12" max="12" width="3.5" customWidth="1"/>
    <col min="13" max="13" width="2.19921875" customWidth="1"/>
    <col min="14" max="14" width="4.8984375" customWidth="1"/>
  </cols>
  <sheetData>
    <row r="1" spans="1:21" ht="14.25" customHeight="1">
      <c r="A1" s="2986" t="s">
        <v>1105</v>
      </c>
      <c r="B1" s="2986"/>
      <c r="C1" s="2986"/>
      <c r="D1" s="2986"/>
      <c r="E1" s="2986"/>
      <c r="F1" s="2986"/>
      <c r="G1" s="2986"/>
      <c r="H1" s="2986"/>
      <c r="I1" s="2986"/>
      <c r="J1" s="2986"/>
      <c r="K1" s="2986"/>
      <c r="L1" s="2986"/>
      <c r="M1" s="2986"/>
      <c r="N1" s="2986"/>
      <c r="O1" s="84"/>
      <c r="P1" s="84"/>
      <c r="Q1" s="84"/>
      <c r="R1" s="84"/>
      <c r="S1" s="84"/>
      <c r="T1" s="84"/>
      <c r="U1" s="84"/>
    </row>
    <row r="2" spans="1:21" ht="14.25" customHeight="1">
      <c r="A2" s="2986"/>
      <c r="B2" s="2986"/>
      <c r="C2" s="2986"/>
      <c r="D2" s="2986"/>
      <c r="E2" s="2986"/>
      <c r="F2" s="2986"/>
      <c r="G2" s="2986"/>
      <c r="H2" s="2986"/>
      <c r="I2" s="2986"/>
      <c r="J2" s="2986"/>
      <c r="K2" s="2986"/>
      <c r="L2" s="2986"/>
      <c r="M2" s="2986"/>
      <c r="N2" s="2986"/>
      <c r="O2" s="84"/>
      <c r="P2" s="84"/>
      <c r="Q2" s="84"/>
      <c r="R2" s="84"/>
      <c r="S2" s="84"/>
      <c r="T2" s="84"/>
      <c r="U2" s="84"/>
    </row>
    <row r="3" spans="1:21">
      <c r="A3" s="2987"/>
      <c r="B3" s="2987"/>
      <c r="C3" s="2987"/>
      <c r="D3" s="2987"/>
      <c r="E3" s="2987"/>
      <c r="F3" s="2987"/>
      <c r="G3" s="2987"/>
      <c r="H3" s="181"/>
      <c r="I3" s="181"/>
      <c r="J3" s="181"/>
      <c r="K3" s="2988" t="s">
        <v>283</v>
      </c>
      <c r="L3" s="2988"/>
      <c r="M3" s="2989" t="str">
        <f>档案索引!A28</f>
        <v>2A-8</v>
      </c>
      <c r="N3" s="2989"/>
      <c r="O3" s="84"/>
      <c r="P3" s="84"/>
      <c r="Q3" s="84"/>
      <c r="R3" s="84"/>
      <c r="S3" s="84"/>
      <c r="T3" s="84"/>
      <c r="U3" s="84"/>
    </row>
    <row r="4" spans="1:21">
      <c r="A4" s="2981" t="str">
        <f>"委托单位名称："&amp;基本情况!B2</f>
        <v>委托单位名称：0</v>
      </c>
      <c r="B4" s="2981"/>
      <c r="C4" s="2981"/>
      <c r="D4" s="2981"/>
      <c r="E4" s="2981"/>
      <c r="F4" s="2994" t="str">
        <f>"会计期间："&amp;IF(OR(基本情况!B6&lt;&gt;"12月31日",基本情况!F5&lt;&gt;"01",基本情况!G5&lt;&gt;"01"),基本情况!B7,基本情况!B4&amp;"年度")</f>
        <v>会计期间：2016年度</v>
      </c>
      <c r="G4" s="2994"/>
      <c r="H4" s="2994"/>
      <c r="I4" s="2994"/>
      <c r="J4" s="2994"/>
      <c r="K4" s="2994"/>
      <c r="L4" s="2994"/>
      <c r="M4" s="2994"/>
      <c r="N4" s="2995" t="s">
        <v>455</v>
      </c>
      <c r="O4" s="84"/>
      <c r="P4" s="84"/>
      <c r="Q4" s="84"/>
      <c r="R4" s="84"/>
      <c r="S4" s="84"/>
      <c r="T4" s="84"/>
      <c r="U4" s="84"/>
    </row>
    <row r="5" spans="1:21">
      <c r="A5" s="2991" t="s">
        <v>1106</v>
      </c>
      <c r="B5" s="2991"/>
      <c r="C5" s="2991"/>
      <c r="D5" s="2991"/>
      <c r="E5" s="2991"/>
      <c r="F5" s="2991"/>
      <c r="G5" s="2992" t="s">
        <v>1107</v>
      </c>
      <c r="H5" s="2992"/>
      <c r="I5" s="2992"/>
      <c r="J5" s="2992"/>
      <c r="K5" s="2992"/>
      <c r="L5" s="2992"/>
      <c r="M5" s="2992"/>
      <c r="N5" s="2995"/>
      <c r="O5" s="84"/>
      <c r="P5" s="84"/>
      <c r="Q5" s="84"/>
      <c r="R5" s="84"/>
      <c r="S5" s="84"/>
      <c r="T5" s="84"/>
      <c r="U5" s="84"/>
    </row>
    <row r="6" spans="1:21" ht="14.25" customHeight="1">
      <c r="A6" s="2972" t="s">
        <v>1108</v>
      </c>
      <c r="B6" s="2974" t="s">
        <v>1109</v>
      </c>
      <c r="C6" s="2974"/>
      <c r="D6" s="2974"/>
      <c r="E6" s="2974"/>
      <c r="F6" s="2974"/>
      <c r="G6" s="182" t="s">
        <v>1110</v>
      </c>
      <c r="H6" s="183"/>
      <c r="I6" s="2961" t="s">
        <v>1111</v>
      </c>
      <c r="J6" s="2961"/>
      <c r="K6" s="2961"/>
      <c r="L6" s="2961"/>
      <c r="M6" s="2961"/>
      <c r="N6" s="185"/>
      <c r="O6" s="84"/>
      <c r="P6" s="84"/>
      <c r="Q6" s="84"/>
      <c r="R6" s="84"/>
      <c r="S6" s="84"/>
      <c r="T6" s="84"/>
      <c r="U6" s="84"/>
    </row>
    <row r="7" spans="1:21" ht="14.25" customHeight="1">
      <c r="A7" s="2972"/>
      <c r="B7" s="2974"/>
      <c r="C7" s="2974"/>
      <c r="D7" s="2974"/>
      <c r="E7" s="2974"/>
      <c r="F7" s="2974"/>
      <c r="G7" s="186" t="s">
        <v>1112</v>
      </c>
      <c r="H7" s="187"/>
      <c r="I7" s="188"/>
      <c r="J7" s="2963" t="s">
        <v>1111</v>
      </c>
      <c r="K7" s="2963"/>
      <c r="L7" s="2963"/>
      <c r="M7" s="2963"/>
      <c r="N7" s="185"/>
      <c r="O7" s="84"/>
      <c r="P7" s="84"/>
      <c r="Q7" s="84"/>
      <c r="R7" s="84"/>
      <c r="S7" s="84"/>
      <c r="T7" s="84"/>
      <c r="U7" s="84"/>
    </row>
    <row r="8" spans="1:21">
      <c r="A8" s="2972"/>
      <c r="B8" s="2979" t="s">
        <v>1113</v>
      </c>
      <c r="C8" s="2979"/>
      <c r="D8" s="2979"/>
      <c r="E8" s="2979"/>
      <c r="F8" s="2979"/>
      <c r="G8" s="189" t="s">
        <v>1114</v>
      </c>
      <c r="H8" s="190"/>
      <c r="I8" s="2970" t="s">
        <v>1111</v>
      </c>
      <c r="J8" s="2970"/>
      <c r="K8" s="191" t="s">
        <v>1115</v>
      </c>
      <c r="L8" s="190"/>
      <c r="M8" s="191" t="s">
        <v>1111</v>
      </c>
      <c r="N8" s="185"/>
      <c r="O8" s="84"/>
      <c r="P8" s="84"/>
      <c r="Q8" s="84"/>
      <c r="R8" s="84"/>
      <c r="S8" s="84"/>
      <c r="T8" s="84"/>
      <c r="U8" s="84"/>
    </row>
    <row r="9" spans="1:21">
      <c r="A9" s="2972"/>
      <c r="B9" s="2973" t="s">
        <v>1116</v>
      </c>
      <c r="C9" s="2973"/>
      <c r="D9" s="2973"/>
      <c r="E9" s="2973"/>
      <c r="F9" s="2973"/>
      <c r="G9" s="189" t="s">
        <v>1117</v>
      </c>
      <c r="H9" s="190"/>
      <c r="I9" s="2970" t="s">
        <v>1111</v>
      </c>
      <c r="J9" s="2970"/>
      <c r="K9" s="191" t="s">
        <v>1118</v>
      </c>
      <c r="L9" s="190"/>
      <c r="M9" s="191" t="s">
        <v>1111</v>
      </c>
      <c r="N9" s="185"/>
      <c r="O9" s="84"/>
      <c r="P9" s="178"/>
      <c r="Q9" s="84"/>
      <c r="R9" s="84"/>
      <c r="S9" s="84"/>
      <c r="T9" s="84"/>
      <c r="U9" s="84"/>
    </row>
    <row r="10" spans="1:21" ht="15.15" customHeight="1">
      <c r="A10" s="2972"/>
      <c r="B10" s="2958" t="s">
        <v>1119</v>
      </c>
      <c r="C10" s="2958"/>
      <c r="D10" s="2958"/>
      <c r="E10" s="2958"/>
      <c r="F10" s="2958"/>
      <c r="G10" s="192" t="s">
        <v>1120</v>
      </c>
      <c r="H10" s="193"/>
      <c r="I10" s="2993" t="s">
        <v>1111</v>
      </c>
      <c r="J10" s="2993"/>
      <c r="K10" s="194" t="s">
        <v>1121</v>
      </c>
      <c r="L10" s="183"/>
      <c r="M10" s="184" t="s">
        <v>1111</v>
      </c>
      <c r="N10" s="185"/>
      <c r="O10" s="84"/>
      <c r="P10" s="178"/>
      <c r="Q10" s="84"/>
      <c r="R10" s="84"/>
      <c r="S10" s="84"/>
      <c r="T10" s="84"/>
      <c r="U10" s="84"/>
    </row>
    <row r="11" spans="1:21">
      <c r="A11" s="2972"/>
      <c r="B11" s="2958"/>
      <c r="C11" s="2958"/>
      <c r="D11" s="2958"/>
      <c r="E11" s="2958"/>
      <c r="F11" s="2958"/>
      <c r="G11" s="192" t="s">
        <v>1122</v>
      </c>
      <c r="H11" s="195"/>
      <c r="I11" s="195"/>
      <c r="J11" s="195"/>
      <c r="K11" s="193"/>
      <c r="L11" s="2985" t="s">
        <v>1111</v>
      </c>
      <c r="M11" s="2985"/>
      <c r="N11" s="185"/>
      <c r="O11" s="84"/>
      <c r="P11" s="178"/>
      <c r="Q11" s="84"/>
      <c r="R11" s="84"/>
      <c r="S11" s="84"/>
      <c r="T11" s="84"/>
      <c r="U11" s="84"/>
    </row>
    <row r="12" spans="1:21">
      <c r="A12" s="2972"/>
      <c r="B12" s="2958"/>
      <c r="C12" s="2958"/>
      <c r="D12" s="2958"/>
      <c r="E12" s="2958"/>
      <c r="F12" s="2958"/>
      <c r="G12" s="186" t="s">
        <v>1123</v>
      </c>
      <c r="H12" s="187"/>
      <c r="I12" s="187"/>
      <c r="J12" s="187"/>
      <c r="K12" s="188"/>
      <c r="L12" s="2963" t="s">
        <v>1111</v>
      </c>
      <c r="M12" s="2963"/>
      <c r="N12" s="185"/>
      <c r="O12" s="84"/>
      <c r="P12" s="178"/>
      <c r="Q12" s="84"/>
      <c r="R12" s="84"/>
      <c r="S12" s="84"/>
      <c r="T12" s="84"/>
      <c r="U12" s="84"/>
    </row>
    <row r="13" spans="1:21" ht="23.85" customHeight="1">
      <c r="A13" s="2972"/>
      <c r="B13" s="2982" t="s">
        <v>1124</v>
      </c>
      <c r="C13" s="2982"/>
      <c r="D13" s="2982"/>
      <c r="E13" s="2982"/>
      <c r="F13" s="2982"/>
      <c r="G13" s="189" t="s">
        <v>1114</v>
      </c>
      <c r="H13" s="190"/>
      <c r="I13" s="2970" t="s">
        <v>1111</v>
      </c>
      <c r="J13" s="2970"/>
      <c r="K13" s="191" t="s">
        <v>1115</v>
      </c>
      <c r="L13" s="190"/>
      <c r="M13" s="191" t="s">
        <v>1111</v>
      </c>
      <c r="N13" s="185"/>
      <c r="O13" s="84"/>
      <c r="P13" s="178"/>
      <c r="Q13" s="84"/>
      <c r="R13" s="84"/>
      <c r="S13" s="84"/>
      <c r="T13" s="84"/>
      <c r="U13" s="84"/>
    </row>
    <row r="14" spans="1:21" ht="14.25" customHeight="1">
      <c r="A14" s="2972"/>
      <c r="B14" s="2958" t="s">
        <v>1125</v>
      </c>
      <c r="C14" s="2958"/>
      <c r="D14" s="2958"/>
      <c r="E14" s="2958"/>
      <c r="F14" s="2958"/>
      <c r="G14" s="182" t="s">
        <v>1117</v>
      </c>
      <c r="H14" s="183"/>
      <c r="I14" s="2961" t="s">
        <v>1111</v>
      </c>
      <c r="J14" s="2961"/>
      <c r="K14" s="2961"/>
      <c r="L14" s="2961"/>
      <c r="M14" s="2961"/>
      <c r="N14" s="185"/>
      <c r="O14" s="84"/>
      <c r="P14" s="178"/>
      <c r="Q14" s="84"/>
      <c r="R14" s="84"/>
      <c r="S14" s="84"/>
      <c r="T14" s="84"/>
      <c r="U14" s="84"/>
    </row>
    <row r="15" spans="1:21" ht="14.25" customHeight="1">
      <c r="A15" s="2972"/>
      <c r="B15" s="2958"/>
      <c r="C15" s="2958"/>
      <c r="D15" s="2958"/>
      <c r="E15" s="2958"/>
      <c r="F15" s="2958"/>
      <c r="G15" s="2984"/>
      <c r="H15" s="2984"/>
      <c r="I15" s="2984"/>
      <c r="J15" s="2984"/>
      <c r="K15" s="2984"/>
      <c r="L15" s="2984"/>
      <c r="M15" s="2984"/>
      <c r="N15" s="185"/>
      <c r="O15" s="84"/>
      <c r="P15" s="178"/>
      <c r="Q15" s="84"/>
      <c r="R15" s="84"/>
      <c r="S15" s="84"/>
      <c r="T15" s="84"/>
      <c r="U15" s="84"/>
    </row>
    <row r="16" spans="1:21">
      <c r="A16" s="2972"/>
      <c r="B16" s="2958"/>
      <c r="C16" s="2958"/>
      <c r="D16" s="2958"/>
      <c r="E16" s="2958"/>
      <c r="F16" s="2958"/>
      <c r="G16" s="192" t="s">
        <v>1115</v>
      </c>
      <c r="H16" s="193"/>
      <c r="I16" s="2985" t="s">
        <v>1111</v>
      </c>
      <c r="J16" s="2985"/>
      <c r="K16" s="2985"/>
      <c r="L16" s="2985"/>
      <c r="M16" s="2985"/>
      <c r="N16" s="185"/>
      <c r="O16" s="84"/>
      <c r="P16" s="84"/>
      <c r="Q16" s="84"/>
      <c r="R16" s="84"/>
      <c r="S16" s="84"/>
      <c r="T16" s="84"/>
      <c r="U16" s="84"/>
    </row>
    <row r="17" spans="1:21" ht="14.25" customHeight="1">
      <c r="A17" s="2972"/>
      <c r="B17" s="2958"/>
      <c r="C17" s="2958"/>
      <c r="D17" s="2958"/>
      <c r="E17" s="2958"/>
      <c r="F17" s="2958"/>
      <c r="G17" s="2976"/>
      <c r="H17" s="2976"/>
      <c r="I17" s="2976"/>
      <c r="J17" s="2976"/>
      <c r="K17" s="2976"/>
      <c r="L17" s="2976"/>
      <c r="M17" s="2976"/>
      <c r="N17" s="185"/>
      <c r="O17" s="84"/>
      <c r="P17" s="84"/>
      <c r="Q17" s="84"/>
      <c r="R17" s="84"/>
      <c r="S17" s="84"/>
      <c r="T17" s="84"/>
      <c r="U17" s="84"/>
    </row>
    <row r="18" spans="1:21" ht="15.15" customHeight="1">
      <c r="A18" s="2972"/>
      <c r="B18" s="2958" t="s">
        <v>1126</v>
      </c>
      <c r="C18" s="2958"/>
      <c r="D18" s="2958"/>
      <c r="E18" s="2958"/>
      <c r="F18" s="2958"/>
      <c r="G18" s="197" t="s">
        <v>1127</v>
      </c>
      <c r="H18" s="198"/>
      <c r="I18" s="199"/>
      <c r="J18" s="198" t="s">
        <v>1128</v>
      </c>
      <c r="K18" s="198"/>
      <c r="L18" s="199"/>
      <c r="M18" s="200" t="s">
        <v>1111</v>
      </c>
      <c r="N18" s="201"/>
      <c r="O18" s="84"/>
      <c r="P18" s="84"/>
      <c r="Q18" s="84"/>
      <c r="R18" s="84"/>
      <c r="S18" s="84"/>
      <c r="T18" s="84"/>
      <c r="U18" s="84"/>
    </row>
    <row r="19" spans="1:21">
      <c r="A19" s="2972"/>
      <c r="B19" s="2958"/>
      <c r="C19" s="2958"/>
      <c r="D19" s="2958"/>
      <c r="E19" s="2958"/>
      <c r="F19" s="2958"/>
      <c r="G19" s="2983"/>
      <c r="H19" s="2983"/>
      <c r="I19" s="2983"/>
      <c r="J19" s="203" t="s">
        <v>1129</v>
      </c>
      <c r="K19" s="203"/>
      <c r="L19" s="204"/>
      <c r="M19" s="200" t="s">
        <v>1111</v>
      </c>
      <c r="N19" s="201"/>
      <c r="O19" s="84"/>
      <c r="P19" s="84"/>
      <c r="Q19" s="84"/>
      <c r="R19" s="84"/>
      <c r="S19" s="84"/>
      <c r="T19" s="84"/>
      <c r="U19" s="84"/>
    </row>
    <row r="20" spans="1:21">
      <c r="A20" s="2972"/>
      <c r="B20" s="2958"/>
      <c r="C20" s="2958"/>
      <c r="D20" s="2958"/>
      <c r="E20" s="2958"/>
      <c r="F20" s="2958"/>
      <c r="G20" s="186" t="s">
        <v>1130</v>
      </c>
      <c r="H20" s="187"/>
      <c r="I20" s="204"/>
      <c r="J20" s="2963" t="s">
        <v>1111</v>
      </c>
      <c r="K20" s="2963"/>
      <c r="L20" s="2963"/>
      <c r="M20" s="2963"/>
      <c r="N20" s="185"/>
      <c r="O20" s="84"/>
      <c r="P20" s="84"/>
      <c r="Q20" s="84"/>
      <c r="R20" s="84"/>
      <c r="S20" s="84"/>
      <c r="T20" s="84"/>
      <c r="U20" s="84"/>
    </row>
    <row r="21" spans="1:21" ht="27.75" customHeight="1">
      <c r="A21" s="2972"/>
      <c r="B21" s="2977" t="s">
        <v>125</v>
      </c>
      <c r="C21" s="2977"/>
      <c r="D21" s="2977"/>
      <c r="E21" s="2977"/>
      <c r="F21" s="2977"/>
      <c r="G21" s="205" t="s">
        <v>126</v>
      </c>
      <c r="H21" s="206"/>
      <c r="I21" s="2990" t="s">
        <v>1111</v>
      </c>
      <c r="J21" s="2990"/>
      <c r="K21" s="207" t="s">
        <v>1118</v>
      </c>
      <c r="L21" s="206"/>
      <c r="M21" s="208" t="s">
        <v>1111</v>
      </c>
      <c r="N21" s="185"/>
      <c r="O21" s="84"/>
      <c r="P21" s="84"/>
      <c r="Q21" s="84"/>
      <c r="R21" s="84"/>
      <c r="S21" s="84"/>
      <c r="T21" s="84"/>
      <c r="U21" s="84"/>
    </row>
    <row r="22" spans="1:21" ht="15.15" customHeight="1">
      <c r="A22" s="2955" t="s">
        <v>127</v>
      </c>
      <c r="B22" s="2969" t="s">
        <v>128</v>
      </c>
      <c r="C22" s="2969"/>
      <c r="D22" s="2969"/>
      <c r="E22" s="2969"/>
      <c r="F22" s="2969"/>
      <c r="G22" s="189" t="s">
        <v>126</v>
      </c>
      <c r="H22" s="190"/>
      <c r="I22" s="2970" t="s">
        <v>1111</v>
      </c>
      <c r="J22" s="2970"/>
      <c r="K22" s="191" t="s">
        <v>1118</v>
      </c>
      <c r="L22" s="190"/>
      <c r="M22" s="184" t="s">
        <v>1111</v>
      </c>
      <c r="N22" s="185"/>
      <c r="O22" s="84"/>
      <c r="P22" s="84"/>
      <c r="Q22" s="84"/>
      <c r="R22" s="84"/>
      <c r="S22" s="84"/>
      <c r="T22" s="84"/>
      <c r="U22" s="84"/>
    </row>
    <row r="23" spans="1:21">
      <c r="A23" s="2955"/>
      <c r="B23" s="2971" t="s">
        <v>129</v>
      </c>
      <c r="C23" s="2971"/>
      <c r="D23" s="2971"/>
      <c r="E23" s="2971"/>
      <c r="F23" s="2971"/>
      <c r="G23" s="189" t="s">
        <v>126</v>
      </c>
      <c r="H23" s="190"/>
      <c r="I23" s="2970" t="s">
        <v>1111</v>
      </c>
      <c r="J23" s="2970"/>
      <c r="K23" s="191" t="s">
        <v>1118</v>
      </c>
      <c r="L23" s="190"/>
      <c r="M23" s="184" t="s">
        <v>1111</v>
      </c>
      <c r="N23" s="185"/>
      <c r="O23" s="84"/>
      <c r="P23" s="84"/>
      <c r="Q23" s="84"/>
      <c r="R23" s="84"/>
      <c r="S23" s="84"/>
      <c r="T23" s="84"/>
      <c r="U23" s="84"/>
    </row>
    <row r="24" spans="1:21">
      <c r="A24" s="2955"/>
      <c r="B24" s="2979" t="s">
        <v>130</v>
      </c>
      <c r="C24" s="2979"/>
      <c r="D24" s="2979"/>
      <c r="E24" s="2979"/>
      <c r="F24" s="2979"/>
      <c r="G24" s="189" t="s">
        <v>126</v>
      </c>
      <c r="H24" s="190"/>
      <c r="I24" s="2970" t="s">
        <v>1111</v>
      </c>
      <c r="J24" s="2970"/>
      <c r="K24" s="191" t="s">
        <v>1118</v>
      </c>
      <c r="L24" s="190"/>
      <c r="M24" s="184" t="s">
        <v>1111</v>
      </c>
      <c r="N24" s="185"/>
      <c r="O24" s="84"/>
      <c r="P24" s="84"/>
      <c r="Q24" s="84"/>
      <c r="R24" s="84"/>
      <c r="S24" s="84"/>
      <c r="T24" s="84"/>
      <c r="U24" s="84"/>
    </row>
    <row r="25" spans="1:21" ht="15.15" customHeight="1">
      <c r="A25" s="2972" t="s">
        <v>131</v>
      </c>
      <c r="B25" s="2977" t="s">
        <v>132</v>
      </c>
      <c r="C25" s="2977"/>
      <c r="D25" s="2977"/>
      <c r="E25" s="2977"/>
      <c r="F25" s="2977"/>
      <c r="G25" s="209" t="s">
        <v>133</v>
      </c>
      <c r="H25" s="190"/>
      <c r="I25" s="210" t="s">
        <v>1111</v>
      </c>
      <c r="J25" s="210" t="s">
        <v>134</v>
      </c>
      <c r="K25" s="210"/>
      <c r="L25" s="190"/>
      <c r="M25" s="184" t="s">
        <v>1111</v>
      </c>
      <c r="N25" s="201"/>
      <c r="O25" s="84"/>
      <c r="P25" s="84"/>
      <c r="Q25" s="84"/>
      <c r="R25" s="84"/>
      <c r="S25" s="84"/>
      <c r="T25" s="84"/>
      <c r="U25" s="84"/>
    </row>
    <row r="26" spans="1:21">
      <c r="A26" s="2972"/>
      <c r="B26" s="2973" t="s">
        <v>135</v>
      </c>
      <c r="C26" s="2973"/>
      <c r="D26" s="2973"/>
      <c r="E26" s="2973"/>
      <c r="F26" s="2973"/>
      <c r="G26" s="209" t="s">
        <v>133</v>
      </c>
      <c r="H26" s="190"/>
      <c r="I26" s="210" t="s">
        <v>1111</v>
      </c>
      <c r="J26" s="210" t="s">
        <v>134</v>
      </c>
      <c r="K26" s="191"/>
      <c r="L26" s="190"/>
      <c r="M26" s="184" t="s">
        <v>1111</v>
      </c>
      <c r="N26" s="185"/>
      <c r="O26" s="84"/>
      <c r="P26" s="84"/>
      <c r="Q26" s="84"/>
      <c r="R26" s="84"/>
      <c r="S26" s="84"/>
      <c r="T26" s="84"/>
      <c r="U26" s="84"/>
    </row>
    <row r="27" spans="1:21">
      <c r="A27" s="2972"/>
      <c r="B27" s="2979" t="s">
        <v>136</v>
      </c>
      <c r="C27" s="2979"/>
      <c r="D27" s="2979"/>
      <c r="E27" s="2979"/>
      <c r="F27" s="2979"/>
      <c r="G27" s="189" t="s">
        <v>126</v>
      </c>
      <c r="H27" s="190"/>
      <c r="I27" s="2970" t="s">
        <v>1111</v>
      </c>
      <c r="J27" s="2970"/>
      <c r="K27" s="191" t="s">
        <v>1118</v>
      </c>
      <c r="L27" s="190"/>
      <c r="M27" s="184" t="s">
        <v>1111</v>
      </c>
      <c r="N27" s="185"/>
      <c r="O27" s="84"/>
      <c r="P27" s="84"/>
      <c r="Q27" s="84"/>
      <c r="R27" s="84"/>
      <c r="S27" s="84"/>
      <c r="T27" s="84"/>
      <c r="U27" s="84"/>
    </row>
    <row r="28" spans="1:21" ht="15.15" customHeight="1">
      <c r="A28" s="2972"/>
      <c r="B28" s="2974" t="s">
        <v>137</v>
      </c>
      <c r="C28" s="2974"/>
      <c r="D28" s="2974"/>
      <c r="E28" s="2974"/>
      <c r="F28" s="2974"/>
      <c r="G28" s="182" t="s">
        <v>138</v>
      </c>
      <c r="H28" s="194"/>
      <c r="I28" s="194"/>
      <c r="J28" s="183"/>
      <c r="K28" s="2961" t="s">
        <v>1111</v>
      </c>
      <c r="L28" s="2961"/>
      <c r="M28" s="2961"/>
      <c r="N28" s="185"/>
      <c r="O28" s="84"/>
      <c r="P28" s="84"/>
      <c r="Q28" s="84"/>
      <c r="R28" s="84"/>
      <c r="S28" s="84"/>
      <c r="T28" s="84"/>
      <c r="U28" s="84"/>
    </row>
    <row r="29" spans="1:21">
      <c r="A29" s="2972"/>
      <c r="B29" s="2974"/>
      <c r="C29" s="2974"/>
      <c r="D29" s="2974"/>
      <c r="E29" s="2974"/>
      <c r="F29" s="2974"/>
      <c r="G29" s="186" t="s">
        <v>139</v>
      </c>
      <c r="H29" s="187"/>
      <c r="I29" s="187"/>
      <c r="J29" s="188"/>
      <c r="K29" s="2963" t="s">
        <v>1111</v>
      </c>
      <c r="L29" s="2963"/>
      <c r="M29" s="2963"/>
      <c r="N29" s="185"/>
      <c r="O29" s="84"/>
      <c r="P29" s="84"/>
      <c r="Q29" s="84"/>
      <c r="R29" s="84"/>
      <c r="S29" s="84"/>
      <c r="T29" s="84"/>
      <c r="U29" s="84"/>
    </row>
    <row r="30" spans="1:21" ht="15.15" customHeight="1">
      <c r="A30" s="2972"/>
      <c r="B30" s="2974" t="s">
        <v>140</v>
      </c>
      <c r="C30" s="2974"/>
      <c r="D30" s="2974"/>
      <c r="E30" s="2974"/>
      <c r="F30" s="2974"/>
      <c r="G30" s="197" t="s">
        <v>141</v>
      </c>
      <c r="H30" s="198"/>
      <c r="I30" s="198"/>
      <c r="J30" s="183"/>
      <c r="K30" s="2980" t="s">
        <v>1111</v>
      </c>
      <c r="L30" s="2980"/>
      <c r="M30" s="2980"/>
      <c r="N30" s="201"/>
      <c r="O30" s="84"/>
      <c r="P30" s="84"/>
      <c r="Q30" s="84"/>
      <c r="R30" s="84"/>
      <c r="S30" s="84"/>
      <c r="T30" s="84"/>
      <c r="U30" s="84"/>
    </row>
    <row r="31" spans="1:21">
      <c r="A31" s="2972"/>
      <c r="B31" s="2974"/>
      <c r="C31" s="2974"/>
      <c r="D31" s="2974"/>
      <c r="E31" s="2974"/>
      <c r="F31" s="2974"/>
      <c r="G31" s="202" t="s">
        <v>142</v>
      </c>
      <c r="H31" s="193"/>
      <c r="I31" s="195" t="s">
        <v>143</v>
      </c>
      <c r="J31" s="203"/>
      <c r="K31" s="204"/>
      <c r="L31" s="2975" t="s">
        <v>1111</v>
      </c>
      <c r="M31" s="2975"/>
      <c r="N31" s="201"/>
      <c r="O31" s="84"/>
      <c r="P31" s="84"/>
      <c r="Q31" s="84"/>
      <c r="R31" s="84"/>
      <c r="S31" s="84"/>
      <c r="T31" s="84"/>
      <c r="U31" s="84"/>
    </row>
    <row r="32" spans="1:21">
      <c r="A32" s="2972"/>
      <c r="B32" s="2974"/>
      <c r="C32" s="2974"/>
      <c r="D32" s="2974"/>
      <c r="E32" s="2974"/>
      <c r="F32" s="2974"/>
      <c r="G32" s="186" t="s">
        <v>144</v>
      </c>
      <c r="H32" s="188"/>
      <c r="I32" s="2963" t="s">
        <v>1111</v>
      </c>
      <c r="J32" s="2963"/>
      <c r="K32" s="2963"/>
      <c r="L32" s="2963"/>
      <c r="M32" s="2963"/>
      <c r="N32" s="185"/>
      <c r="O32" s="84"/>
      <c r="P32" s="84"/>
      <c r="Q32" s="84"/>
      <c r="R32" s="84"/>
      <c r="S32" s="84"/>
      <c r="T32" s="84"/>
      <c r="U32" s="84"/>
    </row>
    <row r="33" spans="1:21" ht="26.25" customHeight="1">
      <c r="A33" s="2955" t="s">
        <v>145</v>
      </c>
      <c r="B33" s="2956" t="s">
        <v>146</v>
      </c>
      <c r="C33" s="2956"/>
      <c r="D33" s="2956"/>
      <c r="E33" s="2956"/>
      <c r="F33" s="2956"/>
      <c r="G33" s="205" t="s">
        <v>147</v>
      </c>
      <c r="H33" s="211"/>
      <c r="I33" s="207" t="s">
        <v>148</v>
      </c>
      <c r="J33" s="207"/>
      <c r="K33" s="211"/>
      <c r="L33" s="2957" t="s">
        <v>1111</v>
      </c>
      <c r="M33" s="2957"/>
      <c r="N33" s="185"/>
      <c r="O33" s="84"/>
      <c r="P33" s="84"/>
      <c r="Q33" s="84"/>
      <c r="R33" s="84"/>
      <c r="S33" s="84"/>
      <c r="T33" s="84"/>
      <c r="U33" s="84"/>
    </row>
    <row r="34" spans="1:21" ht="12.75" customHeight="1">
      <c r="A34" s="2955"/>
      <c r="B34" s="2958" t="s">
        <v>149</v>
      </c>
      <c r="C34" s="2958"/>
      <c r="D34" s="2958"/>
      <c r="E34" s="2958"/>
      <c r="F34" s="2958"/>
      <c r="G34" s="212" t="s">
        <v>150</v>
      </c>
      <c r="H34" s="213"/>
      <c r="I34" s="183"/>
      <c r="J34" s="2967" t="s">
        <v>1111</v>
      </c>
      <c r="K34" s="2967"/>
      <c r="L34" s="2967"/>
      <c r="M34" s="2967"/>
      <c r="N34" s="214"/>
      <c r="O34" s="84"/>
      <c r="P34" s="84"/>
      <c r="Q34" s="84"/>
      <c r="R34" s="84"/>
      <c r="S34" s="84"/>
      <c r="T34" s="84"/>
      <c r="U34" s="84"/>
    </row>
    <row r="35" spans="1:21" ht="12.75" customHeight="1">
      <c r="A35" s="2955"/>
      <c r="B35" s="2958"/>
      <c r="C35" s="2958"/>
      <c r="D35" s="2958"/>
      <c r="E35" s="2958"/>
      <c r="F35" s="2958"/>
      <c r="G35" s="212"/>
      <c r="H35" s="215" t="s">
        <v>151</v>
      </c>
      <c r="I35" s="215"/>
      <c r="J35" s="215"/>
      <c r="K35" s="193"/>
      <c r="L35" s="2962" t="s">
        <v>1111</v>
      </c>
      <c r="M35" s="2962"/>
      <c r="N35" s="214"/>
      <c r="O35" s="84"/>
      <c r="P35" s="84"/>
      <c r="Q35" s="84"/>
      <c r="R35" s="84"/>
      <c r="S35" s="84"/>
      <c r="T35" s="84"/>
      <c r="U35" s="84"/>
    </row>
    <row r="36" spans="1:21">
      <c r="A36" s="2955"/>
      <c r="B36" s="2958"/>
      <c r="C36" s="2958"/>
      <c r="D36" s="2958"/>
      <c r="E36" s="2958"/>
      <c r="F36" s="2958"/>
      <c r="G36" s="212" t="s">
        <v>152</v>
      </c>
      <c r="H36" s="193"/>
      <c r="I36" s="215" t="s">
        <v>153</v>
      </c>
      <c r="J36" s="215"/>
      <c r="K36" s="193"/>
      <c r="L36" s="2962" t="s">
        <v>1111</v>
      </c>
      <c r="M36" s="2962"/>
      <c r="N36" s="217"/>
      <c r="O36" s="84"/>
      <c r="P36" s="84"/>
      <c r="Q36" s="84"/>
      <c r="R36" s="84"/>
      <c r="S36" s="84"/>
      <c r="T36" s="84"/>
      <c r="U36" s="84"/>
    </row>
    <row r="37" spans="1:21" ht="19.5" customHeight="1">
      <c r="A37" s="2955"/>
      <c r="B37" s="2958"/>
      <c r="C37" s="2958"/>
      <c r="D37" s="2958"/>
      <c r="E37" s="2958"/>
      <c r="F37" s="2958"/>
      <c r="G37" s="212"/>
      <c r="H37" s="215" t="s">
        <v>154</v>
      </c>
      <c r="I37" s="215"/>
      <c r="J37" s="215"/>
      <c r="K37" s="193"/>
      <c r="L37" s="2962" t="s">
        <v>1111</v>
      </c>
      <c r="M37" s="2962"/>
      <c r="N37" s="217"/>
      <c r="O37" s="84"/>
      <c r="P37" s="84"/>
      <c r="Q37" s="84"/>
      <c r="R37" s="84"/>
      <c r="S37" s="84"/>
      <c r="T37" s="84"/>
      <c r="U37" s="84"/>
    </row>
    <row r="38" spans="1:21">
      <c r="A38" s="2955"/>
      <c r="B38" s="2958"/>
      <c r="C38" s="2958"/>
      <c r="D38" s="2958"/>
      <c r="E38" s="2958"/>
      <c r="F38" s="2958"/>
      <c r="G38" s="218" t="s">
        <v>155</v>
      </c>
      <c r="H38" s="219"/>
      <c r="I38" s="188"/>
      <c r="J38" s="2978" t="s">
        <v>1111</v>
      </c>
      <c r="K38" s="2978"/>
      <c r="L38" s="2978"/>
      <c r="M38" s="2978"/>
      <c r="N38" s="217"/>
      <c r="O38" s="84"/>
      <c r="P38" s="84"/>
      <c r="Q38" s="84"/>
      <c r="R38" s="84"/>
      <c r="S38" s="84"/>
      <c r="T38" s="84"/>
      <c r="U38" s="84"/>
    </row>
    <row r="39" spans="1:21" ht="15.15" customHeight="1">
      <c r="A39" s="2955"/>
      <c r="B39" s="2956" t="s">
        <v>1523</v>
      </c>
      <c r="C39" s="2968" t="s">
        <v>1524</v>
      </c>
      <c r="D39" s="2968"/>
      <c r="E39" s="2968"/>
      <c r="F39" s="2968"/>
      <c r="G39" s="182" t="s">
        <v>1525</v>
      </c>
      <c r="H39" s="193"/>
      <c r="I39" s="194" t="s">
        <v>1526</v>
      </c>
      <c r="J39" s="194"/>
      <c r="K39" s="194"/>
      <c r="L39" s="193"/>
      <c r="M39" s="215" t="s">
        <v>1111</v>
      </c>
      <c r="N39" s="185"/>
      <c r="O39" s="84"/>
      <c r="P39" s="84"/>
      <c r="Q39" s="84"/>
      <c r="R39" s="84"/>
      <c r="S39" s="84"/>
      <c r="T39" s="84"/>
      <c r="U39" s="84"/>
    </row>
    <row r="40" spans="1:21">
      <c r="A40" s="2955"/>
      <c r="B40" s="2956"/>
      <c r="C40" s="2965" t="s">
        <v>1527</v>
      </c>
      <c r="D40" s="2965"/>
      <c r="E40" s="2965"/>
      <c r="F40" s="2965"/>
      <c r="G40" s="192" t="s">
        <v>1120</v>
      </c>
      <c r="H40" s="193"/>
      <c r="I40" s="2959" t="s">
        <v>1111</v>
      </c>
      <c r="J40" s="2959"/>
      <c r="K40" s="195" t="s">
        <v>1121</v>
      </c>
      <c r="L40" s="193"/>
      <c r="M40" s="196" t="s">
        <v>1111</v>
      </c>
      <c r="N40" s="220"/>
      <c r="O40" s="84"/>
      <c r="P40" s="84"/>
      <c r="Q40" s="84"/>
      <c r="R40" s="84"/>
      <c r="S40" s="84"/>
      <c r="T40" s="84"/>
      <c r="U40" s="84"/>
    </row>
    <row r="41" spans="1:21" ht="14.25" customHeight="1">
      <c r="A41" s="2955"/>
      <c r="B41" s="2956"/>
      <c r="C41" s="2966" t="s">
        <v>1528</v>
      </c>
      <c r="D41" s="2966"/>
      <c r="E41" s="2966"/>
      <c r="F41" s="2966"/>
      <c r="G41" s="192" t="s">
        <v>1120</v>
      </c>
      <c r="H41" s="193"/>
      <c r="I41" s="2959" t="s">
        <v>1111</v>
      </c>
      <c r="J41" s="2959"/>
      <c r="K41" s="195" t="s">
        <v>1121</v>
      </c>
      <c r="L41" s="193"/>
      <c r="M41" s="196" t="s">
        <v>1111</v>
      </c>
      <c r="N41" s="220"/>
      <c r="O41" s="84"/>
      <c r="P41" s="84"/>
      <c r="Q41" s="84"/>
      <c r="R41" s="84"/>
      <c r="S41" s="84"/>
      <c r="T41" s="84"/>
      <c r="U41" s="84"/>
    </row>
    <row r="42" spans="1:21" ht="26.25" customHeight="1">
      <c r="A42" s="2955"/>
      <c r="B42" s="2956" t="s">
        <v>1529</v>
      </c>
      <c r="C42" s="2956"/>
      <c r="D42" s="2956"/>
      <c r="E42" s="2956"/>
      <c r="F42" s="2956"/>
      <c r="G42" s="212" t="s">
        <v>1120</v>
      </c>
      <c r="H42" s="211"/>
      <c r="I42" s="2960" t="s">
        <v>1111</v>
      </c>
      <c r="J42" s="2960"/>
      <c r="K42" s="219" t="s">
        <v>1121</v>
      </c>
      <c r="L42" s="211"/>
      <c r="M42" s="216" t="s">
        <v>1111</v>
      </c>
      <c r="N42" s="185"/>
      <c r="O42" s="84"/>
      <c r="P42" s="84"/>
      <c r="Q42" s="84"/>
      <c r="R42" s="84"/>
      <c r="S42" s="84"/>
      <c r="T42" s="84"/>
      <c r="U42" s="84"/>
    </row>
    <row r="43" spans="1:21">
      <c r="A43" s="2955"/>
      <c r="B43" s="2964" t="s">
        <v>1530</v>
      </c>
      <c r="C43" s="2964"/>
      <c r="D43" s="2964"/>
      <c r="E43" s="2964"/>
      <c r="F43" s="2964"/>
      <c r="G43" s="182" t="s">
        <v>1117</v>
      </c>
      <c r="H43" s="193"/>
      <c r="I43" s="2961" t="s">
        <v>1111</v>
      </c>
      <c r="J43" s="2961"/>
      <c r="K43" s="2961"/>
      <c r="L43" s="2961"/>
      <c r="M43" s="2961"/>
      <c r="N43" s="220"/>
      <c r="O43" s="84"/>
      <c r="P43" s="84"/>
      <c r="Q43" s="84"/>
      <c r="R43" s="84"/>
      <c r="S43" s="84"/>
      <c r="T43" s="84"/>
      <c r="U43" s="84"/>
    </row>
    <row r="44" spans="1:21">
      <c r="A44" s="2955"/>
      <c r="B44" s="2964"/>
      <c r="C44" s="2964"/>
      <c r="D44" s="2964"/>
      <c r="E44" s="2964"/>
      <c r="F44" s="2964"/>
      <c r="G44" s="212" t="s">
        <v>152</v>
      </c>
      <c r="H44" s="193"/>
      <c r="I44" s="215" t="s">
        <v>153</v>
      </c>
      <c r="J44" s="215"/>
      <c r="K44" s="193"/>
      <c r="L44" s="2962" t="s">
        <v>1111</v>
      </c>
      <c r="M44" s="2962"/>
      <c r="N44" s="220"/>
      <c r="O44" s="84"/>
      <c r="P44" s="84"/>
      <c r="Q44" s="84"/>
      <c r="R44" s="84"/>
      <c r="S44" s="84"/>
      <c r="T44" s="84"/>
      <c r="U44" s="84"/>
    </row>
    <row r="45" spans="1:21">
      <c r="A45" s="2955"/>
      <c r="B45" s="2964"/>
      <c r="C45" s="2964"/>
      <c r="D45" s="2964"/>
      <c r="E45" s="2964"/>
      <c r="F45" s="2964"/>
      <c r="G45" s="186" t="s">
        <v>1531</v>
      </c>
      <c r="H45" s="188"/>
      <c r="I45" s="2963" t="s">
        <v>1111</v>
      </c>
      <c r="J45" s="2963"/>
      <c r="K45" s="2963"/>
      <c r="L45" s="2963"/>
      <c r="M45" s="2963"/>
      <c r="N45" s="220"/>
      <c r="O45" s="84"/>
      <c r="P45" s="84"/>
      <c r="Q45" s="84"/>
      <c r="R45" s="84"/>
      <c r="S45" s="84"/>
      <c r="T45" s="84"/>
      <c r="U45" s="84"/>
    </row>
    <row r="46" spans="1:21">
      <c r="A46" s="221"/>
      <c r="B46" s="2953"/>
      <c r="C46" s="2953"/>
      <c r="D46" s="2953"/>
      <c r="E46" s="2953"/>
      <c r="F46" s="2953"/>
      <c r="G46" s="221"/>
      <c r="H46" s="221"/>
      <c r="I46" s="221"/>
      <c r="J46" s="221"/>
      <c r="K46" s="221"/>
      <c r="L46" s="221"/>
      <c r="M46" s="221"/>
      <c r="N46" s="221"/>
      <c r="O46" s="84"/>
      <c r="P46" s="84"/>
      <c r="Q46" s="84"/>
      <c r="R46" s="84"/>
      <c r="S46" s="84"/>
      <c r="T46" s="84"/>
      <c r="U46" s="84"/>
    </row>
    <row r="47" spans="1:21">
      <c r="A47" s="2954" t="str">
        <f>"委托单位财务负责人："&amp;基本情况!B36&amp;"                              询问人："&amp;基本情况!B12&amp;"                        "&amp;基本情况!B21</f>
        <v>委托单位财务负责人：0                              询问人：                        2017年3月16日</v>
      </c>
      <c r="B47" s="2954"/>
      <c r="C47" s="2954"/>
      <c r="D47" s="2954"/>
      <c r="E47" s="2954"/>
      <c r="F47" s="2954"/>
      <c r="G47" s="2954"/>
      <c r="H47" s="2954"/>
      <c r="I47" s="2954"/>
      <c r="J47" s="2954"/>
      <c r="K47" s="2954"/>
      <c r="L47" s="2954"/>
      <c r="M47" s="2954"/>
      <c r="N47" s="2954"/>
      <c r="O47" s="84"/>
      <c r="P47" s="84"/>
      <c r="Q47" s="84"/>
      <c r="R47" s="84"/>
      <c r="S47" s="84"/>
      <c r="T47" s="84"/>
      <c r="U47" s="84"/>
    </row>
  </sheetData>
  <sheetProtection selectLockedCells="1" selectUnlockedCells="1"/>
  <mergeCells count="75">
    <mergeCell ref="A1:N2"/>
    <mergeCell ref="A3:G3"/>
    <mergeCell ref="K3:L3"/>
    <mergeCell ref="M3:N3"/>
    <mergeCell ref="I21:J21"/>
    <mergeCell ref="A5:F5"/>
    <mergeCell ref="L11:M11"/>
    <mergeCell ref="G5:M5"/>
    <mergeCell ref="B9:F9"/>
    <mergeCell ref="I13:J13"/>
    <mergeCell ref="I10:J10"/>
    <mergeCell ref="B14:F17"/>
    <mergeCell ref="I14:M14"/>
    <mergeCell ref="F4:M4"/>
    <mergeCell ref="N4:N5"/>
    <mergeCell ref="B6:F7"/>
    <mergeCell ref="I6:M6"/>
    <mergeCell ref="J7:M7"/>
    <mergeCell ref="A4:E4"/>
    <mergeCell ref="A6:A21"/>
    <mergeCell ref="B21:F21"/>
    <mergeCell ref="L12:M12"/>
    <mergeCell ref="B10:F12"/>
    <mergeCell ref="B13:F13"/>
    <mergeCell ref="I9:J9"/>
    <mergeCell ref="B8:F8"/>
    <mergeCell ref="I8:J8"/>
    <mergeCell ref="J20:M20"/>
    <mergeCell ref="B18:F20"/>
    <mergeCell ref="G19:I19"/>
    <mergeCell ref="G15:M15"/>
    <mergeCell ref="I16:M16"/>
    <mergeCell ref="G17:M17"/>
    <mergeCell ref="B25:F25"/>
    <mergeCell ref="J38:M38"/>
    <mergeCell ref="B24:F24"/>
    <mergeCell ref="I24:J24"/>
    <mergeCell ref="B27:F27"/>
    <mergeCell ref="I27:J27"/>
    <mergeCell ref="K30:M30"/>
    <mergeCell ref="A25:A32"/>
    <mergeCell ref="B26:F26"/>
    <mergeCell ref="I32:M32"/>
    <mergeCell ref="B28:F29"/>
    <mergeCell ref="B30:F32"/>
    <mergeCell ref="K29:M29"/>
    <mergeCell ref="K28:M28"/>
    <mergeCell ref="L31:M31"/>
    <mergeCell ref="A22:A24"/>
    <mergeCell ref="B22:F22"/>
    <mergeCell ref="I22:J22"/>
    <mergeCell ref="B23:F23"/>
    <mergeCell ref="I23:J23"/>
    <mergeCell ref="C41:F41"/>
    <mergeCell ref="J34:M34"/>
    <mergeCell ref="L35:M35"/>
    <mergeCell ref="L36:M36"/>
    <mergeCell ref="L37:M37"/>
    <mergeCell ref="C39:F39"/>
    <mergeCell ref="B46:F46"/>
    <mergeCell ref="A47:N47"/>
    <mergeCell ref="A33:A45"/>
    <mergeCell ref="B33:F33"/>
    <mergeCell ref="L33:M33"/>
    <mergeCell ref="B34:F38"/>
    <mergeCell ref="I41:J41"/>
    <mergeCell ref="B42:F42"/>
    <mergeCell ref="I42:J42"/>
    <mergeCell ref="I43:M43"/>
    <mergeCell ref="L44:M44"/>
    <mergeCell ref="I45:M45"/>
    <mergeCell ref="B43:F45"/>
    <mergeCell ref="B39:B41"/>
    <mergeCell ref="C40:F40"/>
    <mergeCell ref="I40:J40"/>
  </mergeCells>
  <phoneticPr fontId="51" type="noConversion"/>
  <dataValidations count="1">
    <dataValidation type="list" allowBlank="1" showErrorMessage="1" sqref="H6 I7 H8:H10 L8:L10 K11:K12 H13:H14 L13 H16 I18 L18:L19 I20 H21:H27 L21:L27 J28:J30 H31:H33 K31 K33 I34 K35:K37 H36 I38 H39:H45 L39:L42 K44">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O17"/>
  <sheetViews>
    <sheetView workbookViewId="0">
      <selection sqref="A1:G1"/>
    </sheetView>
  </sheetViews>
  <sheetFormatPr defaultColWidth="9" defaultRowHeight="15.6"/>
  <cols>
    <col min="1" max="1" width="16.09765625" style="222" customWidth="1"/>
    <col min="2" max="2" width="14.09765625" style="222" customWidth="1"/>
    <col min="3" max="3" width="14" style="222" customWidth="1"/>
    <col min="4" max="4" width="0" style="222" hidden="1" customWidth="1"/>
    <col min="5" max="5" width="10.69921875" style="222" customWidth="1"/>
    <col min="6" max="6" width="9.59765625" style="222" customWidth="1"/>
    <col min="7" max="7" width="18.69921875" style="222" customWidth="1"/>
    <col min="8" max="16384" width="9" style="222"/>
  </cols>
  <sheetData>
    <row r="1" spans="1:15" ht="22.2">
      <c r="A1" s="2719" t="s">
        <v>1532</v>
      </c>
      <c r="B1" s="2719"/>
      <c r="C1" s="2719"/>
      <c r="D1" s="2719"/>
      <c r="E1" s="2719"/>
      <c r="F1" s="2719"/>
      <c r="G1" s="2719"/>
      <c r="H1" s="223"/>
      <c r="I1" s="223"/>
      <c r="J1" s="223"/>
      <c r="K1" s="223"/>
      <c r="L1" s="223"/>
      <c r="M1" s="223"/>
      <c r="N1" s="223"/>
      <c r="O1" s="223"/>
    </row>
    <row r="2" spans="1:15" ht="7.5" customHeight="1">
      <c r="A2" s="224"/>
      <c r="B2" s="224"/>
      <c r="C2" s="224"/>
      <c r="D2" s="224"/>
      <c r="E2" s="224"/>
      <c r="F2" s="224"/>
      <c r="G2" s="224"/>
      <c r="H2" s="223"/>
      <c r="I2" s="223"/>
      <c r="J2" s="223"/>
      <c r="K2" s="223"/>
      <c r="L2" s="223"/>
      <c r="M2" s="223"/>
      <c r="N2" s="223"/>
      <c r="O2" s="223"/>
    </row>
    <row r="3" spans="1:15" ht="36" customHeight="1">
      <c r="A3" s="225" t="s">
        <v>1533</v>
      </c>
      <c r="B3" s="2999">
        <f>基本情况!B2</f>
        <v>0</v>
      </c>
      <c r="C3" s="2999"/>
      <c r="D3" s="2999"/>
      <c r="E3" s="2999"/>
      <c r="F3" s="225" t="s">
        <v>283</v>
      </c>
      <c r="G3" s="226" t="str">
        <f>档案索引!A29</f>
        <v>2A-9</v>
      </c>
      <c r="H3" s="223"/>
      <c r="I3" s="223"/>
      <c r="J3" s="223"/>
      <c r="K3" s="223"/>
      <c r="L3" s="223"/>
      <c r="M3" s="223"/>
      <c r="N3" s="223"/>
      <c r="O3" s="223"/>
    </row>
    <row r="4" spans="1:15" ht="36" customHeight="1">
      <c r="A4" s="225" t="s">
        <v>1534</v>
      </c>
      <c r="B4" s="3000" t="str">
        <f>基本情况!B38</f>
        <v>小企业会计准则</v>
      </c>
      <c r="C4" s="3000"/>
      <c r="D4" s="3000"/>
      <c r="E4" s="3000"/>
      <c r="F4" s="225" t="s">
        <v>451</v>
      </c>
      <c r="G4" s="227" t="str">
        <f>IF(OR(基本情况!B6&lt;&gt;"12月31日",基本情况!F5&lt;&gt;"01",基本情况!G5&lt;&gt;"01"),基本情况!B7,基本情况!B4&amp;"年度")</f>
        <v>2016年度</v>
      </c>
      <c r="H4" s="223"/>
      <c r="I4" s="223"/>
      <c r="J4" s="223"/>
      <c r="K4" s="223"/>
      <c r="L4" s="223"/>
      <c r="M4" s="223"/>
      <c r="N4" s="223"/>
      <c r="O4" s="223"/>
    </row>
    <row r="5" spans="1:15" ht="36" customHeight="1">
      <c r="A5" s="225" t="s">
        <v>1535</v>
      </c>
      <c r="B5" s="228"/>
      <c r="C5" s="2778" t="s">
        <v>398</v>
      </c>
      <c r="D5" s="2778"/>
      <c r="E5" s="229">
        <f>基本情况!B11</f>
        <v>0</v>
      </c>
      <c r="F5" s="230" t="s">
        <v>460</v>
      </c>
      <c r="G5" s="231" t="str">
        <f>基本情况!B3</f>
        <v>企业所得税年度纳税申报审核</v>
      </c>
      <c r="H5" s="2718" t="s">
        <v>395</v>
      </c>
      <c r="I5" s="2718"/>
      <c r="J5" s="2718"/>
      <c r="K5" s="223"/>
      <c r="L5" s="223"/>
      <c r="M5" s="223"/>
      <c r="N5" s="223"/>
      <c r="O5" s="223"/>
    </row>
    <row r="6" spans="1:15" ht="24" customHeight="1">
      <c r="A6" s="2996" t="s">
        <v>1536</v>
      </c>
      <c r="B6" s="2996"/>
      <c r="C6" s="2996"/>
      <c r="D6" s="2997" t="s">
        <v>1537</v>
      </c>
      <c r="E6" s="2997"/>
      <c r="F6" s="2997"/>
      <c r="G6" s="2997"/>
      <c r="H6" s="232" t="s">
        <v>1538</v>
      </c>
      <c r="I6" s="223"/>
      <c r="J6" s="223"/>
      <c r="K6" s="223"/>
      <c r="L6" s="223"/>
      <c r="M6" s="223"/>
      <c r="N6" s="223"/>
      <c r="O6" s="223"/>
    </row>
    <row r="7" spans="1:15" ht="45" customHeight="1">
      <c r="A7" s="2998"/>
      <c r="B7" s="2998"/>
      <c r="C7" s="2998"/>
      <c r="D7" s="2997"/>
      <c r="E7" s="2997"/>
      <c r="F7" s="2997"/>
      <c r="G7" s="2997"/>
      <c r="H7" s="233"/>
      <c r="I7" s="223"/>
      <c r="J7" s="223"/>
      <c r="K7" s="223"/>
      <c r="L7" s="223"/>
      <c r="M7" s="223"/>
      <c r="N7" s="223"/>
      <c r="O7" s="223"/>
    </row>
    <row r="8" spans="1:15" ht="45" customHeight="1">
      <c r="A8" s="2998"/>
      <c r="B8" s="2998"/>
      <c r="C8" s="2998"/>
      <c r="D8" s="2997"/>
      <c r="E8" s="2997"/>
      <c r="F8" s="2997"/>
      <c r="G8" s="2997"/>
      <c r="H8" s="234" t="s">
        <v>1539</v>
      </c>
      <c r="I8" s="223"/>
      <c r="J8" s="223"/>
      <c r="K8" s="223"/>
      <c r="L8" s="223"/>
      <c r="M8" s="223"/>
      <c r="N8" s="223"/>
      <c r="O8" s="223"/>
    </row>
    <row r="9" spans="1:15" ht="45" customHeight="1">
      <c r="A9" s="2998"/>
      <c r="B9" s="2998"/>
      <c r="C9" s="2998"/>
      <c r="D9" s="2997"/>
      <c r="E9" s="2997"/>
      <c r="F9" s="2997"/>
      <c r="G9" s="2997"/>
      <c r="H9" s="233"/>
      <c r="I9" s="223"/>
      <c r="J9" s="223"/>
      <c r="K9" s="223"/>
      <c r="L9" s="223"/>
      <c r="M9" s="223"/>
      <c r="N9" s="223"/>
      <c r="O9" s="223"/>
    </row>
    <row r="10" spans="1:15" ht="45" customHeight="1">
      <c r="A10" s="2998"/>
      <c r="B10" s="2998"/>
      <c r="C10" s="2998"/>
      <c r="D10" s="2997"/>
      <c r="E10" s="2997"/>
      <c r="F10" s="2997"/>
      <c r="G10" s="2997"/>
      <c r="H10" s="233"/>
      <c r="I10" s="223"/>
      <c r="J10" s="223"/>
      <c r="K10" s="223"/>
      <c r="L10" s="223"/>
      <c r="M10" s="223"/>
      <c r="N10" s="223"/>
      <c r="O10" s="223"/>
    </row>
    <row r="11" spans="1:15" ht="45" customHeight="1">
      <c r="A11" s="2998"/>
      <c r="B11" s="2998"/>
      <c r="C11" s="2998"/>
      <c r="D11" s="2997"/>
      <c r="E11" s="2997"/>
      <c r="F11" s="2997"/>
      <c r="G11" s="2997"/>
      <c r="H11" s="233"/>
      <c r="I11" s="223"/>
      <c r="J11" s="223"/>
      <c r="K11" s="223"/>
      <c r="L11" s="223"/>
      <c r="M11" s="223"/>
      <c r="N11" s="223"/>
      <c r="O11" s="223"/>
    </row>
    <row r="12" spans="1:15" ht="24" customHeight="1">
      <c r="A12" s="2998"/>
      <c r="B12" s="2998"/>
      <c r="C12" s="2998"/>
      <c r="D12" s="2997" t="s">
        <v>1540</v>
      </c>
      <c r="E12" s="2997"/>
      <c r="F12" s="2997"/>
      <c r="G12" s="2997"/>
      <c r="H12" s="233"/>
      <c r="I12" s="223"/>
      <c r="J12" s="223"/>
      <c r="K12" s="223"/>
      <c r="L12" s="223"/>
      <c r="M12" s="223"/>
      <c r="N12" s="223"/>
      <c r="O12" s="223"/>
    </row>
    <row r="13" spans="1:15" ht="45" customHeight="1">
      <c r="A13" s="2998"/>
      <c r="B13" s="2998"/>
      <c r="C13" s="2998"/>
      <c r="D13" s="2997"/>
      <c r="E13" s="2997"/>
      <c r="F13" s="2997"/>
      <c r="G13" s="2997"/>
      <c r="H13" s="223"/>
      <c r="I13" s="223"/>
      <c r="J13" s="223"/>
      <c r="K13" s="223"/>
      <c r="L13" s="223"/>
      <c r="M13" s="223"/>
      <c r="N13" s="223"/>
      <c r="O13" s="223"/>
    </row>
    <row r="14" spans="1:15" ht="45" customHeight="1">
      <c r="A14" s="2998"/>
      <c r="B14" s="2998"/>
      <c r="C14" s="2998"/>
      <c r="D14" s="2997"/>
      <c r="E14" s="2997"/>
      <c r="F14" s="2997"/>
      <c r="G14" s="2997"/>
      <c r="H14" s="223"/>
      <c r="I14" s="223"/>
      <c r="J14" s="223"/>
      <c r="K14" s="223"/>
      <c r="L14" s="223"/>
      <c r="M14" s="223"/>
      <c r="N14" s="223"/>
      <c r="O14" s="223"/>
    </row>
    <row r="15" spans="1:15" ht="45" customHeight="1">
      <c r="A15" s="2998"/>
      <c r="B15" s="2998"/>
      <c r="C15" s="2998"/>
      <c r="D15" s="2997"/>
      <c r="E15" s="2997"/>
      <c r="F15" s="2997"/>
      <c r="G15" s="2997"/>
      <c r="H15" s="223"/>
      <c r="I15" s="223"/>
      <c r="J15" s="223"/>
      <c r="K15" s="223"/>
      <c r="L15" s="223"/>
      <c r="M15" s="223"/>
      <c r="N15" s="223"/>
      <c r="O15" s="223"/>
    </row>
    <row r="16" spans="1:15" ht="45" customHeight="1">
      <c r="A16" s="2998"/>
      <c r="B16" s="2998"/>
      <c r="C16" s="2998"/>
      <c r="D16" s="2997"/>
      <c r="E16" s="2997"/>
      <c r="F16" s="2997"/>
      <c r="G16" s="2997"/>
      <c r="H16" s="223"/>
      <c r="I16" s="223"/>
      <c r="J16" s="223"/>
      <c r="K16" s="223"/>
      <c r="L16" s="223"/>
      <c r="M16" s="223"/>
      <c r="N16" s="223"/>
      <c r="O16" s="223"/>
    </row>
    <row r="17" spans="1:15" ht="45" customHeight="1">
      <c r="A17" s="2998"/>
      <c r="B17" s="2998"/>
      <c r="C17" s="2998"/>
      <c r="D17" s="2997"/>
      <c r="E17" s="2997"/>
      <c r="F17" s="2997"/>
      <c r="G17" s="2997"/>
      <c r="H17" s="223"/>
      <c r="I17" s="223"/>
      <c r="J17" s="223"/>
      <c r="K17" s="223"/>
      <c r="L17" s="223"/>
      <c r="M17" s="223"/>
      <c r="N17" s="223"/>
      <c r="O17" s="223"/>
    </row>
  </sheetData>
  <sheetProtection selectLockedCells="1" selectUnlockedCells="1"/>
  <mergeCells count="9">
    <mergeCell ref="A1:G1"/>
    <mergeCell ref="B3:E3"/>
    <mergeCell ref="B4:E4"/>
    <mergeCell ref="C5:D5"/>
    <mergeCell ref="H5:J5"/>
    <mergeCell ref="A6:C6"/>
    <mergeCell ref="D6:G11"/>
    <mergeCell ref="A7:C17"/>
    <mergeCell ref="D12:G17"/>
  </mergeCells>
  <phoneticPr fontId="51" type="noConversion"/>
  <hyperlinks>
    <hyperlink ref="H6" location="事项说明!A1" display="事项说明"/>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O31"/>
  <sheetViews>
    <sheetView workbookViewId="0">
      <selection activeCell="D5" sqref="D5:E5"/>
    </sheetView>
  </sheetViews>
  <sheetFormatPr defaultColWidth="8" defaultRowHeight="12"/>
  <cols>
    <col min="1" max="1" width="13.59765625" style="235" customWidth="1"/>
    <col min="2" max="2" width="9.69921875" style="235" customWidth="1"/>
    <col min="3" max="3" width="13.59765625" style="235" customWidth="1"/>
    <col min="4" max="4" width="8.19921875" style="235" customWidth="1"/>
    <col min="5" max="5" width="14.59765625" style="235" customWidth="1"/>
    <col min="6" max="6" width="12.69921875" style="235" customWidth="1"/>
    <col min="7" max="9" width="8" style="235"/>
    <col min="10" max="10" width="8.5" style="235" customWidth="1"/>
    <col min="11" max="16384" width="8" style="235"/>
  </cols>
  <sheetData>
    <row r="1" spans="1:15" s="238" customFormat="1" ht="46.5" customHeight="1">
      <c r="A1" s="2785" t="s">
        <v>326</v>
      </c>
      <c r="B1" s="2785"/>
      <c r="C1" s="2785"/>
      <c r="D1" s="2785"/>
      <c r="E1" s="2785"/>
      <c r="F1" s="2785"/>
      <c r="G1" s="2785"/>
      <c r="H1" s="236"/>
      <c r="I1" s="237"/>
      <c r="J1" s="236"/>
      <c r="K1" s="236"/>
      <c r="L1" s="236"/>
      <c r="M1" s="236"/>
      <c r="N1" s="236"/>
      <c r="O1" s="236"/>
    </row>
    <row r="2" spans="1:15" s="244" customFormat="1" ht="23.25" customHeight="1">
      <c r="A2" s="239" t="s">
        <v>447</v>
      </c>
      <c r="B2" s="3002">
        <f>基本情况!B2</f>
        <v>0</v>
      </c>
      <c r="C2" s="3002"/>
      <c r="D2" s="3002"/>
      <c r="E2" s="3002"/>
      <c r="F2" s="240" t="s">
        <v>283</v>
      </c>
      <c r="G2" s="241" t="str">
        <f>档案索引!A30</f>
        <v>2A-10</v>
      </c>
      <c r="H2" s="242"/>
      <c r="I2" s="242"/>
      <c r="J2" s="243"/>
      <c r="K2" s="243"/>
      <c r="L2" s="243"/>
      <c r="M2" s="243"/>
      <c r="N2" s="243"/>
      <c r="O2" s="243"/>
    </row>
    <row r="3" spans="1:15" s="246" customFormat="1" ht="23.25" customHeight="1">
      <c r="A3" s="3003" t="s">
        <v>1541</v>
      </c>
      <c r="B3" s="3003"/>
      <c r="C3" s="3003"/>
      <c r="D3" s="3004" t="s">
        <v>1542</v>
      </c>
      <c r="E3" s="3004"/>
      <c r="F3" s="3004"/>
      <c r="G3" s="3004"/>
      <c r="H3" s="245"/>
      <c r="I3" s="245"/>
      <c r="J3" s="245"/>
      <c r="K3" s="245"/>
      <c r="L3" s="245"/>
      <c r="M3" s="245"/>
      <c r="N3" s="245"/>
      <c r="O3" s="245"/>
    </row>
    <row r="4" spans="1:15" s="246" customFormat="1" ht="23.25" customHeight="1">
      <c r="A4" s="247" t="s">
        <v>1543</v>
      </c>
      <c r="B4" s="3011">
        <f>基本情况!B11</f>
        <v>0</v>
      </c>
      <c r="C4" s="3011"/>
      <c r="D4" s="3006" t="str">
        <f>"姓名："&amp;基本情况!B35</f>
        <v>姓名：0</v>
      </c>
      <c r="E4" s="3006"/>
      <c r="F4" s="3007" t="str">
        <f>"职务："&amp;基本情况!A35</f>
        <v>职务：企业负责人</v>
      </c>
      <c r="G4" s="3007"/>
      <c r="H4" s="2718" t="s">
        <v>395</v>
      </c>
      <c r="I4" s="2718"/>
      <c r="J4" s="2718"/>
      <c r="K4" s="245"/>
      <c r="L4" s="245"/>
      <c r="M4" s="245"/>
      <c r="N4" s="245"/>
      <c r="O4" s="245"/>
    </row>
    <row r="5" spans="1:15" s="246" customFormat="1" ht="23.25" customHeight="1">
      <c r="A5" s="247" t="s">
        <v>1544</v>
      </c>
      <c r="B5" s="3005">
        <f>基本情况!B12</f>
        <v>0</v>
      </c>
      <c r="C5" s="3005"/>
      <c r="D5" s="3006" t="str">
        <f>"姓名："&amp;基本情况!B36</f>
        <v>姓名：0</v>
      </c>
      <c r="E5" s="3006"/>
      <c r="F5" s="3007" t="str">
        <f>"职务："&amp;基本情况!A36</f>
        <v>职务：财务负责人</v>
      </c>
      <c r="G5" s="3007"/>
      <c r="H5" s="245"/>
      <c r="I5" s="245"/>
      <c r="J5" s="245"/>
      <c r="K5" s="245"/>
      <c r="L5" s="245"/>
      <c r="M5" s="245"/>
      <c r="N5" s="245"/>
      <c r="O5" s="245"/>
    </row>
    <row r="6" spans="1:15" s="246" customFormat="1" ht="23.25" customHeight="1">
      <c r="A6" s="3008"/>
      <c r="B6" s="3008"/>
      <c r="C6" s="3008"/>
      <c r="D6" s="3009" t="s">
        <v>1545</v>
      </c>
      <c r="E6" s="3009"/>
      <c r="F6" s="3010" t="s">
        <v>1546</v>
      </c>
      <c r="G6" s="3010"/>
      <c r="H6" s="245"/>
      <c r="I6" s="245"/>
      <c r="J6" s="245"/>
      <c r="K6" s="245"/>
      <c r="L6" s="245"/>
      <c r="M6" s="245"/>
      <c r="N6" s="245"/>
      <c r="O6" s="245"/>
    </row>
    <row r="7" spans="1:15" s="246" customFormat="1" ht="22.5" customHeight="1">
      <c r="A7" s="3013" t="s">
        <v>1547</v>
      </c>
      <c r="B7" s="3013"/>
      <c r="C7" s="3013"/>
      <c r="D7" s="3014" t="s">
        <v>1548</v>
      </c>
      <c r="E7" s="3014"/>
      <c r="F7" s="3014"/>
      <c r="G7" s="3014"/>
      <c r="H7" s="232" t="s">
        <v>1549</v>
      </c>
      <c r="I7" s="232"/>
      <c r="J7" s="232"/>
      <c r="K7" s="232"/>
      <c r="L7" s="245"/>
      <c r="M7" s="245"/>
      <c r="N7" s="245"/>
      <c r="O7" s="245"/>
    </row>
    <row r="8" spans="1:15" s="246" customFormat="1" ht="12.75" hidden="1" customHeight="1">
      <c r="A8" s="248"/>
      <c r="B8" s="243"/>
      <c r="C8" s="249"/>
      <c r="D8" s="243"/>
      <c r="E8" s="243"/>
      <c r="F8" s="243"/>
      <c r="G8" s="249"/>
      <c r="H8" s="245"/>
      <c r="I8" s="245"/>
      <c r="J8" s="245"/>
      <c r="K8" s="245"/>
      <c r="L8" s="245"/>
      <c r="M8" s="245"/>
      <c r="N8" s="245"/>
      <c r="O8" s="245"/>
    </row>
    <row r="9" spans="1:15" s="246" customFormat="1" ht="14.4">
      <c r="A9" s="3012"/>
      <c r="B9" s="3012"/>
      <c r="C9" s="3012"/>
      <c r="D9" s="3012"/>
      <c r="E9" s="3012"/>
      <c r="F9" s="3012"/>
      <c r="G9" s="3012"/>
      <c r="H9" s="245"/>
      <c r="I9" s="245"/>
      <c r="J9" s="245"/>
      <c r="K9" s="245"/>
      <c r="L9" s="245"/>
      <c r="M9" s="245"/>
      <c r="N9" s="245"/>
      <c r="O9" s="245"/>
    </row>
    <row r="10" spans="1:15" s="246" customFormat="1" ht="24.75" customHeight="1">
      <c r="A10" s="3001"/>
      <c r="B10" s="3001"/>
      <c r="C10" s="3001"/>
      <c r="D10" s="3001"/>
      <c r="E10" s="3001"/>
      <c r="F10" s="3001"/>
      <c r="G10" s="3001"/>
      <c r="H10" s="245"/>
      <c r="I10" s="245"/>
      <c r="J10" s="245"/>
      <c r="K10" s="245"/>
      <c r="L10" s="245"/>
      <c r="M10" s="245"/>
      <c r="N10" s="245"/>
      <c r="O10" s="245"/>
    </row>
    <row r="11" spans="1:15" s="246" customFormat="1" ht="24.75" customHeight="1">
      <c r="A11" s="3001"/>
      <c r="B11" s="3001"/>
      <c r="C11" s="3001"/>
      <c r="D11" s="3001"/>
      <c r="E11" s="3001"/>
      <c r="F11" s="3001"/>
      <c r="G11" s="3001"/>
      <c r="H11" s="245"/>
      <c r="I11" s="245"/>
      <c r="J11" s="245"/>
      <c r="K11" s="245"/>
      <c r="L11" s="245"/>
      <c r="M11" s="245"/>
      <c r="N11" s="245"/>
      <c r="O11" s="245"/>
    </row>
    <row r="12" spans="1:15" s="246" customFormat="1" ht="24.75" customHeight="1">
      <c r="A12" s="3001"/>
      <c r="B12" s="3001"/>
      <c r="C12" s="3001"/>
      <c r="D12" s="3001"/>
      <c r="E12" s="3001"/>
      <c r="F12" s="3001"/>
      <c r="G12" s="3001"/>
      <c r="H12" s="245"/>
      <c r="I12" s="245"/>
      <c r="J12" s="245"/>
      <c r="K12" s="245"/>
      <c r="L12" s="245"/>
      <c r="M12" s="245"/>
      <c r="N12" s="245"/>
      <c r="O12" s="245"/>
    </row>
    <row r="13" spans="1:15" s="246" customFormat="1" ht="24.75" customHeight="1">
      <c r="A13" s="3001"/>
      <c r="B13" s="3001"/>
      <c r="C13" s="3001"/>
      <c r="D13" s="3001"/>
      <c r="E13" s="3001"/>
      <c r="F13" s="3001"/>
      <c r="G13" s="3001"/>
      <c r="H13" s="245"/>
      <c r="I13" s="245"/>
      <c r="J13" s="245"/>
      <c r="K13" s="245"/>
      <c r="L13" s="245"/>
      <c r="M13" s="245"/>
      <c r="N13" s="245"/>
      <c r="O13" s="245"/>
    </row>
    <row r="14" spans="1:15" s="246" customFormat="1" ht="24.75" customHeight="1">
      <c r="A14" s="3001"/>
      <c r="B14" s="3001"/>
      <c r="C14" s="3001"/>
      <c r="D14" s="3001"/>
      <c r="E14" s="3001"/>
      <c r="F14" s="3001"/>
      <c r="G14" s="3001"/>
      <c r="H14" s="245"/>
      <c r="I14" s="245"/>
      <c r="J14" s="245"/>
      <c r="K14" s="245"/>
      <c r="L14" s="245"/>
      <c r="M14" s="245"/>
      <c r="N14" s="245"/>
      <c r="O14" s="245"/>
    </row>
    <row r="15" spans="1:15" s="246" customFormat="1" ht="24.75" customHeight="1">
      <c r="A15" s="3001"/>
      <c r="B15" s="3001"/>
      <c r="C15" s="3001"/>
      <c r="D15" s="3001"/>
      <c r="E15" s="3001"/>
      <c r="F15" s="3001"/>
      <c r="G15" s="3001"/>
      <c r="H15" s="245"/>
      <c r="I15" s="245"/>
      <c r="J15" s="245"/>
      <c r="K15" s="245"/>
      <c r="L15" s="245"/>
      <c r="M15" s="245"/>
      <c r="N15" s="245"/>
      <c r="O15" s="245"/>
    </row>
    <row r="16" spans="1:15" s="246" customFormat="1" ht="24.75" customHeight="1">
      <c r="A16" s="3001"/>
      <c r="B16" s="3001"/>
      <c r="C16" s="3001"/>
      <c r="D16" s="3001"/>
      <c r="E16" s="3001"/>
      <c r="F16" s="3001"/>
      <c r="G16" s="3001"/>
      <c r="H16" s="245"/>
      <c r="I16" s="245"/>
      <c r="J16" s="245"/>
      <c r="K16" s="245"/>
      <c r="L16" s="245"/>
      <c r="M16" s="245"/>
      <c r="N16" s="245"/>
      <c r="O16" s="245"/>
    </row>
    <row r="17" spans="1:15" s="246" customFormat="1" ht="24.75" customHeight="1">
      <c r="A17" s="3001"/>
      <c r="B17" s="3001"/>
      <c r="C17" s="3001"/>
      <c r="D17" s="3001"/>
      <c r="E17" s="3001"/>
      <c r="F17" s="3001"/>
      <c r="G17" s="3001"/>
      <c r="H17" s="245"/>
      <c r="I17" s="245"/>
      <c r="J17" s="245"/>
      <c r="K17" s="245"/>
      <c r="L17" s="245"/>
      <c r="M17" s="245"/>
      <c r="N17" s="245"/>
      <c r="O17" s="245"/>
    </row>
    <row r="18" spans="1:15" s="246" customFormat="1" ht="24.75" customHeight="1">
      <c r="A18" s="3001"/>
      <c r="B18" s="3001"/>
      <c r="C18" s="3001"/>
      <c r="D18" s="3001"/>
      <c r="E18" s="3001"/>
      <c r="F18" s="3001"/>
      <c r="G18" s="3001"/>
      <c r="H18" s="245"/>
      <c r="I18" s="245"/>
      <c r="J18" s="245"/>
      <c r="K18" s="245"/>
      <c r="L18" s="245"/>
      <c r="M18" s="245"/>
      <c r="N18" s="245"/>
      <c r="O18" s="245"/>
    </row>
    <row r="19" spans="1:15" s="246" customFormat="1" ht="24.75" customHeight="1">
      <c r="A19" s="3001"/>
      <c r="B19" s="3001"/>
      <c r="C19" s="3001"/>
      <c r="D19" s="3001" t="s">
        <v>264</v>
      </c>
      <c r="E19" s="3001"/>
      <c r="F19" s="3001"/>
      <c r="G19" s="3001"/>
      <c r="H19" s="245"/>
      <c r="I19" s="245"/>
      <c r="J19" s="245"/>
      <c r="K19" s="245"/>
      <c r="L19" s="245"/>
      <c r="M19" s="245"/>
      <c r="N19" s="245"/>
      <c r="O19" s="245"/>
    </row>
    <row r="20" spans="1:15" s="246" customFormat="1" ht="24.75" customHeight="1">
      <c r="A20" s="3001"/>
      <c r="B20" s="3001"/>
      <c r="C20" s="3001"/>
      <c r="D20" s="3001"/>
      <c r="E20" s="3001"/>
      <c r="F20" s="3001"/>
      <c r="G20" s="3001"/>
      <c r="H20" s="245"/>
      <c r="I20" s="245"/>
      <c r="J20" s="245"/>
      <c r="K20" s="245"/>
      <c r="L20" s="245"/>
      <c r="M20" s="245"/>
      <c r="N20" s="245"/>
      <c r="O20" s="245"/>
    </row>
    <row r="21" spans="1:15" s="246" customFormat="1" ht="24.75" customHeight="1">
      <c r="A21" s="3001"/>
      <c r="B21" s="3001"/>
      <c r="C21" s="3001"/>
      <c r="D21" s="3001"/>
      <c r="E21" s="3001"/>
      <c r="F21" s="3001"/>
      <c r="G21" s="3001"/>
      <c r="H21" s="245"/>
      <c r="I21" s="245"/>
      <c r="J21" s="245"/>
      <c r="K21" s="245"/>
      <c r="L21" s="245"/>
      <c r="M21" s="245"/>
      <c r="N21" s="245"/>
      <c r="O21" s="245"/>
    </row>
    <row r="22" spans="1:15" s="246" customFormat="1" ht="24.75" customHeight="1">
      <c r="A22" s="3001"/>
      <c r="B22" s="3001"/>
      <c r="C22" s="3001"/>
      <c r="D22" s="3001"/>
      <c r="E22" s="3001"/>
      <c r="F22" s="3001"/>
      <c r="G22" s="3001"/>
      <c r="H22" s="245"/>
      <c r="I22" s="245"/>
      <c r="J22" s="245"/>
      <c r="K22" s="245"/>
      <c r="L22" s="245"/>
      <c r="M22" s="245"/>
      <c r="N22" s="245"/>
      <c r="O22" s="245"/>
    </row>
    <row r="23" spans="1:15" s="246" customFormat="1" ht="24.75" customHeight="1">
      <c r="A23" s="3001"/>
      <c r="B23" s="3001"/>
      <c r="C23" s="3001"/>
      <c r="D23" s="3001"/>
      <c r="E23" s="3001"/>
      <c r="F23" s="3001"/>
      <c r="G23" s="3001"/>
      <c r="H23" s="245"/>
      <c r="I23" s="245"/>
      <c r="J23" s="245"/>
      <c r="K23" s="245"/>
      <c r="L23" s="245"/>
      <c r="M23" s="245"/>
      <c r="N23" s="245"/>
      <c r="O23" s="245"/>
    </row>
    <row r="24" spans="1:15" s="246" customFormat="1" ht="24.75" customHeight="1">
      <c r="A24" s="3001"/>
      <c r="B24" s="3001"/>
      <c r="C24" s="3001"/>
      <c r="D24" s="3001"/>
      <c r="E24" s="3001"/>
      <c r="F24" s="3001"/>
      <c r="G24" s="3001"/>
      <c r="H24" s="245"/>
      <c r="I24" s="245"/>
      <c r="J24" s="245"/>
      <c r="K24" s="245"/>
      <c r="L24" s="245"/>
      <c r="M24" s="245"/>
      <c r="N24" s="245"/>
      <c r="O24" s="245"/>
    </row>
    <row r="25" spans="1:15" s="246" customFormat="1" ht="24.75" customHeight="1">
      <c r="A25" s="3001"/>
      <c r="B25" s="3001"/>
      <c r="C25" s="3001"/>
      <c r="D25" s="3001"/>
      <c r="E25" s="3001"/>
      <c r="F25" s="3001"/>
      <c r="G25" s="3001"/>
      <c r="H25" s="245"/>
      <c r="I25" s="245"/>
      <c r="J25" s="245"/>
      <c r="K25" s="245"/>
      <c r="L25" s="245"/>
      <c r="M25" s="245"/>
      <c r="N25" s="245"/>
      <c r="O25" s="245"/>
    </row>
    <row r="26" spans="1:15" s="246" customFormat="1" ht="24.75" customHeight="1">
      <c r="A26" s="3001"/>
      <c r="B26" s="3001"/>
      <c r="C26" s="3001"/>
      <c r="D26" s="3001"/>
      <c r="E26" s="3001"/>
      <c r="F26" s="3001"/>
      <c r="G26" s="3001"/>
      <c r="H26" s="245"/>
      <c r="I26" s="245"/>
      <c r="J26" s="245"/>
      <c r="K26" s="245"/>
      <c r="L26" s="245"/>
      <c r="M26" s="245"/>
      <c r="N26" s="245"/>
      <c r="O26" s="245"/>
    </row>
    <row r="27" spans="1:15" s="246" customFormat="1" ht="24.75" customHeight="1">
      <c r="A27" s="3001"/>
      <c r="B27" s="3001"/>
      <c r="C27" s="3001"/>
      <c r="D27" s="3001"/>
      <c r="E27" s="3001"/>
      <c r="F27" s="3001"/>
      <c r="G27" s="3001"/>
      <c r="H27" s="245"/>
      <c r="I27" s="245"/>
      <c r="J27" s="245"/>
      <c r="K27" s="245"/>
      <c r="L27" s="245"/>
      <c r="M27" s="245"/>
      <c r="N27" s="245"/>
      <c r="O27" s="245"/>
    </row>
    <row r="28" spans="1:15" s="246" customFormat="1" ht="24.75" customHeight="1">
      <c r="A28" s="3001"/>
      <c r="B28" s="3001"/>
      <c r="C28" s="3001"/>
      <c r="D28" s="3001"/>
      <c r="E28" s="3001"/>
      <c r="F28" s="3001"/>
      <c r="G28" s="3001"/>
      <c r="H28" s="245"/>
      <c r="I28" s="245"/>
      <c r="J28" s="245"/>
      <c r="K28" s="245"/>
      <c r="L28" s="245"/>
      <c r="M28" s="245"/>
      <c r="N28" s="245"/>
      <c r="O28" s="245"/>
    </row>
    <row r="29" spans="1:15" s="246" customFormat="1" ht="24.75" customHeight="1">
      <c r="A29" s="3001"/>
      <c r="B29" s="3001"/>
      <c r="C29" s="3001"/>
      <c r="D29" s="3001"/>
      <c r="E29" s="3001"/>
      <c r="F29" s="3001"/>
      <c r="G29" s="3001"/>
      <c r="H29" s="245"/>
      <c r="I29" s="245"/>
      <c r="J29" s="245"/>
      <c r="K29" s="245"/>
      <c r="L29" s="245"/>
      <c r="M29" s="245"/>
      <c r="N29" s="245"/>
      <c r="O29" s="245"/>
    </row>
    <row r="30" spans="1:15" s="246" customFormat="1" ht="14.4">
      <c r="A30" s="248"/>
      <c r="B30" s="243"/>
      <c r="C30" s="249"/>
      <c r="D30" s="250" t="s">
        <v>1550</v>
      </c>
      <c r="E30" s="243"/>
      <c r="F30" s="243"/>
      <c r="G30" s="249"/>
      <c r="H30" s="245"/>
      <c r="I30" s="245"/>
      <c r="J30" s="245"/>
      <c r="K30" s="245"/>
      <c r="L30" s="245"/>
      <c r="M30" s="245"/>
      <c r="N30" s="245"/>
      <c r="O30" s="245"/>
    </row>
    <row r="31" spans="1:15" s="246" customFormat="1" ht="14.4">
      <c r="A31" s="251"/>
      <c r="B31" s="252"/>
      <c r="C31" s="253"/>
      <c r="D31" s="251"/>
      <c r="E31" s="252"/>
      <c r="F31" s="252"/>
      <c r="G31" s="253"/>
      <c r="H31" s="245"/>
      <c r="I31" s="245"/>
      <c r="J31" s="245"/>
      <c r="K31" s="245"/>
      <c r="L31" s="245"/>
      <c r="M31" s="245"/>
      <c r="N31" s="245"/>
      <c r="O31" s="245"/>
    </row>
  </sheetData>
  <sheetProtection selectLockedCells="1" selectUnlockedCells="1"/>
  <mergeCells count="58">
    <mergeCell ref="A10:C10"/>
    <mergeCell ref="D10:G10"/>
    <mergeCell ref="A9:C9"/>
    <mergeCell ref="D9:G9"/>
    <mergeCell ref="A7:C7"/>
    <mergeCell ref="D7:G7"/>
    <mergeCell ref="F5:G5"/>
    <mergeCell ref="A6:C6"/>
    <mergeCell ref="D6:E6"/>
    <mergeCell ref="F6:G6"/>
    <mergeCell ref="H4:J4"/>
    <mergeCell ref="B4:C4"/>
    <mergeCell ref="A17:C17"/>
    <mergeCell ref="D17:G17"/>
    <mergeCell ref="A18:C18"/>
    <mergeCell ref="D18:G18"/>
    <mergeCell ref="A1:G1"/>
    <mergeCell ref="B2:E2"/>
    <mergeCell ref="A3:C3"/>
    <mergeCell ref="D3:G3"/>
    <mergeCell ref="A12:C12"/>
    <mergeCell ref="D12:G12"/>
    <mergeCell ref="B5:C5"/>
    <mergeCell ref="D5:E5"/>
    <mergeCell ref="A11:C11"/>
    <mergeCell ref="D11:G11"/>
    <mergeCell ref="D4:E4"/>
    <mergeCell ref="F4:G4"/>
    <mergeCell ref="A13:C13"/>
    <mergeCell ref="D13:G13"/>
    <mergeCell ref="A14:C14"/>
    <mergeCell ref="D14:G14"/>
    <mergeCell ref="A22:C22"/>
    <mergeCell ref="D22:G22"/>
    <mergeCell ref="A21:C21"/>
    <mergeCell ref="D21:G21"/>
    <mergeCell ref="A19:C19"/>
    <mergeCell ref="D19:G19"/>
    <mergeCell ref="A20:C20"/>
    <mergeCell ref="D20:G20"/>
    <mergeCell ref="A15:C15"/>
    <mergeCell ref="D15:G15"/>
    <mergeCell ref="A16:C16"/>
    <mergeCell ref="D16:G16"/>
    <mergeCell ref="A29:C29"/>
    <mergeCell ref="D29:G29"/>
    <mergeCell ref="A26:C26"/>
    <mergeCell ref="D26:G26"/>
    <mergeCell ref="A27:C27"/>
    <mergeCell ref="D27:G27"/>
    <mergeCell ref="A23:C23"/>
    <mergeCell ref="D23:G23"/>
    <mergeCell ref="A28:C28"/>
    <mergeCell ref="D28:G28"/>
    <mergeCell ref="A24:C24"/>
    <mergeCell ref="D24:G24"/>
    <mergeCell ref="A25:C25"/>
    <mergeCell ref="D25:G25"/>
  </mergeCells>
  <phoneticPr fontId="51" type="noConversion"/>
  <dataValidations count="1">
    <dataValidation allowBlank="1" showErrorMessage="1" sqref="B5:C5">
      <formula1>0</formula1>
      <formula2>0</formula2>
    </dataValidation>
  </dataValidations>
  <hyperlinks>
    <hyperlink ref="H7" location="事项说明!A28" display="事项说明!A28"/>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K42"/>
  <sheetViews>
    <sheetView workbookViewId="0">
      <selection activeCell="I8" sqref="I8"/>
    </sheetView>
  </sheetViews>
  <sheetFormatPr defaultColWidth="9" defaultRowHeight="15.6"/>
  <cols>
    <col min="1" max="1" width="9.59765625" style="254" customWidth="1"/>
    <col min="2" max="2" width="52.09765625" style="255" customWidth="1"/>
    <col min="3" max="5" width="6.3984375" style="255" customWidth="1"/>
    <col min="6" max="16384" width="9" style="255"/>
  </cols>
  <sheetData>
    <row r="1" spans="1:11" ht="14.25" customHeight="1">
      <c r="A1" s="3017" t="s">
        <v>10080</v>
      </c>
      <c r="B1" s="3017"/>
      <c r="C1" s="3017"/>
      <c r="D1" s="3017"/>
      <c r="E1" s="3017"/>
      <c r="F1" s="256"/>
      <c r="G1" s="256"/>
      <c r="H1" s="256"/>
      <c r="I1" s="256"/>
      <c r="J1" s="256"/>
      <c r="K1" s="256"/>
    </row>
    <row r="2" spans="1:11" ht="17.25" customHeight="1">
      <c r="A2" s="3017"/>
      <c r="B2" s="3017"/>
      <c r="C2" s="3017"/>
      <c r="D2" s="3017"/>
      <c r="E2" s="3017"/>
      <c r="F2" s="256"/>
      <c r="G2" s="256"/>
      <c r="H2" s="256"/>
      <c r="I2" s="256"/>
      <c r="J2" s="256"/>
      <c r="K2" s="256"/>
    </row>
    <row r="3" spans="1:11" ht="29.85" customHeight="1">
      <c r="A3" s="3018" t="s">
        <v>330</v>
      </c>
      <c r="B3" s="3018"/>
      <c r="C3" s="3018"/>
      <c r="D3" s="3018"/>
      <c r="E3" s="3018"/>
      <c r="F3" s="256"/>
      <c r="G3" s="256"/>
      <c r="H3" s="256"/>
      <c r="I3" s="256"/>
      <c r="J3" s="256"/>
      <c r="K3" s="256"/>
    </row>
    <row r="4" spans="1:11" ht="12.75" hidden="1" customHeight="1">
      <c r="A4" s="257"/>
      <c r="B4" s="258"/>
      <c r="C4" s="259"/>
      <c r="D4" s="259"/>
      <c r="E4" s="259"/>
      <c r="F4" s="256"/>
      <c r="G4" s="256"/>
      <c r="H4" s="256"/>
      <c r="I4" s="256"/>
      <c r="J4" s="256"/>
      <c r="K4" s="256"/>
    </row>
    <row r="5" spans="1:11" s="262" customFormat="1" ht="32.25" customHeight="1">
      <c r="A5" s="3019" t="str">
        <f>"公司名称："&amp;基本情况!B2</f>
        <v>公司名称：0</v>
      </c>
      <c r="B5" s="3019"/>
      <c r="C5" s="3020" t="s">
        <v>1551</v>
      </c>
      <c r="D5" s="3020"/>
      <c r="E5" s="260" t="str">
        <f>档案索引!A31</f>
        <v>2A-11</v>
      </c>
      <c r="F5" s="261"/>
      <c r="G5" s="261"/>
      <c r="H5" s="261"/>
      <c r="I5" s="261"/>
      <c r="J5" s="261"/>
      <c r="K5" s="261"/>
    </row>
    <row r="6" spans="1:11" ht="18" customHeight="1">
      <c r="A6" s="3015" t="s">
        <v>1552</v>
      </c>
      <c r="B6" s="3016" t="s">
        <v>1553</v>
      </c>
      <c r="C6" s="3021" t="s">
        <v>1554</v>
      </c>
      <c r="D6" s="3021"/>
      <c r="E6" s="3021"/>
      <c r="F6" s="256"/>
      <c r="G6" s="256"/>
      <c r="H6" s="256"/>
      <c r="I6" s="256"/>
      <c r="J6" s="256"/>
      <c r="K6" s="256"/>
    </row>
    <row r="7" spans="1:11" ht="18" customHeight="1">
      <c r="A7" s="3015"/>
      <c r="B7" s="3016"/>
      <c r="C7" s="263" t="s">
        <v>1555</v>
      </c>
      <c r="D7" s="264" t="s">
        <v>1556</v>
      </c>
      <c r="E7" s="264" t="s">
        <v>1078</v>
      </c>
      <c r="F7" s="256"/>
      <c r="G7" s="256"/>
      <c r="H7" s="256"/>
      <c r="I7" s="256"/>
      <c r="J7" s="256"/>
      <c r="K7" s="256"/>
    </row>
    <row r="8" spans="1:11" ht="16.5" customHeight="1">
      <c r="A8" s="3022" t="s">
        <v>1557</v>
      </c>
      <c r="B8" s="265" t="s">
        <v>1558</v>
      </c>
      <c r="C8" s="266"/>
      <c r="D8" s="267"/>
      <c r="E8" s="268"/>
      <c r="F8" s="256"/>
      <c r="G8" s="256"/>
      <c r="H8" s="256"/>
      <c r="I8" s="256"/>
      <c r="J8" s="256"/>
      <c r="K8" s="256"/>
    </row>
    <row r="9" spans="1:11" ht="16.5" customHeight="1">
      <c r="A9" s="3022"/>
      <c r="B9" s="269" t="s">
        <v>429</v>
      </c>
      <c r="C9" s="270"/>
      <c r="D9" s="271"/>
      <c r="E9" s="272"/>
      <c r="F9" s="256"/>
      <c r="G9" s="256"/>
      <c r="H9" s="256"/>
      <c r="I9" s="256"/>
      <c r="J9" s="256"/>
      <c r="K9" s="256"/>
    </row>
    <row r="10" spans="1:11" ht="16.5" customHeight="1">
      <c r="A10" s="3022"/>
      <c r="B10" s="269" t="s">
        <v>1559</v>
      </c>
      <c r="C10" s="270"/>
      <c r="D10" s="271"/>
      <c r="E10" s="272"/>
      <c r="F10" s="256"/>
      <c r="G10" s="256"/>
      <c r="H10" s="256"/>
      <c r="I10" s="256"/>
      <c r="J10" s="256"/>
      <c r="K10" s="256"/>
    </row>
    <row r="11" spans="1:11" ht="16.5" customHeight="1">
      <c r="A11" s="3022"/>
      <c r="B11" s="269" t="s">
        <v>1560</v>
      </c>
      <c r="C11" s="270"/>
      <c r="D11" s="271"/>
      <c r="E11" s="272"/>
      <c r="F11" s="256"/>
      <c r="G11" s="256"/>
      <c r="H11" s="256"/>
      <c r="I11" s="256"/>
      <c r="J11" s="256"/>
      <c r="K11" s="256"/>
    </row>
    <row r="12" spans="1:11" ht="16.5" customHeight="1">
      <c r="A12" s="3022"/>
      <c r="B12" s="269" t="s">
        <v>1561</v>
      </c>
      <c r="C12" s="270"/>
      <c r="D12" s="271"/>
      <c r="E12" s="272"/>
      <c r="F12" s="256"/>
      <c r="G12" s="256"/>
      <c r="H12" s="256"/>
      <c r="I12" s="256"/>
      <c r="J12" s="256"/>
      <c r="K12" s="256"/>
    </row>
    <row r="13" spans="1:11" ht="16.5" customHeight="1">
      <c r="A13" s="273"/>
      <c r="B13" s="274" t="s">
        <v>1562</v>
      </c>
      <c r="C13" s="275"/>
      <c r="D13" s="276"/>
      <c r="E13" s="277"/>
      <c r="F13" s="256"/>
      <c r="G13" s="256"/>
      <c r="H13" s="256"/>
      <c r="I13" s="256"/>
      <c r="J13" s="256"/>
      <c r="K13" s="256"/>
    </row>
    <row r="14" spans="1:11" ht="16.5" customHeight="1">
      <c r="A14" s="3024" t="s">
        <v>1563</v>
      </c>
      <c r="B14" s="265" t="s">
        <v>1564</v>
      </c>
      <c r="C14" s="266"/>
      <c r="D14" s="267"/>
      <c r="E14" s="268"/>
      <c r="F14" s="256"/>
      <c r="G14" s="256"/>
      <c r="H14" s="256"/>
      <c r="I14" s="256"/>
      <c r="J14" s="256"/>
      <c r="K14" s="256"/>
    </row>
    <row r="15" spans="1:11" ht="16.5" customHeight="1">
      <c r="A15" s="3024"/>
      <c r="B15" s="269" t="s">
        <v>1565</v>
      </c>
      <c r="C15" s="270"/>
      <c r="D15" s="271"/>
      <c r="E15" s="272"/>
      <c r="F15" s="256"/>
      <c r="G15" s="256"/>
      <c r="H15" s="256"/>
      <c r="I15" s="256"/>
      <c r="J15" s="256"/>
      <c r="K15" s="256"/>
    </row>
    <row r="16" spans="1:11" ht="16.5" customHeight="1">
      <c r="A16" s="3024"/>
      <c r="B16" s="269" t="s">
        <v>1418</v>
      </c>
      <c r="C16" s="270"/>
      <c r="D16" s="271"/>
      <c r="E16" s="272"/>
      <c r="F16" s="256"/>
      <c r="G16" s="256"/>
      <c r="H16" s="256"/>
      <c r="I16" s="256"/>
      <c r="J16" s="256"/>
      <c r="K16" s="256"/>
    </row>
    <row r="17" spans="1:11" ht="16.5" customHeight="1">
      <c r="A17" s="3024"/>
      <c r="B17" s="269" t="s">
        <v>1566</v>
      </c>
      <c r="C17" s="270"/>
      <c r="D17" s="271"/>
      <c r="E17" s="272"/>
      <c r="F17" s="256"/>
      <c r="G17" s="256"/>
      <c r="H17" s="256"/>
      <c r="I17" s="256"/>
      <c r="J17" s="256"/>
      <c r="K17" s="256"/>
    </row>
    <row r="18" spans="1:11" ht="16.5" customHeight="1">
      <c r="A18" s="3024"/>
      <c r="B18" s="269" t="s">
        <v>1567</v>
      </c>
      <c r="C18" s="270"/>
      <c r="D18" s="271"/>
      <c r="E18" s="272"/>
      <c r="F18" s="256"/>
      <c r="G18" s="256"/>
      <c r="H18" s="256"/>
      <c r="I18" s="256"/>
      <c r="J18" s="256"/>
      <c r="K18" s="256"/>
    </row>
    <row r="19" spans="1:11" ht="16.5" customHeight="1">
      <c r="A19" s="3024"/>
      <c r="B19" s="269" t="s">
        <v>1568</v>
      </c>
      <c r="C19" s="270"/>
      <c r="D19" s="271"/>
      <c r="E19" s="272"/>
      <c r="F19" s="256"/>
      <c r="G19" s="256"/>
      <c r="H19" s="256"/>
      <c r="I19" s="256"/>
      <c r="J19" s="256"/>
      <c r="K19" s="256"/>
    </row>
    <row r="20" spans="1:11" ht="16.5" customHeight="1">
      <c r="A20" s="3024"/>
      <c r="B20" s="269" t="s">
        <v>1569</v>
      </c>
      <c r="C20" s="270"/>
      <c r="D20" s="271"/>
      <c r="E20" s="272"/>
      <c r="F20" s="256"/>
      <c r="G20" s="256"/>
      <c r="H20" s="256"/>
      <c r="I20" s="256"/>
      <c r="J20" s="256"/>
      <c r="K20" s="256"/>
    </row>
    <row r="21" spans="1:11" ht="16.5" customHeight="1">
      <c r="A21" s="3024"/>
      <c r="B21" s="278" t="s">
        <v>1570</v>
      </c>
      <c r="C21" s="279"/>
      <c r="D21" s="280"/>
      <c r="E21" s="281"/>
      <c r="F21" s="256"/>
      <c r="G21" s="256"/>
      <c r="H21" s="256"/>
      <c r="I21" s="256"/>
      <c r="J21" s="256"/>
      <c r="K21" s="256"/>
    </row>
    <row r="22" spans="1:11" ht="16.5" customHeight="1">
      <c r="A22" s="3025" t="s">
        <v>1571</v>
      </c>
      <c r="B22" s="265" t="s">
        <v>1572</v>
      </c>
      <c r="C22" s="275"/>
      <c r="D22" s="276"/>
      <c r="E22" s="277"/>
      <c r="F22" s="256"/>
      <c r="G22" s="256"/>
      <c r="H22" s="256"/>
      <c r="I22" s="256"/>
      <c r="J22" s="256"/>
      <c r="K22" s="256"/>
    </row>
    <row r="23" spans="1:11" ht="16.5" customHeight="1">
      <c r="A23" s="3025"/>
      <c r="B23" s="269" t="s">
        <v>1573</v>
      </c>
      <c r="C23" s="270"/>
      <c r="D23" s="271"/>
      <c r="E23" s="272"/>
      <c r="F23" s="256"/>
      <c r="G23" s="256"/>
      <c r="H23" s="256"/>
      <c r="I23" s="256"/>
      <c r="J23" s="256"/>
      <c r="K23" s="256"/>
    </row>
    <row r="24" spans="1:11" ht="16.5" customHeight="1">
      <c r="A24" s="3025"/>
      <c r="B24" s="269" t="s">
        <v>1574</v>
      </c>
      <c r="C24" s="270"/>
      <c r="D24" s="271"/>
      <c r="E24" s="272"/>
      <c r="F24" s="256"/>
      <c r="G24" s="256"/>
      <c r="H24" s="256"/>
      <c r="I24" s="256"/>
      <c r="J24" s="256"/>
      <c r="K24" s="256"/>
    </row>
    <row r="25" spans="1:11" ht="16.5" customHeight="1">
      <c r="A25" s="3025"/>
      <c r="B25" s="269" t="s">
        <v>1575</v>
      </c>
      <c r="C25" s="270"/>
      <c r="D25" s="271"/>
      <c r="E25" s="272"/>
      <c r="F25" s="256"/>
      <c r="G25" s="256"/>
      <c r="H25" s="256"/>
      <c r="I25" s="256"/>
      <c r="J25" s="256"/>
      <c r="K25" s="256"/>
    </row>
    <row r="26" spans="1:11" ht="16.5" customHeight="1">
      <c r="A26" s="3025"/>
      <c r="B26" s="269" t="s">
        <v>1576</v>
      </c>
      <c r="C26" s="270"/>
      <c r="D26" s="271"/>
      <c r="E26" s="272"/>
      <c r="F26" s="256"/>
      <c r="G26" s="256"/>
      <c r="H26" s="256"/>
      <c r="I26" s="256"/>
      <c r="J26" s="256"/>
      <c r="K26" s="256"/>
    </row>
    <row r="27" spans="1:11" ht="16.5" customHeight="1">
      <c r="A27" s="3025"/>
      <c r="B27" s="269" t="s">
        <v>1577</v>
      </c>
      <c r="C27" s="270"/>
      <c r="D27" s="271"/>
      <c r="E27" s="272"/>
      <c r="F27" s="256"/>
      <c r="G27" s="256"/>
      <c r="H27" s="256"/>
      <c r="I27" s="256"/>
      <c r="J27" s="256"/>
      <c r="K27" s="256"/>
    </row>
    <row r="28" spans="1:11" ht="16.5" customHeight="1">
      <c r="A28" s="3025"/>
      <c r="B28" s="269" t="s">
        <v>1578</v>
      </c>
      <c r="C28" s="270"/>
      <c r="D28" s="271"/>
      <c r="E28" s="272"/>
      <c r="F28" s="256"/>
      <c r="G28" s="256"/>
      <c r="H28" s="256"/>
      <c r="I28" s="256"/>
      <c r="J28" s="256"/>
      <c r="K28" s="256"/>
    </row>
    <row r="29" spans="1:11" ht="16.5" customHeight="1">
      <c r="A29" s="3025"/>
      <c r="B29" s="269" t="s">
        <v>1579</v>
      </c>
      <c r="C29" s="270"/>
      <c r="D29" s="271"/>
      <c r="E29" s="272"/>
      <c r="F29" s="256"/>
      <c r="G29" s="256"/>
      <c r="H29" s="256"/>
      <c r="I29" s="256"/>
      <c r="J29" s="256"/>
      <c r="K29" s="256"/>
    </row>
    <row r="30" spans="1:11" ht="16.5" customHeight="1">
      <c r="A30" s="3025"/>
      <c r="B30" s="269" t="s">
        <v>1580</v>
      </c>
      <c r="C30" s="270"/>
      <c r="D30" s="271"/>
      <c r="E30" s="272"/>
      <c r="F30" s="256"/>
      <c r="G30" s="256"/>
      <c r="H30" s="256"/>
      <c r="I30" s="256"/>
      <c r="J30" s="256"/>
      <c r="K30" s="256"/>
    </row>
    <row r="31" spans="1:11" ht="16.5" customHeight="1">
      <c r="A31" s="3025"/>
      <c r="B31" s="269" t="s">
        <v>1581</v>
      </c>
      <c r="C31" s="270"/>
      <c r="D31" s="271"/>
      <c r="E31" s="272"/>
      <c r="F31" s="256"/>
      <c r="G31" s="256"/>
      <c r="H31" s="256"/>
      <c r="I31" s="256"/>
      <c r="J31" s="256"/>
      <c r="K31" s="256"/>
    </row>
    <row r="32" spans="1:11" ht="16.5" customHeight="1">
      <c r="A32" s="3025"/>
      <c r="B32" s="3026" t="s">
        <v>1582</v>
      </c>
      <c r="C32" s="282"/>
      <c r="D32" s="283"/>
      <c r="E32" s="284"/>
      <c r="F32" s="256"/>
      <c r="G32" s="256"/>
      <c r="H32" s="256"/>
      <c r="I32" s="256"/>
      <c r="J32" s="256"/>
      <c r="K32" s="256"/>
    </row>
    <row r="33" spans="1:11" ht="16.5" customHeight="1">
      <c r="A33" s="3025"/>
      <c r="B33" s="3026"/>
      <c r="C33" s="285"/>
      <c r="D33" s="286"/>
      <c r="E33" s="287"/>
      <c r="F33" s="256"/>
      <c r="G33" s="256"/>
      <c r="H33" s="256"/>
      <c r="I33" s="256"/>
      <c r="J33" s="256"/>
      <c r="K33" s="256"/>
    </row>
    <row r="34" spans="1:11" ht="16.5" customHeight="1">
      <c r="A34" s="3022" t="s">
        <v>1583</v>
      </c>
      <c r="B34" s="265" t="s">
        <v>1584</v>
      </c>
      <c r="C34" s="266"/>
      <c r="D34" s="267"/>
      <c r="E34" s="268"/>
      <c r="F34" s="256"/>
      <c r="G34" s="256"/>
      <c r="H34" s="256"/>
      <c r="I34" s="256"/>
      <c r="J34" s="256"/>
      <c r="K34" s="256"/>
    </row>
    <row r="35" spans="1:11" ht="16.5" customHeight="1">
      <c r="A35" s="3022"/>
      <c r="B35" s="269" t="s">
        <v>1585</v>
      </c>
      <c r="C35" s="270"/>
      <c r="D35" s="271"/>
      <c r="E35" s="272"/>
      <c r="F35" s="256"/>
      <c r="G35" s="256"/>
      <c r="H35" s="256"/>
      <c r="I35" s="256"/>
      <c r="J35" s="256"/>
      <c r="K35" s="256"/>
    </row>
    <row r="36" spans="1:11" ht="16.5" customHeight="1">
      <c r="A36" s="3022"/>
      <c r="B36" s="269" t="s">
        <v>1586</v>
      </c>
      <c r="C36" s="270"/>
      <c r="D36" s="271"/>
      <c r="E36" s="272"/>
      <c r="F36" s="256"/>
      <c r="G36" s="256"/>
      <c r="H36" s="256"/>
      <c r="I36" s="256"/>
      <c r="J36" s="256"/>
      <c r="K36" s="256"/>
    </row>
    <row r="37" spans="1:11" ht="16.5" customHeight="1">
      <c r="A37" s="3022"/>
      <c r="B37" s="269" t="s">
        <v>1587</v>
      </c>
      <c r="C37" s="270"/>
      <c r="D37" s="271"/>
      <c r="E37" s="272"/>
      <c r="F37" s="256"/>
      <c r="G37" s="256"/>
      <c r="H37" s="256"/>
      <c r="I37" s="256"/>
      <c r="J37" s="256"/>
      <c r="K37" s="256"/>
    </row>
    <row r="38" spans="1:11" ht="16.5" customHeight="1">
      <c r="A38" s="3022"/>
      <c r="B38" s="288" t="s">
        <v>1588</v>
      </c>
      <c r="C38" s="282"/>
      <c r="D38" s="283"/>
      <c r="E38" s="284"/>
      <c r="F38" s="256"/>
      <c r="G38" s="256"/>
      <c r="H38" s="256"/>
      <c r="I38" s="256"/>
      <c r="J38" s="256"/>
      <c r="K38" s="256"/>
    </row>
    <row r="39" spans="1:11" ht="16.5" customHeight="1">
      <c r="A39" s="3023" t="s">
        <v>1589</v>
      </c>
      <c r="B39" s="289"/>
      <c r="C39" s="290"/>
      <c r="D39" s="291"/>
      <c r="E39" s="292"/>
      <c r="F39" s="256"/>
      <c r="G39" s="256"/>
      <c r="H39" s="256"/>
      <c r="I39" s="256"/>
      <c r="J39" s="256"/>
      <c r="K39" s="256"/>
    </row>
    <row r="40" spans="1:11" ht="16.5" customHeight="1">
      <c r="A40" s="3023"/>
      <c r="B40" s="293"/>
      <c r="C40" s="294"/>
      <c r="D40" s="295"/>
      <c r="E40" s="296"/>
      <c r="F40" s="256"/>
      <c r="G40" s="256"/>
      <c r="H40" s="256"/>
      <c r="I40" s="256"/>
      <c r="J40" s="256"/>
      <c r="K40" s="256"/>
    </row>
    <row r="41" spans="1:11" ht="16.5" customHeight="1">
      <c r="A41" s="3023"/>
      <c r="B41" s="293"/>
      <c r="C41" s="294"/>
      <c r="D41" s="295"/>
      <c r="E41" s="296"/>
      <c r="F41" s="256"/>
      <c r="G41" s="256"/>
      <c r="H41" s="256"/>
      <c r="I41" s="256"/>
      <c r="J41" s="256"/>
      <c r="K41" s="256"/>
    </row>
    <row r="42" spans="1:11" ht="16.5" customHeight="1">
      <c r="A42" s="3023"/>
      <c r="B42" s="297"/>
      <c r="C42" s="298"/>
      <c r="D42" s="299"/>
      <c r="E42" s="300"/>
      <c r="F42" s="256"/>
      <c r="G42" s="256"/>
      <c r="H42" s="256"/>
      <c r="I42" s="256"/>
      <c r="J42" s="256"/>
      <c r="K42" s="256"/>
    </row>
  </sheetData>
  <sheetProtection selectLockedCells="1" selectUnlockedCells="1"/>
  <mergeCells count="13">
    <mergeCell ref="A8:A12"/>
    <mergeCell ref="A39:A42"/>
    <mergeCell ref="A14:A21"/>
    <mergeCell ref="A22:A33"/>
    <mergeCell ref="B32:B33"/>
    <mergeCell ref="A34:A38"/>
    <mergeCell ref="A6:A7"/>
    <mergeCell ref="B6:B7"/>
    <mergeCell ref="A1:E2"/>
    <mergeCell ref="A3:E3"/>
    <mergeCell ref="A5:B5"/>
    <mergeCell ref="C5:D5"/>
    <mergeCell ref="C6:E6"/>
  </mergeCells>
  <phoneticPr fontId="51" type="noConversion"/>
  <dataValidations count="2">
    <dataValidation type="list" allowBlank="1" showErrorMessage="1" sqref="C8:C38 E8:E38">
      <formula1>"√"</formula1>
      <formula2>0</formula2>
    </dataValidation>
    <dataValidation type="list" allowBlank="1" showErrorMessage="1" sqref="D8:D38">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L22"/>
  <sheetViews>
    <sheetView workbookViewId="0">
      <selection sqref="A1:E1"/>
    </sheetView>
  </sheetViews>
  <sheetFormatPr defaultColWidth="9" defaultRowHeight="15.6"/>
  <cols>
    <col min="1" max="1" width="7" style="301" customWidth="1"/>
    <col min="2" max="2" width="31.69921875" style="301" customWidth="1"/>
    <col min="3" max="3" width="7" style="301" customWidth="1"/>
    <col min="4" max="4" width="12.5" style="301" customWidth="1"/>
    <col min="5" max="5" width="26.19921875" style="301" customWidth="1"/>
    <col min="6" max="16384" width="9" style="301"/>
  </cols>
  <sheetData>
    <row r="1" spans="1:12" ht="22.2">
      <c r="A1" s="2719" t="s">
        <v>334</v>
      </c>
      <c r="B1" s="2719"/>
      <c r="C1" s="2719"/>
      <c r="D1" s="2719"/>
      <c r="E1" s="2719"/>
      <c r="F1" s="302"/>
      <c r="G1" s="302"/>
      <c r="H1" s="302"/>
      <c r="I1" s="302"/>
      <c r="J1" s="302"/>
      <c r="K1" s="302"/>
      <c r="L1" s="302"/>
    </row>
    <row r="2" spans="1:12" ht="7.5" customHeight="1">
      <c r="A2" s="303"/>
      <c r="B2" s="303"/>
      <c r="C2" s="303"/>
      <c r="D2" s="303"/>
      <c r="E2" s="303"/>
      <c r="F2" s="302"/>
      <c r="G2" s="302"/>
      <c r="H2" s="302"/>
      <c r="I2" s="302"/>
      <c r="J2" s="302"/>
      <c r="K2" s="302"/>
      <c r="L2" s="302"/>
    </row>
    <row r="3" spans="1:12" ht="27.9" customHeight="1">
      <c r="A3" s="304"/>
      <c r="B3" s="304"/>
      <c r="C3" s="304"/>
      <c r="D3" s="305" t="s">
        <v>283</v>
      </c>
      <c r="E3" s="306" t="str">
        <f>档案索引!A32</f>
        <v>2A-12</v>
      </c>
      <c r="F3" s="302"/>
      <c r="G3" s="302"/>
      <c r="H3" s="302"/>
      <c r="I3" s="302"/>
      <c r="J3" s="302"/>
      <c r="K3" s="302"/>
      <c r="L3" s="302"/>
    </row>
    <row r="4" spans="1:12" ht="27.9" customHeight="1">
      <c r="A4" s="307" t="s">
        <v>1590</v>
      </c>
      <c r="B4" s="307" t="s">
        <v>1591</v>
      </c>
      <c r="C4" s="307" t="s">
        <v>1590</v>
      </c>
      <c r="D4" s="2778" t="s">
        <v>1591</v>
      </c>
      <c r="E4" s="2778"/>
      <c r="F4" s="302"/>
      <c r="G4" s="302"/>
      <c r="H4" s="302"/>
      <c r="I4" s="302"/>
      <c r="J4" s="302"/>
      <c r="K4" s="302"/>
      <c r="L4" s="302"/>
    </row>
    <row r="5" spans="1:12" ht="27.9" customHeight="1">
      <c r="A5" s="308" t="s">
        <v>1592</v>
      </c>
      <c r="B5" s="309" t="s">
        <v>1593</v>
      </c>
      <c r="C5" s="310" t="s">
        <v>1594</v>
      </c>
      <c r="D5" s="3027" t="s">
        <v>1595</v>
      </c>
      <c r="E5" s="3027"/>
      <c r="F5" s="302"/>
      <c r="G5" s="302"/>
      <c r="H5" s="302"/>
      <c r="I5" s="302"/>
      <c r="J5" s="302"/>
      <c r="K5" s="302"/>
      <c r="L5" s="302"/>
    </row>
    <row r="6" spans="1:12" ht="27.9" customHeight="1">
      <c r="A6" s="308" t="s">
        <v>1596</v>
      </c>
      <c r="B6" s="309" t="s">
        <v>1597</v>
      </c>
      <c r="C6" s="310" t="s">
        <v>1598</v>
      </c>
      <c r="D6" s="3027" t="s">
        <v>1599</v>
      </c>
      <c r="E6" s="3027"/>
      <c r="F6" s="302"/>
      <c r="G6" s="302"/>
      <c r="H6" s="302"/>
      <c r="I6" s="302"/>
      <c r="J6" s="302"/>
      <c r="K6" s="302"/>
      <c r="L6" s="302"/>
    </row>
    <row r="7" spans="1:12" ht="27.9" customHeight="1">
      <c r="A7" s="310" t="s">
        <v>1600</v>
      </c>
      <c r="B7" s="309" t="s">
        <v>1601</v>
      </c>
      <c r="C7" s="310" t="s">
        <v>1602</v>
      </c>
      <c r="D7" s="3027" t="s">
        <v>1603</v>
      </c>
      <c r="E7" s="3027"/>
      <c r="F7" s="302"/>
      <c r="G7" s="302"/>
      <c r="H7" s="302"/>
      <c r="I7" s="302"/>
      <c r="J7" s="302"/>
      <c r="K7" s="302"/>
      <c r="L7" s="302"/>
    </row>
    <row r="8" spans="1:12" ht="27.9" customHeight="1">
      <c r="A8" s="310" t="s">
        <v>1604</v>
      </c>
      <c r="B8" s="309" t="s">
        <v>1605</v>
      </c>
      <c r="C8" s="310" t="s">
        <v>1606</v>
      </c>
      <c r="D8" s="3027" t="s">
        <v>1607</v>
      </c>
      <c r="E8" s="3027"/>
      <c r="F8" s="302"/>
      <c r="G8" s="302"/>
      <c r="H8" s="302"/>
      <c r="I8" s="302"/>
      <c r="J8" s="302"/>
      <c r="K8" s="302"/>
      <c r="L8" s="302"/>
    </row>
    <row r="9" spans="1:12" ht="27.9" customHeight="1">
      <c r="A9" s="310" t="s">
        <v>1608</v>
      </c>
      <c r="B9" s="309" t="s">
        <v>1609</v>
      </c>
      <c r="C9" s="310" t="s">
        <v>1610</v>
      </c>
      <c r="D9" s="3027" t="s">
        <v>1611</v>
      </c>
      <c r="E9" s="3027"/>
      <c r="F9" s="302"/>
      <c r="G9" s="302"/>
      <c r="H9" s="302"/>
      <c r="I9" s="302"/>
      <c r="J9" s="302"/>
      <c r="K9" s="302"/>
      <c r="L9" s="302"/>
    </row>
    <row r="10" spans="1:12" ht="27.9" customHeight="1">
      <c r="A10" s="310" t="s">
        <v>1612</v>
      </c>
      <c r="B10" s="309" t="s">
        <v>1613</v>
      </c>
      <c r="C10" s="310" t="s">
        <v>1614</v>
      </c>
      <c r="D10" s="3027" t="s">
        <v>1615</v>
      </c>
      <c r="E10" s="3027"/>
      <c r="F10" s="302"/>
      <c r="G10" s="302"/>
      <c r="H10" s="302"/>
      <c r="I10" s="302"/>
      <c r="J10" s="302"/>
      <c r="K10" s="302"/>
      <c r="L10" s="302"/>
    </row>
    <row r="11" spans="1:12" ht="27.9" customHeight="1">
      <c r="A11" s="310" t="s">
        <v>1616</v>
      </c>
      <c r="B11" s="309" t="s">
        <v>1617</v>
      </c>
      <c r="C11" s="310" t="s">
        <v>1618</v>
      </c>
      <c r="D11" s="3027" t="s">
        <v>1619</v>
      </c>
      <c r="E11" s="3027"/>
      <c r="F11" s="302"/>
      <c r="G11" s="302"/>
      <c r="H11" s="302"/>
      <c r="I11" s="302"/>
      <c r="J11" s="302"/>
      <c r="K11" s="302"/>
      <c r="L11" s="302"/>
    </row>
    <row r="12" spans="1:12" ht="27.9" customHeight="1">
      <c r="A12" s="310" t="s">
        <v>1620</v>
      </c>
      <c r="B12" s="309" t="s">
        <v>502</v>
      </c>
      <c r="C12" s="310" t="s">
        <v>503</v>
      </c>
      <c r="D12" s="3027" t="s">
        <v>504</v>
      </c>
      <c r="E12" s="3027"/>
      <c r="F12" s="302"/>
      <c r="G12" s="302"/>
      <c r="H12" s="302"/>
      <c r="I12" s="302"/>
      <c r="J12" s="302"/>
      <c r="K12" s="302"/>
      <c r="L12" s="302"/>
    </row>
    <row r="13" spans="1:12" ht="27.9" customHeight="1">
      <c r="A13" s="310" t="s">
        <v>505</v>
      </c>
      <c r="B13" s="309" t="s">
        <v>506</v>
      </c>
      <c r="C13" s="310" t="s">
        <v>507</v>
      </c>
      <c r="D13" s="3027" t="s">
        <v>508</v>
      </c>
      <c r="E13" s="3027"/>
      <c r="F13" s="302"/>
      <c r="G13" s="302"/>
      <c r="H13" s="302"/>
      <c r="I13" s="302"/>
      <c r="J13" s="302"/>
      <c r="K13" s="302"/>
      <c r="L13" s="302"/>
    </row>
    <row r="14" spans="1:12" ht="27.9" customHeight="1">
      <c r="A14" s="310" t="s">
        <v>509</v>
      </c>
      <c r="B14" s="309" t="s">
        <v>455</v>
      </c>
      <c r="C14" s="310" t="s">
        <v>510</v>
      </c>
      <c r="D14" s="3027" t="s">
        <v>511</v>
      </c>
      <c r="E14" s="3027"/>
      <c r="F14" s="302"/>
      <c r="G14" s="302"/>
      <c r="H14" s="302"/>
      <c r="I14" s="302"/>
      <c r="J14" s="302"/>
      <c r="K14" s="302"/>
      <c r="L14" s="302"/>
    </row>
    <row r="15" spans="1:12" ht="27.9" customHeight="1">
      <c r="A15" s="311"/>
      <c r="B15" s="312"/>
      <c r="C15" s="310" t="s">
        <v>512</v>
      </c>
      <c r="D15" s="3027" t="s">
        <v>513</v>
      </c>
      <c r="E15" s="3027"/>
      <c r="F15" s="302"/>
      <c r="G15" s="302"/>
      <c r="H15" s="302"/>
      <c r="I15" s="302"/>
      <c r="J15" s="302"/>
      <c r="K15" s="302"/>
      <c r="L15" s="302"/>
    </row>
    <row r="16" spans="1:12" ht="27.9" customHeight="1">
      <c r="A16" s="313"/>
      <c r="B16" s="314"/>
      <c r="C16" s="313"/>
      <c r="D16" s="3028"/>
      <c r="E16" s="3028"/>
      <c r="F16" s="302"/>
      <c r="G16" s="302"/>
      <c r="H16" s="302"/>
      <c r="I16" s="302"/>
      <c r="J16" s="302"/>
      <c r="K16" s="302"/>
      <c r="L16" s="302"/>
    </row>
    <row r="17" spans="1:12" ht="27.9" customHeight="1">
      <c r="A17" s="313"/>
      <c r="B17" s="314"/>
      <c r="C17" s="313"/>
      <c r="D17" s="3028"/>
      <c r="E17" s="3028"/>
      <c r="F17" s="302"/>
      <c r="G17" s="302"/>
      <c r="H17" s="302"/>
      <c r="I17" s="302"/>
      <c r="J17" s="302"/>
      <c r="K17" s="302"/>
      <c r="L17" s="302"/>
    </row>
    <row r="18" spans="1:12" ht="27.9" customHeight="1">
      <c r="A18" s="313"/>
      <c r="B18" s="314"/>
      <c r="C18" s="313"/>
      <c r="D18" s="3028"/>
      <c r="E18" s="3028"/>
      <c r="F18" s="302"/>
      <c r="G18" s="302"/>
      <c r="H18" s="302"/>
      <c r="I18" s="302"/>
      <c r="J18" s="302"/>
      <c r="K18" s="302"/>
      <c r="L18" s="302"/>
    </row>
    <row r="19" spans="1:12" ht="27.9" customHeight="1">
      <c r="A19" s="313"/>
      <c r="B19" s="314"/>
      <c r="C19" s="313"/>
      <c r="D19" s="3028"/>
      <c r="E19" s="3028"/>
      <c r="F19" s="302"/>
      <c r="G19" s="302"/>
      <c r="H19" s="302"/>
      <c r="I19" s="302"/>
      <c r="J19" s="302"/>
      <c r="K19" s="302"/>
      <c r="L19" s="302"/>
    </row>
    <row r="20" spans="1:12" ht="27.9" customHeight="1">
      <c r="A20" s="313"/>
      <c r="B20" s="314"/>
      <c r="C20" s="313"/>
      <c r="D20" s="3028"/>
      <c r="E20" s="3028"/>
      <c r="F20" s="302"/>
      <c r="G20" s="302"/>
      <c r="H20" s="302"/>
      <c r="I20" s="302"/>
      <c r="J20" s="302"/>
      <c r="K20" s="302"/>
      <c r="L20" s="302"/>
    </row>
    <row r="21" spans="1:12" ht="27.9" customHeight="1">
      <c r="A21" s="313"/>
      <c r="B21" s="314"/>
      <c r="C21" s="313"/>
      <c r="D21" s="3028"/>
      <c r="E21" s="3028"/>
      <c r="F21" s="302"/>
      <c r="G21" s="302"/>
      <c r="H21" s="302"/>
      <c r="I21" s="302"/>
      <c r="J21" s="302"/>
      <c r="K21" s="302"/>
      <c r="L21" s="302"/>
    </row>
    <row r="22" spans="1:12" ht="27.9" customHeight="1">
      <c r="A22" s="303" t="s">
        <v>514</v>
      </c>
      <c r="B22" s="303"/>
      <c r="C22" s="303"/>
      <c r="D22" s="303"/>
      <c r="E22" s="303"/>
      <c r="F22" s="302"/>
      <c r="G22" s="302"/>
      <c r="H22" s="302"/>
      <c r="I22" s="302"/>
      <c r="J22" s="302"/>
      <c r="K22" s="302"/>
      <c r="L22" s="302"/>
    </row>
  </sheetData>
  <sheetProtection selectLockedCells="1" selectUnlockedCells="1"/>
  <mergeCells count="19">
    <mergeCell ref="A1:E1"/>
    <mergeCell ref="D4:E4"/>
    <mergeCell ref="D5:E5"/>
    <mergeCell ref="D6:E6"/>
    <mergeCell ref="D11:E11"/>
    <mergeCell ref="D7:E7"/>
    <mergeCell ref="D8:E8"/>
    <mergeCell ref="D9:E9"/>
    <mergeCell ref="D10:E10"/>
    <mergeCell ref="D12:E12"/>
    <mergeCell ref="D21:E21"/>
    <mergeCell ref="D15:E15"/>
    <mergeCell ref="D16:E16"/>
    <mergeCell ref="D17:E17"/>
    <mergeCell ref="D18:E18"/>
    <mergeCell ref="D19:E19"/>
    <mergeCell ref="D20:E20"/>
    <mergeCell ref="D13:E13"/>
    <mergeCell ref="D14:E14"/>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N36"/>
  <sheetViews>
    <sheetView workbookViewId="0">
      <selection sqref="A1:G1"/>
    </sheetView>
  </sheetViews>
  <sheetFormatPr defaultColWidth="9" defaultRowHeight="15.6"/>
  <cols>
    <col min="1" max="1" width="18" style="92" customWidth="1"/>
    <col min="2" max="2" width="12.3984375" style="92" customWidth="1"/>
    <col min="3" max="3" width="8.69921875" style="92" customWidth="1"/>
    <col min="4" max="4" width="10.59765625" style="92" customWidth="1"/>
    <col min="5" max="5" width="9.5" style="92" customWidth="1"/>
    <col min="6" max="6" width="12.59765625" style="92" customWidth="1"/>
    <col min="7" max="16384" width="9" style="92"/>
  </cols>
  <sheetData>
    <row r="1" spans="1:14" ht="22.2">
      <c r="A1" s="2719" t="s">
        <v>530</v>
      </c>
      <c r="B1" s="2719"/>
      <c r="C1" s="2719"/>
      <c r="D1" s="2719"/>
      <c r="E1" s="2719"/>
      <c r="F1" s="2719"/>
      <c r="G1" s="2719"/>
      <c r="H1" s="98"/>
      <c r="I1" s="98"/>
      <c r="J1" s="98"/>
      <c r="K1" s="98"/>
      <c r="L1" s="98"/>
      <c r="M1" s="98"/>
      <c r="N1" s="98"/>
    </row>
    <row r="2" spans="1:14">
      <c r="A2" s="3029"/>
      <c r="B2" s="3029"/>
      <c r="C2" s="3029"/>
      <c r="D2" s="3029"/>
      <c r="E2" s="3029"/>
      <c r="F2" s="3029"/>
      <c r="G2" s="3029"/>
      <c r="H2" s="98"/>
      <c r="I2" s="98"/>
      <c r="J2" s="1333"/>
      <c r="K2" s="98"/>
      <c r="L2" s="98"/>
      <c r="M2" s="98"/>
      <c r="N2" s="98"/>
    </row>
    <row r="3" spans="1:14" ht="19.5" customHeight="1">
      <c r="A3" s="3030" t="str">
        <f>"单位名称："&amp;基本情况!B2&amp;"      截止："&amp;本年度&amp;"年"&amp;截止月&amp;"月"&amp;截止日&amp;"日"&amp;"      单位:人民币元"</f>
        <v>单位名称：0      截止：2016年12月31日      单位:人民币元</v>
      </c>
      <c r="B3" s="3030"/>
      <c r="C3" s="3030"/>
      <c r="D3" s="3030"/>
      <c r="E3" s="3030"/>
      <c r="F3" s="3030"/>
      <c r="G3" s="3030"/>
      <c r="H3" s="98"/>
      <c r="I3" s="98"/>
      <c r="J3" s="98"/>
      <c r="K3" s="98"/>
      <c r="L3" s="98"/>
      <c r="M3" s="98"/>
      <c r="N3" s="98"/>
    </row>
    <row r="4" spans="1:14" s="317" customFormat="1" ht="22.5" customHeight="1">
      <c r="A4" s="99" t="s">
        <v>531</v>
      </c>
      <c r="B4" s="99" t="s">
        <v>532</v>
      </c>
      <c r="C4" s="99" t="s">
        <v>533</v>
      </c>
      <c r="D4" s="99" t="s">
        <v>534</v>
      </c>
      <c r="E4" s="99" t="s">
        <v>535</v>
      </c>
      <c r="F4" s="99" t="s">
        <v>536</v>
      </c>
      <c r="G4" s="99" t="s">
        <v>537</v>
      </c>
      <c r="H4" s="316"/>
      <c r="I4" s="316"/>
      <c r="J4" s="316"/>
      <c r="K4" s="316"/>
      <c r="L4" s="316"/>
      <c r="M4" s="316"/>
      <c r="N4" s="316"/>
    </row>
    <row r="5" spans="1:14" ht="22.5" customHeight="1">
      <c r="A5" s="331"/>
      <c r="B5" s="332"/>
      <c r="C5" s="332"/>
      <c r="D5" s="333"/>
      <c r="E5" s="333"/>
      <c r="F5" s="333"/>
      <c r="G5" s="334"/>
      <c r="H5" s="98"/>
      <c r="I5" s="98"/>
      <c r="J5" s="98"/>
      <c r="K5" s="98"/>
      <c r="L5" s="98"/>
      <c r="M5" s="98"/>
      <c r="N5" s="98"/>
    </row>
    <row r="6" spans="1:14" ht="22.5" customHeight="1">
      <c r="A6" s="335"/>
      <c r="B6" s="336"/>
      <c r="C6" s="336"/>
      <c r="D6" s="337"/>
      <c r="E6" s="337"/>
      <c r="F6" s="337"/>
      <c r="G6" s="338"/>
      <c r="H6" s="98"/>
      <c r="I6" s="98"/>
      <c r="J6" s="98"/>
      <c r="K6" s="98"/>
      <c r="L6" s="98"/>
      <c r="M6" s="98"/>
      <c r="N6" s="98"/>
    </row>
    <row r="7" spans="1:14" ht="22.5" customHeight="1">
      <c r="A7" s="335"/>
      <c r="B7" s="336"/>
      <c r="C7" s="336"/>
      <c r="D7" s="337"/>
      <c r="E7" s="337"/>
      <c r="F7" s="337"/>
      <c r="G7" s="338"/>
      <c r="H7" s="98"/>
      <c r="I7" s="98"/>
      <c r="J7" s="98"/>
      <c r="K7" s="98"/>
      <c r="L7" s="98"/>
      <c r="M7" s="98"/>
      <c r="N7" s="98"/>
    </row>
    <row r="8" spans="1:14" ht="22.5" customHeight="1">
      <c r="A8" s="335"/>
      <c r="B8" s="336"/>
      <c r="C8" s="336"/>
      <c r="D8" s="337"/>
      <c r="E8" s="337"/>
      <c r="F8" s="337"/>
      <c r="G8" s="338"/>
      <c r="H8" s="98"/>
      <c r="I8" s="98"/>
      <c r="J8" s="98"/>
      <c r="K8" s="98"/>
      <c r="L8" s="98"/>
      <c r="M8" s="98"/>
      <c r="N8" s="98"/>
    </row>
    <row r="9" spans="1:14" ht="22.5" customHeight="1">
      <c r="A9" s="335"/>
      <c r="B9" s="336"/>
      <c r="C9" s="336"/>
      <c r="D9" s="337"/>
      <c r="E9" s="337"/>
      <c r="F9" s="337"/>
      <c r="G9" s="338"/>
      <c r="H9" s="98"/>
      <c r="I9" s="98"/>
      <c r="J9" s="98"/>
      <c r="K9" s="98"/>
      <c r="L9" s="98"/>
      <c r="M9" s="98"/>
      <c r="N9" s="98"/>
    </row>
    <row r="10" spans="1:14" ht="22.5" customHeight="1">
      <c r="A10" s="335"/>
      <c r="B10" s="336"/>
      <c r="C10" s="336"/>
      <c r="D10" s="337"/>
      <c r="E10" s="337"/>
      <c r="F10" s="337"/>
      <c r="G10" s="338"/>
      <c r="H10" s="98"/>
      <c r="I10" s="98"/>
      <c r="J10" s="98"/>
      <c r="K10" s="98"/>
      <c r="L10" s="98"/>
      <c r="M10" s="98"/>
      <c r="N10" s="98"/>
    </row>
    <row r="11" spans="1:14" ht="22.5" customHeight="1">
      <c r="A11" s="335"/>
      <c r="B11" s="336"/>
      <c r="C11" s="336"/>
      <c r="D11" s="337"/>
      <c r="E11" s="337"/>
      <c r="F11" s="337"/>
      <c r="G11" s="338"/>
      <c r="H11" s="98"/>
      <c r="I11" s="98"/>
      <c r="J11" s="98"/>
      <c r="K11" s="98"/>
      <c r="L11" s="98"/>
      <c r="M11" s="98"/>
      <c r="N11" s="98"/>
    </row>
    <row r="12" spans="1:14" ht="22.5" customHeight="1">
      <c r="A12" s="335"/>
      <c r="B12" s="336"/>
      <c r="C12" s="336"/>
      <c r="D12" s="337"/>
      <c r="E12" s="337"/>
      <c r="F12" s="337"/>
      <c r="G12" s="338"/>
      <c r="H12" s="98"/>
      <c r="I12" s="98"/>
      <c r="J12" s="98"/>
      <c r="K12" s="98"/>
      <c r="L12" s="98"/>
      <c r="M12" s="98"/>
      <c r="N12" s="98"/>
    </row>
    <row r="13" spans="1:14" ht="22.5" customHeight="1">
      <c r="A13" s="335"/>
      <c r="B13" s="336"/>
      <c r="C13" s="336"/>
      <c r="D13" s="337"/>
      <c r="E13" s="337"/>
      <c r="F13" s="337"/>
      <c r="G13" s="338"/>
      <c r="H13" s="98"/>
      <c r="I13" s="98"/>
      <c r="J13" s="98"/>
      <c r="K13" s="98"/>
      <c r="L13" s="98"/>
      <c r="M13" s="98"/>
      <c r="N13" s="98"/>
    </row>
    <row r="14" spans="1:14" ht="22.5" customHeight="1">
      <c r="A14" s="335"/>
      <c r="B14" s="336"/>
      <c r="C14" s="336"/>
      <c r="D14" s="337"/>
      <c r="E14" s="337"/>
      <c r="F14" s="337"/>
      <c r="G14" s="338"/>
      <c r="H14" s="98"/>
      <c r="I14" s="98"/>
      <c r="J14" s="98"/>
      <c r="K14" s="98"/>
      <c r="L14" s="98"/>
      <c r="M14" s="98"/>
      <c r="N14" s="98"/>
    </row>
    <row r="15" spans="1:14" ht="22.5" customHeight="1">
      <c r="A15" s="335"/>
      <c r="B15" s="336"/>
      <c r="C15" s="336"/>
      <c r="D15" s="337"/>
      <c r="E15" s="337"/>
      <c r="F15" s="337"/>
      <c r="G15" s="338"/>
      <c r="H15" s="98"/>
      <c r="I15" s="98"/>
      <c r="J15" s="98"/>
      <c r="K15" s="98"/>
      <c r="L15" s="98"/>
      <c r="M15" s="98"/>
      <c r="N15" s="98"/>
    </row>
    <row r="16" spans="1:14" ht="22.5" customHeight="1">
      <c r="A16" s="335"/>
      <c r="B16" s="336"/>
      <c r="C16" s="336"/>
      <c r="D16" s="337"/>
      <c r="E16" s="337"/>
      <c r="F16" s="337"/>
      <c r="G16" s="338"/>
      <c r="H16" s="98"/>
      <c r="I16" s="98"/>
      <c r="J16" s="98"/>
      <c r="K16" s="98"/>
      <c r="L16" s="98"/>
      <c r="M16" s="98"/>
      <c r="N16" s="98"/>
    </row>
    <row r="17" spans="1:14" ht="22.5" customHeight="1">
      <c r="A17" s="335"/>
      <c r="B17" s="336"/>
      <c r="C17" s="336"/>
      <c r="D17" s="337"/>
      <c r="E17" s="337"/>
      <c r="F17" s="337"/>
      <c r="G17" s="338"/>
      <c r="H17" s="98"/>
      <c r="I17" s="98"/>
      <c r="J17" s="98"/>
      <c r="K17" s="98"/>
      <c r="L17" s="98"/>
      <c r="M17" s="98"/>
      <c r="N17" s="98"/>
    </row>
    <row r="18" spans="1:14" ht="22.5" customHeight="1">
      <c r="A18" s="335"/>
      <c r="B18" s="336"/>
      <c r="C18" s="336"/>
      <c r="D18" s="337"/>
      <c r="E18" s="337"/>
      <c r="F18" s="337"/>
      <c r="G18" s="338"/>
      <c r="H18" s="98"/>
      <c r="I18" s="98"/>
      <c r="J18" s="98"/>
      <c r="K18" s="98"/>
      <c r="L18" s="98"/>
      <c r="M18" s="98"/>
      <c r="N18" s="98"/>
    </row>
    <row r="19" spans="1:14" ht="22.5" customHeight="1">
      <c r="A19" s="335"/>
      <c r="B19" s="336"/>
      <c r="C19" s="336"/>
      <c r="D19" s="337"/>
      <c r="E19" s="337"/>
      <c r="F19" s="337"/>
      <c r="G19" s="338"/>
      <c r="H19" s="98"/>
      <c r="I19" s="98"/>
      <c r="J19" s="98"/>
      <c r="K19" s="98"/>
      <c r="L19" s="98"/>
      <c r="M19" s="98"/>
      <c r="N19" s="98"/>
    </row>
    <row r="20" spans="1:14" ht="22.5" customHeight="1">
      <c r="A20" s="335"/>
      <c r="B20" s="336"/>
      <c r="C20" s="336"/>
      <c r="D20" s="337"/>
      <c r="E20" s="337"/>
      <c r="F20" s="337"/>
      <c r="G20" s="338"/>
      <c r="H20" s="98"/>
      <c r="I20" s="98"/>
      <c r="J20" s="98"/>
      <c r="K20" s="98"/>
      <c r="L20" s="98"/>
      <c r="M20" s="98"/>
      <c r="N20" s="98"/>
    </row>
    <row r="21" spans="1:14" ht="22.5" customHeight="1">
      <c r="A21" s="335"/>
      <c r="B21" s="336"/>
      <c r="C21" s="336"/>
      <c r="D21" s="337"/>
      <c r="E21" s="337"/>
      <c r="F21" s="337"/>
      <c r="G21" s="338"/>
      <c r="H21" s="98"/>
      <c r="I21" s="98"/>
      <c r="J21" s="98"/>
      <c r="K21" s="98"/>
      <c r="L21" s="98"/>
      <c r="M21" s="98"/>
      <c r="N21" s="98"/>
    </row>
    <row r="22" spans="1:14" ht="22.5" customHeight="1">
      <c r="A22" s="335"/>
      <c r="B22" s="336"/>
      <c r="C22" s="336"/>
      <c r="D22" s="337"/>
      <c r="E22" s="337"/>
      <c r="F22" s="337"/>
      <c r="G22" s="338"/>
      <c r="H22" s="98"/>
      <c r="I22" s="98"/>
      <c r="J22" s="98"/>
      <c r="K22" s="98"/>
      <c r="L22" s="98"/>
      <c r="M22" s="98"/>
      <c r="N22" s="98"/>
    </row>
    <row r="23" spans="1:14" ht="22.5" customHeight="1">
      <c r="A23" s="335"/>
      <c r="B23" s="336"/>
      <c r="C23" s="336"/>
      <c r="D23" s="337"/>
      <c r="E23" s="337"/>
      <c r="F23" s="337"/>
      <c r="G23" s="338"/>
      <c r="H23" s="98"/>
      <c r="I23" s="98"/>
      <c r="J23" s="98"/>
      <c r="K23" s="98"/>
      <c r="L23" s="98"/>
      <c r="M23" s="98"/>
      <c r="N23" s="98"/>
    </row>
    <row r="24" spans="1:14" ht="22.5" customHeight="1">
      <c r="A24" s="335"/>
      <c r="B24" s="336"/>
      <c r="C24" s="336"/>
      <c r="D24" s="337"/>
      <c r="E24" s="337"/>
      <c r="F24" s="337"/>
      <c r="G24" s="338"/>
      <c r="H24" s="98"/>
      <c r="I24" s="98"/>
      <c r="J24" s="98"/>
      <c r="K24" s="98"/>
      <c r="L24" s="98"/>
      <c r="M24" s="98"/>
      <c r="N24" s="98"/>
    </row>
    <row r="25" spans="1:14" ht="22.5" customHeight="1">
      <c r="A25" s="335"/>
      <c r="B25" s="336"/>
      <c r="C25" s="336"/>
      <c r="D25" s="337"/>
      <c r="E25" s="337"/>
      <c r="F25" s="337"/>
      <c r="G25" s="338"/>
      <c r="H25" s="98"/>
      <c r="I25" s="98"/>
      <c r="J25" s="98"/>
      <c r="K25" s="98"/>
      <c r="L25" s="98"/>
      <c r="M25" s="98"/>
      <c r="N25" s="98"/>
    </row>
    <row r="26" spans="1:14" ht="22.5" customHeight="1">
      <c r="A26" s="335"/>
      <c r="B26" s="336"/>
      <c r="C26" s="336"/>
      <c r="D26" s="337"/>
      <c r="E26" s="337"/>
      <c r="F26" s="337"/>
      <c r="G26" s="338"/>
      <c r="H26" s="98"/>
      <c r="I26" s="98"/>
      <c r="J26" s="98"/>
      <c r="K26" s="98"/>
      <c r="L26" s="98"/>
      <c r="M26" s="98"/>
      <c r="N26" s="98"/>
    </row>
    <row r="27" spans="1:14" ht="22.5" customHeight="1">
      <c r="A27" s="335"/>
      <c r="B27" s="336"/>
      <c r="C27" s="336"/>
      <c r="D27" s="337"/>
      <c r="E27" s="337"/>
      <c r="F27" s="337"/>
      <c r="G27" s="338"/>
      <c r="H27" s="98"/>
      <c r="I27" s="98"/>
      <c r="J27" s="98"/>
      <c r="K27" s="98"/>
      <c r="L27" s="98"/>
      <c r="M27" s="98"/>
      <c r="N27" s="98"/>
    </row>
    <row r="28" spans="1:14" ht="22.5" customHeight="1">
      <c r="A28" s="335"/>
      <c r="B28" s="336"/>
      <c r="C28" s="336"/>
      <c r="D28" s="337"/>
      <c r="E28" s="337"/>
      <c r="F28" s="337"/>
      <c r="G28" s="338"/>
      <c r="H28" s="98"/>
      <c r="I28" s="98"/>
      <c r="J28" s="98"/>
      <c r="K28" s="98"/>
      <c r="L28" s="98"/>
      <c r="M28" s="98"/>
      <c r="N28" s="98"/>
    </row>
    <row r="29" spans="1:14" ht="22.5" customHeight="1">
      <c r="A29" s="335"/>
      <c r="B29" s="336"/>
      <c r="C29" s="336"/>
      <c r="D29" s="337"/>
      <c r="E29" s="337"/>
      <c r="F29" s="337"/>
      <c r="G29" s="338"/>
      <c r="H29" s="98"/>
      <c r="I29" s="98"/>
      <c r="J29" s="98"/>
      <c r="K29" s="98"/>
      <c r="L29" s="98"/>
      <c r="M29" s="98"/>
      <c r="N29" s="98"/>
    </row>
    <row r="30" spans="1:14" ht="22.5" customHeight="1">
      <c r="A30" s="335"/>
      <c r="B30" s="336"/>
      <c r="C30" s="336"/>
      <c r="D30" s="337"/>
      <c r="E30" s="337"/>
      <c r="F30" s="337"/>
      <c r="G30" s="338"/>
      <c r="H30" s="98"/>
      <c r="I30" s="98"/>
      <c r="J30" s="98"/>
      <c r="K30" s="98"/>
      <c r="L30" s="98"/>
      <c r="M30" s="98"/>
      <c r="N30" s="98"/>
    </row>
    <row r="31" spans="1:14" ht="22.5" customHeight="1">
      <c r="A31" s="335"/>
      <c r="B31" s="336"/>
      <c r="C31" s="336"/>
      <c r="D31" s="337"/>
      <c r="E31" s="337"/>
      <c r="F31" s="337"/>
      <c r="G31" s="338"/>
      <c r="H31" s="98"/>
      <c r="I31" s="98"/>
      <c r="J31" s="98"/>
      <c r="K31" s="98"/>
      <c r="L31" s="98"/>
      <c r="M31" s="98"/>
      <c r="N31" s="98"/>
    </row>
    <row r="32" spans="1:14" ht="22.5" customHeight="1">
      <c r="A32" s="339"/>
      <c r="B32" s="340"/>
      <c r="C32" s="340"/>
      <c r="D32" s="341"/>
      <c r="E32" s="341"/>
      <c r="F32" s="341"/>
      <c r="G32" s="342"/>
      <c r="H32" s="98"/>
      <c r="I32" s="98"/>
      <c r="J32" s="98"/>
      <c r="K32" s="98"/>
      <c r="L32" s="98"/>
      <c r="M32" s="98"/>
      <c r="N32" s="98"/>
    </row>
    <row r="33" spans="1:14" ht="22.5" customHeight="1">
      <c r="A33" s="343" t="s">
        <v>442</v>
      </c>
      <c r="B33" s="343"/>
      <c r="C33" s="343"/>
      <c r="D33" s="344">
        <f>SUM(D5:D32)</f>
        <v>0</v>
      </c>
      <c r="E33" s="345"/>
      <c r="F33" s="344">
        <f>SUM(F5:F32)</f>
        <v>0</v>
      </c>
      <c r="G33" s="343"/>
      <c r="H33" s="98"/>
      <c r="I33" s="98"/>
      <c r="J33" s="98"/>
      <c r="K33" s="98"/>
      <c r="L33" s="98"/>
      <c r="M33" s="98"/>
      <c r="N33" s="98"/>
    </row>
    <row r="34" spans="1:14">
      <c r="A34" s="346"/>
      <c r="B34" s="346"/>
      <c r="C34" s="346"/>
      <c r="D34" s="346"/>
      <c r="E34" s="346"/>
      <c r="F34" s="346"/>
      <c r="G34" s="346"/>
      <c r="H34" s="98"/>
      <c r="I34" s="98"/>
      <c r="J34" s="98"/>
      <c r="K34" s="98"/>
      <c r="L34" s="98"/>
      <c r="M34" s="98"/>
      <c r="N34" s="98"/>
    </row>
    <row r="35" spans="1:14" ht="18" customHeight="1">
      <c r="A35" s="3031" t="str">
        <f>"单位负责人："&amp;基本情况!B35&amp;"                盘点人："&amp;基本情况!B36&amp;"                  监盘人："&amp;基本情况!B12</f>
        <v>单位负责人：0                盘点人：0                  监盘人：</v>
      </c>
      <c r="B35" s="3031"/>
      <c r="C35" s="3031"/>
      <c r="D35" s="3031"/>
      <c r="E35" s="3031"/>
      <c r="F35" s="3031"/>
      <c r="G35" s="3031"/>
      <c r="H35" s="98"/>
      <c r="I35" s="98"/>
      <c r="J35" s="98"/>
      <c r="K35" s="98"/>
      <c r="L35" s="98"/>
      <c r="M35" s="98"/>
      <c r="N35" s="98"/>
    </row>
    <row r="36" spans="1:14">
      <c r="A36" s="347"/>
      <c r="B36" s="347"/>
      <c r="C36" s="347"/>
      <c r="D36" s="347"/>
      <c r="E36" s="347"/>
      <c r="F36" s="347"/>
      <c r="G36" s="347"/>
    </row>
  </sheetData>
  <sheetProtection selectLockedCells="1" selectUnlockedCells="1"/>
  <mergeCells count="4">
    <mergeCell ref="A1:G1"/>
    <mergeCell ref="A2:G2"/>
    <mergeCell ref="A3:G3"/>
    <mergeCell ref="A35:G35"/>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53"/>
  <sheetViews>
    <sheetView workbookViewId="0">
      <selection sqref="A1:H1"/>
    </sheetView>
  </sheetViews>
  <sheetFormatPr defaultColWidth="9" defaultRowHeight="15.6"/>
  <cols>
    <col min="1" max="1" width="10.09765625" style="92" customWidth="1"/>
    <col min="2" max="2" width="6.8984375" style="92" customWidth="1"/>
    <col min="3" max="3" width="9" style="92"/>
    <col min="4" max="4" width="10.19921875" style="92" customWidth="1"/>
    <col min="5" max="5" width="3" style="92" customWidth="1"/>
    <col min="6" max="6" width="14.5" style="92" customWidth="1"/>
    <col min="7" max="7" width="9.69921875" style="92" customWidth="1"/>
    <col min="8" max="8" width="16.8984375" style="92" customWidth="1"/>
    <col min="9" max="16384" width="9" style="92"/>
  </cols>
  <sheetData>
    <row r="1" spans="1:15" ht="22.2">
      <c r="A1" s="2719" t="s">
        <v>538</v>
      </c>
      <c r="B1" s="2719"/>
      <c r="C1" s="2719"/>
      <c r="D1" s="2719"/>
      <c r="E1" s="2719"/>
      <c r="F1" s="2719"/>
      <c r="G1" s="2719"/>
      <c r="H1" s="2719"/>
      <c r="I1" s="98"/>
      <c r="J1" s="98"/>
      <c r="K1" s="98"/>
      <c r="L1" s="98"/>
      <c r="M1" s="98"/>
      <c r="N1" s="98"/>
      <c r="O1" s="98"/>
    </row>
    <row r="2" spans="1:15">
      <c r="A2" s="348" t="s">
        <v>539</v>
      </c>
      <c r="B2" s="348"/>
      <c r="C2" s="348"/>
      <c r="D2" s="348"/>
      <c r="E2" s="348"/>
      <c r="F2" s="348"/>
      <c r="G2" s="3033" t="s">
        <v>1551</v>
      </c>
      <c r="H2" s="3034"/>
      <c r="I2" s="98"/>
      <c r="J2" s="98"/>
      <c r="K2" s="98"/>
      <c r="L2" s="98"/>
      <c r="M2" s="98"/>
      <c r="N2" s="98"/>
      <c r="O2" s="98"/>
    </row>
    <row r="3" spans="1:15" ht="12" customHeight="1">
      <c r="A3" s="349"/>
      <c r="B3" s="349"/>
      <c r="C3" s="349"/>
      <c r="D3" s="349"/>
      <c r="E3" s="349"/>
      <c r="F3" s="349"/>
      <c r="G3" s="3033"/>
      <c r="H3" s="3034"/>
      <c r="I3" s="98"/>
      <c r="J3" s="98"/>
      <c r="K3" s="98"/>
      <c r="L3" s="98"/>
      <c r="M3" s="98"/>
      <c r="N3" s="98"/>
      <c r="O3" s="98"/>
    </row>
    <row r="4" spans="1:15" ht="19.5" customHeight="1">
      <c r="A4" s="350" t="s">
        <v>540</v>
      </c>
      <c r="B4" s="3035">
        <f>基本情况!B2</f>
        <v>0</v>
      </c>
      <c r="C4" s="3035"/>
      <c r="D4" s="3035"/>
      <c r="E4" s="3035"/>
      <c r="F4" s="351" t="s">
        <v>541</v>
      </c>
      <c r="G4" s="3036" t="str">
        <f>IF(OR(基本情况!B6&lt;&gt;"12月31日",基本情况!F5&lt;&gt;"01",基本情况!G5&lt;&gt;"01"),基本情况!B7,基本情况!B4&amp;"年度")</f>
        <v>2016年度</v>
      </c>
      <c r="H4" s="3036"/>
      <c r="I4" s="98"/>
      <c r="J4" s="98"/>
      <c r="K4" s="98"/>
      <c r="L4" s="98"/>
      <c r="M4" s="98"/>
      <c r="N4" s="98"/>
      <c r="O4" s="98"/>
    </row>
    <row r="5" spans="1:15" ht="19.5" customHeight="1">
      <c r="A5" s="352" t="s">
        <v>542</v>
      </c>
      <c r="B5" s="3037"/>
      <c r="C5" s="3037"/>
      <c r="D5" s="3037"/>
      <c r="E5" s="3037"/>
      <c r="F5" s="353" t="s">
        <v>543</v>
      </c>
      <c r="G5" s="3038" t="str">
        <f>基本情况!B22</f>
        <v>2017年5月4日</v>
      </c>
      <c r="H5" s="3038"/>
      <c r="I5" s="98"/>
      <c r="J5" s="98"/>
      <c r="K5" s="98"/>
      <c r="L5" s="98"/>
      <c r="M5" s="98"/>
      <c r="N5" s="98"/>
      <c r="O5" s="98"/>
    </row>
    <row r="6" spans="1:15">
      <c r="A6" s="354"/>
      <c r="B6" s="355"/>
      <c r="C6" s="355"/>
      <c r="D6" s="355"/>
      <c r="E6" s="355"/>
      <c r="F6" s="355"/>
      <c r="G6" s="355"/>
      <c r="H6" s="356"/>
      <c r="I6" s="98"/>
      <c r="J6" s="98"/>
      <c r="K6" s="98"/>
      <c r="L6" s="98"/>
      <c r="M6" s="98"/>
      <c r="N6" s="98"/>
      <c r="O6" s="98"/>
    </row>
    <row r="7" spans="1:15">
      <c r="A7" s="357"/>
      <c r="B7" s="358"/>
      <c r="C7" s="358"/>
      <c r="D7" s="358"/>
      <c r="E7" s="358"/>
      <c r="F7" s="358"/>
      <c r="G7" s="358"/>
      <c r="H7" s="359"/>
      <c r="I7" s="98"/>
      <c r="J7" s="98"/>
      <c r="K7" s="98"/>
      <c r="L7" s="98"/>
      <c r="M7" s="98"/>
      <c r="N7" s="98"/>
      <c r="O7" s="98"/>
    </row>
    <row r="8" spans="1:15">
      <c r="A8" s="357"/>
      <c r="B8" s="358"/>
      <c r="C8" s="358"/>
      <c r="D8" s="358"/>
      <c r="E8" s="358"/>
      <c r="F8" s="358"/>
      <c r="G8" s="358"/>
      <c r="H8" s="359"/>
      <c r="I8" s="98"/>
      <c r="J8" s="98"/>
      <c r="K8" s="98"/>
      <c r="L8" s="98"/>
      <c r="M8" s="98"/>
      <c r="N8" s="98"/>
      <c r="O8" s="98"/>
    </row>
    <row r="9" spans="1:15">
      <c r="A9" s="357"/>
      <c r="B9" s="358"/>
      <c r="C9" s="358"/>
      <c r="D9" s="358"/>
      <c r="E9" s="358"/>
      <c r="F9" s="358"/>
      <c r="G9" s="358"/>
      <c r="H9" s="359"/>
      <c r="I9" s="98"/>
      <c r="J9" s="98"/>
      <c r="K9" s="98"/>
      <c r="L9" s="98"/>
      <c r="M9" s="98"/>
      <c r="N9" s="98"/>
      <c r="O9" s="98"/>
    </row>
    <row r="10" spans="1:15">
      <c r="A10" s="357"/>
      <c r="B10" s="358"/>
      <c r="C10" s="358"/>
      <c r="D10" s="358"/>
      <c r="E10" s="358"/>
      <c r="F10" s="358"/>
      <c r="G10" s="358"/>
      <c r="H10" s="359"/>
      <c r="I10" s="98"/>
      <c r="J10" s="98"/>
      <c r="K10" s="98"/>
      <c r="L10" s="98"/>
      <c r="M10" s="98"/>
      <c r="N10" s="98"/>
      <c r="O10" s="98"/>
    </row>
    <row r="11" spans="1:15">
      <c r="A11" s="357"/>
      <c r="B11" s="358"/>
      <c r="C11" s="358"/>
      <c r="D11" s="358"/>
      <c r="E11" s="358"/>
      <c r="F11" s="358"/>
      <c r="G11" s="358"/>
      <c r="H11" s="359"/>
      <c r="I11" s="98"/>
      <c r="J11" s="98"/>
      <c r="K11" s="98"/>
      <c r="L11" s="98"/>
      <c r="M11" s="98"/>
      <c r="N11" s="98"/>
      <c r="O11" s="98"/>
    </row>
    <row r="12" spans="1:15">
      <c r="A12" s="357"/>
      <c r="B12" s="358"/>
      <c r="C12" s="358"/>
      <c r="D12" s="358"/>
      <c r="E12" s="358"/>
      <c r="F12" s="358"/>
      <c r="G12" s="358"/>
      <c r="H12" s="359"/>
      <c r="I12" s="98"/>
      <c r="J12" s="98"/>
      <c r="K12" s="98"/>
      <c r="L12" s="98"/>
      <c r="M12" s="98"/>
      <c r="N12" s="98"/>
      <c r="O12" s="98"/>
    </row>
    <row r="13" spans="1:15">
      <c r="A13" s="357"/>
      <c r="B13" s="358"/>
      <c r="C13" s="358"/>
      <c r="D13" s="358"/>
      <c r="E13" s="358"/>
      <c r="F13" s="358"/>
      <c r="G13" s="358"/>
      <c r="H13" s="359"/>
      <c r="I13" s="98"/>
      <c r="J13" s="98"/>
      <c r="K13" s="98"/>
      <c r="L13" s="98"/>
      <c r="M13" s="98"/>
      <c r="N13" s="98"/>
      <c r="O13" s="98"/>
    </row>
    <row r="14" spans="1:15">
      <c r="A14" s="357"/>
      <c r="B14" s="358"/>
      <c r="C14" s="358"/>
      <c r="D14" s="358"/>
      <c r="E14" s="358"/>
      <c r="F14" s="358"/>
      <c r="G14" s="358"/>
      <c r="H14" s="359"/>
      <c r="I14" s="98"/>
      <c r="J14" s="98"/>
      <c r="K14" s="98"/>
      <c r="L14" s="98"/>
      <c r="M14" s="98"/>
      <c r="N14" s="98"/>
      <c r="O14" s="98"/>
    </row>
    <row r="15" spans="1:15">
      <c r="A15" s="357"/>
      <c r="B15" s="358"/>
      <c r="C15" s="358"/>
      <c r="D15" s="358"/>
      <c r="E15" s="358"/>
      <c r="F15" s="358"/>
      <c r="G15" s="358"/>
      <c r="H15" s="359"/>
      <c r="I15" s="98"/>
      <c r="J15" s="98"/>
      <c r="K15" s="98"/>
      <c r="L15" s="98"/>
      <c r="M15" s="98"/>
      <c r="N15" s="98"/>
      <c r="O15" s="98"/>
    </row>
    <row r="16" spans="1:15">
      <c r="A16" s="357"/>
      <c r="B16" s="358"/>
      <c r="C16" s="358"/>
      <c r="D16" s="358"/>
      <c r="E16" s="358"/>
      <c r="F16" s="358"/>
      <c r="G16" s="358"/>
      <c r="H16" s="359"/>
      <c r="I16" s="98"/>
      <c r="J16" s="98"/>
      <c r="K16" s="98"/>
      <c r="L16" s="98"/>
      <c r="M16" s="98"/>
      <c r="N16" s="98"/>
      <c r="O16" s="98"/>
    </row>
    <row r="17" spans="1:15">
      <c r="A17" s="357"/>
      <c r="B17" s="358"/>
      <c r="C17" s="358"/>
      <c r="D17" s="358"/>
      <c r="E17" s="358"/>
      <c r="F17" s="358"/>
      <c r="G17" s="358"/>
      <c r="H17" s="359"/>
      <c r="I17" s="98"/>
      <c r="J17" s="98"/>
      <c r="K17" s="98"/>
      <c r="L17" s="98"/>
      <c r="M17" s="98"/>
      <c r="N17" s="98"/>
      <c r="O17" s="98"/>
    </row>
    <row r="18" spans="1:15">
      <c r="A18" s="357"/>
      <c r="B18" s="358"/>
      <c r="C18" s="358"/>
      <c r="D18" s="358"/>
      <c r="E18" s="358"/>
      <c r="F18" s="358"/>
      <c r="G18" s="358"/>
      <c r="H18" s="359"/>
      <c r="I18" s="98"/>
      <c r="J18" s="98"/>
      <c r="K18" s="98"/>
      <c r="L18" s="98"/>
      <c r="M18" s="98"/>
      <c r="N18" s="98"/>
      <c r="O18" s="98"/>
    </row>
    <row r="19" spans="1:15">
      <c r="A19" s="357"/>
      <c r="B19" s="358"/>
      <c r="C19" s="358"/>
      <c r="D19" s="358"/>
      <c r="E19" s="358"/>
      <c r="F19" s="358"/>
      <c r="G19" s="358"/>
      <c r="H19" s="359"/>
      <c r="I19" s="98"/>
      <c r="J19" s="98"/>
      <c r="K19" s="98"/>
      <c r="L19" s="98"/>
      <c r="M19" s="98"/>
      <c r="N19" s="98"/>
      <c r="O19" s="98"/>
    </row>
    <row r="20" spans="1:15">
      <c r="A20" s="357"/>
      <c r="B20" s="358"/>
      <c r="C20" s="358"/>
      <c r="D20" s="358"/>
      <c r="E20" s="358"/>
      <c r="F20" s="358"/>
      <c r="G20" s="358"/>
      <c r="H20" s="359"/>
      <c r="I20" s="98"/>
      <c r="J20" s="98"/>
      <c r="K20" s="98"/>
      <c r="L20" s="98"/>
      <c r="M20" s="98"/>
      <c r="N20" s="98"/>
      <c r="O20" s="98"/>
    </row>
    <row r="21" spans="1:15">
      <c r="A21" s="357"/>
      <c r="B21" s="358"/>
      <c r="C21" s="358"/>
      <c r="D21" s="358"/>
      <c r="E21" s="358"/>
      <c r="F21" s="358"/>
      <c r="G21" s="358"/>
      <c r="H21" s="359"/>
      <c r="I21" s="98"/>
      <c r="J21" s="98"/>
      <c r="K21" s="98"/>
      <c r="L21" s="98"/>
      <c r="M21" s="98"/>
      <c r="N21" s="98"/>
      <c r="O21" s="98"/>
    </row>
    <row r="22" spans="1:15">
      <c r="A22" s="357"/>
      <c r="B22" s="358"/>
      <c r="C22" s="358"/>
      <c r="D22" s="358"/>
      <c r="E22" s="358"/>
      <c r="F22" s="358"/>
      <c r="G22" s="358"/>
      <c r="H22" s="359"/>
      <c r="I22" s="98"/>
      <c r="J22" s="98"/>
      <c r="K22" s="98"/>
      <c r="L22" s="98"/>
      <c r="M22" s="98"/>
      <c r="N22" s="98"/>
      <c r="O22" s="98"/>
    </row>
    <row r="23" spans="1:15">
      <c r="A23" s="357"/>
      <c r="B23" s="358"/>
      <c r="C23" s="358"/>
      <c r="D23" s="358"/>
      <c r="E23" s="358"/>
      <c r="F23" s="358"/>
      <c r="G23" s="358"/>
      <c r="H23" s="359"/>
      <c r="I23" s="98"/>
      <c r="J23" s="98"/>
      <c r="K23" s="98"/>
      <c r="L23" s="98"/>
      <c r="M23" s="98"/>
      <c r="N23" s="98"/>
      <c r="O23" s="98"/>
    </row>
    <row r="24" spans="1:15">
      <c r="A24" s="357"/>
      <c r="B24" s="358"/>
      <c r="C24" s="358"/>
      <c r="D24" s="358"/>
      <c r="E24" s="358"/>
      <c r="F24" s="358"/>
      <c r="G24" s="358"/>
      <c r="H24" s="359"/>
      <c r="I24" s="98"/>
      <c r="J24" s="98"/>
      <c r="K24" s="98"/>
      <c r="L24" s="98"/>
      <c r="M24" s="98"/>
      <c r="N24" s="98"/>
      <c r="O24" s="98"/>
    </row>
    <row r="25" spans="1:15">
      <c r="A25" s="357"/>
      <c r="B25" s="358"/>
      <c r="C25" s="358"/>
      <c r="D25" s="358"/>
      <c r="E25" s="358"/>
      <c r="F25" s="358"/>
      <c r="G25" s="358"/>
      <c r="H25" s="359"/>
      <c r="I25" s="98"/>
      <c r="J25" s="98"/>
      <c r="K25" s="98"/>
      <c r="L25" s="98"/>
      <c r="M25" s="98"/>
      <c r="N25" s="98"/>
      <c r="O25" s="98"/>
    </row>
    <row r="26" spans="1:15">
      <c r="A26" s="357"/>
      <c r="B26" s="358"/>
      <c r="C26" s="358"/>
      <c r="D26" s="358"/>
      <c r="E26" s="358"/>
      <c r="F26" s="358"/>
      <c r="G26" s="358"/>
      <c r="H26" s="359"/>
      <c r="I26" s="98"/>
      <c r="J26" s="98"/>
      <c r="K26" s="98"/>
      <c r="L26" s="98"/>
      <c r="M26" s="98"/>
      <c r="N26" s="98"/>
      <c r="O26" s="98"/>
    </row>
    <row r="27" spans="1:15">
      <c r="A27" s="357"/>
      <c r="B27" s="358"/>
      <c r="C27" s="358"/>
      <c r="D27" s="358"/>
      <c r="E27" s="358"/>
      <c r="F27" s="358"/>
      <c r="G27" s="358"/>
      <c r="H27" s="359"/>
      <c r="I27" s="98"/>
      <c r="J27" s="98"/>
      <c r="K27" s="98"/>
      <c r="L27" s="98"/>
      <c r="M27" s="98"/>
      <c r="N27" s="98"/>
      <c r="O27" s="98"/>
    </row>
    <row r="28" spans="1:15">
      <c r="A28" s="357"/>
      <c r="B28" s="358"/>
      <c r="C28" s="358"/>
      <c r="D28" s="358"/>
      <c r="E28" s="358"/>
      <c r="F28" s="358"/>
      <c r="G28" s="358"/>
      <c r="H28" s="359"/>
      <c r="I28" s="98"/>
      <c r="J28" s="98"/>
      <c r="K28" s="98"/>
      <c r="L28" s="98"/>
      <c r="M28" s="98"/>
      <c r="N28" s="98"/>
      <c r="O28" s="98"/>
    </row>
    <row r="29" spans="1:15">
      <c r="A29" s="357"/>
      <c r="B29" s="358"/>
      <c r="C29" s="358"/>
      <c r="D29" s="358"/>
      <c r="E29" s="358"/>
      <c r="F29" s="358"/>
      <c r="G29" s="358"/>
      <c r="H29" s="359"/>
      <c r="I29" s="98"/>
      <c r="J29" s="98"/>
      <c r="K29" s="98"/>
      <c r="L29" s="98"/>
      <c r="M29" s="98"/>
      <c r="N29" s="98"/>
      <c r="O29" s="98"/>
    </row>
    <row r="30" spans="1:15">
      <c r="A30" s="357"/>
      <c r="B30" s="358"/>
      <c r="C30" s="358"/>
      <c r="D30" s="358"/>
      <c r="E30" s="358"/>
      <c r="F30" s="358"/>
      <c r="G30" s="358"/>
      <c r="H30" s="359"/>
      <c r="I30" s="98"/>
      <c r="J30" s="98"/>
      <c r="K30" s="98"/>
      <c r="L30" s="98"/>
      <c r="M30" s="98"/>
      <c r="N30" s="98"/>
      <c r="O30" s="98"/>
    </row>
    <row r="31" spans="1:15">
      <c r="A31" s="357"/>
      <c r="B31" s="358"/>
      <c r="C31" s="358"/>
      <c r="D31" s="358"/>
      <c r="E31" s="358"/>
      <c r="F31" s="358"/>
      <c r="G31" s="358"/>
      <c r="H31" s="359"/>
      <c r="I31" s="98"/>
      <c r="J31" s="98"/>
      <c r="K31" s="98"/>
      <c r="L31" s="98"/>
      <c r="M31" s="98"/>
      <c r="N31" s="98"/>
      <c r="O31" s="98"/>
    </row>
    <row r="32" spans="1:15">
      <c r="A32" s="357"/>
      <c r="B32" s="358"/>
      <c r="C32" s="358"/>
      <c r="D32" s="358"/>
      <c r="E32" s="358"/>
      <c r="F32" s="358"/>
      <c r="G32" s="358"/>
      <c r="H32" s="359"/>
      <c r="I32" s="98"/>
      <c r="J32" s="98"/>
      <c r="K32" s="98"/>
      <c r="L32" s="98"/>
      <c r="M32" s="98"/>
      <c r="N32" s="98"/>
      <c r="O32" s="98"/>
    </row>
    <row r="33" spans="1:15">
      <c r="A33" s="357"/>
      <c r="B33" s="358"/>
      <c r="C33" s="358"/>
      <c r="D33" s="358"/>
      <c r="E33" s="358"/>
      <c r="F33" s="358"/>
      <c r="G33" s="358"/>
      <c r="H33" s="359"/>
      <c r="I33" s="98"/>
      <c r="J33" s="98"/>
      <c r="K33" s="98"/>
      <c r="L33" s="98"/>
      <c r="M33" s="98"/>
      <c r="N33" s="98"/>
      <c r="O33" s="98"/>
    </row>
    <row r="34" spans="1:15">
      <c r="A34" s="357"/>
      <c r="B34" s="358"/>
      <c r="C34" s="358"/>
      <c r="D34" s="358"/>
      <c r="E34" s="358"/>
      <c r="F34" s="358"/>
      <c r="G34" s="358"/>
      <c r="H34" s="359"/>
      <c r="I34" s="98"/>
      <c r="J34" s="98"/>
      <c r="K34" s="98"/>
      <c r="L34" s="98"/>
      <c r="M34" s="98"/>
      <c r="N34" s="98"/>
      <c r="O34" s="98"/>
    </row>
    <row r="35" spans="1:15">
      <c r="A35" s="357"/>
      <c r="B35" s="358"/>
      <c r="C35" s="358"/>
      <c r="D35" s="358"/>
      <c r="E35" s="358"/>
      <c r="F35" s="358"/>
      <c r="G35" s="358"/>
      <c r="H35" s="359"/>
      <c r="I35" s="98"/>
      <c r="J35" s="98"/>
      <c r="K35" s="98"/>
      <c r="L35" s="98"/>
      <c r="M35" s="98"/>
      <c r="N35" s="98"/>
      <c r="O35" s="98"/>
    </row>
    <row r="36" spans="1:15">
      <c r="A36" s="357"/>
      <c r="B36" s="358"/>
      <c r="C36" s="358"/>
      <c r="D36" s="358"/>
      <c r="E36" s="358"/>
      <c r="F36" s="358"/>
      <c r="G36" s="358"/>
      <c r="H36" s="359"/>
      <c r="I36" s="98"/>
      <c r="J36" s="98"/>
      <c r="K36" s="98"/>
      <c r="L36" s="98"/>
      <c r="M36" s="98"/>
      <c r="N36" s="98"/>
      <c r="O36" s="98"/>
    </row>
    <row r="37" spans="1:15">
      <c r="A37" s="357"/>
      <c r="B37" s="358"/>
      <c r="C37" s="358"/>
      <c r="D37" s="358"/>
      <c r="E37" s="358"/>
      <c r="F37" s="358"/>
      <c r="G37" s="358"/>
      <c r="H37" s="359"/>
      <c r="I37" s="98"/>
      <c r="J37" s="98"/>
      <c r="K37" s="98"/>
      <c r="L37" s="98"/>
      <c r="M37" s="98"/>
      <c r="N37" s="98"/>
      <c r="O37" s="98"/>
    </row>
    <row r="38" spans="1:15">
      <c r="A38" s="357"/>
      <c r="B38" s="358"/>
      <c r="C38" s="358"/>
      <c r="D38" s="358"/>
      <c r="E38" s="358"/>
      <c r="F38" s="358"/>
      <c r="G38" s="358"/>
      <c r="H38" s="359"/>
      <c r="I38" s="98"/>
      <c r="J38" s="98"/>
      <c r="K38" s="98"/>
      <c r="L38" s="98"/>
      <c r="M38" s="98"/>
      <c r="N38" s="98"/>
      <c r="O38" s="98"/>
    </row>
    <row r="39" spans="1:15">
      <c r="A39" s="357"/>
      <c r="B39" s="358"/>
      <c r="C39" s="358"/>
      <c r="D39" s="358"/>
      <c r="E39" s="358"/>
      <c r="F39" s="358"/>
      <c r="G39" s="358"/>
      <c r="H39" s="359"/>
      <c r="I39" s="98"/>
      <c r="J39" s="98"/>
      <c r="K39" s="98"/>
      <c r="L39" s="98"/>
      <c r="M39" s="98"/>
      <c r="N39" s="98"/>
      <c r="O39" s="98"/>
    </row>
    <row r="40" spans="1:15">
      <c r="A40" s="357"/>
      <c r="B40" s="358"/>
      <c r="C40" s="358"/>
      <c r="D40" s="358"/>
      <c r="E40" s="358"/>
      <c r="F40" s="358"/>
      <c r="G40" s="358"/>
      <c r="H40" s="359"/>
      <c r="I40" s="98"/>
      <c r="J40" s="98"/>
      <c r="K40" s="98"/>
      <c r="L40" s="98"/>
      <c r="M40" s="98"/>
      <c r="N40" s="98"/>
      <c r="O40" s="98"/>
    </row>
    <row r="41" spans="1:15">
      <c r="A41" s="357"/>
      <c r="B41" s="358"/>
      <c r="C41" s="358"/>
      <c r="D41" s="358"/>
      <c r="E41" s="358"/>
      <c r="F41" s="358"/>
      <c r="G41" s="358"/>
      <c r="H41" s="359"/>
      <c r="I41" s="98"/>
      <c r="J41" s="98"/>
      <c r="K41" s="98"/>
      <c r="L41" s="98"/>
      <c r="M41" s="98"/>
      <c r="N41" s="98"/>
      <c r="O41" s="98"/>
    </row>
    <row r="42" spans="1:15">
      <c r="A42" s="357"/>
      <c r="B42" s="358"/>
      <c r="C42" s="358"/>
      <c r="D42" s="358"/>
      <c r="E42" s="358"/>
      <c r="F42" s="358"/>
      <c r="G42" s="358"/>
      <c r="H42" s="359"/>
      <c r="I42" s="98"/>
      <c r="J42" s="98"/>
      <c r="K42" s="98"/>
      <c r="L42" s="98"/>
      <c r="M42" s="98"/>
      <c r="N42" s="98"/>
      <c r="O42" s="98"/>
    </row>
    <row r="43" spans="1:15">
      <c r="A43" s="357"/>
      <c r="B43" s="358"/>
      <c r="C43" s="358"/>
      <c r="D43" s="358"/>
      <c r="E43" s="358"/>
      <c r="F43" s="358"/>
      <c r="G43" s="358"/>
      <c r="H43" s="359"/>
      <c r="I43" s="98"/>
      <c r="J43" s="98"/>
      <c r="K43" s="98"/>
      <c r="L43" s="98"/>
      <c r="M43" s="98"/>
      <c r="N43" s="98"/>
      <c r="O43" s="98"/>
    </row>
    <row r="44" spans="1:15">
      <c r="A44" s="357"/>
      <c r="B44" s="358"/>
      <c r="C44" s="358"/>
      <c r="D44" s="358"/>
      <c r="E44" s="358"/>
      <c r="F44" s="358"/>
      <c r="G44" s="358"/>
      <c r="H44" s="359"/>
      <c r="I44" s="98"/>
      <c r="J44" s="98"/>
      <c r="K44" s="98"/>
      <c r="L44" s="98"/>
      <c r="M44" s="98"/>
      <c r="N44" s="98"/>
      <c r="O44" s="98"/>
    </row>
    <row r="45" spans="1:15">
      <c r="A45" s="357"/>
      <c r="B45" s="358"/>
      <c r="C45" s="358"/>
      <c r="D45" s="358"/>
      <c r="E45" s="358"/>
      <c r="F45" s="358"/>
      <c r="G45" s="358"/>
      <c r="H45" s="359"/>
      <c r="I45" s="98"/>
      <c r="J45" s="98"/>
      <c r="K45" s="98"/>
      <c r="L45" s="98"/>
      <c r="M45" s="98"/>
      <c r="N45" s="98"/>
      <c r="O45" s="98"/>
    </row>
    <row r="46" spans="1:15">
      <c r="A46" s="357"/>
      <c r="B46" s="358"/>
      <c r="C46" s="358"/>
      <c r="D46" s="358"/>
      <c r="E46" s="358"/>
      <c r="F46" s="358"/>
      <c r="G46" s="358"/>
      <c r="H46" s="359"/>
      <c r="I46" s="98"/>
      <c r="J46" s="98"/>
      <c r="K46" s="98"/>
      <c r="L46" s="98"/>
      <c r="M46" s="98"/>
      <c r="N46" s="98"/>
      <c r="O46" s="98"/>
    </row>
    <row r="47" spans="1:15" ht="14.25" customHeight="1">
      <c r="A47" s="357"/>
      <c r="B47" s="358"/>
      <c r="C47" s="358"/>
      <c r="D47" s="358"/>
      <c r="E47" s="358"/>
      <c r="F47" s="358"/>
      <c r="G47" s="358"/>
      <c r="H47" s="359"/>
      <c r="I47" s="98"/>
      <c r="J47" s="98"/>
      <c r="K47" s="98"/>
      <c r="L47" s="98"/>
      <c r="M47" s="98"/>
      <c r="N47" s="98"/>
      <c r="O47" s="98"/>
    </row>
    <row r="48" spans="1:15" ht="14.25" customHeight="1">
      <c r="A48" s="357"/>
      <c r="B48" s="358"/>
      <c r="C48" s="358"/>
      <c r="D48" s="358"/>
      <c r="E48" s="358"/>
      <c r="F48" s="358"/>
      <c r="G48" s="358"/>
      <c r="H48" s="359"/>
      <c r="I48" s="98"/>
      <c r="J48" s="98"/>
      <c r="K48" s="98"/>
      <c r="L48" s="98"/>
      <c r="M48" s="98"/>
      <c r="N48" s="98"/>
      <c r="O48" s="98"/>
    </row>
    <row r="49" spans="1:15" ht="14.25" customHeight="1">
      <c r="A49" s="360"/>
      <c r="B49" s="361"/>
      <c r="C49" s="361"/>
      <c r="D49" s="361"/>
      <c r="E49" s="361"/>
      <c r="F49" s="361"/>
      <c r="G49" s="361"/>
      <c r="H49" s="362"/>
      <c r="I49" s="98"/>
      <c r="J49" s="98"/>
      <c r="K49" s="98"/>
      <c r="L49" s="98"/>
      <c r="M49" s="98"/>
      <c r="N49" s="98"/>
      <c r="O49" s="98"/>
    </row>
    <row r="50" spans="1:15" ht="15" customHeight="1">
      <c r="A50" s="3039" t="s">
        <v>544</v>
      </c>
      <c r="B50" s="3040"/>
      <c r="C50" s="3040"/>
      <c r="D50" s="3040"/>
      <c r="E50" s="3040"/>
      <c r="F50" s="3040"/>
      <c r="G50" s="3041" t="s">
        <v>545</v>
      </c>
      <c r="H50" s="3042">
        <f>基本情况!B12</f>
        <v>0</v>
      </c>
      <c r="I50" s="98"/>
      <c r="J50" s="98"/>
      <c r="K50" s="98"/>
      <c r="L50" s="98"/>
      <c r="M50" s="98"/>
      <c r="N50" s="98"/>
      <c r="O50" s="98"/>
    </row>
    <row r="51" spans="1:15" ht="5.25" customHeight="1">
      <c r="A51" s="3039"/>
      <c r="B51" s="3040"/>
      <c r="C51" s="3040"/>
      <c r="D51" s="3040"/>
      <c r="E51" s="3040"/>
      <c r="F51" s="3040"/>
      <c r="G51" s="3041"/>
      <c r="H51" s="3042"/>
      <c r="I51" s="98"/>
      <c r="J51" s="98"/>
      <c r="K51" s="98"/>
      <c r="L51" s="98"/>
      <c r="M51" s="98"/>
      <c r="N51" s="98"/>
      <c r="O51" s="98"/>
    </row>
    <row r="52" spans="1:15" ht="21.75" customHeight="1">
      <c r="A52" s="3032"/>
      <c r="B52" s="3032"/>
      <c r="C52" s="3032"/>
      <c r="D52" s="3032"/>
      <c r="E52" s="3032"/>
      <c r="F52" s="363" t="s">
        <v>546</v>
      </c>
      <c r="G52" s="364" t="s">
        <v>547</v>
      </c>
      <c r="H52" s="365">
        <f>基本情况!B11</f>
        <v>0</v>
      </c>
      <c r="I52" s="98"/>
      <c r="J52" s="98"/>
      <c r="K52" s="98"/>
      <c r="L52" s="98"/>
      <c r="M52" s="98"/>
      <c r="N52" s="98"/>
      <c r="O52" s="98"/>
    </row>
    <row r="53" spans="1:15">
      <c r="A53" s="366"/>
      <c r="B53" s="366"/>
      <c r="C53" s="366"/>
      <c r="D53" s="366"/>
      <c r="E53" s="366"/>
      <c r="F53" s="366"/>
      <c r="G53" s="366"/>
      <c r="H53" s="366"/>
    </row>
  </sheetData>
  <sheetProtection selectLockedCells="1" selectUnlockedCells="1"/>
  <mergeCells count="12">
    <mergeCell ref="A52:E52"/>
    <mergeCell ref="A1:H1"/>
    <mergeCell ref="G2:G3"/>
    <mergeCell ref="H2:H3"/>
    <mergeCell ref="B4:E4"/>
    <mergeCell ref="G4:H4"/>
    <mergeCell ref="B5:E5"/>
    <mergeCell ref="G5:H5"/>
    <mergeCell ref="A50:A51"/>
    <mergeCell ref="B50:F51"/>
    <mergeCell ref="G50:G51"/>
    <mergeCell ref="H50:H51"/>
  </mergeCells>
  <phoneticPr fontId="51" type="noConversion"/>
  <dataValidations count="2">
    <dataValidation allowBlank="1" showErrorMessage="1" sqref="H50:H51">
      <formula1>0</formula1>
      <formula2>0</formula2>
    </dataValidation>
    <dataValidation type="list" allowBlank="1" showErrorMessage="1" sqref="F52">
      <formula1>"可以确认,"</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W231"/>
  <sheetViews>
    <sheetView workbookViewId="0">
      <selection activeCell="R12" sqref="R12:W13"/>
    </sheetView>
  </sheetViews>
  <sheetFormatPr defaultColWidth="9" defaultRowHeight="15.6"/>
  <cols>
    <col min="1" max="2" width="4.3984375" style="168" customWidth="1"/>
    <col min="3" max="3" width="3.19921875" style="168" customWidth="1"/>
    <col min="4" max="4" width="3.5" style="168" customWidth="1"/>
    <col min="5" max="5" width="9.3984375" style="168" customWidth="1"/>
    <col min="6" max="6" width="11.59765625" style="168" customWidth="1"/>
    <col min="7" max="7" width="13.8984375" style="168" customWidth="1"/>
    <col min="8" max="8" width="8.69921875" style="168" customWidth="1"/>
    <col min="9" max="9" width="9.3984375" style="168" customWidth="1"/>
    <col min="10" max="10" width="3.19921875" style="168" customWidth="1"/>
    <col min="11" max="11" width="9.3984375" style="168" customWidth="1"/>
    <col min="12" max="12" width="3.09765625" style="168" customWidth="1"/>
    <col min="13" max="13" width="8.59765625" style="168" customWidth="1"/>
    <col min="14" max="14" width="8.5" style="168" customWidth="1"/>
    <col min="15" max="15" width="8.8984375" style="168" customWidth="1"/>
    <col min="16" max="16" width="7.19921875" style="168" customWidth="1"/>
    <col min="17" max="17" width="9" style="168"/>
    <col min="18" max="20" width="9.3984375" style="168" customWidth="1"/>
    <col min="21" max="21" width="12.8984375" style="168" customWidth="1"/>
    <col min="22" max="22" width="3.5" style="168" customWidth="1"/>
    <col min="23" max="23" width="26.8984375" style="168" customWidth="1"/>
    <col min="24" max="16384" width="9" style="168"/>
  </cols>
  <sheetData>
    <row r="1" spans="1:23" ht="22.2">
      <c r="A1" s="2719" t="s">
        <v>548</v>
      </c>
      <c r="B1" s="2719"/>
      <c r="C1" s="2719"/>
      <c r="D1" s="2719"/>
      <c r="E1" s="2719"/>
      <c r="F1" s="2719"/>
      <c r="G1" s="2719"/>
      <c r="H1" s="2719"/>
      <c r="I1" s="2719"/>
      <c r="J1" s="2719"/>
      <c r="K1" s="2719"/>
      <c r="L1" s="2719"/>
      <c r="M1" s="2719"/>
      <c r="N1" s="2719"/>
      <c r="O1" s="2719"/>
      <c r="P1" s="2719"/>
      <c r="Q1" s="2719"/>
      <c r="R1" s="367"/>
      <c r="S1" s="367"/>
      <c r="T1" s="367"/>
      <c r="U1" s="169"/>
      <c r="V1" s="169"/>
      <c r="W1" s="169"/>
    </row>
    <row r="2" spans="1:23" ht="19.5" customHeight="1">
      <c r="A2" s="3065" t="s">
        <v>447</v>
      </c>
      <c r="B2" s="3065"/>
      <c r="C2" s="3065"/>
      <c r="D2" s="3065"/>
      <c r="E2" s="3066">
        <f>基本情况!B2</f>
        <v>0</v>
      </c>
      <c r="F2" s="3066"/>
      <c r="G2" s="3066"/>
      <c r="H2" s="3066"/>
      <c r="I2" s="369" t="s">
        <v>450</v>
      </c>
      <c r="J2" s="3067">
        <f>基本情况!B12</f>
        <v>0</v>
      </c>
      <c r="K2" s="3067"/>
      <c r="L2" s="3067"/>
      <c r="M2" s="371" t="s">
        <v>449</v>
      </c>
      <c r="N2" s="3068" t="str">
        <f>TEXT(基本情况!B21,"yyyy-mm-dd")</f>
        <v>2017-03-16</v>
      </c>
      <c r="O2" s="3068"/>
      <c r="P2" s="3063" t="s">
        <v>283</v>
      </c>
      <c r="Q2" s="3069" t="str">
        <f>档案索引!A46</f>
        <v>2A-26</v>
      </c>
      <c r="R2" s="169"/>
      <c r="S2" s="169"/>
      <c r="T2" s="169"/>
      <c r="U2" s="169"/>
      <c r="V2" s="169"/>
      <c r="W2" s="169"/>
    </row>
    <row r="3" spans="1:23" ht="19.5" customHeight="1">
      <c r="A3" s="2922" t="s">
        <v>451</v>
      </c>
      <c r="B3" s="2922"/>
      <c r="C3" s="2922"/>
      <c r="D3" s="2922"/>
      <c r="E3" s="3070" t="str">
        <f>基本情况!B7</f>
        <v>2016年01月01日至2016年12月31日</v>
      </c>
      <c r="F3" s="3070"/>
      <c r="G3" s="3070"/>
      <c r="H3" s="3070"/>
      <c r="I3" s="373" t="s">
        <v>452</v>
      </c>
      <c r="J3" s="3062">
        <f>基本情况!B11</f>
        <v>0</v>
      </c>
      <c r="K3" s="3062"/>
      <c r="L3" s="3062"/>
      <c r="M3" s="375" t="s">
        <v>449</v>
      </c>
      <c r="N3" s="3062" t="str">
        <f>TEXT(基本情况!B22,"yyyy-mm-dd")</f>
        <v>2017-05-04</v>
      </c>
      <c r="O3" s="3062"/>
      <c r="P3" s="3063"/>
      <c r="Q3" s="3069"/>
      <c r="R3" s="169"/>
      <c r="S3" s="169"/>
      <c r="T3" s="169"/>
      <c r="U3" s="169"/>
      <c r="V3" s="169"/>
      <c r="W3" s="169"/>
    </row>
    <row r="4" spans="1:23" ht="16.5" customHeight="1">
      <c r="A4" s="3051" t="s">
        <v>549</v>
      </c>
      <c r="B4" s="3063" t="s">
        <v>1061</v>
      </c>
      <c r="C4" s="3064" t="s">
        <v>550</v>
      </c>
      <c r="D4" s="3064"/>
      <c r="E4" s="2929" t="s">
        <v>551</v>
      </c>
      <c r="F4" s="2929"/>
      <c r="G4" s="2929"/>
      <c r="H4" s="3063" t="s">
        <v>552</v>
      </c>
      <c r="I4" s="3063"/>
      <c r="J4" s="3063"/>
      <c r="K4" s="3063"/>
      <c r="L4" s="3063"/>
      <c r="M4" s="3064" t="s">
        <v>553</v>
      </c>
      <c r="N4" s="3063" t="s">
        <v>554</v>
      </c>
      <c r="O4" s="3063"/>
      <c r="P4" s="3063"/>
      <c r="Q4" s="2995" t="s">
        <v>455</v>
      </c>
      <c r="R4" s="169"/>
      <c r="S4" s="169"/>
      <c r="T4" s="169"/>
      <c r="U4" s="169"/>
      <c r="V4" s="169"/>
      <c r="W4" s="169"/>
    </row>
    <row r="5" spans="1:23" ht="16.5" customHeight="1">
      <c r="A5" s="3051"/>
      <c r="B5" s="3063"/>
      <c r="C5" s="3064"/>
      <c r="D5" s="3064"/>
      <c r="E5" s="377" t="s">
        <v>555</v>
      </c>
      <c r="F5" s="373" t="s">
        <v>556</v>
      </c>
      <c r="G5" s="373" t="s">
        <v>557</v>
      </c>
      <c r="H5" s="3063"/>
      <c r="I5" s="3063"/>
      <c r="J5" s="3063"/>
      <c r="K5" s="3063"/>
      <c r="L5" s="3063"/>
      <c r="M5" s="3064"/>
      <c r="N5" s="3063"/>
      <c r="O5" s="3063"/>
      <c r="P5" s="3063"/>
      <c r="Q5" s="2995"/>
      <c r="R5" s="2718" t="s">
        <v>395</v>
      </c>
      <c r="S5" s="2718"/>
      <c r="T5" s="2718"/>
      <c r="U5" s="169"/>
      <c r="V5" s="169"/>
      <c r="W5" s="169"/>
    </row>
    <row r="6" spans="1:23" ht="16.5" customHeight="1">
      <c r="A6" s="378"/>
      <c r="B6" s="379"/>
      <c r="C6" s="3059"/>
      <c r="D6" s="3059"/>
      <c r="E6" s="380"/>
      <c r="F6" s="381"/>
      <c r="G6" s="1094"/>
      <c r="H6" s="3060"/>
      <c r="I6" s="3060"/>
      <c r="J6" s="3060"/>
      <c r="K6" s="3060"/>
      <c r="L6" s="3060"/>
      <c r="M6" s="382">
        <v>1</v>
      </c>
      <c r="N6" s="3061" t="str">
        <f>IF(COUNTIF($R$14:$R$38,M6),INDEX($S$14:$S$38,MATCH(M6,$R$14:$R38,0)),"")</f>
        <v>未取得合法有效票据的支出</v>
      </c>
      <c r="O6" s="3061"/>
      <c r="P6" s="3061"/>
      <c r="Q6" s="383"/>
      <c r="R6" s="232" t="s">
        <v>558</v>
      </c>
      <c r="S6" s="169"/>
      <c r="T6" s="169"/>
      <c r="U6" s="169"/>
      <c r="V6" s="169"/>
      <c r="W6" s="169"/>
    </row>
    <row r="7" spans="1:23" ht="16.5" customHeight="1">
      <c r="A7" s="384"/>
      <c r="B7" s="385"/>
      <c r="C7" s="3055"/>
      <c r="D7" s="3055"/>
      <c r="E7" s="386"/>
      <c r="F7" s="385"/>
      <c r="G7" s="1095"/>
      <c r="H7" s="3056"/>
      <c r="I7" s="3056"/>
      <c r="J7" s="3056"/>
      <c r="K7" s="3056"/>
      <c r="L7" s="3056"/>
      <c r="M7" s="387">
        <v>2</v>
      </c>
      <c r="N7" s="3057" t="str">
        <f>IF(COUNTIF($R$14:$R$38,M7),INDEX($S$14:$S$38,MATCH(M7,$R$14:$R38,0)),"")</f>
        <v>跨期扣除项目</v>
      </c>
      <c r="O7" s="3057"/>
      <c r="P7" s="3057"/>
      <c r="Q7" s="388"/>
      <c r="R7" s="232" t="s">
        <v>559</v>
      </c>
      <c r="S7" s="169"/>
      <c r="T7" s="169"/>
      <c r="U7" s="169"/>
      <c r="V7" s="169"/>
      <c r="W7" s="169"/>
    </row>
    <row r="8" spans="1:23" ht="16.5" customHeight="1">
      <c r="A8" s="384"/>
      <c r="B8" s="385"/>
      <c r="C8" s="3055"/>
      <c r="D8" s="3055"/>
      <c r="E8" s="386"/>
      <c r="F8" s="385"/>
      <c r="G8" s="1095"/>
      <c r="H8" s="3056"/>
      <c r="I8" s="3056"/>
      <c r="J8" s="3056"/>
      <c r="K8" s="3056"/>
      <c r="L8" s="3056"/>
      <c r="M8" s="387">
        <v>3</v>
      </c>
      <c r="N8" s="3057" t="str">
        <f>IF(COUNTIF($R$14:$R$38,M8),INDEX($S$14:$S$38,MATCH(M8,$R$14:$R39,0)),"")</f>
        <v>与取得收入无关的支出</v>
      </c>
      <c r="O8" s="3057"/>
      <c r="P8" s="3057"/>
      <c r="Q8" s="388"/>
      <c r="R8" s="232" t="s">
        <v>560</v>
      </c>
      <c r="S8" s="169"/>
      <c r="T8" s="169"/>
      <c r="U8" s="169"/>
      <c r="V8" s="169"/>
      <c r="W8" s="169"/>
    </row>
    <row r="9" spans="1:23" ht="16.5" customHeight="1">
      <c r="A9" s="384"/>
      <c r="B9" s="385"/>
      <c r="C9" s="3055"/>
      <c r="D9" s="3055"/>
      <c r="E9" s="386"/>
      <c r="F9" s="385"/>
      <c r="G9" s="1095"/>
      <c r="H9" s="3056"/>
      <c r="I9" s="3056"/>
      <c r="J9" s="3056"/>
      <c r="K9" s="3056"/>
      <c r="L9" s="3056"/>
      <c r="M9" s="387">
        <v>4</v>
      </c>
      <c r="N9" s="3057" t="str">
        <f>IF(COUNTIF($R$14:$R$38,M9),INDEX($S$14:$S$38,MATCH(M9,$R$14:$R40,0)),"")</f>
        <v>非本公司费用</v>
      </c>
      <c r="O9" s="3057"/>
      <c r="P9" s="3057"/>
      <c r="Q9" s="388"/>
      <c r="R9" s="1269" t="s">
        <v>262</v>
      </c>
      <c r="S9" s="169"/>
      <c r="T9" s="169"/>
      <c r="U9" s="169"/>
      <c r="V9" s="169"/>
      <c r="W9" s="169"/>
    </row>
    <row r="10" spans="1:23" ht="16.5" customHeight="1">
      <c r="A10" s="384"/>
      <c r="B10" s="385"/>
      <c r="C10" s="3055"/>
      <c r="D10" s="3055"/>
      <c r="E10" s="386"/>
      <c r="F10" s="385"/>
      <c r="G10" s="1095"/>
      <c r="H10" s="3056"/>
      <c r="I10" s="3056"/>
      <c r="J10" s="3056"/>
      <c r="K10" s="3056"/>
      <c r="L10" s="3056"/>
      <c r="M10" s="387">
        <v>5</v>
      </c>
      <c r="N10" s="3057" t="str">
        <f>IF(COUNTIF($R$14:$R$38,M10),INDEX($S$14:$S$38,MATCH(M10,$R$14:$R41,0)),"")</f>
        <v>应并入业务招待费的费用</v>
      </c>
      <c r="O10" s="3057"/>
      <c r="P10" s="3057"/>
      <c r="Q10" s="388"/>
      <c r="R10" s="232" t="s">
        <v>562</v>
      </c>
      <c r="S10" s="389"/>
      <c r="T10" s="169"/>
      <c r="U10" s="169"/>
      <c r="V10" s="169"/>
      <c r="W10" s="169"/>
    </row>
    <row r="11" spans="1:23" ht="16.5" customHeight="1">
      <c r="A11" s="384"/>
      <c r="B11" s="385"/>
      <c r="C11" s="3055"/>
      <c r="D11" s="3055"/>
      <c r="E11" s="386"/>
      <c r="F11" s="385"/>
      <c r="G11" s="1095"/>
      <c r="H11" s="3056"/>
      <c r="I11" s="3056"/>
      <c r="J11" s="3056"/>
      <c r="K11" s="3056"/>
      <c r="L11" s="3056"/>
      <c r="M11" s="387">
        <v>6</v>
      </c>
      <c r="N11" s="3057" t="str">
        <f>IF(COUNTIF($R$14:$R$38,M11),INDEX($S$14:$S$38,MATCH(M11,$R$14:$R42,0)),"")</f>
        <v>产权不属于公司的汽车费用</v>
      </c>
      <c r="O11" s="3057"/>
      <c r="P11" s="3057"/>
      <c r="Q11" s="388"/>
      <c r="R11" s="232" t="s">
        <v>563</v>
      </c>
      <c r="S11" s="389"/>
      <c r="T11" s="169"/>
      <c r="U11" s="169"/>
      <c r="V11" s="169"/>
      <c r="W11" s="169"/>
    </row>
    <row r="12" spans="1:23" ht="16.5" customHeight="1">
      <c r="A12" s="384"/>
      <c r="B12" s="385"/>
      <c r="C12" s="3055"/>
      <c r="D12" s="3055"/>
      <c r="E12" s="386"/>
      <c r="F12" s="385"/>
      <c r="G12" s="1095"/>
      <c r="H12" s="3056"/>
      <c r="I12" s="3056"/>
      <c r="J12" s="3056"/>
      <c r="K12" s="3056"/>
      <c r="L12" s="3056"/>
      <c r="M12" s="387">
        <v>7</v>
      </c>
      <c r="N12" s="3057" t="str">
        <f>IF(COUNTIF($R$14:$R$38,M12),INDEX($S$14:$S$38,MATCH(M12,$R$14:$R43,0)),"")</f>
        <v>不属于应付福利费开支范围的支出</v>
      </c>
      <c r="O12" s="3057"/>
      <c r="P12" s="3057"/>
      <c r="Q12" s="388"/>
      <c r="R12" s="3058" t="s">
        <v>564</v>
      </c>
      <c r="S12" s="3058"/>
      <c r="T12" s="3058"/>
      <c r="U12" s="3058"/>
      <c r="V12" s="3058"/>
      <c r="W12" s="3058"/>
    </row>
    <row r="13" spans="1:23" ht="16.5" customHeight="1">
      <c r="A13" s="384"/>
      <c r="B13" s="385"/>
      <c r="C13" s="3055"/>
      <c r="D13" s="3055"/>
      <c r="E13" s="386"/>
      <c r="F13" s="385"/>
      <c r="G13" s="1095"/>
      <c r="H13" s="3056"/>
      <c r="I13" s="3056"/>
      <c r="J13" s="3056"/>
      <c r="K13" s="3056"/>
      <c r="L13" s="3056"/>
      <c r="M13" s="387">
        <v>8</v>
      </c>
      <c r="N13" s="3057" t="str">
        <f>IF(COUNTIF($R$14:$R$38,M13),INDEX($S$14:$S$38,MATCH(M13,$R$14:$R44,0)),"")</f>
        <v>税收滞纳金</v>
      </c>
      <c r="O13" s="3057"/>
      <c r="P13" s="3057"/>
      <c r="Q13" s="388"/>
      <c r="R13" s="3058"/>
      <c r="S13" s="3058"/>
      <c r="T13" s="3058"/>
      <c r="U13" s="3058"/>
      <c r="V13" s="3058"/>
      <c r="W13" s="3058"/>
    </row>
    <row r="14" spans="1:23" ht="16.5" customHeight="1">
      <c r="A14" s="384"/>
      <c r="B14" s="385"/>
      <c r="C14" s="3055"/>
      <c r="D14" s="3055"/>
      <c r="E14" s="386"/>
      <c r="F14" s="385"/>
      <c r="G14" s="1095"/>
      <c r="H14" s="3056"/>
      <c r="I14" s="3056"/>
      <c r="J14" s="3056"/>
      <c r="K14" s="3056"/>
      <c r="L14" s="3056"/>
      <c r="M14" s="387">
        <v>9</v>
      </c>
      <c r="N14" s="3057" t="str">
        <f>IF(COUNTIF($R$14:$R$38,M14),INDEX($S$14:$S$38,MATCH(M14,$R$14:$R45,0)),"")</f>
        <v>大额购物未附清单</v>
      </c>
      <c r="O14" s="3057"/>
      <c r="P14" s="3057"/>
      <c r="Q14" s="388"/>
      <c r="R14" s="390">
        <v>1</v>
      </c>
      <c r="S14" s="389" t="s">
        <v>565</v>
      </c>
    </row>
    <row r="15" spans="1:23" ht="16.5" customHeight="1">
      <c r="A15" s="384"/>
      <c r="B15" s="385"/>
      <c r="C15" s="3055"/>
      <c r="D15" s="3055"/>
      <c r="E15" s="386"/>
      <c r="F15" s="385"/>
      <c r="G15" s="1095"/>
      <c r="H15" s="3056"/>
      <c r="I15" s="3056"/>
      <c r="J15" s="3056"/>
      <c r="K15" s="3056"/>
      <c r="L15" s="3056"/>
      <c r="M15" s="387">
        <v>10</v>
      </c>
      <c r="N15" s="3057" t="str">
        <f>IF(COUNTIF($R$14:$R$38,M15),INDEX($S$14:$S$38,MATCH(M15,$R$14:$R46,0)),"")</f>
        <v>罚金、违法经营罚款和被没收财物损失</v>
      </c>
      <c r="O15" s="3057"/>
      <c r="P15" s="3057"/>
      <c r="Q15" s="388"/>
      <c r="R15" s="1778">
        <v>2</v>
      </c>
      <c r="S15" s="1779" t="s">
        <v>6494</v>
      </c>
      <c r="T15" s="169"/>
      <c r="U15" s="169"/>
      <c r="V15" s="169"/>
      <c r="W15" s="169"/>
    </row>
    <row r="16" spans="1:23" ht="16.5" customHeight="1">
      <c r="A16" s="384"/>
      <c r="B16" s="385"/>
      <c r="C16" s="3055"/>
      <c r="D16" s="3055"/>
      <c r="E16" s="386"/>
      <c r="F16" s="385"/>
      <c r="G16" s="1095"/>
      <c r="H16" s="3056"/>
      <c r="I16" s="3056"/>
      <c r="J16" s="3056"/>
      <c r="K16" s="3056"/>
      <c r="L16" s="3056"/>
      <c r="M16" s="387">
        <v>11</v>
      </c>
      <c r="N16" s="3057" t="str">
        <f>IF(COUNTIF($R$14:$R$38,M16),INDEX($S$14:$S$38,MATCH(M16,$R$14:$R47,0)),"")</f>
        <v>不允许直接在损益中列支的当年福利费</v>
      </c>
      <c r="O16" s="3057"/>
      <c r="P16" s="3057"/>
      <c r="Q16" s="388"/>
      <c r="R16" s="391">
        <v>3</v>
      </c>
      <c r="S16" s="392" t="s">
        <v>566</v>
      </c>
      <c r="T16" s="169"/>
      <c r="U16" s="169"/>
      <c r="V16" s="169"/>
      <c r="W16" s="169"/>
    </row>
    <row r="17" spans="1:23" ht="16.5" customHeight="1">
      <c r="A17" s="384"/>
      <c r="B17" s="385"/>
      <c r="C17" s="3055"/>
      <c r="D17" s="3055"/>
      <c r="E17" s="386"/>
      <c r="F17" s="385"/>
      <c r="G17" s="1095"/>
      <c r="H17" s="3056"/>
      <c r="I17" s="3056"/>
      <c r="J17" s="3056"/>
      <c r="K17" s="3056"/>
      <c r="L17" s="3056"/>
      <c r="M17" s="387">
        <v>12</v>
      </c>
      <c r="N17" s="3057" t="str">
        <f>IF(COUNTIF($R$14:$R$38,M17),INDEX($S$14:$S$38,MATCH(M17,$R$14:$R48,0)),"")</f>
        <v>跨期费用</v>
      </c>
      <c r="O17" s="3057"/>
      <c r="P17" s="3057"/>
      <c r="Q17" s="388"/>
      <c r="R17" s="390">
        <v>4</v>
      </c>
      <c r="S17" s="389" t="s">
        <v>567</v>
      </c>
      <c r="T17" s="169"/>
      <c r="U17" s="169"/>
      <c r="V17" s="169"/>
      <c r="W17" s="169"/>
    </row>
    <row r="18" spans="1:23" ht="16.5" customHeight="1">
      <c r="A18" s="384"/>
      <c r="B18" s="385"/>
      <c r="C18" s="3055"/>
      <c r="D18" s="3055"/>
      <c r="E18" s="386"/>
      <c r="F18" s="385"/>
      <c r="G18" s="1095"/>
      <c r="H18" s="3056"/>
      <c r="I18" s="3056"/>
      <c r="J18" s="3056"/>
      <c r="K18" s="3056"/>
      <c r="L18" s="3056"/>
      <c r="M18" s="387"/>
      <c r="N18" s="3057" t="str">
        <f>IF(COUNTIF($R$14:$R$38,M18),INDEX($S$14:$S$38,MATCH(M18,$R$14:$R49,0)),"")</f>
        <v/>
      </c>
      <c r="O18" s="3057"/>
      <c r="P18" s="3057"/>
      <c r="Q18" s="388"/>
      <c r="R18" s="391">
        <v>5</v>
      </c>
      <c r="S18" s="392" t="s">
        <v>568</v>
      </c>
      <c r="T18" s="169"/>
      <c r="U18" s="169"/>
      <c r="V18" s="169"/>
      <c r="W18" s="169"/>
    </row>
    <row r="19" spans="1:23" ht="16.5" customHeight="1">
      <c r="A19" s="384"/>
      <c r="B19" s="385"/>
      <c r="C19" s="3055"/>
      <c r="D19" s="3055"/>
      <c r="E19" s="386"/>
      <c r="F19" s="385"/>
      <c r="G19" s="1095"/>
      <c r="H19" s="3056"/>
      <c r="I19" s="3056"/>
      <c r="J19" s="3056"/>
      <c r="K19" s="3056"/>
      <c r="L19" s="3056"/>
      <c r="M19" s="387"/>
      <c r="N19" s="3057" t="str">
        <f>IF(COUNTIF($R$14:$R$38,M19),INDEX($S$14:$S$38,MATCH(M19,$R$14:$R50,0)),"")</f>
        <v/>
      </c>
      <c r="O19" s="3057"/>
      <c r="P19" s="3057"/>
      <c r="Q19" s="388"/>
      <c r="R19" s="390">
        <v>6</v>
      </c>
      <c r="S19" s="389" t="s">
        <v>569</v>
      </c>
      <c r="T19" s="169"/>
      <c r="U19" s="169"/>
      <c r="V19" s="169"/>
      <c r="W19" s="169"/>
    </row>
    <row r="20" spans="1:23" ht="16.5" customHeight="1">
      <c r="A20" s="384"/>
      <c r="B20" s="385"/>
      <c r="C20" s="3055"/>
      <c r="D20" s="3055"/>
      <c r="E20" s="386"/>
      <c r="F20" s="385"/>
      <c r="G20" s="1095"/>
      <c r="H20" s="3056"/>
      <c r="I20" s="3056"/>
      <c r="J20" s="3056"/>
      <c r="K20" s="3056"/>
      <c r="L20" s="3056"/>
      <c r="M20" s="387"/>
      <c r="N20" s="3057" t="str">
        <f>IF(COUNTIF($R$14:$R$38,M20),INDEX($S$14:$S$38,MATCH(M20,$R$14:$R51,0)),"")</f>
        <v/>
      </c>
      <c r="O20" s="3057"/>
      <c r="P20" s="3057"/>
      <c r="Q20" s="388"/>
      <c r="R20" s="391">
        <v>7</v>
      </c>
      <c r="S20" s="392" t="s">
        <v>570</v>
      </c>
      <c r="T20" s="169"/>
      <c r="U20" s="169"/>
    </row>
    <row r="21" spans="1:23" ht="16.5" customHeight="1">
      <c r="A21" s="384"/>
      <c r="B21" s="385"/>
      <c r="C21" s="3055"/>
      <c r="D21" s="3055"/>
      <c r="E21" s="386"/>
      <c r="F21" s="385"/>
      <c r="G21" s="1095"/>
      <c r="H21" s="3056"/>
      <c r="I21" s="3056"/>
      <c r="J21" s="3056"/>
      <c r="K21" s="3056"/>
      <c r="L21" s="3056"/>
      <c r="M21" s="387"/>
      <c r="N21" s="3057" t="str">
        <f>IF(COUNTIF($R$14:$R$38,M21),INDEX($S$14:$S$38,MATCH(M21,$R$14:$R52,0)),"")</f>
        <v/>
      </c>
      <c r="O21" s="3057"/>
      <c r="P21" s="3057"/>
      <c r="Q21" s="388"/>
      <c r="R21" s="391">
        <v>8</v>
      </c>
      <c r="S21" s="392" t="s">
        <v>571</v>
      </c>
      <c r="T21" s="169"/>
      <c r="U21" s="169"/>
    </row>
    <row r="22" spans="1:23" ht="16.5" customHeight="1">
      <c r="A22" s="384"/>
      <c r="B22" s="385"/>
      <c r="C22" s="3055"/>
      <c r="D22" s="3055"/>
      <c r="E22" s="386"/>
      <c r="F22" s="385"/>
      <c r="G22" s="1095"/>
      <c r="H22" s="3056"/>
      <c r="I22" s="3056"/>
      <c r="J22" s="3056"/>
      <c r="K22" s="3056"/>
      <c r="L22" s="3056"/>
      <c r="M22" s="387"/>
      <c r="N22" s="3057" t="str">
        <f>IF(COUNTIF($R$14:$R$38,M22),INDEX($S$14:$S$38,MATCH(M22,$R$14:$R53,0)),"")</f>
        <v/>
      </c>
      <c r="O22" s="3057"/>
      <c r="P22" s="3057"/>
      <c r="Q22" s="388"/>
      <c r="R22" s="390">
        <v>9</v>
      </c>
      <c r="S22" s="389" t="s">
        <v>572</v>
      </c>
      <c r="T22" s="169"/>
      <c r="U22" s="169"/>
      <c r="V22" s="169"/>
      <c r="W22" s="169"/>
    </row>
    <row r="23" spans="1:23" ht="16.5" customHeight="1">
      <c r="A23" s="384"/>
      <c r="B23" s="385"/>
      <c r="C23" s="3055"/>
      <c r="D23" s="3055"/>
      <c r="E23" s="386"/>
      <c r="F23" s="385"/>
      <c r="G23" s="1095"/>
      <c r="H23" s="3056"/>
      <c r="I23" s="3056"/>
      <c r="J23" s="3056"/>
      <c r="K23" s="3056"/>
      <c r="L23" s="3056"/>
      <c r="M23" s="387"/>
      <c r="N23" s="3057" t="str">
        <f>IF(COUNTIF($R$14:$R$38,M23),INDEX($S$14:$S$38,MATCH(M23,$R$14:$R54,0)),"")</f>
        <v/>
      </c>
      <c r="O23" s="3057"/>
      <c r="P23" s="3057"/>
      <c r="Q23" s="388"/>
      <c r="R23" s="1778">
        <v>10</v>
      </c>
      <c r="S23" s="1779" t="s">
        <v>6495</v>
      </c>
      <c r="T23" s="169"/>
      <c r="U23" s="169"/>
      <c r="V23" s="169"/>
      <c r="W23" s="169"/>
    </row>
    <row r="24" spans="1:23" ht="16.5" customHeight="1">
      <c r="A24" s="384"/>
      <c r="B24" s="385"/>
      <c r="C24" s="3055"/>
      <c r="D24" s="3055"/>
      <c r="E24" s="386"/>
      <c r="F24" s="385"/>
      <c r="G24" s="1095"/>
      <c r="H24" s="3056"/>
      <c r="I24" s="3056"/>
      <c r="J24" s="3056"/>
      <c r="K24" s="3056"/>
      <c r="L24" s="3056"/>
      <c r="M24" s="387"/>
      <c r="N24" s="3057" t="str">
        <f>IF(COUNTIF($R$14:$R$38,M24),INDEX($S$14:$S$38,MATCH(M24,$R$14:$R55,0)),"")</f>
        <v/>
      </c>
      <c r="O24" s="3057"/>
      <c r="P24" s="3057"/>
      <c r="Q24" s="388"/>
      <c r="R24" s="393">
        <v>11</v>
      </c>
      <c r="S24" s="394" t="s">
        <v>573</v>
      </c>
      <c r="T24" s="169"/>
      <c r="U24" s="169"/>
      <c r="V24" s="169"/>
      <c r="W24" s="169"/>
    </row>
    <row r="25" spans="1:23" ht="16.5" customHeight="1">
      <c r="A25" s="384"/>
      <c r="B25" s="385"/>
      <c r="C25" s="3055"/>
      <c r="D25" s="3055"/>
      <c r="E25" s="395"/>
      <c r="F25" s="396"/>
      <c r="G25" s="1095"/>
      <c r="H25" s="3056"/>
      <c r="I25" s="3056"/>
      <c r="J25" s="3056"/>
      <c r="K25" s="3056"/>
      <c r="L25" s="3056"/>
      <c r="M25" s="387"/>
      <c r="N25" s="3057" t="str">
        <f>IF(COUNTIF($R$14:$R$38,M25),INDEX($S$14:$S$38,MATCH(M25,$R$14:$R56,0)),"")</f>
        <v/>
      </c>
      <c r="O25" s="3057"/>
      <c r="P25" s="3057"/>
      <c r="Q25" s="388"/>
      <c r="R25" s="390">
        <v>12</v>
      </c>
      <c r="S25" s="2225" t="s">
        <v>6794</v>
      </c>
      <c r="T25" s="169"/>
      <c r="U25" s="169"/>
      <c r="V25" s="169"/>
      <c r="W25" s="169"/>
    </row>
    <row r="26" spans="1:23" ht="16.5" hidden="1" customHeight="1">
      <c r="A26" s="384"/>
      <c r="B26" s="385"/>
      <c r="C26" s="3055"/>
      <c r="D26" s="3055"/>
      <c r="E26" s="395"/>
      <c r="F26" s="396"/>
      <c r="G26" s="1095"/>
      <c r="H26" s="3056"/>
      <c r="I26" s="3056"/>
      <c r="J26" s="3056"/>
      <c r="K26" s="3056"/>
      <c r="L26" s="3056"/>
      <c r="M26" s="387"/>
      <c r="N26" s="3057" t="str">
        <f>IF(COUNTIF($R$14:$R$38,M26),INDEX($S$14:$S$38,MATCH(M26,$R$14:$R57,0)),"")</f>
        <v/>
      </c>
      <c r="O26" s="3057"/>
      <c r="P26" s="3057"/>
      <c r="Q26" s="388"/>
      <c r="R26" s="390">
        <v>13</v>
      </c>
      <c r="S26" s="390"/>
      <c r="T26" s="169"/>
      <c r="U26" s="169"/>
      <c r="V26" s="169"/>
      <c r="W26" s="169"/>
    </row>
    <row r="27" spans="1:23" ht="12.75" hidden="1" customHeight="1">
      <c r="A27" s="384"/>
      <c r="B27" s="385"/>
      <c r="C27" s="3055"/>
      <c r="D27" s="3055"/>
      <c r="E27" s="395"/>
      <c r="F27" s="396"/>
      <c r="G27" s="1095"/>
      <c r="H27" s="3056"/>
      <c r="I27" s="3056"/>
      <c r="J27" s="3056"/>
      <c r="K27" s="3056"/>
      <c r="L27" s="3056"/>
      <c r="M27" s="387"/>
      <c r="N27" s="3057" t="str">
        <f>IF(COUNTIF($R$14:$R$38,M27),INDEX($S$14:$S$38,MATCH(M27,$R$14:$R58,0)),"")</f>
        <v/>
      </c>
      <c r="O27" s="3057"/>
      <c r="P27" s="3057"/>
      <c r="Q27" s="388"/>
      <c r="R27" s="390">
        <v>14</v>
      </c>
      <c r="S27" s="390"/>
      <c r="T27" s="169"/>
      <c r="U27" s="169"/>
      <c r="V27" s="169"/>
      <c r="W27" s="169"/>
    </row>
    <row r="28" spans="1:23" ht="12.75" hidden="1" customHeight="1">
      <c r="A28" s="384"/>
      <c r="B28" s="385"/>
      <c r="C28" s="3055"/>
      <c r="D28" s="3055"/>
      <c r="E28" s="395"/>
      <c r="F28" s="396"/>
      <c r="G28" s="1095"/>
      <c r="H28" s="3056"/>
      <c r="I28" s="3056"/>
      <c r="J28" s="3056"/>
      <c r="K28" s="3056"/>
      <c r="L28" s="3056"/>
      <c r="M28" s="387"/>
      <c r="N28" s="3057" t="str">
        <f>IF(COUNTIF($R$14:$R$38,M28),INDEX($S$14:$S$38,MATCH(M28,$R$14:$R59,0)),"")</f>
        <v/>
      </c>
      <c r="O28" s="3057"/>
      <c r="P28" s="3057"/>
      <c r="Q28" s="388"/>
      <c r="R28" s="390">
        <v>15</v>
      </c>
      <c r="S28" s="390"/>
      <c r="T28" s="169"/>
      <c r="U28" s="169"/>
      <c r="V28" s="169"/>
      <c r="W28" s="169"/>
    </row>
    <row r="29" spans="1:23" ht="12.75" hidden="1" customHeight="1">
      <c r="A29" s="384"/>
      <c r="B29" s="385"/>
      <c r="C29" s="3055"/>
      <c r="D29" s="3055"/>
      <c r="E29" s="395"/>
      <c r="F29" s="396"/>
      <c r="G29" s="1095"/>
      <c r="H29" s="3056"/>
      <c r="I29" s="3056"/>
      <c r="J29" s="3056"/>
      <c r="K29" s="3056"/>
      <c r="L29" s="3056"/>
      <c r="M29" s="387"/>
      <c r="N29" s="3057" t="str">
        <f>IF(COUNTIF($R$14:$R$38,M29),INDEX($S$14:$S$38,MATCH(M29,$R$14:$R60,0)),"")</f>
        <v/>
      </c>
      <c r="O29" s="3057"/>
      <c r="P29" s="3057"/>
      <c r="Q29" s="388"/>
      <c r="R29" s="390">
        <v>16</v>
      </c>
      <c r="S29" s="390"/>
      <c r="T29" s="169"/>
      <c r="U29" s="169"/>
      <c r="V29" s="169"/>
      <c r="W29" s="169"/>
    </row>
    <row r="30" spans="1:23" ht="12.75" hidden="1" customHeight="1">
      <c r="A30" s="384"/>
      <c r="B30" s="385"/>
      <c r="C30" s="3055"/>
      <c r="D30" s="3055"/>
      <c r="E30" s="395"/>
      <c r="F30" s="396"/>
      <c r="G30" s="1095"/>
      <c r="H30" s="3056"/>
      <c r="I30" s="3056"/>
      <c r="J30" s="3056"/>
      <c r="K30" s="3056"/>
      <c r="L30" s="3056"/>
      <c r="M30" s="387"/>
      <c r="N30" s="3057" t="str">
        <f>IF(COUNTIF($R$14:$R$38,M30),INDEX($S$14:$S$38,MATCH(M30,$R$14:$R61,0)),"")</f>
        <v/>
      </c>
      <c r="O30" s="3057"/>
      <c r="P30" s="3057"/>
      <c r="Q30" s="388"/>
      <c r="R30" s="390">
        <v>17</v>
      </c>
      <c r="S30" s="397"/>
      <c r="T30" s="169"/>
      <c r="U30" s="169"/>
      <c r="V30" s="169"/>
      <c r="W30" s="169"/>
    </row>
    <row r="31" spans="1:23" ht="12.75" hidden="1" customHeight="1">
      <c r="A31" s="384"/>
      <c r="B31" s="385"/>
      <c r="C31" s="3055"/>
      <c r="D31" s="3055"/>
      <c r="E31" s="395"/>
      <c r="F31" s="396"/>
      <c r="G31" s="1095"/>
      <c r="H31" s="3056"/>
      <c r="I31" s="3056"/>
      <c r="J31" s="3056"/>
      <c r="K31" s="3056"/>
      <c r="L31" s="3056"/>
      <c r="M31" s="387"/>
      <c r="N31" s="3057" t="str">
        <f>IF(COUNTIF($R$14:$R$38,M31),INDEX($S$14:$S$38,MATCH(M31,$R$14:$R62,0)),"")</f>
        <v/>
      </c>
      <c r="O31" s="3057"/>
      <c r="P31" s="3057"/>
      <c r="Q31" s="388"/>
      <c r="R31" s="390">
        <v>18</v>
      </c>
      <c r="S31" s="397"/>
      <c r="T31" s="169"/>
      <c r="U31" s="169"/>
      <c r="V31" s="169"/>
      <c r="W31" s="169"/>
    </row>
    <row r="32" spans="1:23" ht="12.75" hidden="1" customHeight="1">
      <c r="A32" s="384"/>
      <c r="B32" s="385"/>
      <c r="C32" s="3055"/>
      <c r="D32" s="3055"/>
      <c r="E32" s="395"/>
      <c r="F32" s="396"/>
      <c r="G32" s="1095"/>
      <c r="H32" s="3056"/>
      <c r="I32" s="3056"/>
      <c r="J32" s="3056"/>
      <c r="K32" s="3056"/>
      <c r="L32" s="3056"/>
      <c r="M32" s="387"/>
      <c r="N32" s="3057" t="str">
        <f>IF(COUNTIF($R$14:$R$38,M32),INDEX($S$14:$S$38,MATCH(M32,$R$14:$R63,0)),"")</f>
        <v/>
      </c>
      <c r="O32" s="3057"/>
      <c r="P32" s="3057"/>
      <c r="Q32" s="388"/>
      <c r="R32" s="390">
        <v>19</v>
      </c>
      <c r="S32" s="397"/>
      <c r="T32" s="169"/>
      <c r="U32" s="169"/>
      <c r="V32" s="169"/>
      <c r="W32" s="169"/>
    </row>
    <row r="33" spans="1:23" ht="12.75" hidden="1" customHeight="1">
      <c r="A33" s="384"/>
      <c r="B33" s="385"/>
      <c r="C33" s="3055"/>
      <c r="D33" s="3055"/>
      <c r="E33" s="395"/>
      <c r="F33" s="396"/>
      <c r="G33" s="1095"/>
      <c r="H33" s="3056"/>
      <c r="I33" s="3056"/>
      <c r="J33" s="3056"/>
      <c r="K33" s="3056"/>
      <c r="L33" s="3056"/>
      <c r="M33" s="387"/>
      <c r="N33" s="3057" t="str">
        <f>IF(COUNTIF($R$14:$R$38,M33),INDEX($S$14:$S$38,MATCH(M33,$R$14:$R64,0)),"")</f>
        <v/>
      </c>
      <c r="O33" s="3057"/>
      <c r="P33" s="3057"/>
      <c r="Q33" s="388"/>
      <c r="R33" s="390">
        <v>20</v>
      </c>
      <c r="S33" s="397"/>
      <c r="T33" s="169"/>
      <c r="U33" s="169"/>
      <c r="V33" s="169"/>
      <c r="W33" s="169"/>
    </row>
    <row r="34" spans="1:23" ht="12.75" hidden="1" customHeight="1">
      <c r="A34" s="384"/>
      <c r="B34" s="385"/>
      <c r="C34" s="3055"/>
      <c r="D34" s="3055"/>
      <c r="E34" s="395"/>
      <c r="F34" s="396"/>
      <c r="G34" s="1095"/>
      <c r="H34" s="3056"/>
      <c r="I34" s="3056"/>
      <c r="J34" s="3056"/>
      <c r="K34" s="3056"/>
      <c r="L34" s="3056"/>
      <c r="M34" s="387"/>
      <c r="N34" s="3057" t="str">
        <f>IF(COUNTIF($R$14:$R$38,M34),INDEX($S$14:$S$38,MATCH(M34,$R$14:$R65,0)),"")</f>
        <v/>
      </c>
      <c r="O34" s="3057"/>
      <c r="P34" s="3057"/>
      <c r="Q34" s="388"/>
      <c r="R34" s="390">
        <v>21</v>
      </c>
      <c r="S34" s="397"/>
      <c r="T34" s="169"/>
      <c r="U34" s="169"/>
      <c r="V34" s="169"/>
      <c r="W34" s="169"/>
    </row>
    <row r="35" spans="1:23" ht="12.75" hidden="1" customHeight="1">
      <c r="A35" s="384"/>
      <c r="B35" s="385"/>
      <c r="C35" s="3055"/>
      <c r="D35" s="3055"/>
      <c r="E35" s="395"/>
      <c r="F35" s="396"/>
      <c r="G35" s="1095"/>
      <c r="H35" s="3056"/>
      <c r="I35" s="3056"/>
      <c r="J35" s="3056"/>
      <c r="K35" s="3056"/>
      <c r="L35" s="3056"/>
      <c r="M35" s="387"/>
      <c r="N35" s="3057" t="str">
        <f>IF(COUNTIF($R$14:$R$38,M35),INDEX($S$14:$S$38,MATCH(M35,$R$14:$R66,0)),"")</f>
        <v/>
      </c>
      <c r="O35" s="3057"/>
      <c r="P35" s="3057"/>
      <c r="Q35" s="388"/>
      <c r="R35" s="390">
        <v>22</v>
      </c>
      <c r="S35" s="390"/>
      <c r="T35" s="169"/>
      <c r="U35" s="169"/>
      <c r="V35" s="169"/>
      <c r="W35" s="169"/>
    </row>
    <row r="36" spans="1:23" ht="12.75" hidden="1" customHeight="1">
      <c r="A36" s="384"/>
      <c r="B36" s="385"/>
      <c r="C36" s="3055"/>
      <c r="D36" s="3055"/>
      <c r="E36" s="395"/>
      <c r="F36" s="396"/>
      <c r="G36" s="1095"/>
      <c r="H36" s="3056"/>
      <c r="I36" s="3056"/>
      <c r="J36" s="3056"/>
      <c r="K36" s="3056"/>
      <c r="L36" s="3056"/>
      <c r="M36" s="387"/>
      <c r="N36" s="3057" t="str">
        <f>IF(COUNTIF($R$14:$R$38,M36),INDEX($S$14:$S$38,MATCH(M36,$R$14:$R67,0)),"")</f>
        <v/>
      </c>
      <c r="O36" s="3057"/>
      <c r="P36" s="3057"/>
      <c r="Q36" s="388"/>
      <c r="R36" s="390">
        <v>23</v>
      </c>
      <c r="S36" s="390"/>
      <c r="T36" s="169"/>
      <c r="U36" s="169"/>
      <c r="V36" s="169"/>
      <c r="W36" s="169"/>
    </row>
    <row r="37" spans="1:23" ht="12.75" hidden="1" customHeight="1">
      <c r="A37" s="384"/>
      <c r="B37" s="385"/>
      <c r="C37" s="3055"/>
      <c r="D37" s="3055"/>
      <c r="E37" s="395"/>
      <c r="F37" s="396"/>
      <c r="G37" s="1095"/>
      <c r="H37" s="3056"/>
      <c r="I37" s="3056"/>
      <c r="J37" s="3056"/>
      <c r="K37" s="3056"/>
      <c r="L37" s="3056"/>
      <c r="M37" s="387"/>
      <c r="N37" s="3057" t="str">
        <f>IF(COUNTIF($R$14:$R$38,M37),INDEX($S$14:$S$38,MATCH(M37,$R$14:$R68,0)),"")</f>
        <v/>
      </c>
      <c r="O37" s="3057"/>
      <c r="P37" s="3057"/>
      <c r="Q37" s="388"/>
      <c r="R37" s="390">
        <v>24</v>
      </c>
      <c r="S37" s="390"/>
      <c r="T37" s="169"/>
      <c r="U37" s="169"/>
      <c r="V37" s="169"/>
      <c r="W37" s="169"/>
    </row>
    <row r="38" spans="1:23" ht="12.75" hidden="1" customHeight="1">
      <c r="A38" s="384"/>
      <c r="B38" s="385"/>
      <c r="C38" s="3055"/>
      <c r="D38" s="3055"/>
      <c r="E38" s="395"/>
      <c r="F38" s="396"/>
      <c r="G38" s="1095"/>
      <c r="H38" s="3056"/>
      <c r="I38" s="3056"/>
      <c r="J38" s="3056"/>
      <c r="K38" s="3056"/>
      <c r="L38" s="3056"/>
      <c r="M38" s="387"/>
      <c r="N38" s="3057" t="str">
        <f>IF(COUNTIF($R$14:$R$38,M38),INDEX($S$14:$S$38,MATCH(M38,$R$14:$R69,0)),"")</f>
        <v/>
      </c>
      <c r="O38" s="3057"/>
      <c r="P38" s="3057"/>
      <c r="Q38" s="388"/>
      <c r="R38" s="390">
        <v>25</v>
      </c>
      <c r="S38" s="390"/>
      <c r="T38" s="169"/>
      <c r="U38" s="169"/>
      <c r="V38" s="169"/>
      <c r="W38" s="169"/>
    </row>
    <row r="39" spans="1:23" ht="12.75" hidden="1" customHeight="1">
      <c r="A39" s="384"/>
      <c r="B39" s="385"/>
      <c r="C39" s="3055"/>
      <c r="D39" s="3055"/>
      <c r="E39" s="395"/>
      <c r="F39" s="396"/>
      <c r="G39" s="1095"/>
      <c r="H39" s="3056"/>
      <c r="I39" s="3056"/>
      <c r="J39" s="3056"/>
      <c r="K39" s="3056"/>
      <c r="L39" s="3056"/>
      <c r="M39" s="387"/>
      <c r="N39" s="3057" t="str">
        <f>IF(COUNTIF($R$14:$R$38,M39),INDEX($S$14:$S$38,MATCH(M39,$R$14:$R70,0)),"")</f>
        <v/>
      </c>
      <c r="O39" s="3057"/>
      <c r="P39" s="3057"/>
      <c r="Q39" s="388"/>
      <c r="R39" s="390"/>
      <c r="S39" s="390"/>
      <c r="T39" s="169"/>
      <c r="U39" s="169"/>
      <c r="V39" s="169"/>
      <c r="W39" s="169"/>
    </row>
    <row r="40" spans="1:23" ht="12.75" hidden="1" customHeight="1">
      <c r="A40" s="384"/>
      <c r="B40" s="385"/>
      <c r="C40" s="3055"/>
      <c r="D40" s="3055"/>
      <c r="E40" s="395"/>
      <c r="F40" s="396"/>
      <c r="G40" s="1095"/>
      <c r="H40" s="3056"/>
      <c r="I40" s="3056"/>
      <c r="J40" s="3056"/>
      <c r="K40" s="3056"/>
      <c r="L40" s="3056"/>
      <c r="M40" s="387"/>
      <c r="N40" s="3057" t="str">
        <f>IF(COUNTIF($R$14:$R$38,M40),INDEX($S$14:$S$38,MATCH(M40,$R$14:$R71,0)),"")</f>
        <v/>
      </c>
      <c r="O40" s="3057"/>
      <c r="P40" s="3057"/>
      <c r="Q40" s="388"/>
      <c r="R40" s="390"/>
      <c r="S40" s="389"/>
      <c r="T40" s="169"/>
      <c r="U40" s="169"/>
      <c r="V40" s="169"/>
      <c r="W40" s="169"/>
    </row>
    <row r="41" spans="1:23" ht="12.75" hidden="1" customHeight="1">
      <c r="A41" s="384"/>
      <c r="B41" s="385"/>
      <c r="C41" s="3055"/>
      <c r="D41" s="3055"/>
      <c r="E41" s="395"/>
      <c r="F41" s="396"/>
      <c r="G41" s="1095"/>
      <c r="H41" s="3056"/>
      <c r="I41" s="3056"/>
      <c r="J41" s="3056"/>
      <c r="K41" s="3056"/>
      <c r="L41" s="3056"/>
      <c r="M41" s="387"/>
      <c r="N41" s="3057" t="str">
        <f>IF(COUNTIF($R$14:$R$38,M41),INDEX($S$14:$S$38,MATCH(M41,$R$14:$R72,0)),"")</f>
        <v/>
      </c>
      <c r="O41" s="3057"/>
      <c r="P41" s="3057"/>
      <c r="Q41" s="388"/>
      <c r="R41" s="390"/>
      <c r="S41" s="389"/>
      <c r="T41" s="169"/>
      <c r="U41" s="169"/>
      <c r="V41" s="169"/>
      <c r="W41" s="169"/>
    </row>
    <row r="42" spans="1:23" ht="12.75" hidden="1" customHeight="1">
      <c r="A42" s="384"/>
      <c r="B42" s="385"/>
      <c r="C42" s="3055"/>
      <c r="D42" s="3055"/>
      <c r="E42" s="395"/>
      <c r="F42" s="396"/>
      <c r="G42" s="1095"/>
      <c r="H42" s="3056"/>
      <c r="I42" s="3056"/>
      <c r="J42" s="3056"/>
      <c r="K42" s="3056"/>
      <c r="L42" s="3056"/>
      <c r="M42" s="387"/>
      <c r="N42" s="3057" t="str">
        <f>IF(COUNTIF($R$14:$R$38,M42),INDEX($S$14:$S$38,MATCH(M42,$R$14:$R73,0)),"")</f>
        <v/>
      </c>
      <c r="O42" s="3057"/>
      <c r="P42" s="3057"/>
      <c r="Q42" s="388"/>
      <c r="R42" s="390"/>
      <c r="S42" s="389"/>
      <c r="T42" s="169"/>
      <c r="U42" s="169"/>
      <c r="V42" s="169"/>
      <c r="W42" s="169"/>
    </row>
    <row r="43" spans="1:23" ht="12.75" hidden="1" customHeight="1">
      <c r="A43" s="384"/>
      <c r="B43" s="385"/>
      <c r="C43" s="3055"/>
      <c r="D43" s="3055"/>
      <c r="E43" s="395"/>
      <c r="F43" s="396"/>
      <c r="G43" s="1095"/>
      <c r="H43" s="3056"/>
      <c r="I43" s="3056"/>
      <c r="J43" s="3056"/>
      <c r="K43" s="3056"/>
      <c r="L43" s="3056"/>
      <c r="M43" s="387"/>
      <c r="N43" s="3057" t="str">
        <f>IF(COUNTIF($R$14:$R$38,M43),INDEX($S$14:$S$38,MATCH(M43,$R$14:$R74,0)),"")</f>
        <v/>
      </c>
      <c r="O43" s="3057"/>
      <c r="P43" s="3057"/>
      <c r="Q43" s="388"/>
      <c r="R43" s="390"/>
      <c r="S43" s="389"/>
      <c r="T43" s="169"/>
      <c r="U43" s="169"/>
      <c r="V43" s="169"/>
      <c r="W43" s="169"/>
    </row>
    <row r="44" spans="1:23" ht="12.75" hidden="1" customHeight="1">
      <c r="A44" s="384"/>
      <c r="B44" s="385"/>
      <c r="C44" s="3055"/>
      <c r="D44" s="3055"/>
      <c r="E44" s="395"/>
      <c r="F44" s="396"/>
      <c r="G44" s="1095"/>
      <c r="H44" s="3056"/>
      <c r="I44" s="3056"/>
      <c r="J44" s="3056"/>
      <c r="K44" s="3056"/>
      <c r="L44" s="3056"/>
      <c r="M44" s="387"/>
      <c r="N44" s="3057" t="str">
        <f>IF(COUNTIF($R$14:$R$38,M44),INDEX($S$14:$S$38,MATCH(M44,$R$14:$R75,0)),"")</f>
        <v/>
      </c>
      <c r="O44" s="3057"/>
      <c r="P44" s="3057"/>
      <c r="Q44" s="388"/>
      <c r="R44" s="390"/>
      <c r="S44" s="389"/>
      <c r="T44" s="169"/>
      <c r="U44" s="169"/>
      <c r="V44" s="169"/>
      <c r="W44" s="169"/>
    </row>
    <row r="45" spans="1:23" ht="12.75" hidden="1" customHeight="1">
      <c r="A45" s="384"/>
      <c r="B45" s="385"/>
      <c r="C45" s="3055"/>
      <c r="D45" s="3055"/>
      <c r="E45" s="395"/>
      <c r="F45" s="396"/>
      <c r="G45" s="1095"/>
      <c r="H45" s="3056"/>
      <c r="I45" s="3056"/>
      <c r="J45" s="3056"/>
      <c r="K45" s="3056"/>
      <c r="L45" s="3056"/>
      <c r="M45" s="387"/>
      <c r="N45" s="3057" t="str">
        <f>IF(COUNTIF($R$14:$R$38,M45),INDEX($S$14:$S$38,MATCH(M45,$R$14:$R76,0)),"")</f>
        <v/>
      </c>
      <c r="O45" s="3057"/>
      <c r="P45" s="3057"/>
      <c r="Q45" s="388"/>
      <c r="R45" s="390"/>
      <c r="S45" s="389"/>
      <c r="T45" s="169"/>
      <c r="U45" s="169"/>
      <c r="V45" s="169"/>
      <c r="W45" s="169"/>
    </row>
    <row r="46" spans="1:23" ht="12.75" hidden="1" customHeight="1">
      <c r="A46" s="384"/>
      <c r="B46" s="385"/>
      <c r="C46" s="3055"/>
      <c r="D46" s="3055"/>
      <c r="E46" s="395"/>
      <c r="F46" s="396"/>
      <c r="G46" s="1095"/>
      <c r="H46" s="3056"/>
      <c r="I46" s="3056"/>
      <c r="J46" s="3056"/>
      <c r="K46" s="3056"/>
      <c r="L46" s="3056"/>
      <c r="M46" s="387"/>
      <c r="N46" s="3057" t="str">
        <f>IF(COUNTIF($R$14:$R$38,M46),INDEX($S$14:$S$38,MATCH(M46,$R$14:$R77,0)),"")</f>
        <v/>
      </c>
      <c r="O46" s="3057"/>
      <c r="P46" s="3057"/>
      <c r="Q46" s="388"/>
      <c r="R46" s="390"/>
      <c r="S46" s="389"/>
      <c r="T46" s="169"/>
      <c r="U46" s="169"/>
      <c r="V46" s="169"/>
      <c r="W46" s="169"/>
    </row>
    <row r="47" spans="1:23" ht="12.75" hidden="1" customHeight="1">
      <c r="A47" s="384"/>
      <c r="B47" s="385"/>
      <c r="C47" s="3055"/>
      <c r="D47" s="3055"/>
      <c r="E47" s="395"/>
      <c r="F47" s="396"/>
      <c r="G47" s="1095"/>
      <c r="H47" s="3056"/>
      <c r="I47" s="3056"/>
      <c r="J47" s="3056"/>
      <c r="K47" s="3056"/>
      <c r="L47" s="3056"/>
      <c r="M47" s="387"/>
      <c r="N47" s="3057" t="str">
        <f>IF(COUNTIF($R$14:$R$38,M47),INDEX($S$14:$S$38,MATCH(M47,$R$14:$R78,0)),"")</f>
        <v/>
      </c>
      <c r="O47" s="3057"/>
      <c r="P47" s="3057"/>
      <c r="Q47" s="388"/>
      <c r="R47" s="390"/>
      <c r="S47" s="389"/>
      <c r="T47" s="169"/>
      <c r="U47" s="169"/>
      <c r="V47" s="169"/>
      <c r="W47" s="169"/>
    </row>
    <row r="48" spans="1:23" ht="12.75" hidden="1" customHeight="1">
      <c r="A48" s="384"/>
      <c r="B48" s="385"/>
      <c r="C48" s="3055"/>
      <c r="D48" s="3055"/>
      <c r="E48" s="395"/>
      <c r="F48" s="396"/>
      <c r="G48" s="1095"/>
      <c r="H48" s="3056"/>
      <c r="I48" s="3056"/>
      <c r="J48" s="3056"/>
      <c r="K48" s="3056"/>
      <c r="L48" s="3056"/>
      <c r="M48" s="387"/>
      <c r="N48" s="3057" t="str">
        <f>IF(COUNTIF($R$14:$R$38,M48),INDEX($S$14:$S$38,MATCH(M48,$R$14:$R79,0)),"")</f>
        <v/>
      </c>
      <c r="O48" s="3057"/>
      <c r="P48" s="3057"/>
      <c r="Q48" s="388"/>
      <c r="R48" s="390"/>
      <c r="S48" s="389"/>
      <c r="T48" s="169"/>
      <c r="U48" s="169"/>
      <c r="V48" s="169"/>
      <c r="W48" s="169"/>
    </row>
    <row r="49" spans="1:23" ht="12.75" hidden="1" customHeight="1">
      <c r="A49" s="384"/>
      <c r="B49" s="385"/>
      <c r="C49" s="3055"/>
      <c r="D49" s="3055"/>
      <c r="E49" s="395"/>
      <c r="F49" s="396"/>
      <c r="G49" s="1095"/>
      <c r="H49" s="3056"/>
      <c r="I49" s="3056"/>
      <c r="J49" s="3056"/>
      <c r="K49" s="3056"/>
      <c r="L49" s="3056"/>
      <c r="M49" s="387"/>
      <c r="N49" s="3057" t="str">
        <f>IF(COUNTIF($R$14:$R$38,M49),INDEX($S$14:$S$38,MATCH(M49,$R$14:$R80,0)),"")</f>
        <v/>
      </c>
      <c r="O49" s="3057"/>
      <c r="P49" s="3057"/>
      <c r="Q49" s="388"/>
      <c r="R49" s="390"/>
      <c r="S49" s="389"/>
      <c r="T49" s="169"/>
      <c r="U49" s="169"/>
      <c r="V49" s="169"/>
      <c r="W49" s="169"/>
    </row>
    <row r="50" spans="1:23" ht="12.75" hidden="1" customHeight="1">
      <c r="A50" s="384"/>
      <c r="B50" s="385"/>
      <c r="C50" s="3055"/>
      <c r="D50" s="3055"/>
      <c r="E50" s="395"/>
      <c r="F50" s="396"/>
      <c r="G50" s="1095"/>
      <c r="H50" s="3056"/>
      <c r="I50" s="3056"/>
      <c r="J50" s="3056"/>
      <c r="K50" s="3056"/>
      <c r="L50" s="3056"/>
      <c r="M50" s="387"/>
      <c r="N50" s="3057" t="str">
        <f>IF(COUNTIF($R$14:$R$38,M50),INDEX($S$14:$S$38,MATCH(M50,$R$14:$R81,0)),"")</f>
        <v/>
      </c>
      <c r="O50" s="3057"/>
      <c r="P50" s="3057"/>
      <c r="Q50" s="388"/>
      <c r="R50" s="390"/>
      <c r="S50" s="389"/>
      <c r="T50" s="169"/>
      <c r="U50" s="169"/>
      <c r="V50" s="169"/>
      <c r="W50" s="169"/>
    </row>
    <row r="51" spans="1:23" ht="12.75" hidden="1" customHeight="1">
      <c r="A51" s="384"/>
      <c r="B51" s="385"/>
      <c r="C51" s="3055"/>
      <c r="D51" s="3055"/>
      <c r="E51" s="395"/>
      <c r="F51" s="396"/>
      <c r="G51" s="1095"/>
      <c r="H51" s="3056"/>
      <c r="I51" s="3056"/>
      <c r="J51" s="3056"/>
      <c r="K51" s="3056"/>
      <c r="L51" s="3056"/>
      <c r="M51" s="387"/>
      <c r="N51" s="3057" t="str">
        <f>IF(COUNTIF($R$14:$R$38,M51),INDEX($S$14:$S$38,MATCH(M51,$R$14:$R82,0)),"")</f>
        <v/>
      </c>
      <c r="O51" s="3057"/>
      <c r="P51" s="3057"/>
      <c r="Q51" s="388"/>
      <c r="R51" s="390"/>
      <c r="S51" s="389"/>
      <c r="T51" s="169"/>
      <c r="U51" s="169"/>
      <c r="V51" s="169"/>
      <c r="W51" s="169"/>
    </row>
    <row r="52" spans="1:23" ht="12.75" hidden="1" customHeight="1">
      <c r="A52" s="384"/>
      <c r="B52" s="385"/>
      <c r="C52" s="3055"/>
      <c r="D52" s="3055"/>
      <c r="E52" s="395"/>
      <c r="F52" s="396"/>
      <c r="G52" s="1095"/>
      <c r="H52" s="3056"/>
      <c r="I52" s="3056"/>
      <c r="J52" s="3056"/>
      <c r="K52" s="3056"/>
      <c r="L52" s="3056"/>
      <c r="M52" s="387"/>
      <c r="N52" s="3057" t="str">
        <f>IF(COUNTIF($R$14:$R$38,M52),INDEX($S$14:$S$38,MATCH(M52,$R$14:$R83,0)),"")</f>
        <v/>
      </c>
      <c r="O52" s="3057"/>
      <c r="P52" s="3057"/>
      <c r="Q52" s="388"/>
      <c r="R52" s="390"/>
      <c r="S52" s="389"/>
      <c r="T52" s="169"/>
      <c r="U52" s="169"/>
      <c r="V52" s="169"/>
      <c r="W52" s="169"/>
    </row>
    <row r="53" spans="1:23" ht="12.75" hidden="1" customHeight="1">
      <c r="A53" s="384"/>
      <c r="B53" s="385"/>
      <c r="C53" s="3055"/>
      <c r="D53" s="3055"/>
      <c r="E53" s="395"/>
      <c r="F53" s="396"/>
      <c r="G53" s="1095"/>
      <c r="H53" s="3056"/>
      <c r="I53" s="3056"/>
      <c r="J53" s="3056"/>
      <c r="K53" s="3056"/>
      <c r="L53" s="3056"/>
      <c r="M53" s="387"/>
      <c r="N53" s="3057" t="str">
        <f>IF(COUNTIF($R$14:$R$38,M53),INDEX($S$14:$S$38,MATCH(M53,$R$14:$R84,0)),"")</f>
        <v/>
      </c>
      <c r="O53" s="3057"/>
      <c r="P53" s="3057"/>
      <c r="Q53" s="388"/>
      <c r="R53" s="390"/>
      <c r="S53" s="389"/>
      <c r="T53" s="169"/>
      <c r="U53" s="169"/>
      <c r="V53" s="169"/>
      <c r="W53" s="169"/>
    </row>
    <row r="54" spans="1:23" ht="12.75" hidden="1" customHeight="1">
      <c r="A54" s="384"/>
      <c r="B54" s="385"/>
      <c r="C54" s="3055"/>
      <c r="D54" s="3055"/>
      <c r="E54" s="395"/>
      <c r="F54" s="396"/>
      <c r="G54" s="1095"/>
      <c r="H54" s="3056"/>
      <c r="I54" s="3056"/>
      <c r="J54" s="3056"/>
      <c r="K54" s="3056"/>
      <c r="L54" s="3056"/>
      <c r="M54" s="387"/>
      <c r="N54" s="3057" t="str">
        <f>IF(COUNTIF($R$14:$R$38,M54),INDEX($S$14:$S$38,MATCH(M54,$R$14:$R85,0)),"")</f>
        <v/>
      </c>
      <c r="O54" s="3057"/>
      <c r="P54" s="3057"/>
      <c r="Q54" s="388"/>
      <c r="R54" s="390"/>
      <c r="S54" s="389"/>
      <c r="T54" s="169"/>
      <c r="U54" s="169"/>
      <c r="V54" s="169"/>
      <c r="W54" s="169"/>
    </row>
    <row r="55" spans="1:23" ht="12.75" hidden="1" customHeight="1">
      <c r="A55" s="384"/>
      <c r="B55" s="385"/>
      <c r="C55" s="3055"/>
      <c r="D55" s="3055"/>
      <c r="E55" s="395"/>
      <c r="F55" s="396"/>
      <c r="G55" s="1095"/>
      <c r="H55" s="3056"/>
      <c r="I55" s="3056"/>
      <c r="J55" s="3056"/>
      <c r="K55" s="3056"/>
      <c r="L55" s="3056"/>
      <c r="M55" s="387"/>
      <c r="N55" s="3057" t="str">
        <f>IF(COUNTIF($R$14:$R$38,M55),INDEX($S$14:$S$38,MATCH(M55,$R$14:$R86,0)),"")</f>
        <v/>
      </c>
      <c r="O55" s="3057"/>
      <c r="P55" s="3057"/>
      <c r="Q55" s="388"/>
      <c r="R55" s="390"/>
      <c r="S55" s="389"/>
      <c r="T55" s="169"/>
      <c r="U55" s="169"/>
      <c r="V55" s="169"/>
      <c r="W55" s="169"/>
    </row>
    <row r="56" spans="1:23" ht="12.75" hidden="1" customHeight="1">
      <c r="A56" s="384"/>
      <c r="B56" s="385"/>
      <c r="C56" s="3055"/>
      <c r="D56" s="3055"/>
      <c r="E56" s="395"/>
      <c r="F56" s="396"/>
      <c r="G56" s="1095"/>
      <c r="H56" s="3056"/>
      <c r="I56" s="3056"/>
      <c r="J56" s="3056"/>
      <c r="K56" s="3056"/>
      <c r="L56" s="3056"/>
      <c r="M56" s="387"/>
      <c r="N56" s="3057" t="str">
        <f>IF(COUNTIF($R$14:$R$38,M56),INDEX($S$14:$S$38,MATCH(M56,$R$14:$R87,0)),"")</f>
        <v/>
      </c>
      <c r="O56" s="3057"/>
      <c r="P56" s="3057"/>
      <c r="Q56" s="388"/>
      <c r="R56" s="390"/>
      <c r="S56" s="389"/>
      <c r="T56" s="169"/>
      <c r="U56" s="169"/>
      <c r="V56" s="169"/>
      <c r="W56" s="169"/>
    </row>
    <row r="57" spans="1:23" ht="12.75" hidden="1" customHeight="1">
      <c r="A57" s="384"/>
      <c r="B57" s="385"/>
      <c r="C57" s="3055"/>
      <c r="D57" s="3055"/>
      <c r="E57" s="395"/>
      <c r="F57" s="396"/>
      <c r="G57" s="1095"/>
      <c r="H57" s="3056"/>
      <c r="I57" s="3056"/>
      <c r="J57" s="3056"/>
      <c r="K57" s="3056"/>
      <c r="L57" s="3056"/>
      <c r="M57" s="387"/>
      <c r="N57" s="3057" t="str">
        <f>IF(COUNTIF($R$14:$R$38,M57),INDEX($S$14:$S$38,MATCH(M57,$R$14:$R88,0)),"")</f>
        <v/>
      </c>
      <c r="O57" s="3057"/>
      <c r="P57" s="3057"/>
      <c r="Q57" s="388"/>
      <c r="R57" s="390"/>
      <c r="S57" s="389"/>
      <c r="T57" s="169"/>
      <c r="U57" s="169"/>
      <c r="V57" s="169"/>
      <c r="W57" s="169"/>
    </row>
    <row r="58" spans="1:23" ht="12.75" hidden="1" customHeight="1">
      <c r="A58" s="384"/>
      <c r="B58" s="385"/>
      <c r="C58" s="3055"/>
      <c r="D58" s="3055"/>
      <c r="E58" s="395"/>
      <c r="F58" s="396"/>
      <c r="G58" s="1095"/>
      <c r="H58" s="3056"/>
      <c r="I58" s="3056"/>
      <c r="J58" s="3056"/>
      <c r="K58" s="3056"/>
      <c r="L58" s="3056"/>
      <c r="M58" s="387"/>
      <c r="N58" s="3057" t="str">
        <f>IF(COUNTIF($R$14:$R$38,M58),INDEX($S$14:$S$38,MATCH(M58,$R$14:$R89,0)),"")</f>
        <v/>
      </c>
      <c r="O58" s="3057"/>
      <c r="P58" s="3057"/>
      <c r="Q58" s="388"/>
      <c r="R58" s="390"/>
      <c r="S58" s="389"/>
      <c r="T58" s="169"/>
      <c r="U58" s="169"/>
      <c r="V58" s="169"/>
      <c r="W58" s="169"/>
    </row>
    <row r="59" spans="1:23" ht="12.75" hidden="1" customHeight="1">
      <c r="A59" s="384"/>
      <c r="B59" s="385"/>
      <c r="C59" s="3055"/>
      <c r="D59" s="3055"/>
      <c r="E59" s="395"/>
      <c r="F59" s="396"/>
      <c r="G59" s="1095"/>
      <c r="H59" s="3056"/>
      <c r="I59" s="3056"/>
      <c r="J59" s="3056"/>
      <c r="K59" s="3056"/>
      <c r="L59" s="3056"/>
      <c r="M59" s="387"/>
      <c r="N59" s="3057" t="str">
        <f>IF(COUNTIF($R$14:$R$38,M59),INDEX($S$14:$S$38,MATCH(M59,$R$14:$R90,0)),"")</f>
        <v/>
      </c>
      <c r="O59" s="3057"/>
      <c r="P59" s="3057"/>
      <c r="Q59" s="388"/>
      <c r="R59" s="390"/>
      <c r="S59" s="389"/>
      <c r="T59" s="169"/>
      <c r="U59" s="169"/>
      <c r="V59" s="169"/>
      <c r="W59" s="169"/>
    </row>
    <row r="60" spans="1:23" ht="12.75" hidden="1" customHeight="1">
      <c r="A60" s="384"/>
      <c r="B60" s="385"/>
      <c r="C60" s="3055"/>
      <c r="D60" s="3055"/>
      <c r="E60" s="395"/>
      <c r="F60" s="396"/>
      <c r="G60" s="1095"/>
      <c r="H60" s="3056"/>
      <c r="I60" s="3056"/>
      <c r="J60" s="3056"/>
      <c r="K60" s="3056"/>
      <c r="L60" s="3056"/>
      <c r="M60" s="387"/>
      <c r="N60" s="3057" t="str">
        <f>IF(COUNTIF($R$14:$R$38,M60),INDEX($S$14:$S$38,MATCH(M60,$R$14:$R91,0)),"")</f>
        <v/>
      </c>
      <c r="O60" s="3057"/>
      <c r="P60" s="3057"/>
      <c r="Q60" s="388"/>
      <c r="R60" s="390"/>
      <c r="S60" s="389"/>
      <c r="T60" s="169"/>
      <c r="U60" s="169"/>
      <c r="V60" s="169"/>
      <c r="W60" s="169"/>
    </row>
    <row r="61" spans="1:23" ht="12.75" hidden="1" customHeight="1">
      <c r="A61" s="384"/>
      <c r="B61" s="385"/>
      <c r="C61" s="3055"/>
      <c r="D61" s="3055"/>
      <c r="E61" s="395"/>
      <c r="F61" s="396"/>
      <c r="G61" s="1095"/>
      <c r="H61" s="3056"/>
      <c r="I61" s="3056"/>
      <c r="J61" s="3056"/>
      <c r="K61" s="3056"/>
      <c r="L61" s="3056"/>
      <c r="M61" s="387"/>
      <c r="N61" s="3057" t="str">
        <f>IF(COUNTIF($R$14:$R$38,M61),INDEX($S$14:$S$38,MATCH(M61,$R$14:$R92,0)),"")</f>
        <v/>
      </c>
      <c r="O61" s="3057"/>
      <c r="P61" s="3057"/>
      <c r="Q61" s="388"/>
      <c r="R61" s="390"/>
      <c r="S61" s="389"/>
      <c r="T61" s="169"/>
      <c r="U61" s="169"/>
      <c r="V61" s="169"/>
      <c r="W61" s="169"/>
    </row>
    <row r="62" spans="1:23" ht="12.75" hidden="1" customHeight="1">
      <c r="A62" s="384"/>
      <c r="B62" s="385"/>
      <c r="C62" s="3055"/>
      <c r="D62" s="3055"/>
      <c r="E62" s="395"/>
      <c r="F62" s="396"/>
      <c r="G62" s="1095"/>
      <c r="H62" s="3056"/>
      <c r="I62" s="3056"/>
      <c r="J62" s="3056"/>
      <c r="K62" s="3056"/>
      <c r="L62" s="3056"/>
      <c r="M62" s="387"/>
      <c r="N62" s="3057" t="str">
        <f>IF(COUNTIF($R$14:$R$38,M62),INDEX($S$14:$S$38,MATCH(M62,$R$14:$R93,0)),"")</f>
        <v/>
      </c>
      <c r="O62" s="3057"/>
      <c r="P62" s="3057"/>
      <c r="Q62" s="388"/>
      <c r="R62" s="390"/>
      <c r="S62" s="389"/>
      <c r="T62" s="169"/>
      <c r="U62" s="169"/>
      <c r="V62" s="169"/>
      <c r="W62" s="169"/>
    </row>
    <row r="63" spans="1:23" ht="12.75" hidden="1" customHeight="1">
      <c r="A63" s="384"/>
      <c r="B63" s="385"/>
      <c r="C63" s="3055"/>
      <c r="D63" s="3055"/>
      <c r="E63" s="395"/>
      <c r="F63" s="396"/>
      <c r="G63" s="1095"/>
      <c r="H63" s="3056"/>
      <c r="I63" s="3056"/>
      <c r="J63" s="3056"/>
      <c r="K63" s="3056"/>
      <c r="L63" s="3056"/>
      <c r="M63" s="387"/>
      <c r="N63" s="3057" t="str">
        <f>IF(COUNTIF($R$14:$R$38,M63),INDEX($S$14:$S$38,MATCH(M63,$R$14:$R94,0)),"")</f>
        <v/>
      </c>
      <c r="O63" s="3057"/>
      <c r="P63" s="3057"/>
      <c r="Q63" s="388"/>
      <c r="R63" s="390"/>
      <c r="S63" s="389"/>
      <c r="T63" s="169"/>
      <c r="U63" s="169"/>
      <c r="V63" s="169"/>
      <c r="W63" s="169"/>
    </row>
    <row r="64" spans="1:23" ht="12.75" hidden="1" customHeight="1">
      <c r="A64" s="384"/>
      <c r="B64" s="385"/>
      <c r="C64" s="3055"/>
      <c r="D64" s="3055"/>
      <c r="E64" s="395"/>
      <c r="F64" s="396"/>
      <c r="G64" s="1095"/>
      <c r="H64" s="3056"/>
      <c r="I64" s="3056"/>
      <c r="J64" s="3056"/>
      <c r="K64" s="3056"/>
      <c r="L64" s="3056"/>
      <c r="M64" s="387"/>
      <c r="N64" s="3057" t="str">
        <f>IF(COUNTIF($R$14:$R$38,M64),INDEX($S$14:$S$38,MATCH(M64,$R$14:$R95,0)),"")</f>
        <v/>
      </c>
      <c r="O64" s="3057"/>
      <c r="P64" s="3057"/>
      <c r="Q64" s="388"/>
      <c r="R64" s="390"/>
      <c r="S64" s="389"/>
      <c r="T64" s="169"/>
      <c r="U64" s="169"/>
      <c r="V64" s="169"/>
      <c r="W64" s="169"/>
    </row>
    <row r="65" spans="1:23" ht="12.75" hidden="1" customHeight="1">
      <c r="A65" s="384"/>
      <c r="B65" s="385"/>
      <c r="C65" s="3055"/>
      <c r="D65" s="3055"/>
      <c r="E65" s="395"/>
      <c r="F65" s="396"/>
      <c r="G65" s="1095"/>
      <c r="H65" s="3056"/>
      <c r="I65" s="3056"/>
      <c r="J65" s="3056"/>
      <c r="K65" s="3056"/>
      <c r="L65" s="3056"/>
      <c r="M65" s="387"/>
      <c r="N65" s="3057" t="str">
        <f>IF(COUNTIF($R$14:$R$38,M65),INDEX($S$14:$S$38,MATCH(M65,$R$14:$R96,0)),"")</f>
        <v/>
      </c>
      <c r="O65" s="3057"/>
      <c r="P65" s="3057"/>
      <c r="Q65" s="388"/>
      <c r="R65" s="390"/>
      <c r="S65" s="389"/>
      <c r="T65" s="169"/>
      <c r="U65" s="169"/>
      <c r="V65" s="169"/>
      <c r="W65" s="169"/>
    </row>
    <row r="66" spans="1:23" ht="12.75" hidden="1" customHeight="1">
      <c r="A66" s="384"/>
      <c r="B66" s="385"/>
      <c r="C66" s="3055"/>
      <c r="D66" s="3055"/>
      <c r="E66" s="395"/>
      <c r="F66" s="396"/>
      <c r="G66" s="1095"/>
      <c r="H66" s="3056"/>
      <c r="I66" s="3056"/>
      <c r="J66" s="3056"/>
      <c r="K66" s="3056"/>
      <c r="L66" s="3056"/>
      <c r="M66" s="387"/>
      <c r="N66" s="3057" t="str">
        <f>IF(COUNTIF($R$14:$R$38,M66),INDEX($S$14:$S$38,MATCH(M66,$R$14:$R97,0)),"")</f>
        <v/>
      </c>
      <c r="O66" s="3057"/>
      <c r="P66" s="3057"/>
      <c r="Q66" s="388"/>
      <c r="R66" s="390"/>
      <c r="S66" s="389"/>
      <c r="T66" s="169"/>
      <c r="U66" s="169"/>
      <c r="V66" s="169"/>
      <c r="W66" s="169"/>
    </row>
    <row r="67" spans="1:23" ht="12.75" hidden="1" customHeight="1">
      <c r="A67" s="384"/>
      <c r="B67" s="385"/>
      <c r="C67" s="3055"/>
      <c r="D67" s="3055"/>
      <c r="E67" s="395"/>
      <c r="F67" s="396"/>
      <c r="G67" s="1095"/>
      <c r="H67" s="3056"/>
      <c r="I67" s="3056"/>
      <c r="J67" s="3056"/>
      <c r="K67" s="3056"/>
      <c r="L67" s="3056"/>
      <c r="M67" s="387"/>
      <c r="N67" s="3057" t="str">
        <f>IF(COUNTIF($R$14:$R$38,M67),INDEX($S$14:$S$38,MATCH(M67,$R$14:$R98,0)),"")</f>
        <v/>
      </c>
      <c r="O67" s="3057"/>
      <c r="P67" s="3057"/>
      <c r="Q67" s="388"/>
      <c r="R67" s="390"/>
      <c r="S67" s="389"/>
      <c r="T67" s="169"/>
      <c r="U67" s="169"/>
      <c r="V67" s="169"/>
      <c r="W67" s="169"/>
    </row>
    <row r="68" spans="1:23" ht="12.75" hidden="1" customHeight="1">
      <c r="A68" s="384"/>
      <c r="B68" s="385"/>
      <c r="C68" s="3055"/>
      <c r="D68" s="3055"/>
      <c r="E68" s="395"/>
      <c r="F68" s="396"/>
      <c r="G68" s="1095"/>
      <c r="H68" s="3056"/>
      <c r="I68" s="3056"/>
      <c r="J68" s="3056"/>
      <c r="K68" s="3056"/>
      <c r="L68" s="3056"/>
      <c r="M68" s="387"/>
      <c r="N68" s="3057" t="str">
        <f>IF(COUNTIF($R$14:$R$38,M68),INDEX($S$14:$S$38,MATCH(M68,$R$14:$R99,0)),"")</f>
        <v/>
      </c>
      <c r="O68" s="3057"/>
      <c r="P68" s="3057"/>
      <c r="Q68" s="388"/>
      <c r="R68" s="390"/>
      <c r="S68" s="389"/>
      <c r="T68" s="169"/>
      <c r="U68" s="169"/>
      <c r="V68" s="169"/>
      <c r="W68" s="169"/>
    </row>
    <row r="69" spans="1:23" ht="12.75" hidden="1" customHeight="1">
      <c r="A69" s="384"/>
      <c r="B69" s="385"/>
      <c r="C69" s="3055"/>
      <c r="D69" s="3055"/>
      <c r="E69" s="395"/>
      <c r="F69" s="396"/>
      <c r="G69" s="1095"/>
      <c r="H69" s="3056"/>
      <c r="I69" s="3056"/>
      <c r="J69" s="3056"/>
      <c r="K69" s="3056"/>
      <c r="L69" s="3056"/>
      <c r="M69" s="387"/>
      <c r="N69" s="3057" t="str">
        <f>IF(COUNTIF($R$14:$R$38,M69),INDEX($S$14:$S$38,MATCH(M69,$R$14:$R100,0)),"")</f>
        <v/>
      </c>
      <c r="O69" s="3057"/>
      <c r="P69" s="3057"/>
      <c r="Q69" s="388"/>
      <c r="R69" s="390"/>
      <c r="S69" s="389"/>
      <c r="T69" s="169"/>
      <c r="U69" s="169"/>
      <c r="V69" s="169"/>
      <c r="W69" s="169"/>
    </row>
    <row r="70" spans="1:23" ht="12.75" hidden="1" customHeight="1">
      <c r="A70" s="384"/>
      <c r="B70" s="385"/>
      <c r="C70" s="3055"/>
      <c r="D70" s="3055"/>
      <c r="E70" s="395"/>
      <c r="F70" s="396"/>
      <c r="G70" s="1095"/>
      <c r="H70" s="3056"/>
      <c r="I70" s="3056"/>
      <c r="J70" s="3056"/>
      <c r="K70" s="3056"/>
      <c r="L70" s="3056"/>
      <c r="M70" s="387"/>
      <c r="N70" s="3057" t="str">
        <f>IF(COUNTIF($R$14:$R$38,M70),INDEX($S$14:$S$38,MATCH(M70,$R$14:$R101,0)),"")</f>
        <v/>
      </c>
      <c r="O70" s="3057"/>
      <c r="P70" s="3057"/>
      <c r="Q70" s="388"/>
      <c r="R70" s="390"/>
      <c r="S70" s="389"/>
      <c r="T70" s="169"/>
      <c r="U70" s="169"/>
      <c r="V70" s="169"/>
      <c r="W70" s="169"/>
    </row>
    <row r="71" spans="1:23" ht="12.75" hidden="1" customHeight="1">
      <c r="A71" s="384"/>
      <c r="B71" s="385"/>
      <c r="C71" s="3055"/>
      <c r="D71" s="3055"/>
      <c r="E71" s="395"/>
      <c r="F71" s="396"/>
      <c r="G71" s="1095"/>
      <c r="H71" s="3056"/>
      <c r="I71" s="3056"/>
      <c r="J71" s="3056"/>
      <c r="K71" s="3056"/>
      <c r="L71" s="3056"/>
      <c r="M71" s="387"/>
      <c r="N71" s="3057" t="str">
        <f>IF(COUNTIF($R$14:$R$38,M71),INDEX($S$14:$S$38,MATCH(M71,$R$14:$R102,0)),"")</f>
        <v/>
      </c>
      <c r="O71" s="3057"/>
      <c r="P71" s="3057"/>
      <c r="Q71" s="388"/>
      <c r="R71" s="390"/>
      <c r="S71" s="389"/>
      <c r="T71" s="169"/>
      <c r="U71" s="169"/>
      <c r="V71" s="169"/>
      <c r="W71" s="169"/>
    </row>
    <row r="72" spans="1:23" ht="12.75" hidden="1" customHeight="1">
      <c r="A72" s="384"/>
      <c r="B72" s="385"/>
      <c r="C72" s="3055"/>
      <c r="D72" s="3055"/>
      <c r="E72" s="395"/>
      <c r="F72" s="396"/>
      <c r="G72" s="1095"/>
      <c r="H72" s="3056"/>
      <c r="I72" s="3056"/>
      <c r="J72" s="3056"/>
      <c r="K72" s="3056"/>
      <c r="L72" s="3056"/>
      <c r="M72" s="387"/>
      <c r="N72" s="3057" t="str">
        <f>IF(COUNTIF($R$14:$R$38,M72),INDEX($S$14:$S$38,MATCH(M72,$R$14:$R103,0)),"")</f>
        <v/>
      </c>
      <c r="O72" s="3057"/>
      <c r="P72" s="3057"/>
      <c r="Q72" s="388"/>
      <c r="R72" s="390"/>
      <c r="S72" s="389"/>
      <c r="T72" s="169"/>
      <c r="U72" s="169"/>
      <c r="V72" s="169"/>
      <c r="W72" s="169"/>
    </row>
    <row r="73" spans="1:23" ht="12.75" hidden="1" customHeight="1">
      <c r="A73" s="384"/>
      <c r="B73" s="385"/>
      <c r="C73" s="3055"/>
      <c r="D73" s="3055"/>
      <c r="E73" s="395"/>
      <c r="F73" s="396"/>
      <c r="G73" s="1095"/>
      <c r="H73" s="3056"/>
      <c r="I73" s="3056"/>
      <c r="J73" s="3056"/>
      <c r="K73" s="3056"/>
      <c r="L73" s="3056"/>
      <c r="M73" s="387"/>
      <c r="N73" s="3057" t="str">
        <f>IF(COUNTIF($R$14:$R$38,M73),INDEX($S$14:$S$38,MATCH(M73,$R$14:$R104,0)),"")</f>
        <v/>
      </c>
      <c r="O73" s="3057"/>
      <c r="P73" s="3057"/>
      <c r="Q73" s="388"/>
      <c r="R73" s="390"/>
      <c r="S73" s="389"/>
      <c r="T73" s="169"/>
      <c r="U73" s="169"/>
      <c r="V73" s="169"/>
      <c r="W73" s="169"/>
    </row>
    <row r="74" spans="1:23" ht="12.75" hidden="1" customHeight="1">
      <c r="A74" s="384"/>
      <c r="B74" s="385"/>
      <c r="C74" s="3055"/>
      <c r="D74" s="3055"/>
      <c r="E74" s="395"/>
      <c r="F74" s="396"/>
      <c r="G74" s="1095"/>
      <c r="H74" s="3056"/>
      <c r="I74" s="3056"/>
      <c r="J74" s="3056"/>
      <c r="K74" s="3056"/>
      <c r="L74" s="3056"/>
      <c r="M74" s="387"/>
      <c r="N74" s="3057" t="str">
        <f>IF(COUNTIF($R$14:$R$38,M74),INDEX($S$14:$S$38,MATCH(M74,$R$14:$R105,0)),"")</f>
        <v/>
      </c>
      <c r="O74" s="3057"/>
      <c r="P74" s="3057"/>
      <c r="Q74" s="388"/>
      <c r="R74" s="390"/>
      <c r="S74" s="389"/>
      <c r="T74" s="169"/>
      <c r="U74" s="169"/>
      <c r="V74" s="169"/>
      <c r="W74" s="169"/>
    </row>
    <row r="75" spans="1:23" ht="12.75" hidden="1" customHeight="1">
      <c r="A75" s="384"/>
      <c r="B75" s="385"/>
      <c r="C75" s="3055"/>
      <c r="D75" s="3055"/>
      <c r="E75" s="395"/>
      <c r="F75" s="396"/>
      <c r="G75" s="1095"/>
      <c r="H75" s="3056"/>
      <c r="I75" s="3056"/>
      <c r="J75" s="3056"/>
      <c r="K75" s="3056"/>
      <c r="L75" s="3056"/>
      <c r="M75" s="387"/>
      <c r="N75" s="3057" t="str">
        <f>IF(COUNTIF($R$14:$R$38,M75),INDEX($S$14:$S$38,MATCH(M75,$R$14:$R106,0)),"")</f>
        <v/>
      </c>
      <c r="O75" s="3057"/>
      <c r="P75" s="3057"/>
      <c r="Q75" s="388"/>
      <c r="R75" s="390"/>
      <c r="S75" s="389"/>
      <c r="T75" s="169"/>
      <c r="U75" s="169"/>
      <c r="V75" s="169"/>
      <c r="W75" s="169"/>
    </row>
    <row r="76" spans="1:23" ht="12.75" hidden="1" customHeight="1">
      <c r="A76" s="384"/>
      <c r="B76" s="385"/>
      <c r="C76" s="3055"/>
      <c r="D76" s="3055"/>
      <c r="E76" s="395"/>
      <c r="F76" s="396"/>
      <c r="G76" s="1095"/>
      <c r="H76" s="3056"/>
      <c r="I76" s="3056"/>
      <c r="J76" s="3056"/>
      <c r="K76" s="3056"/>
      <c r="L76" s="3056"/>
      <c r="M76" s="387"/>
      <c r="N76" s="3057" t="str">
        <f>IF(COUNTIF($R$14:$R$38,M76),INDEX($S$14:$S$38,MATCH(M76,$R$14:$R107,0)),"")</f>
        <v/>
      </c>
      <c r="O76" s="3057"/>
      <c r="P76" s="3057"/>
      <c r="Q76" s="388"/>
      <c r="R76" s="390"/>
      <c r="S76" s="389"/>
      <c r="T76" s="169"/>
      <c r="U76" s="169"/>
      <c r="V76" s="169"/>
      <c r="W76" s="169"/>
    </row>
    <row r="77" spans="1:23" ht="12.75" hidden="1" customHeight="1">
      <c r="A77" s="384"/>
      <c r="B77" s="385"/>
      <c r="C77" s="3055"/>
      <c r="D77" s="3055"/>
      <c r="E77" s="395"/>
      <c r="F77" s="396"/>
      <c r="G77" s="1095"/>
      <c r="H77" s="3056"/>
      <c r="I77" s="3056"/>
      <c r="J77" s="3056"/>
      <c r="K77" s="3056"/>
      <c r="L77" s="3056"/>
      <c r="M77" s="387"/>
      <c r="N77" s="3057" t="str">
        <f>IF(COUNTIF($R$14:$R$38,M77),INDEX($S$14:$S$38,MATCH(M77,$R$14:$R108,0)),"")</f>
        <v/>
      </c>
      <c r="O77" s="3057"/>
      <c r="P77" s="3057"/>
      <c r="Q77" s="388"/>
      <c r="R77" s="390"/>
      <c r="S77" s="389"/>
      <c r="T77" s="169"/>
      <c r="U77" s="169"/>
      <c r="V77" s="169"/>
      <c r="W77" s="169"/>
    </row>
    <row r="78" spans="1:23" ht="12.75" hidden="1" customHeight="1">
      <c r="A78" s="384"/>
      <c r="B78" s="385"/>
      <c r="C78" s="3055"/>
      <c r="D78" s="3055"/>
      <c r="E78" s="395"/>
      <c r="F78" s="396"/>
      <c r="G78" s="1095"/>
      <c r="H78" s="3056"/>
      <c r="I78" s="3056"/>
      <c r="J78" s="3056"/>
      <c r="K78" s="3056"/>
      <c r="L78" s="3056"/>
      <c r="M78" s="387"/>
      <c r="N78" s="3057" t="str">
        <f>IF(COUNTIF($R$14:$R$38,M78),INDEX($S$14:$S$38,MATCH(M78,$R$14:$R109,0)),"")</f>
        <v/>
      </c>
      <c r="O78" s="3057"/>
      <c r="P78" s="3057"/>
      <c r="Q78" s="388"/>
      <c r="R78" s="390"/>
      <c r="S78" s="389"/>
      <c r="T78" s="169"/>
      <c r="U78" s="169"/>
      <c r="V78" s="169"/>
      <c r="W78" s="169"/>
    </row>
    <row r="79" spans="1:23" ht="12.75" hidden="1" customHeight="1">
      <c r="A79" s="384"/>
      <c r="B79" s="385"/>
      <c r="C79" s="3055"/>
      <c r="D79" s="3055"/>
      <c r="E79" s="395"/>
      <c r="F79" s="396"/>
      <c r="G79" s="1095"/>
      <c r="H79" s="3056"/>
      <c r="I79" s="3056"/>
      <c r="J79" s="3056"/>
      <c r="K79" s="3056"/>
      <c r="L79" s="3056"/>
      <c r="M79" s="387"/>
      <c r="N79" s="3057" t="str">
        <f>IF(COUNTIF($R$14:$R$38,M79),INDEX($S$14:$S$38,MATCH(M79,$R$14:$R110,0)),"")</f>
        <v/>
      </c>
      <c r="O79" s="3057"/>
      <c r="P79" s="3057"/>
      <c r="Q79" s="388"/>
      <c r="R79" s="390"/>
      <c r="S79" s="389"/>
      <c r="T79" s="169"/>
      <c r="U79" s="169"/>
      <c r="V79" s="169"/>
      <c r="W79" s="169"/>
    </row>
    <row r="80" spans="1:23" ht="12.75" hidden="1" customHeight="1">
      <c r="A80" s="384"/>
      <c r="B80" s="385"/>
      <c r="C80" s="3055"/>
      <c r="D80" s="3055"/>
      <c r="E80" s="395"/>
      <c r="F80" s="396"/>
      <c r="G80" s="1095"/>
      <c r="H80" s="3056"/>
      <c r="I80" s="3056"/>
      <c r="J80" s="3056"/>
      <c r="K80" s="3056"/>
      <c r="L80" s="3056"/>
      <c r="M80" s="387"/>
      <c r="N80" s="3057" t="str">
        <f>IF(COUNTIF($R$14:$R$38,M80),INDEX($S$14:$S$38,MATCH(M80,$R$14:$R111,0)),"")</f>
        <v/>
      </c>
      <c r="O80" s="3057"/>
      <c r="P80" s="3057"/>
      <c r="Q80" s="388"/>
      <c r="R80" s="390"/>
      <c r="S80" s="389"/>
      <c r="T80" s="169"/>
      <c r="U80" s="169"/>
      <c r="V80" s="169"/>
      <c r="W80" s="169"/>
    </row>
    <row r="81" spans="1:23" ht="12.75" hidden="1" customHeight="1">
      <c r="A81" s="384"/>
      <c r="B81" s="385"/>
      <c r="C81" s="3055"/>
      <c r="D81" s="3055"/>
      <c r="E81" s="395"/>
      <c r="F81" s="396"/>
      <c r="G81" s="1095"/>
      <c r="H81" s="3056"/>
      <c r="I81" s="3056"/>
      <c r="J81" s="3056"/>
      <c r="K81" s="3056"/>
      <c r="L81" s="3056"/>
      <c r="M81" s="387"/>
      <c r="N81" s="3057" t="str">
        <f>IF(COUNTIF($R$14:$R$38,M81),INDEX($S$14:$S$38,MATCH(M81,$R$14:$R112,0)),"")</f>
        <v/>
      </c>
      <c r="O81" s="3057"/>
      <c r="P81" s="3057"/>
      <c r="Q81" s="388"/>
      <c r="R81" s="390"/>
      <c r="S81" s="389"/>
      <c r="T81" s="169"/>
      <c r="U81" s="169"/>
      <c r="V81" s="169"/>
      <c r="W81" s="169"/>
    </row>
    <row r="82" spans="1:23" ht="12.75" hidden="1" customHeight="1">
      <c r="A82" s="384"/>
      <c r="B82" s="385"/>
      <c r="C82" s="3055"/>
      <c r="D82" s="3055"/>
      <c r="E82" s="395"/>
      <c r="F82" s="396"/>
      <c r="G82" s="1095"/>
      <c r="H82" s="3056"/>
      <c r="I82" s="3056"/>
      <c r="J82" s="3056"/>
      <c r="K82" s="3056"/>
      <c r="L82" s="3056"/>
      <c r="M82" s="387"/>
      <c r="N82" s="3057" t="str">
        <f>IF(COUNTIF($R$14:$R$38,M82),INDEX($S$14:$S$38,MATCH(M82,$R$14:$R113,0)),"")</f>
        <v/>
      </c>
      <c r="O82" s="3057"/>
      <c r="P82" s="3057"/>
      <c r="Q82" s="388"/>
      <c r="R82" s="390"/>
      <c r="S82" s="389"/>
      <c r="T82" s="169"/>
      <c r="U82" s="169"/>
      <c r="V82" s="169"/>
      <c r="W82" s="169"/>
    </row>
    <row r="83" spans="1:23" ht="12.75" hidden="1" customHeight="1">
      <c r="A83" s="384"/>
      <c r="B83" s="385"/>
      <c r="C83" s="3055"/>
      <c r="D83" s="3055"/>
      <c r="E83" s="395"/>
      <c r="F83" s="396"/>
      <c r="G83" s="1095"/>
      <c r="H83" s="3056"/>
      <c r="I83" s="3056"/>
      <c r="J83" s="3056"/>
      <c r="K83" s="3056"/>
      <c r="L83" s="3056"/>
      <c r="M83" s="387"/>
      <c r="N83" s="3057" t="str">
        <f>IF(COUNTIF($R$14:$R$38,M83),INDEX($S$14:$S$38,MATCH(M83,$R$14:$R114,0)),"")</f>
        <v/>
      </c>
      <c r="O83" s="3057"/>
      <c r="P83" s="3057"/>
      <c r="Q83" s="388"/>
      <c r="R83" s="390"/>
      <c r="S83" s="389"/>
      <c r="T83" s="169"/>
      <c r="U83" s="169"/>
      <c r="V83" s="169"/>
      <c r="W83" s="169"/>
    </row>
    <row r="84" spans="1:23" ht="12.75" hidden="1" customHeight="1">
      <c r="A84" s="384"/>
      <c r="B84" s="385"/>
      <c r="C84" s="3055"/>
      <c r="D84" s="3055"/>
      <c r="E84" s="395"/>
      <c r="F84" s="396"/>
      <c r="G84" s="1095"/>
      <c r="H84" s="3056"/>
      <c r="I84" s="3056"/>
      <c r="J84" s="3056"/>
      <c r="K84" s="3056"/>
      <c r="L84" s="3056"/>
      <c r="M84" s="387"/>
      <c r="N84" s="3057" t="str">
        <f>IF(COUNTIF($R$14:$R$38,M84),INDEX($S$14:$S$38,MATCH(M84,$R$14:$R115,0)),"")</f>
        <v/>
      </c>
      <c r="O84" s="3057"/>
      <c r="P84" s="3057"/>
      <c r="Q84" s="388"/>
      <c r="R84" s="390"/>
      <c r="S84" s="389"/>
      <c r="T84" s="169"/>
      <c r="U84" s="169"/>
      <c r="V84" s="169"/>
      <c r="W84" s="169"/>
    </row>
    <row r="85" spans="1:23" ht="12.75" hidden="1" customHeight="1">
      <c r="A85" s="384"/>
      <c r="B85" s="385"/>
      <c r="C85" s="3055"/>
      <c r="D85" s="3055"/>
      <c r="E85" s="395"/>
      <c r="F85" s="396"/>
      <c r="G85" s="1095"/>
      <c r="H85" s="3056"/>
      <c r="I85" s="3056"/>
      <c r="J85" s="3056"/>
      <c r="K85" s="3056"/>
      <c r="L85" s="3056"/>
      <c r="M85" s="387"/>
      <c r="N85" s="3057" t="str">
        <f>IF(COUNTIF($R$14:$R$38,M85),INDEX($S$14:$S$38,MATCH(M85,$R$14:$R116,0)),"")</f>
        <v/>
      </c>
      <c r="O85" s="3057"/>
      <c r="P85" s="3057"/>
      <c r="Q85" s="388"/>
      <c r="R85" s="390"/>
      <c r="S85" s="389"/>
      <c r="T85" s="169"/>
      <c r="U85" s="169"/>
      <c r="V85" s="169"/>
      <c r="W85" s="169"/>
    </row>
    <row r="86" spans="1:23" ht="12.75" hidden="1" customHeight="1">
      <c r="A86" s="384"/>
      <c r="B86" s="385"/>
      <c r="C86" s="3055"/>
      <c r="D86" s="3055"/>
      <c r="E86" s="395"/>
      <c r="F86" s="396"/>
      <c r="G86" s="1095"/>
      <c r="H86" s="3056"/>
      <c r="I86" s="3056"/>
      <c r="J86" s="3056"/>
      <c r="K86" s="3056"/>
      <c r="L86" s="3056"/>
      <c r="M86" s="387"/>
      <c r="N86" s="3057" t="str">
        <f>IF(COUNTIF($R$14:$R$38,M86),INDEX($S$14:$S$38,MATCH(M86,$R$14:$R117,0)),"")</f>
        <v/>
      </c>
      <c r="O86" s="3057"/>
      <c r="P86" s="3057"/>
      <c r="Q86" s="388"/>
      <c r="R86" s="390"/>
      <c r="S86" s="389"/>
      <c r="T86" s="169"/>
      <c r="U86" s="169"/>
      <c r="V86" s="169"/>
      <c r="W86" s="169"/>
    </row>
    <row r="87" spans="1:23" ht="12.75" hidden="1" customHeight="1">
      <c r="A87" s="384"/>
      <c r="B87" s="385"/>
      <c r="C87" s="3055"/>
      <c r="D87" s="3055"/>
      <c r="E87" s="395"/>
      <c r="F87" s="396"/>
      <c r="G87" s="1095"/>
      <c r="H87" s="3056"/>
      <c r="I87" s="3056"/>
      <c r="J87" s="3056"/>
      <c r="K87" s="3056"/>
      <c r="L87" s="3056"/>
      <c r="M87" s="387"/>
      <c r="N87" s="3057" t="str">
        <f>IF(COUNTIF($R$14:$R$38,M87),INDEX($S$14:$S$38,MATCH(M87,$R$14:$R118,0)),"")</f>
        <v/>
      </c>
      <c r="O87" s="3057"/>
      <c r="P87" s="3057"/>
      <c r="Q87" s="388"/>
      <c r="R87" s="390"/>
      <c r="S87" s="389"/>
      <c r="T87" s="169"/>
      <c r="U87" s="169"/>
      <c r="V87" s="169"/>
      <c r="W87" s="169"/>
    </row>
    <row r="88" spans="1:23" ht="12.75" hidden="1" customHeight="1">
      <c r="A88" s="384"/>
      <c r="B88" s="385"/>
      <c r="C88" s="3055"/>
      <c r="D88" s="3055"/>
      <c r="E88" s="395"/>
      <c r="F88" s="396"/>
      <c r="G88" s="1095"/>
      <c r="H88" s="3056"/>
      <c r="I88" s="3056"/>
      <c r="J88" s="3056"/>
      <c r="K88" s="3056"/>
      <c r="L88" s="3056"/>
      <c r="M88" s="387"/>
      <c r="N88" s="3057" t="str">
        <f>IF(COUNTIF($R$14:$R$38,M88),INDEX($S$14:$S$38,MATCH(M88,$R$14:$R119,0)),"")</f>
        <v/>
      </c>
      <c r="O88" s="3057"/>
      <c r="P88" s="3057"/>
      <c r="Q88" s="388"/>
      <c r="R88" s="390"/>
      <c r="S88" s="389"/>
      <c r="T88" s="169"/>
      <c r="U88" s="169"/>
      <c r="V88" s="169"/>
      <c r="W88" s="169"/>
    </row>
    <row r="89" spans="1:23" ht="12.75" hidden="1" customHeight="1">
      <c r="A89" s="384"/>
      <c r="B89" s="385"/>
      <c r="C89" s="3055"/>
      <c r="D89" s="3055"/>
      <c r="E89" s="395"/>
      <c r="F89" s="396"/>
      <c r="G89" s="1095"/>
      <c r="H89" s="3056"/>
      <c r="I89" s="3056"/>
      <c r="J89" s="3056"/>
      <c r="K89" s="3056"/>
      <c r="L89" s="3056"/>
      <c r="M89" s="387"/>
      <c r="N89" s="3057" t="str">
        <f>IF(COUNTIF($R$14:$R$38,M89),INDEX($S$14:$S$38,MATCH(M89,$R$14:$R120,0)),"")</f>
        <v/>
      </c>
      <c r="O89" s="3057"/>
      <c r="P89" s="3057"/>
      <c r="Q89" s="388"/>
      <c r="R89" s="390"/>
      <c r="S89" s="389"/>
      <c r="T89" s="169"/>
      <c r="U89" s="169"/>
      <c r="V89" s="169"/>
      <c r="W89" s="169"/>
    </row>
    <row r="90" spans="1:23" ht="12.75" hidden="1" customHeight="1">
      <c r="A90" s="384"/>
      <c r="B90" s="385"/>
      <c r="C90" s="3055"/>
      <c r="D90" s="3055"/>
      <c r="E90" s="395"/>
      <c r="F90" s="396"/>
      <c r="G90" s="1095"/>
      <c r="H90" s="3056"/>
      <c r="I90" s="3056"/>
      <c r="J90" s="3056"/>
      <c r="K90" s="3056"/>
      <c r="L90" s="3056"/>
      <c r="M90" s="387"/>
      <c r="N90" s="3057" t="str">
        <f>IF(COUNTIF($R$14:$R$38,M90),INDEX($S$14:$S$38,MATCH(M90,$R$14:$R121,0)),"")</f>
        <v/>
      </c>
      <c r="O90" s="3057"/>
      <c r="P90" s="3057"/>
      <c r="Q90" s="388"/>
      <c r="R90" s="390"/>
      <c r="S90" s="389"/>
      <c r="T90" s="169"/>
      <c r="U90" s="169"/>
      <c r="V90" s="169"/>
      <c r="W90" s="169"/>
    </row>
    <row r="91" spans="1:23" ht="12.75" hidden="1" customHeight="1">
      <c r="A91" s="384"/>
      <c r="B91" s="385"/>
      <c r="C91" s="3055"/>
      <c r="D91" s="3055"/>
      <c r="E91" s="395"/>
      <c r="F91" s="396"/>
      <c r="G91" s="1095"/>
      <c r="H91" s="3056"/>
      <c r="I91" s="3056"/>
      <c r="J91" s="3056"/>
      <c r="K91" s="3056"/>
      <c r="L91" s="3056"/>
      <c r="M91" s="387"/>
      <c r="N91" s="3057" t="str">
        <f>IF(COUNTIF($R$14:$R$38,M91),INDEX($S$14:$S$38,MATCH(M91,$R$14:$R122,0)),"")</f>
        <v/>
      </c>
      <c r="O91" s="3057"/>
      <c r="P91" s="3057"/>
      <c r="Q91" s="388"/>
      <c r="R91" s="390"/>
      <c r="S91" s="389"/>
      <c r="T91" s="169"/>
      <c r="U91" s="169"/>
      <c r="V91" s="169"/>
      <c r="W91" s="169"/>
    </row>
    <row r="92" spans="1:23" ht="12.75" hidden="1" customHeight="1">
      <c r="A92" s="384"/>
      <c r="B92" s="385"/>
      <c r="C92" s="3055"/>
      <c r="D92" s="3055"/>
      <c r="E92" s="395"/>
      <c r="F92" s="396"/>
      <c r="G92" s="1095"/>
      <c r="H92" s="3056"/>
      <c r="I92" s="3056"/>
      <c r="J92" s="3056"/>
      <c r="K92" s="3056"/>
      <c r="L92" s="3056"/>
      <c r="M92" s="387"/>
      <c r="N92" s="3057" t="str">
        <f>IF(COUNTIF($R$14:$R$38,M92),INDEX($S$14:$S$38,MATCH(M92,$R$14:$R123,0)),"")</f>
        <v/>
      </c>
      <c r="O92" s="3057"/>
      <c r="P92" s="3057"/>
      <c r="Q92" s="388"/>
      <c r="R92" s="390"/>
      <c r="S92" s="389"/>
      <c r="T92" s="169"/>
      <c r="U92" s="169"/>
      <c r="V92" s="169"/>
      <c r="W92" s="169"/>
    </row>
    <row r="93" spans="1:23" ht="12.75" hidden="1" customHeight="1">
      <c r="A93" s="384"/>
      <c r="B93" s="385"/>
      <c r="C93" s="3055"/>
      <c r="D93" s="3055"/>
      <c r="E93" s="395"/>
      <c r="F93" s="396"/>
      <c r="G93" s="1095"/>
      <c r="H93" s="3056"/>
      <c r="I93" s="3056"/>
      <c r="J93" s="3056"/>
      <c r="K93" s="3056"/>
      <c r="L93" s="3056"/>
      <c r="M93" s="387"/>
      <c r="N93" s="3057" t="str">
        <f>IF(COUNTIF($R$14:$R$38,M93),INDEX($S$14:$S$38,MATCH(M93,$R$14:$R124,0)),"")</f>
        <v/>
      </c>
      <c r="O93" s="3057"/>
      <c r="P93" s="3057"/>
      <c r="Q93" s="388"/>
      <c r="R93" s="390"/>
      <c r="S93" s="389"/>
      <c r="T93" s="169"/>
      <c r="U93" s="169"/>
      <c r="V93" s="169"/>
      <c r="W93" s="169"/>
    </row>
    <row r="94" spans="1:23" ht="12.75" hidden="1" customHeight="1">
      <c r="A94" s="384"/>
      <c r="B94" s="385"/>
      <c r="C94" s="3055"/>
      <c r="D94" s="3055"/>
      <c r="E94" s="395"/>
      <c r="F94" s="396"/>
      <c r="G94" s="1095"/>
      <c r="H94" s="3056"/>
      <c r="I94" s="3056"/>
      <c r="J94" s="3056"/>
      <c r="K94" s="3056"/>
      <c r="L94" s="3056"/>
      <c r="M94" s="387"/>
      <c r="N94" s="3057" t="str">
        <f>IF(COUNTIF($R$14:$R$38,M94),INDEX($S$14:$S$38,MATCH(M94,$R$14:$R125,0)),"")</f>
        <v/>
      </c>
      <c r="O94" s="3057"/>
      <c r="P94" s="3057"/>
      <c r="Q94" s="388"/>
      <c r="R94" s="390"/>
      <c r="S94" s="389"/>
      <c r="T94" s="169"/>
      <c r="U94" s="169"/>
      <c r="V94" s="169"/>
      <c r="W94" s="169"/>
    </row>
    <row r="95" spans="1:23" ht="12.75" hidden="1" customHeight="1">
      <c r="A95" s="384"/>
      <c r="B95" s="385"/>
      <c r="C95" s="3055"/>
      <c r="D95" s="3055"/>
      <c r="E95" s="395"/>
      <c r="F95" s="396"/>
      <c r="G95" s="1095"/>
      <c r="H95" s="3056"/>
      <c r="I95" s="3056"/>
      <c r="J95" s="3056"/>
      <c r="K95" s="3056"/>
      <c r="L95" s="3056"/>
      <c r="M95" s="387"/>
      <c r="N95" s="3057" t="str">
        <f>IF(COUNTIF($R$14:$R$38,M95),INDEX($S$14:$S$38,MATCH(M95,$R$14:$R126,0)),"")</f>
        <v/>
      </c>
      <c r="O95" s="3057"/>
      <c r="P95" s="3057"/>
      <c r="Q95" s="388"/>
      <c r="R95" s="390"/>
      <c r="S95" s="389"/>
      <c r="T95" s="169"/>
      <c r="U95" s="169"/>
      <c r="V95" s="169"/>
      <c r="W95" s="169"/>
    </row>
    <row r="96" spans="1:23" ht="12.75" hidden="1" customHeight="1">
      <c r="A96" s="384"/>
      <c r="B96" s="385"/>
      <c r="C96" s="3055"/>
      <c r="D96" s="3055"/>
      <c r="E96" s="395"/>
      <c r="F96" s="396"/>
      <c r="G96" s="1095"/>
      <c r="H96" s="3056"/>
      <c r="I96" s="3056"/>
      <c r="J96" s="3056"/>
      <c r="K96" s="3056"/>
      <c r="L96" s="3056"/>
      <c r="M96" s="387"/>
      <c r="N96" s="3057" t="str">
        <f>IF(COUNTIF($R$14:$R$38,M96),INDEX($S$14:$S$38,MATCH(M96,$R$14:$R127,0)),"")</f>
        <v/>
      </c>
      <c r="O96" s="3057"/>
      <c r="P96" s="3057"/>
      <c r="Q96" s="388"/>
      <c r="R96" s="390"/>
      <c r="S96" s="389"/>
      <c r="T96" s="169"/>
      <c r="U96" s="169"/>
      <c r="V96" s="169"/>
      <c r="W96" s="169"/>
    </row>
    <row r="97" spans="1:23" ht="12.75" hidden="1" customHeight="1">
      <c r="A97" s="384"/>
      <c r="B97" s="385"/>
      <c r="C97" s="3055"/>
      <c r="D97" s="3055"/>
      <c r="E97" s="395"/>
      <c r="F97" s="396"/>
      <c r="G97" s="1095"/>
      <c r="H97" s="3056"/>
      <c r="I97" s="3056"/>
      <c r="J97" s="3056"/>
      <c r="K97" s="3056"/>
      <c r="L97" s="3056"/>
      <c r="M97" s="387"/>
      <c r="N97" s="3057" t="str">
        <f>IF(COUNTIF($R$14:$R$38,M97),INDEX($S$14:$S$38,MATCH(M97,$R$14:$R128,0)),"")</f>
        <v/>
      </c>
      <c r="O97" s="3057"/>
      <c r="P97" s="3057"/>
      <c r="Q97" s="388"/>
      <c r="R97" s="390"/>
      <c r="S97" s="389"/>
      <c r="T97" s="169"/>
      <c r="U97" s="169"/>
      <c r="V97" s="169"/>
      <c r="W97" s="169"/>
    </row>
    <row r="98" spans="1:23" ht="12.75" hidden="1" customHeight="1">
      <c r="A98" s="384"/>
      <c r="B98" s="385"/>
      <c r="C98" s="3055"/>
      <c r="D98" s="3055"/>
      <c r="E98" s="395"/>
      <c r="F98" s="396"/>
      <c r="G98" s="1095"/>
      <c r="H98" s="3056"/>
      <c r="I98" s="3056"/>
      <c r="J98" s="3056"/>
      <c r="K98" s="3056"/>
      <c r="L98" s="3056"/>
      <c r="M98" s="387"/>
      <c r="N98" s="3057" t="str">
        <f>IF(COUNTIF($R$14:$R$38,M98),INDEX($S$14:$S$38,MATCH(M98,$R$14:$R129,0)),"")</f>
        <v/>
      </c>
      <c r="O98" s="3057"/>
      <c r="P98" s="3057"/>
      <c r="Q98" s="388"/>
      <c r="R98" s="390"/>
      <c r="S98" s="389"/>
      <c r="T98" s="169"/>
      <c r="U98" s="169"/>
      <c r="V98" s="169"/>
      <c r="W98" s="169"/>
    </row>
    <row r="99" spans="1:23" ht="12.75" hidden="1" customHeight="1">
      <c r="A99" s="384"/>
      <c r="B99" s="385"/>
      <c r="C99" s="3055"/>
      <c r="D99" s="3055"/>
      <c r="E99" s="395"/>
      <c r="F99" s="396"/>
      <c r="G99" s="1095"/>
      <c r="H99" s="3056"/>
      <c r="I99" s="3056"/>
      <c r="J99" s="3056"/>
      <c r="K99" s="3056"/>
      <c r="L99" s="3056"/>
      <c r="M99" s="387"/>
      <c r="N99" s="3057" t="str">
        <f>IF(COUNTIF($R$14:$R$38,M99),INDEX($S$14:$S$38,MATCH(M99,$R$14:$R130,0)),"")</f>
        <v/>
      </c>
      <c r="O99" s="3057"/>
      <c r="P99" s="3057"/>
      <c r="Q99" s="388"/>
      <c r="R99" s="390"/>
      <c r="S99" s="389"/>
      <c r="T99" s="169"/>
      <c r="U99" s="169"/>
      <c r="V99" s="169"/>
      <c r="W99" s="169"/>
    </row>
    <row r="100" spans="1:23" ht="12.75" hidden="1" customHeight="1">
      <c r="A100" s="384"/>
      <c r="B100" s="385"/>
      <c r="C100" s="3055"/>
      <c r="D100" s="3055"/>
      <c r="E100" s="395"/>
      <c r="F100" s="396"/>
      <c r="G100" s="1095"/>
      <c r="H100" s="3056"/>
      <c r="I100" s="3056"/>
      <c r="J100" s="3056"/>
      <c r="K100" s="3056"/>
      <c r="L100" s="3056"/>
      <c r="M100" s="387"/>
      <c r="N100" s="3057" t="str">
        <f>IF(COUNTIF($R$14:$R$38,M100),INDEX($S$14:$S$38,MATCH(M100,$R$14:$R131,0)),"")</f>
        <v/>
      </c>
      <c r="O100" s="3057"/>
      <c r="P100" s="3057"/>
      <c r="Q100" s="388"/>
      <c r="R100" s="390"/>
      <c r="S100" s="389"/>
      <c r="T100" s="169"/>
      <c r="U100" s="169"/>
      <c r="V100" s="169"/>
      <c r="W100" s="169"/>
    </row>
    <row r="101" spans="1:23" ht="12.75" hidden="1" customHeight="1">
      <c r="A101" s="384"/>
      <c r="B101" s="385"/>
      <c r="C101" s="3055"/>
      <c r="D101" s="3055"/>
      <c r="E101" s="395"/>
      <c r="F101" s="396"/>
      <c r="G101" s="1095"/>
      <c r="H101" s="3056"/>
      <c r="I101" s="3056"/>
      <c r="J101" s="3056"/>
      <c r="K101" s="3056"/>
      <c r="L101" s="3056"/>
      <c r="M101" s="387"/>
      <c r="N101" s="3057" t="str">
        <f>IF(COUNTIF($R$14:$R$38,M101),INDEX($S$14:$S$38,MATCH(M101,$R$14:$R132,0)),"")</f>
        <v/>
      </c>
      <c r="O101" s="3057"/>
      <c r="P101" s="3057"/>
      <c r="Q101" s="388"/>
      <c r="R101" s="390"/>
      <c r="S101" s="389"/>
      <c r="T101" s="169"/>
      <c r="U101" s="169"/>
      <c r="V101" s="169"/>
      <c r="W101" s="169"/>
    </row>
    <row r="102" spans="1:23" ht="12.75" hidden="1" customHeight="1">
      <c r="A102" s="384"/>
      <c r="B102" s="385"/>
      <c r="C102" s="3055"/>
      <c r="D102" s="3055"/>
      <c r="E102" s="395"/>
      <c r="F102" s="396"/>
      <c r="G102" s="1095"/>
      <c r="H102" s="3056"/>
      <c r="I102" s="3056"/>
      <c r="J102" s="3056"/>
      <c r="K102" s="3056"/>
      <c r="L102" s="3056"/>
      <c r="M102" s="387"/>
      <c r="N102" s="3057" t="str">
        <f>IF(COUNTIF($R$14:$R$38,M102),INDEX($S$14:$S$38,MATCH(M102,$R$14:$R133,0)),"")</f>
        <v/>
      </c>
      <c r="O102" s="3057"/>
      <c r="P102" s="3057"/>
      <c r="Q102" s="388"/>
      <c r="R102" s="390"/>
      <c r="S102" s="389"/>
      <c r="T102" s="169"/>
      <c r="U102" s="169"/>
      <c r="V102" s="169"/>
      <c r="W102" s="169"/>
    </row>
    <row r="103" spans="1:23" ht="12.75" hidden="1" customHeight="1">
      <c r="A103" s="384"/>
      <c r="B103" s="385"/>
      <c r="C103" s="3055"/>
      <c r="D103" s="3055"/>
      <c r="E103" s="395"/>
      <c r="F103" s="396"/>
      <c r="G103" s="1095"/>
      <c r="H103" s="3056"/>
      <c r="I103" s="3056"/>
      <c r="J103" s="3056"/>
      <c r="K103" s="3056"/>
      <c r="L103" s="3056"/>
      <c r="M103" s="387"/>
      <c r="N103" s="3057" t="str">
        <f>IF(COUNTIF($R$14:$R$38,M103),INDEX($S$14:$S$38,MATCH(M103,$R$14:$R134,0)),"")</f>
        <v/>
      </c>
      <c r="O103" s="3057"/>
      <c r="P103" s="3057"/>
      <c r="Q103" s="388"/>
      <c r="R103" s="390"/>
      <c r="S103" s="389"/>
      <c r="T103" s="169"/>
      <c r="U103" s="169"/>
      <c r="V103" s="169"/>
      <c r="W103" s="169"/>
    </row>
    <row r="104" spans="1:23" ht="12.75" hidden="1" customHeight="1">
      <c r="A104" s="384"/>
      <c r="B104" s="385"/>
      <c r="C104" s="3055"/>
      <c r="D104" s="3055"/>
      <c r="E104" s="395"/>
      <c r="F104" s="396"/>
      <c r="G104" s="1095"/>
      <c r="H104" s="3056"/>
      <c r="I104" s="3056"/>
      <c r="J104" s="3056"/>
      <c r="K104" s="3056"/>
      <c r="L104" s="3056"/>
      <c r="M104" s="387"/>
      <c r="N104" s="3057" t="str">
        <f>IF(COUNTIF($R$14:$R$38,M104),INDEX($S$14:$S$38,MATCH(M104,$R$14:$R135,0)),"")</f>
        <v/>
      </c>
      <c r="O104" s="3057"/>
      <c r="P104" s="3057"/>
      <c r="Q104" s="388"/>
      <c r="R104" s="390"/>
      <c r="S104" s="389"/>
      <c r="T104" s="169"/>
      <c r="U104" s="169"/>
      <c r="V104" s="169"/>
      <c r="W104" s="169"/>
    </row>
    <row r="105" spans="1:23" ht="12.75" hidden="1" customHeight="1">
      <c r="A105" s="384"/>
      <c r="B105" s="385"/>
      <c r="C105" s="3055"/>
      <c r="D105" s="3055"/>
      <c r="E105" s="395"/>
      <c r="F105" s="396"/>
      <c r="G105" s="1095"/>
      <c r="H105" s="3056"/>
      <c r="I105" s="3056"/>
      <c r="J105" s="3056"/>
      <c r="K105" s="3056"/>
      <c r="L105" s="3056"/>
      <c r="M105" s="387"/>
      <c r="N105" s="3057" t="str">
        <f>IF(COUNTIF($R$14:$R$38,M105),INDEX($S$14:$S$38,MATCH(M105,$R$14:$R136,0)),"")</f>
        <v/>
      </c>
      <c r="O105" s="3057"/>
      <c r="P105" s="3057"/>
      <c r="Q105" s="388"/>
      <c r="R105" s="390"/>
      <c r="S105" s="389"/>
      <c r="T105" s="169"/>
      <c r="U105" s="169"/>
      <c r="V105" s="169"/>
      <c r="W105" s="169"/>
    </row>
    <row r="106" spans="1:23" ht="12.75" hidden="1" customHeight="1">
      <c r="A106" s="384"/>
      <c r="B106" s="385"/>
      <c r="C106" s="3055"/>
      <c r="D106" s="3055"/>
      <c r="E106" s="395"/>
      <c r="F106" s="396"/>
      <c r="G106" s="1095"/>
      <c r="H106" s="3056"/>
      <c r="I106" s="3056"/>
      <c r="J106" s="3056"/>
      <c r="K106" s="3056"/>
      <c r="L106" s="3056"/>
      <c r="M106" s="387"/>
      <c r="N106" s="3057" t="str">
        <f>IF(COUNTIF($R$14:$R$38,M106),INDEX($S$14:$S$38,MATCH(M106,$R$14:$R137,0)),"")</f>
        <v/>
      </c>
      <c r="O106" s="3057"/>
      <c r="P106" s="3057"/>
      <c r="Q106" s="388"/>
      <c r="R106" s="390"/>
      <c r="S106" s="389"/>
      <c r="T106" s="169"/>
      <c r="U106" s="169"/>
      <c r="V106" s="169"/>
      <c r="W106" s="169"/>
    </row>
    <row r="107" spans="1:23" ht="12.75" hidden="1" customHeight="1">
      <c r="A107" s="384"/>
      <c r="B107" s="385"/>
      <c r="C107" s="3055"/>
      <c r="D107" s="3055"/>
      <c r="E107" s="395"/>
      <c r="F107" s="396"/>
      <c r="G107" s="1095"/>
      <c r="H107" s="3056"/>
      <c r="I107" s="3056"/>
      <c r="J107" s="3056"/>
      <c r="K107" s="3056"/>
      <c r="L107" s="3056"/>
      <c r="M107" s="387"/>
      <c r="N107" s="3057" t="str">
        <f>IF(COUNTIF($R$14:$R$38,M107),INDEX($S$14:$S$38,MATCH(M107,$R$14:$R138,0)),"")</f>
        <v/>
      </c>
      <c r="O107" s="3057"/>
      <c r="P107" s="3057"/>
      <c r="Q107" s="388"/>
      <c r="R107" s="390"/>
      <c r="S107" s="389"/>
      <c r="T107" s="169"/>
      <c r="U107" s="169"/>
      <c r="V107" s="169"/>
      <c r="W107" s="169"/>
    </row>
    <row r="108" spans="1:23" ht="12.75" hidden="1" customHeight="1">
      <c r="A108" s="384"/>
      <c r="B108" s="385"/>
      <c r="C108" s="3055"/>
      <c r="D108" s="3055"/>
      <c r="E108" s="395"/>
      <c r="F108" s="396"/>
      <c r="G108" s="1095"/>
      <c r="H108" s="3056"/>
      <c r="I108" s="3056"/>
      <c r="J108" s="3056"/>
      <c r="K108" s="3056"/>
      <c r="L108" s="3056"/>
      <c r="M108" s="387"/>
      <c r="N108" s="3057" t="str">
        <f>IF(COUNTIF($R$14:$R$38,M108),INDEX($S$14:$S$38,MATCH(M108,$R$14:$R139,0)),"")</f>
        <v/>
      </c>
      <c r="O108" s="3057"/>
      <c r="P108" s="3057"/>
      <c r="Q108" s="388"/>
      <c r="R108" s="390"/>
      <c r="S108" s="389"/>
      <c r="T108" s="169"/>
      <c r="U108" s="169"/>
      <c r="V108" s="169"/>
      <c r="W108" s="169"/>
    </row>
    <row r="109" spans="1:23" ht="12.75" hidden="1" customHeight="1">
      <c r="A109" s="384"/>
      <c r="B109" s="385"/>
      <c r="C109" s="3055"/>
      <c r="D109" s="3055"/>
      <c r="E109" s="395"/>
      <c r="F109" s="396"/>
      <c r="G109" s="1095"/>
      <c r="H109" s="3056"/>
      <c r="I109" s="3056"/>
      <c r="J109" s="3056"/>
      <c r="K109" s="3056"/>
      <c r="L109" s="3056"/>
      <c r="M109" s="387"/>
      <c r="N109" s="3057" t="str">
        <f>IF(COUNTIF($R$14:$R$38,M109),INDEX($S$14:$S$38,MATCH(M109,$R$14:$R140,0)),"")</f>
        <v/>
      </c>
      <c r="O109" s="3057"/>
      <c r="P109" s="3057"/>
      <c r="Q109" s="388"/>
      <c r="R109" s="390"/>
      <c r="S109" s="389"/>
      <c r="T109" s="169"/>
      <c r="U109" s="169"/>
      <c r="V109" s="169"/>
      <c r="W109" s="169"/>
    </row>
    <row r="110" spans="1:23" ht="12.75" hidden="1" customHeight="1">
      <c r="A110" s="384"/>
      <c r="B110" s="385"/>
      <c r="C110" s="3055"/>
      <c r="D110" s="3055"/>
      <c r="E110" s="395"/>
      <c r="F110" s="396"/>
      <c r="G110" s="1095"/>
      <c r="H110" s="3056"/>
      <c r="I110" s="3056"/>
      <c r="J110" s="3056"/>
      <c r="K110" s="3056"/>
      <c r="L110" s="3056"/>
      <c r="M110" s="387"/>
      <c r="N110" s="3057" t="str">
        <f>IF(COUNTIF($R$14:$R$38,M110),INDEX($S$14:$S$38,MATCH(M110,$R$14:$R141,0)),"")</f>
        <v/>
      </c>
      <c r="O110" s="3057"/>
      <c r="P110" s="3057"/>
      <c r="Q110" s="388"/>
      <c r="R110" s="390"/>
      <c r="S110" s="389"/>
      <c r="T110" s="169"/>
      <c r="U110" s="169"/>
      <c r="V110" s="169"/>
      <c r="W110" s="169"/>
    </row>
    <row r="111" spans="1:23" ht="12.75" hidden="1" customHeight="1">
      <c r="A111" s="384"/>
      <c r="B111" s="385"/>
      <c r="C111" s="3055"/>
      <c r="D111" s="3055"/>
      <c r="E111" s="395"/>
      <c r="F111" s="396"/>
      <c r="G111" s="1095"/>
      <c r="H111" s="3056"/>
      <c r="I111" s="3056"/>
      <c r="J111" s="3056"/>
      <c r="K111" s="3056"/>
      <c r="L111" s="3056"/>
      <c r="M111" s="387"/>
      <c r="N111" s="3057" t="str">
        <f>IF(COUNTIF($R$14:$R$38,M111),INDEX($S$14:$S$38,MATCH(M111,$R$14:$R142,0)),"")</f>
        <v/>
      </c>
      <c r="O111" s="3057"/>
      <c r="P111" s="3057"/>
      <c r="Q111" s="388"/>
      <c r="R111" s="390"/>
      <c r="S111" s="389"/>
      <c r="T111" s="169"/>
      <c r="U111" s="169"/>
      <c r="V111" s="169"/>
      <c r="W111" s="169"/>
    </row>
    <row r="112" spans="1:23" ht="12.75" hidden="1" customHeight="1">
      <c r="A112" s="384"/>
      <c r="B112" s="385"/>
      <c r="C112" s="3055"/>
      <c r="D112" s="3055"/>
      <c r="E112" s="395"/>
      <c r="F112" s="396"/>
      <c r="G112" s="1095"/>
      <c r="H112" s="3056"/>
      <c r="I112" s="3056"/>
      <c r="J112" s="3056"/>
      <c r="K112" s="3056"/>
      <c r="L112" s="3056"/>
      <c r="M112" s="387"/>
      <c r="N112" s="3057" t="str">
        <f>IF(COUNTIF($R$14:$R$38,M112),INDEX($S$14:$S$38,MATCH(M112,$R$14:$R143,0)),"")</f>
        <v/>
      </c>
      <c r="O112" s="3057"/>
      <c r="P112" s="3057"/>
      <c r="Q112" s="388"/>
      <c r="R112" s="390"/>
      <c r="S112" s="389"/>
      <c r="T112" s="169"/>
      <c r="U112" s="169"/>
      <c r="V112" s="169"/>
      <c r="W112" s="169"/>
    </row>
    <row r="113" spans="1:23" ht="12.75" hidden="1" customHeight="1">
      <c r="A113" s="384"/>
      <c r="B113" s="385"/>
      <c r="C113" s="3055"/>
      <c r="D113" s="3055"/>
      <c r="E113" s="395"/>
      <c r="F113" s="396"/>
      <c r="G113" s="1095"/>
      <c r="H113" s="3056"/>
      <c r="I113" s="3056"/>
      <c r="J113" s="3056"/>
      <c r="K113" s="3056"/>
      <c r="L113" s="3056"/>
      <c r="M113" s="387"/>
      <c r="N113" s="3057" t="str">
        <f>IF(COUNTIF($R$14:$R$38,M113),INDEX($S$14:$S$38,MATCH(M113,$R$14:$R144,0)),"")</f>
        <v/>
      </c>
      <c r="O113" s="3057"/>
      <c r="P113" s="3057"/>
      <c r="Q113" s="388"/>
      <c r="R113" s="390"/>
      <c r="S113" s="389"/>
      <c r="T113" s="169"/>
      <c r="U113" s="169"/>
      <c r="V113" s="169"/>
      <c r="W113" s="169"/>
    </row>
    <row r="114" spans="1:23" ht="12.75" hidden="1" customHeight="1">
      <c r="A114" s="384"/>
      <c r="B114" s="385"/>
      <c r="C114" s="3055"/>
      <c r="D114" s="3055"/>
      <c r="E114" s="395"/>
      <c r="F114" s="396"/>
      <c r="G114" s="1095"/>
      <c r="H114" s="3056"/>
      <c r="I114" s="3056"/>
      <c r="J114" s="3056"/>
      <c r="K114" s="3056"/>
      <c r="L114" s="3056"/>
      <c r="M114" s="387"/>
      <c r="N114" s="3057" t="str">
        <f>IF(COUNTIF($R$14:$R$38,M114),INDEX($S$14:$S$38,MATCH(M114,$R$14:$R145,0)),"")</f>
        <v/>
      </c>
      <c r="O114" s="3057"/>
      <c r="P114" s="3057"/>
      <c r="Q114" s="388"/>
      <c r="R114" s="390"/>
      <c r="S114" s="389"/>
      <c r="T114" s="169"/>
      <c r="U114" s="169"/>
      <c r="V114" s="169"/>
      <c r="W114" s="169"/>
    </row>
    <row r="115" spans="1:23" ht="12.75" hidden="1" customHeight="1">
      <c r="A115" s="384"/>
      <c r="B115" s="385"/>
      <c r="C115" s="3055"/>
      <c r="D115" s="3055"/>
      <c r="E115" s="395"/>
      <c r="F115" s="396"/>
      <c r="G115" s="1095"/>
      <c r="H115" s="3056"/>
      <c r="I115" s="3056"/>
      <c r="J115" s="3056"/>
      <c r="K115" s="3056"/>
      <c r="L115" s="3056"/>
      <c r="M115" s="387"/>
      <c r="N115" s="3057" t="str">
        <f>IF(COUNTIF($R$14:$R$38,M115),INDEX($S$14:$S$38,MATCH(M115,$R$14:$R146,0)),"")</f>
        <v/>
      </c>
      <c r="O115" s="3057"/>
      <c r="P115" s="3057"/>
      <c r="Q115" s="388"/>
      <c r="R115" s="390"/>
      <c r="S115" s="389"/>
      <c r="T115" s="169"/>
      <c r="U115" s="169"/>
      <c r="V115" s="169"/>
      <c r="W115" s="169"/>
    </row>
    <row r="116" spans="1:23" ht="12.75" hidden="1" customHeight="1">
      <c r="A116" s="384"/>
      <c r="B116" s="385"/>
      <c r="C116" s="3055"/>
      <c r="D116" s="3055"/>
      <c r="E116" s="395"/>
      <c r="F116" s="396"/>
      <c r="G116" s="1095"/>
      <c r="H116" s="3056"/>
      <c r="I116" s="3056"/>
      <c r="J116" s="3056"/>
      <c r="K116" s="3056"/>
      <c r="L116" s="3056"/>
      <c r="M116" s="387"/>
      <c r="N116" s="3057" t="str">
        <f>IF(COUNTIF($R$14:$R$38,M116),INDEX($S$14:$S$38,MATCH(M116,$R$14:$R147,0)),"")</f>
        <v/>
      </c>
      <c r="O116" s="3057"/>
      <c r="P116" s="3057"/>
      <c r="Q116" s="388"/>
      <c r="R116" s="390"/>
      <c r="S116" s="389"/>
      <c r="T116" s="169"/>
      <c r="U116" s="169"/>
      <c r="V116" s="169"/>
      <c r="W116" s="169"/>
    </row>
    <row r="117" spans="1:23" ht="12.75" hidden="1" customHeight="1">
      <c r="A117" s="384"/>
      <c r="B117" s="385"/>
      <c r="C117" s="3055"/>
      <c r="D117" s="3055"/>
      <c r="E117" s="395"/>
      <c r="F117" s="396"/>
      <c r="G117" s="1095"/>
      <c r="H117" s="3056"/>
      <c r="I117" s="3056"/>
      <c r="J117" s="3056"/>
      <c r="K117" s="3056"/>
      <c r="L117" s="3056"/>
      <c r="M117" s="387"/>
      <c r="N117" s="3057" t="str">
        <f>IF(COUNTIF($R$14:$R$38,M117),INDEX($S$14:$S$38,MATCH(M117,$R$14:$R148,0)),"")</f>
        <v/>
      </c>
      <c r="O117" s="3057"/>
      <c r="P117" s="3057"/>
      <c r="Q117" s="388"/>
      <c r="R117" s="390"/>
      <c r="S117" s="389"/>
      <c r="T117" s="169"/>
      <c r="U117" s="169"/>
      <c r="V117" s="169"/>
      <c r="W117" s="169"/>
    </row>
    <row r="118" spans="1:23" ht="12.75" hidden="1" customHeight="1">
      <c r="A118" s="384"/>
      <c r="B118" s="385"/>
      <c r="C118" s="3055"/>
      <c r="D118" s="3055"/>
      <c r="E118" s="395"/>
      <c r="F118" s="396"/>
      <c r="G118" s="1095"/>
      <c r="H118" s="3056"/>
      <c r="I118" s="3056"/>
      <c r="J118" s="3056"/>
      <c r="K118" s="3056"/>
      <c r="L118" s="3056"/>
      <c r="M118" s="387"/>
      <c r="N118" s="3057" t="str">
        <f>IF(COUNTIF($R$14:$R$38,M118),INDEX($S$14:$S$38,MATCH(M118,$R$14:$R149,0)),"")</f>
        <v/>
      </c>
      <c r="O118" s="3057"/>
      <c r="P118" s="3057"/>
      <c r="Q118" s="388"/>
      <c r="R118" s="390"/>
      <c r="S118" s="389"/>
      <c r="T118" s="169"/>
      <c r="U118" s="169"/>
      <c r="V118" s="169"/>
      <c r="W118" s="169"/>
    </row>
    <row r="119" spans="1:23" ht="12.75" hidden="1" customHeight="1">
      <c r="A119" s="384"/>
      <c r="B119" s="385"/>
      <c r="C119" s="3055"/>
      <c r="D119" s="3055"/>
      <c r="E119" s="395"/>
      <c r="F119" s="396"/>
      <c r="G119" s="1095"/>
      <c r="H119" s="3056"/>
      <c r="I119" s="3056"/>
      <c r="J119" s="3056"/>
      <c r="K119" s="3056"/>
      <c r="L119" s="3056"/>
      <c r="M119" s="387"/>
      <c r="N119" s="3057" t="str">
        <f>IF(COUNTIF($R$14:$R$38,M119),INDEX($S$14:$S$38,MATCH(M119,$R$14:$R150,0)),"")</f>
        <v/>
      </c>
      <c r="O119" s="3057"/>
      <c r="P119" s="3057"/>
      <c r="Q119" s="388"/>
      <c r="R119" s="390"/>
      <c r="S119" s="389"/>
      <c r="T119" s="169"/>
      <c r="U119" s="169"/>
      <c r="V119" s="169"/>
      <c r="W119" s="169"/>
    </row>
    <row r="120" spans="1:23" ht="12.75" hidden="1" customHeight="1">
      <c r="A120" s="384"/>
      <c r="B120" s="385"/>
      <c r="C120" s="3055"/>
      <c r="D120" s="3055"/>
      <c r="E120" s="395"/>
      <c r="F120" s="396"/>
      <c r="G120" s="1095"/>
      <c r="H120" s="3056"/>
      <c r="I120" s="3056"/>
      <c r="J120" s="3056"/>
      <c r="K120" s="3056"/>
      <c r="L120" s="3056"/>
      <c r="M120" s="387"/>
      <c r="N120" s="3057" t="str">
        <f>IF(COUNTIF($R$14:$R$38,M120),INDEX($S$14:$S$38,MATCH(M120,$R$14:$R151,0)),"")</f>
        <v/>
      </c>
      <c r="O120" s="3057"/>
      <c r="P120" s="3057"/>
      <c r="Q120" s="388"/>
      <c r="R120" s="390"/>
      <c r="S120" s="389"/>
      <c r="T120" s="169"/>
      <c r="U120" s="169"/>
      <c r="V120" s="169"/>
      <c r="W120" s="169"/>
    </row>
    <row r="121" spans="1:23" ht="12.75" hidden="1" customHeight="1">
      <c r="A121" s="384"/>
      <c r="B121" s="385"/>
      <c r="C121" s="3055"/>
      <c r="D121" s="3055"/>
      <c r="E121" s="395"/>
      <c r="F121" s="396"/>
      <c r="G121" s="1095"/>
      <c r="H121" s="3056"/>
      <c r="I121" s="3056"/>
      <c r="J121" s="3056"/>
      <c r="K121" s="3056"/>
      <c r="L121" s="3056"/>
      <c r="M121" s="387"/>
      <c r="N121" s="3057" t="str">
        <f>IF(COUNTIF($R$14:$R$38,M121),INDEX($S$14:$S$38,MATCH(M121,$R$14:$R152,0)),"")</f>
        <v/>
      </c>
      <c r="O121" s="3057"/>
      <c r="P121" s="3057"/>
      <c r="Q121" s="388"/>
      <c r="R121" s="390"/>
      <c r="S121" s="389"/>
      <c r="T121" s="169"/>
      <c r="U121" s="169"/>
      <c r="V121" s="169"/>
      <c r="W121" s="169"/>
    </row>
    <row r="122" spans="1:23" ht="12.75" hidden="1" customHeight="1">
      <c r="A122" s="384"/>
      <c r="B122" s="385"/>
      <c r="C122" s="3055"/>
      <c r="D122" s="3055"/>
      <c r="E122" s="395"/>
      <c r="F122" s="396"/>
      <c r="G122" s="1095"/>
      <c r="H122" s="3056"/>
      <c r="I122" s="3056"/>
      <c r="J122" s="3056"/>
      <c r="K122" s="3056"/>
      <c r="L122" s="3056"/>
      <c r="M122" s="387"/>
      <c r="N122" s="3057" t="str">
        <f>IF(COUNTIF($R$14:$R$38,M122),INDEX($S$14:$S$38,MATCH(M122,$R$14:$R153,0)),"")</f>
        <v/>
      </c>
      <c r="O122" s="3057"/>
      <c r="P122" s="3057"/>
      <c r="Q122" s="388"/>
      <c r="R122" s="390"/>
      <c r="S122" s="389"/>
      <c r="T122" s="169"/>
      <c r="U122" s="169"/>
      <c r="V122" s="169"/>
      <c r="W122" s="169"/>
    </row>
    <row r="123" spans="1:23" ht="12.75" hidden="1" customHeight="1">
      <c r="A123" s="384"/>
      <c r="B123" s="385"/>
      <c r="C123" s="3055"/>
      <c r="D123" s="3055"/>
      <c r="E123" s="395"/>
      <c r="F123" s="396"/>
      <c r="G123" s="1095"/>
      <c r="H123" s="3056"/>
      <c r="I123" s="3056"/>
      <c r="J123" s="3056"/>
      <c r="K123" s="3056"/>
      <c r="L123" s="3056"/>
      <c r="M123" s="387"/>
      <c r="N123" s="3057" t="str">
        <f>IF(COUNTIF($R$14:$R$38,M123),INDEX($S$14:$S$38,MATCH(M123,$R$14:$R154,0)),"")</f>
        <v/>
      </c>
      <c r="O123" s="3057"/>
      <c r="P123" s="3057"/>
      <c r="Q123" s="388"/>
      <c r="R123" s="390"/>
      <c r="S123" s="389"/>
      <c r="T123" s="169"/>
      <c r="U123" s="169"/>
      <c r="V123" s="169"/>
      <c r="W123" s="169"/>
    </row>
    <row r="124" spans="1:23" ht="12.75" hidden="1" customHeight="1">
      <c r="A124" s="384"/>
      <c r="B124" s="385"/>
      <c r="C124" s="3055"/>
      <c r="D124" s="3055"/>
      <c r="E124" s="395"/>
      <c r="F124" s="396"/>
      <c r="G124" s="1095"/>
      <c r="H124" s="3056"/>
      <c r="I124" s="3056"/>
      <c r="J124" s="3056"/>
      <c r="K124" s="3056"/>
      <c r="L124" s="3056"/>
      <c r="M124" s="387"/>
      <c r="N124" s="3057" t="str">
        <f>IF(COUNTIF($R$14:$R$38,M124),INDEX($S$14:$S$38,MATCH(M124,$R$14:$R155,0)),"")</f>
        <v/>
      </c>
      <c r="O124" s="3057"/>
      <c r="P124" s="3057"/>
      <c r="Q124" s="388"/>
      <c r="R124" s="390"/>
      <c r="S124" s="389"/>
      <c r="T124" s="169"/>
      <c r="U124" s="169"/>
      <c r="V124" s="169"/>
      <c r="W124" s="169"/>
    </row>
    <row r="125" spans="1:23" ht="12.75" hidden="1" customHeight="1">
      <c r="A125" s="384"/>
      <c r="B125" s="385"/>
      <c r="C125" s="3055"/>
      <c r="D125" s="3055"/>
      <c r="E125" s="395"/>
      <c r="F125" s="396"/>
      <c r="G125" s="1095"/>
      <c r="H125" s="3056"/>
      <c r="I125" s="3056"/>
      <c r="J125" s="3056"/>
      <c r="K125" s="3056"/>
      <c r="L125" s="3056"/>
      <c r="M125" s="387"/>
      <c r="N125" s="3057" t="str">
        <f>IF(COUNTIF($R$14:$R$38,M125),INDEX($S$14:$S$38,MATCH(M125,$R$14:$R156,0)),"")</f>
        <v/>
      </c>
      <c r="O125" s="3057"/>
      <c r="P125" s="3057"/>
      <c r="Q125" s="388"/>
      <c r="R125" s="390"/>
      <c r="S125" s="389"/>
      <c r="T125" s="169"/>
      <c r="U125" s="169"/>
      <c r="V125" s="169"/>
      <c r="W125" s="169"/>
    </row>
    <row r="126" spans="1:23" ht="12.75" hidden="1" customHeight="1">
      <c r="A126" s="384"/>
      <c r="B126" s="385"/>
      <c r="C126" s="3055"/>
      <c r="D126" s="3055"/>
      <c r="E126" s="395"/>
      <c r="F126" s="396"/>
      <c r="G126" s="1095"/>
      <c r="H126" s="3056"/>
      <c r="I126" s="3056"/>
      <c r="J126" s="3056"/>
      <c r="K126" s="3056"/>
      <c r="L126" s="3056"/>
      <c r="M126" s="387"/>
      <c r="N126" s="3057" t="str">
        <f>IF(COUNTIF($R$14:$R$38,M126),INDEX($S$14:$S$38,MATCH(M126,$R$14:$R157,0)),"")</f>
        <v/>
      </c>
      <c r="O126" s="3057"/>
      <c r="P126" s="3057"/>
      <c r="Q126" s="388"/>
      <c r="R126" s="390"/>
      <c r="S126" s="389"/>
      <c r="T126" s="169"/>
      <c r="U126" s="169"/>
      <c r="V126" s="169"/>
      <c r="W126" s="169"/>
    </row>
    <row r="127" spans="1:23" ht="12.75" hidden="1" customHeight="1">
      <c r="A127" s="384"/>
      <c r="B127" s="385"/>
      <c r="C127" s="3055"/>
      <c r="D127" s="3055"/>
      <c r="E127" s="395"/>
      <c r="F127" s="396"/>
      <c r="G127" s="1095"/>
      <c r="H127" s="3056"/>
      <c r="I127" s="3056"/>
      <c r="J127" s="3056"/>
      <c r="K127" s="3056"/>
      <c r="L127" s="3056"/>
      <c r="M127" s="387"/>
      <c r="N127" s="3057" t="str">
        <f>IF(COUNTIF($R$14:$R$38,M127),INDEX($S$14:$S$38,MATCH(M127,$R$14:$R158,0)),"")</f>
        <v/>
      </c>
      <c r="O127" s="3057"/>
      <c r="P127" s="3057"/>
      <c r="Q127" s="388"/>
      <c r="R127" s="390"/>
      <c r="S127" s="389"/>
      <c r="T127" s="169"/>
      <c r="U127" s="169"/>
      <c r="V127" s="169"/>
      <c r="W127" s="169"/>
    </row>
    <row r="128" spans="1:23" ht="12.75" hidden="1" customHeight="1">
      <c r="A128" s="384"/>
      <c r="B128" s="385"/>
      <c r="C128" s="3055"/>
      <c r="D128" s="3055"/>
      <c r="E128" s="395"/>
      <c r="F128" s="396"/>
      <c r="G128" s="1095"/>
      <c r="H128" s="3056"/>
      <c r="I128" s="3056"/>
      <c r="J128" s="3056"/>
      <c r="K128" s="3056"/>
      <c r="L128" s="3056"/>
      <c r="M128" s="387"/>
      <c r="N128" s="3057" t="str">
        <f>IF(COUNTIF($R$14:$R$38,M128),INDEX($S$14:$S$38,MATCH(M128,$R$14:$R159,0)),"")</f>
        <v/>
      </c>
      <c r="O128" s="3057"/>
      <c r="P128" s="3057"/>
      <c r="Q128" s="388"/>
      <c r="R128" s="390"/>
      <c r="S128" s="389"/>
      <c r="T128" s="169"/>
      <c r="U128" s="169"/>
      <c r="V128" s="169"/>
      <c r="W128" s="169"/>
    </row>
    <row r="129" spans="1:23" ht="12.75" hidden="1" customHeight="1">
      <c r="A129" s="384"/>
      <c r="B129" s="385"/>
      <c r="C129" s="3055"/>
      <c r="D129" s="3055"/>
      <c r="E129" s="395"/>
      <c r="F129" s="396"/>
      <c r="G129" s="1095"/>
      <c r="H129" s="3056"/>
      <c r="I129" s="3056"/>
      <c r="J129" s="3056"/>
      <c r="K129" s="3056"/>
      <c r="L129" s="3056"/>
      <c r="M129" s="387"/>
      <c r="N129" s="3057" t="str">
        <f>IF(COUNTIF($R$14:$R$38,M129),INDEX($S$14:$S$38,MATCH(M129,$R$14:$R160,0)),"")</f>
        <v/>
      </c>
      <c r="O129" s="3057"/>
      <c r="P129" s="3057"/>
      <c r="Q129" s="388"/>
      <c r="R129" s="390"/>
      <c r="S129" s="389"/>
      <c r="T129" s="169"/>
      <c r="U129" s="169"/>
      <c r="V129" s="169"/>
      <c r="W129" s="169"/>
    </row>
    <row r="130" spans="1:23" ht="12.75" hidden="1" customHeight="1">
      <c r="A130" s="384"/>
      <c r="B130" s="385"/>
      <c r="C130" s="3055"/>
      <c r="D130" s="3055"/>
      <c r="E130" s="395"/>
      <c r="F130" s="396"/>
      <c r="G130" s="1095"/>
      <c r="H130" s="3056"/>
      <c r="I130" s="3056"/>
      <c r="J130" s="3056"/>
      <c r="K130" s="3056"/>
      <c r="L130" s="3056"/>
      <c r="M130" s="387"/>
      <c r="N130" s="3057" t="str">
        <f>IF(COUNTIF($R$14:$R$38,M130),INDEX($S$14:$S$38,MATCH(M130,$R$14:$R161,0)),"")</f>
        <v/>
      </c>
      <c r="O130" s="3057"/>
      <c r="P130" s="3057"/>
      <c r="Q130" s="388"/>
      <c r="R130" s="390"/>
      <c r="S130" s="389"/>
      <c r="T130" s="169"/>
      <c r="U130" s="169"/>
      <c r="V130" s="169"/>
      <c r="W130" s="169"/>
    </row>
    <row r="131" spans="1:23" ht="12.75" hidden="1" customHeight="1">
      <c r="A131" s="384"/>
      <c r="B131" s="385"/>
      <c r="C131" s="3055"/>
      <c r="D131" s="3055"/>
      <c r="E131" s="395"/>
      <c r="F131" s="396"/>
      <c r="G131" s="1095"/>
      <c r="H131" s="3056"/>
      <c r="I131" s="3056"/>
      <c r="J131" s="3056"/>
      <c r="K131" s="3056"/>
      <c r="L131" s="3056"/>
      <c r="M131" s="387"/>
      <c r="N131" s="3057" t="str">
        <f>IF(COUNTIF($R$14:$R$38,M131),INDEX($S$14:$S$38,MATCH(M131,$R$14:$R162,0)),"")</f>
        <v/>
      </c>
      <c r="O131" s="3057"/>
      <c r="P131" s="3057"/>
      <c r="Q131" s="388"/>
      <c r="R131" s="390"/>
      <c r="S131" s="389"/>
      <c r="T131" s="169"/>
      <c r="U131" s="169"/>
      <c r="V131" s="169"/>
      <c r="W131" s="169"/>
    </row>
    <row r="132" spans="1:23" ht="12.75" hidden="1" customHeight="1">
      <c r="A132" s="384"/>
      <c r="B132" s="385"/>
      <c r="C132" s="3055"/>
      <c r="D132" s="3055"/>
      <c r="E132" s="395"/>
      <c r="F132" s="396"/>
      <c r="G132" s="1095"/>
      <c r="H132" s="3056"/>
      <c r="I132" s="3056"/>
      <c r="J132" s="3056"/>
      <c r="K132" s="3056"/>
      <c r="L132" s="3056"/>
      <c r="M132" s="387"/>
      <c r="N132" s="3057" t="str">
        <f>IF(COUNTIF($R$14:$R$38,M132),INDEX($S$14:$S$38,MATCH(M132,$R$14:$R163,0)),"")</f>
        <v/>
      </c>
      <c r="O132" s="3057"/>
      <c r="P132" s="3057"/>
      <c r="Q132" s="388"/>
      <c r="R132" s="390"/>
      <c r="S132" s="389"/>
      <c r="T132" s="169"/>
      <c r="U132" s="169"/>
      <c r="V132" s="169"/>
      <c r="W132" s="169"/>
    </row>
    <row r="133" spans="1:23" ht="12.75" hidden="1" customHeight="1">
      <c r="A133" s="384"/>
      <c r="B133" s="385"/>
      <c r="C133" s="3055"/>
      <c r="D133" s="3055"/>
      <c r="E133" s="395"/>
      <c r="F133" s="396"/>
      <c r="G133" s="1095"/>
      <c r="H133" s="3056"/>
      <c r="I133" s="3056"/>
      <c r="J133" s="3056"/>
      <c r="K133" s="3056"/>
      <c r="L133" s="3056"/>
      <c r="M133" s="387"/>
      <c r="N133" s="3057" t="str">
        <f>IF(COUNTIF($R$14:$R$38,M133),INDEX($S$14:$S$38,MATCH(M133,$R$14:$R164,0)),"")</f>
        <v/>
      </c>
      <c r="O133" s="3057"/>
      <c r="P133" s="3057"/>
      <c r="Q133" s="388"/>
      <c r="R133" s="390"/>
      <c r="S133" s="389"/>
      <c r="T133" s="169"/>
      <c r="U133" s="169"/>
      <c r="V133" s="169"/>
      <c r="W133" s="169"/>
    </row>
    <row r="134" spans="1:23" ht="12.75" hidden="1" customHeight="1">
      <c r="A134" s="384"/>
      <c r="B134" s="385"/>
      <c r="C134" s="3055"/>
      <c r="D134" s="3055"/>
      <c r="E134" s="395"/>
      <c r="F134" s="396"/>
      <c r="G134" s="1095"/>
      <c r="H134" s="3056"/>
      <c r="I134" s="3056"/>
      <c r="J134" s="3056"/>
      <c r="K134" s="3056"/>
      <c r="L134" s="3056"/>
      <c r="M134" s="387"/>
      <c r="N134" s="3057" t="str">
        <f>IF(COUNTIF($R$14:$R$38,M134),INDEX($S$14:$S$38,MATCH(M134,$R$14:$R165,0)),"")</f>
        <v/>
      </c>
      <c r="O134" s="3057"/>
      <c r="P134" s="3057"/>
      <c r="Q134" s="388"/>
      <c r="R134" s="390"/>
      <c r="S134" s="389"/>
      <c r="T134" s="169"/>
      <c r="U134" s="169"/>
      <c r="V134" s="169"/>
      <c r="W134" s="169"/>
    </row>
    <row r="135" spans="1:23" ht="12.75" hidden="1" customHeight="1">
      <c r="A135" s="384"/>
      <c r="B135" s="385"/>
      <c r="C135" s="3055"/>
      <c r="D135" s="3055"/>
      <c r="E135" s="395"/>
      <c r="F135" s="396"/>
      <c r="G135" s="1095"/>
      <c r="H135" s="3056"/>
      <c r="I135" s="3056"/>
      <c r="J135" s="3056"/>
      <c r="K135" s="3056"/>
      <c r="L135" s="3056"/>
      <c r="M135" s="387"/>
      <c r="N135" s="3057" t="str">
        <f>IF(COUNTIF($R$14:$R$38,M135),INDEX($S$14:$S$38,MATCH(M135,$R$14:$R166,0)),"")</f>
        <v/>
      </c>
      <c r="O135" s="3057"/>
      <c r="P135" s="3057"/>
      <c r="Q135" s="388"/>
      <c r="R135" s="390"/>
      <c r="S135" s="389"/>
      <c r="T135" s="169"/>
      <c r="U135" s="169"/>
      <c r="V135" s="169"/>
      <c r="W135" s="169"/>
    </row>
    <row r="136" spans="1:23" ht="12.75" hidden="1" customHeight="1">
      <c r="A136" s="384"/>
      <c r="B136" s="385"/>
      <c r="C136" s="3055"/>
      <c r="D136" s="3055"/>
      <c r="E136" s="395"/>
      <c r="F136" s="396"/>
      <c r="G136" s="1095"/>
      <c r="H136" s="3056"/>
      <c r="I136" s="3056"/>
      <c r="J136" s="3056"/>
      <c r="K136" s="3056"/>
      <c r="L136" s="3056"/>
      <c r="M136" s="387"/>
      <c r="N136" s="3057" t="str">
        <f>IF(COUNTIF($R$14:$R$38,M136),INDEX($S$14:$S$38,MATCH(M136,$R$14:$R167,0)),"")</f>
        <v/>
      </c>
      <c r="O136" s="3057"/>
      <c r="P136" s="3057"/>
      <c r="Q136" s="388"/>
      <c r="R136" s="390"/>
      <c r="S136" s="389"/>
      <c r="T136" s="169"/>
      <c r="U136" s="169"/>
      <c r="V136" s="169"/>
      <c r="W136" s="169"/>
    </row>
    <row r="137" spans="1:23" ht="12.75" hidden="1" customHeight="1">
      <c r="A137" s="384"/>
      <c r="B137" s="385"/>
      <c r="C137" s="3055"/>
      <c r="D137" s="3055"/>
      <c r="E137" s="395"/>
      <c r="F137" s="396"/>
      <c r="G137" s="1095"/>
      <c r="H137" s="3056"/>
      <c r="I137" s="3056"/>
      <c r="J137" s="3056"/>
      <c r="K137" s="3056"/>
      <c r="L137" s="3056"/>
      <c r="M137" s="387"/>
      <c r="N137" s="3057" t="str">
        <f>IF(COUNTIF($R$14:$R$38,M137),INDEX($S$14:$S$38,MATCH(M137,$R$14:$R168,0)),"")</f>
        <v/>
      </c>
      <c r="O137" s="3057"/>
      <c r="P137" s="3057"/>
      <c r="Q137" s="388"/>
      <c r="R137" s="390"/>
      <c r="S137" s="389"/>
      <c r="T137" s="169"/>
      <c r="U137" s="169"/>
      <c r="V137" s="169"/>
      <c r="W137" s="169"/>
    </row>
    <row r="138" spans="1:23" ht="12.75" hidden="1" customHeight="1">
      <c r="A138" s="384"/>
      <c r="B138" s="385"/>
      <c r="C138" s="3055"/>
      <c r="D138" s="3055"/>
      <c r="E138" s="395"/>
      <c r="F138" s="396"/>
      <c r="G138" s="1095"/>
      <c r="H138" s="3056"/>
      <c r="I138" s="3056"/>
      <c r="J138" s="3056"/>
      <c r="K138" s="3056"/>
      <c r="L138" s="3056"/>
      <c r="M138" s="387"/>
      <c r="N138" s="3057" t="str">
        <f>IF(COUNTIF($R$14:$R$38,M138),INDEX($S$14:$S$38,MATCH(M138,$R$14:$R169,0)),"")</f>
        <v/>
      </c>
      <c r="O138" s="3057"/>
      <c r="P138" s="3057"/>
      <c r="Q138" s="388"/>
      <c r="R138" s="390"/>
      <c r="S138" s="389"/>
      <c r="T138" s="169"/>
      <c r="U138" s="169"/>
      <c r="V138" s="169"/>
      <c r="W138" s="169"/>
    </row>
    <row r="139" spans="1:23" ht="12.75" hidden="1" customHeight="1">
      <c r="A139" s="384"/>
      <c r="B139" s="385"/>
      <c r="C139" s="3055"/>
      <c r="D139" s="3055"/>
      <c r="E139" s="395"/>
      <c r="F139" s="396"/>
      <c r="G139" s="1095"/>
      <c r="H139" s="3056"/>
      <c r="I139" s="3056"/>
      <c r="J139" s="3056"/>
      <c r="K139" s="3056"/>
      <c r="L139" s="3056"/>
      <c r="M139" s="387"/>
      <c r="N139" s="3057" t="str">
        <f>IF(COUNTIF($R$14:$R$38,M139),INDEX($S$14:$S$38,MATCH(M139,$R$14:$R170,0)),"")</f>
        <v/>
      </c>
      <c r="O139" s="3057"/>
      <c r="P139" s="3057"/>
      <c r="Q139" s="388"/>
      <c r="R139" s="390"/>
      <c r="S139" s="389"/>
      <c r="T139" s="169"/>
      <c r="U139" s="169"/>
      <c r="V139" s="169"/>
      <c r="W139" s="169"/>
    </row>
    <row r="140" spans="1:23" ht="12.75" hidden="1" customHeight="1">
      <c r="A140" s="384"/>
      <c r="B140" s="385"/>
      <c r="C140" s="3055"/>
      <c r="D140" s="3055"/>
      <c r="E140" s="395"/>
      <c r="F140" s="396"/>
      <c r="G140" s="1095"/>
      <c r="H140" s="3056"/>
      <c r="I140" s="3056"/>
      <c r="J140" s="3056"/>
      <c r="K140" s="3056"/>
      <c r="L140" s="3056"/>
      <c r="M140" s="387"/>
      <c r="N140" s="3057" t="str">
        <f>IF(COUNTIF($R$14:$R$38,M140),INDEX($S$14:$S$38,MATCH(M140,$R$14:$R171,0)),"")</f>
        <v/>
      </c>
      <c r="O140" s="3057"/>
      <c r="P140" s="3057"/>
      <c r="Q140" s="388"/>
      <c r="R140" s="390"/>
      <c r="S140" s="389"/>
      <c r="T140" s="169"/>
      <c r="U140" s="169"/>
      <c r="V140" s="169"/>
      <c r="W140" s="169"/>
    </row>
    <row r="141" spans="1:23" ht="12.75" hidden="1" customHeight="1">
      <c r="A141" s="384"/>
      <c r="B141" s="385"/>
      <c r="C141" s="3055"/>
      <c r="D141" s="3055"/>
      <c r="E141" s="395"/>
      <c r="F141" s="396"/>
      <c r="G141" s="1095"/>
      <c r="H141" s="3056"/>
      <c r="I141" s="3056"/>
      <c r="J141" s="3056"/>
      <c r="K141" s="3056"/>
      <c r="L141" s="3056"/>
      <c r="M141" s="387"/>
      <c r="N141" s="3057" t="str">
        <f>IF(COUNTIF($R$14:$R$38,M141),INDEX($S$14:$S$38,MATCH(M141,$R$14:$R172,0)),"")</f>
        <v/>
      </c>
      <c r="O141" s="3057"/>
      <c r="P141" s="3057"/>
      <c r="Q141" s="388"/>
      <c r="R141" s="390"/>
      <c r="S141" s="389"/>
      <c r="T141" s="169"/>
      <c r="U141" s="169"/>
      <c r="V141" s="169"/>
      <c r="W141" s="169"/>
    </row>
    <row r="142" spans="1:23" ht="12.75" hidden="1" customHeight="1">
      <c r="A142" s="384"/>
      <c r="B142" s="385"/>
      <c r="C142" s="3055"/>
      <c r="D142" s="3055"/>
      <c r="E142" s="395"/>
      <c r="F142" s="396"/>
      <c r="G142" s="1095"/>
      <c r="H142" s="3056"/>
      <c r="I142" s="3056"/>
      <c r="J142" s="3056"/>
      <c r="K142" s="3056"/>
      <c r="L142" s="3056"/>
      <c r="M142" s="387"/>
      <c r="N142" s="3057" t="str">
        <f>IF(COUNTIF($R$14:$R$38,M142),INDEX($S$14:$S$38,MATCH(M142,$R$14:$R173,0)),"")</f>
        <v/>
      </c>
      <c r="O142" s="3057"/>
      <c r="P142" s="3057"/>
      <c r="Q142" s="388"/>
      <c r="R142" s="390"/>
      <c r="S142" s="389"/>
      <c r="T142" s="169"/>
      <c r="U142" s="169"/>
      <c r="V142" s="169"/>
      <c r="W142" s="169"/>
    </row>
    <row r="143" spans="1:23" ht="12.75" hidden="1" customHeight="1">
      <c r="A143" s="384"/>
      <c r="B143" s="385"/>
      <c r="C143" s="3055"/>
      <c r="D143" s="3055"/>
      <c r="E143" s="395"/>
      <c r="F143" s="396"/>
      <c r="G143" s="1095"/>
      <c r="H143" s="3056"/>
      <c r="I143" s="3056"/>
      <c r="J143" s="3056"/>
      <c r="K143" s="3056"/>
      <c r="L143" s="3056"/>
      <c r="M143" s="387"/>
      <c r="N143" s="3057" t="str">
        <f>IF(COUNTIF($R$14:$R$38,M143),INDEX($S$14:$S$38,MATCH(M143,$R$14:$R174,0)),"")</f>
        <v/>
      </c>
      <c r="O143" s="3057"/>
      <c r="P143" s="3057"/>
      <c r="Q143" s="388"/>
      <c r="R143" s="390"/>
      <c r="S143" s="389"/>
      <c r="T143" s="169"/>
      <c r="U143" s="169"/>
      <c r="V143" s="169"/>
      <c r="W143" s="169"/>
    </row>
    <row r="144" spans="1:23" ht="12.75" hidden="1" customHeight="1">
      <c r="A144" s="384"/>
      <c r="B144" s="385"/>
      <c r="C144" s="3055"/>
      <c r="D144" s="3055"/>
      <c r="E144" s="395"/>
      <c r="F144" s="396"/>
      <c r="G144" s="1095"/>
      <c r="H144" s="3056"/>
      <c r="I144" s="3056"/>
      <c r="J144" s="3056"/>
      <c r="K144" s="3056"/>
      <c r="L144" s="3056"/>
      <c r="M144" s="387"/>
      <c r="N144" s="3057" t="str">
        <f>IF(COUNTIF($R$14:$R$38,M144),INDEX($S$14:$S$38,MATCH(M144,$R$14:$R175,0)),"")</f>
        <v/>
      </c>
      <c r="O144" s="3057"/>
      <c r="P144" s="3057"/>
      <c r="Q144" s="388"/>
      <c r="R144" s="390"/>
      <c r="S144" s="389"/>
      <c r="T144" s="169"/>
      <c r="U144" s="169"/>
      <c r="V144" s="169"/>
      <c r="W144" s="169"/>
    </row>
    <row r="145" spans="1:23" ht="12.75" hidden="1" customHeight="1">
      <c r="A145" s="384"/>
      <c r="B145" s="385"/>
      <c r="C145" s="3055"/>
      <c r="D145" s="3055"/>
      <c r="E145" s="395"/>
      <c r="F145" s="396"/>
      <c r="G145" s="1095"/>
      <c r="H145" s="3056"/>
      <c r="I145" s="3056"/>
      <c r="J145" s="3056"/>
      <c r="K145" s="3056"/>
      <c r="L145" s="3056"/>
      <c r="M145" s="387"/>
      <c r="N145" s="3057" t="str">
        <f>IF(COUNTIF($R$14:$R$38,M145),INDEX($S$14:$S$38,MATCH(M145,$R$14:$R176,0)),"")</f>
        <v/>
      </c>
      <c r="O145" s="3057"/>
      <c r="P145" s="3057"/>
      <c r="Q145" s="388"/>
      <c r="R145" s="390"/>
      <c r="S145" s="389"/>
      <c r="T145" s="169"/>
      <c r="U145" s="169"/>
      <c r="V145" s="169"/>
      <c r="W145" s="169"/>
    </row>
    <row r="146" spans="1:23" ht="12.75" hidden="1" customHeight="1">
      <c r="A146" s="384"/>
      <c r="B146" s="385"/>
      <c r="C146" s="3055"/>
      <c r="D146" s="3055"/>
      <c r="E146" s="395"/>
      <c r="F146" s="396"/>
      <c r="G146" s="1095"/>
      <c r="H146" s="3056"/>
      <c r="I146" s="3056"/>
      <c r="J146" s="3056"/>
      <c r="K146" s="3056"/>
      <c r="L146" s="3056"/>
      <c r="M146" s="387"/>
      <c r="N146" s="3057" t="str">
        <f>IF(COUNTIF($R$14:$R$38,M146),INDEX($S$14:$S$38,MATCH(M146,$R$14:$R177,0)),"")</f>
        <v/>
      </c>
      <c r="O146" s="3057"/>
      <c r="P146" s="3057"/>
      <c r="Q146" s="388"/>
      <c r="R146" s="390"/>
      <c r="S146" s="389"/>
      <c r="T146" s="169"/>
      <c r="U146" s="169"/>
      <c r="V146" s="169"/>
      <c r="W146" s="169"/>
    </row>
    <row r="147" spans="1:23" ht="12.75" hidden="1" customHeight="1">
      <c r="A147" s="384"/>
      <c r="B147" s="385"/>
      <c r="C147" s="3055"/>
      <c r="D147" s="3055"/>
      <c r="E147" s="395"/>
      <c r="F147" s="396"/>
      <c r="G147" s="1095"/>
      <c r="H147" s="3056"/>
      <c r="I147" s="3056"/>
      <c r="J147" s="3056"/>
      <c r="K147" s="3056"/>
      <c r="L147" s="3056"/>
      <c r="M147" s="387"/>
      <c r="N147" s="3057" t="str">
        <f>IF(COUNTIF($R$14:$R$38,M147),INDEX($S$14:$S$38,MATCH(M147,$R$14:$R178,0)),"")</f>
        <v/>
      </c>
      <c r="O147" s="3057"/>
      <c r="P147" s="3057"/>
      <c r="Q147" s="388"/>
      <c r="R147" s="390"/>
      <c r="S147" s="389"/>
      <c r="T147" s="169"/>
      <c r="U147" s="169"/>
      <c r="V147" s="169"/>
      <c r="W147" s="169"/>
    </row>
    <row r="148" spans="1:23" ht="12.75" hidden="1" customHeight="1">
      <c r="A148" s="384"/>
      <c r="B148" s="385"/>
      <c r="C148" s="3055"/>
      <c r="D148" s="3055"/>
      <c r="E148" s="395"/>
      <c r="F148" s="396"/>
      <c r="G148" s="1095"/>
      <c r="H148" s="3056"/>
      <c r="I148" s="3056"/>
      <c r="J148" s="3056"/>
      <c r="K148" s="3056"/>
      <c r="L148" s="3056"/>
      <c r="M148" s="387"/>
      <c r="N148" s="3057" t="str">
        <f>IF(COUNTIF($R$14:$R$38,M148),INDEX($S$14:$S$38,MATCH(M148,$R$14:$R179,0)),"")</f>
        <v/>
      </c>
      <c r="O148" s="3057"/>
      <c r="P148" s="3057"/>
      <c r="Q148" s="388"/>
      <c r="R148" s="390"/>
      <c r="S148" s="389"/>
      <c r="T148" s="169"/>
      <c r="U148" s="169"/>
      <c r="V148" s="169"/>
      <c r="W148" s="169"/>
    </row>
    <row r="149" spans="1:23" ht="12.75" hidden="1" customHeight="1">
      <c r="A149" s="384"/>
      <c r="B149" s="385"/>
      <c r="C149" s="3055"/>
      <c r="D149" s="3055"/>
      <c r="E149" s="395"/>
      <c r="F149" s="396"/>
      <c r="G149" s="1095"/>
      <c r="H149" s="3056"/>
      <c r="I149" s="3056"/>
      <c r="J149" s="3056"/>
      <c r="K149" s="3056"/>
      <c r="L149" s="3056"/>
      <c r="M149" s="387"/>
      <c r="N149" s="3057" t="str">
        <f>IF(COUNTIF($R$14:$R$38,M149),INDEX($S$14:$S$38,MATCH(M149,$R$14:$R180,0)),"")</f>
        <v/>
      </c>
      <c r="O149" s="3057"/>
      <c r="P149" s="3057"/>
      <c r="Q149" s="388"/>
      <c r="R149" s="390"/>
      <c r="S149" s="389"/>
      <c r="T149" s="169"/>
      <c r="U149" s="169"/>
      <c r="V149" s="169"/>
      <c r="W149" s="169"/>
    </row>
    <row r="150" spans="1:23" ht="12.75" hidden="1" customHeight="1">
      <c r="A150" s="384"/>
      <c r="B150" s="385"/>
      <c r="C150" s="3055"/>
      <c r="D150" s="3055"/>
      <c r="E150" s="395"/>
      <c r="F150" s="396"/>
      <c r="G150" s="1095"/>
      <c r="H150" s="3056"/>
      <c r="I150" s="3056"/>
      <c r="J150" s="3056"/>
      <c r="K150" s="3056"/>
      <c r="L150" s="3056"/>
      <c r="M150" s="387"/>
      <c r="N150" s="3057" t="str">
        <f>IF(COUNTIF($R$14:$R$38,M150),INDEX($S$14:$S$38,MATCH(M150,$R$14:$R181,0)),"")</f>
        <v/>
      </c>
      <c r="O150" s="3057"/>
      <c r="P150" s="3057"/>
      <c r="Q150" s="388"/>
      <c r="R150" s="390"/>
      <c r="S150" s="389"/>
      <c r="T150" s="169"/>
      <c r="U150" s="169"/>
      <c r="V150" s="169"/>
      <c r="W150" s="169"/>
    </row>
    <row r="151" spans="1:23" ht="12.75" hidden="1" customHeight="1">
      <c r="A151" s="384"/>
      <c r="B151" s="385"/>
      <c r="C151" s="3055"/>
      <c r="D151" s="3055"/>
      <c r="E151" s="395"/>
      <c r="F151" s="396"/>
      <c r="G151" s="1095"/>
      <c r="H151" s="3056"/>
      <c r="I151" s="3056"/>
      <c r="J151" s="3056"/>
      <c r="K151" s="3056"/>
      <c r="L151" s="3056"/>
      <c r="M151" s="387"/>
      <c r="N151" s="3057" t="str">
        <f>IF(COUNTIF($R$14:$R$38,M151),INDEX($S$14:$S$38,MATCH(M151,$R$14:$R182,0)),"")</f>
        <v/>
      </c>
      <c r="O151" s="3057"/>
      <c r="P151" s="3057"/>
      <c r="Q151" s="388"/>
      <c r="R151" s="390"/>
      <c r="S151" s="389"/>
      <c r="T151" s="169"/>
      <c r="U151" s="169"/>
      <c r="V151" s="169"/>
      <c r="W151" s="169"/>
    </row>
    <row r="152" spans="1:23" ht="12.75" hidden="1" customHeight="1">
      <c r="A152" s="384"/>
      <c r="B152" s="385"/>
      <c r="C152" s="3055"/>
      <c r="D152" s="3055"/>
      <c r="E152" s="395"/>
      <c r="F152" s="396"/>
      <c r="G152" s="1095"/>
      <c r="H152" s="3056"/>
      <c r="I152" s="3056"/>
      <c r="J152" s="3056"/>
      <c r="K152" s="3056"/>
      <c r="L152" s="3056"/>
      <c r="M152" s="387"/>
      <c r="N152" s="3057" t="str">
        <f>IF(COUNTIF($R$14:$R$38,M152),INDEX($S$14:$S$38,MATCH(M152,$R$14:$R183,0)),"")</f>
        <v/>
      </c>
      <c r="O152" s="3057"/>
      <c r="P152" s="3057"/>
      <c r="Q152" s="388"/>
      <c r="R152" s="390"/>
      <c r="S152" s="389"/>
      <c r="T152" s="169"/>
      <c r="U152" s="169"/>
      <c r="V152" s="169"/>
      <c r="W152" s="169"/>
    </row>
    <row r="153" spans="1:23" ht="12.75" hidden="1" customHeight="1">
      <c r="A153" s="384"/>
      <c r="B153" s="385"/>
      <c r="C153" s="3055"/>
      <c r="D153" s="3055"/>
      <c r="E153" s="395"/>
      <c r="F153" s="396"/>
      <c r="G153" s="1095"/>
      <c r="H153" s="3056"/>
      <c r="I153" s="3056"/>
      <c r="J153" s="3056"/>
      <c r="K153" s="3056"/>
      <c r="L153" s="3056"/>
      <c r="M153" s="387"/>
      <c r="N153" s="3057" t="str">
        <f>IF(COUNTIF($R$14:$R$38,M153),INDEX($S$14:$S$38,MATCH(M153,$R$14:$R184,0)),"")</f>
        <v/>
      </c>
      <c r="O153" s="3057"/>
      <c r="P153" s="3057"/>
      <c r="Q153" s="388"/>
      <c r="R153" s="390"/>
      <c r="S153" s="389"/>
      <c r="T153" s="169"/>
      <c r="U153" s="169"/>
      <c r="V153" s="169"/>
      <c r="W153" s="169"/>
    </row>
    <row r="154" spans="1:23" ht="12.75" hidden="1" customHeight="1">
      <c r="A154" s="384"/>
      <c r="B154" s="385"/>
      <c r="C154" s="3055"/>
      <c r="D154" s="3055"/>
      <c r="E154" s="395"/>
      <c r="F154" s="396"/>
      <c r="G154" s="1095"/>
      <c r="H154" s="3056"/>
      <c r="I154" s="3056"/>
      <c r="J154" s="3056"/>
      <c r="K154" s="3056"/>
      <c r="L154" s="3056"/>
      <c r="M154" s="387"/>
      <c r="N154" s="3057" t="str">
        <f>IF(COUNTIF($R$14:$R$38,M154),INDEX($S$14:$S$38,MATCH(M154,$R$14:$R185,0)),"")</f>
        <v/>
      </c>
      <c r="O154" s="3057"/>
      <c r="P154" s="3057"/>
      <c r="Q154" s="388"/>
      <c r="R154" s="390"/>
      <c r="S154" s="389"/>
      <c r="T154" s="169"/>
      <c r="U154" s="169"/>
      <c r="V154" s="169"/>
      <c r="W154" s="169"/>
    </row>
    <row r="155" spans="1:23" ht="12.75" hidden="1" customHeight="1">
      <c r="A155" s="384"/>
      <c r="B155" s="385"/>
      <c r="C155" s="3055"/>
      <c r="D155" s="3055"/>
      <c r="E155" s="395"/>
      <c r="F155" s="396"/>
      <c r="G155" s="1095"/>
      <c r="H155" s="3056"/>
      <c r="I155" s="3056"/>
      <c r="J155" s="3056"/>
      <c r="K155" s="3056"/>
      <c r="L155" s="3056"/>
      <c r="M155" s="387"/>
      <c r="N155" s="3057" t="str">
        <f>IF(COUNTIF($R$14:$R$38,M155),INDEX($S$14:$S$38,MATCH(M155,$R$14:$R186,0)),"")</f>
        <v/>
      </c>
      <c r="O155" s="3057"/>
      <c r="P155" s="3057"/>
      <c r="Q155" s="388"/>
      <c r="R155" s="390"/>
      <c r="S155" s="389"/>
      <c r="T155" s="169"/>
      <c r="U155" s="169"/>
      <c r="V155" s="169"/>
      <c r="W155" s="169"/>
    </row>
    <row r="156" spans="1:23" ht="12.75" hidden="1" customHeight="1">
      <c r="A156" s="384"/>
      <c r="B156" s="385"/>
      <c r="C156" s="3055"/>
      <c r="D156" s="3055"/>
      <c r="E156" s="395"/>
      <c r="F156" s="396"/>
      <c r="G156" s="1095"/>
      <c r="H156" s="3056"/>
      <c r="I156" s="3056"/>
      <c r="J156" s="3056"/>
      <c r="K156" s="3056"/>
      <c r="L156" s="3056"/>
      <c r="M156" s="387"/>
      <c r="N156" s="3057" t="str">
        <f>IF(COUNTIF($R$14:$R$38,M156),INDEX($S$14:$S$38,MATCH(M156,$R$14:$R187,0)),"")</f>
        <v/>
      </c>
      <c r="O156" s="3057"/>
      <c r="P156" s="3057"/>
      <c r="Q156" s="388"/>
      <c r="R156" s="390"/>
      <c r="S156" s="389"/>
      <c r="T156" s="169"/>
      <c r="U156" s="169"/>
      <c r="V156" s="169"/>
      <c r="W156" s="169"/>
    </row>
    <row r="157" spans="1:23" ht="12.75" hidden="1" customHeight="1">
      <c r="A157" s="384"/>
      <c r="B157" s="385"/>
      <c r="C157" s="3055"/>
      <c r="D157" s="3055"/>
      <c r="E157" s="395"/>
      <c r="F157" s="396"/>
      <c r="G157" s="1095"/>
      <c r="H157" s="3056"/>
      <c r="I157" s="3056"/>
      <c r="J157" s="3056"/>
      <c r="K157" s="3056"/>
      <c r="L157" s="3056"/>
      <c r="M157" s="387"/>
      <c r="N157" s="3057" t="str">
        <f>IF(COUNTIF($R$14:$R$38,M157),INDEX($S$14:$S$38,MATCH(M157,$R$14:$R188,0)),"")</f>
        <v/>
      </c>
      <c r="O157" s="3057"/>
      <c r="P157" s="3057"/>
      <c r="Q157" s="388"/>
      <c r="R157" s="390"/>
      <c r="S157" s="389"/>
      <c r="T157" s="169"/>
      <c r="U157" s="169"/>
      <c r="V157" s="169"/>
      <c r="W157" s="169"/>
    </row>
    <row r="158" spans="1:23" ht="12.75" hidden="1" customHeight="1">
      <c r="A158" s="384"/>
      <c r="B158" s="385"/>
      <c r="C158" s="3055"/>
      <c r="D158" s="3055"/>
      <c r="E158" s="395"/>
      <c r="F158" s="396"/>
      <c r="G158" s="1095"/>
      <c r="H158" s="3056"/>
      <c r="I158" s="3056"/>
      <c r="J158" s="3056"/>
      <c r="K158" s="3056"/>
      <c r="L158" s="3056"/>
      <c r="M158" s="387"/>
      <c r="N158" s="3057" t="str">
        <f>IF(COUNTIF($R$14:$R$38,M158),INDEX($S$14:$S$38,MATCH(M158,$R$14:$R189,0)),"")</f>
        <v/>
      </c>
      <c r="O158" s="3057"/>
      <c r="P158" s="3057"/>
      <c r="Q158" s="388"/>
      <c r="R158" s="390"/>
      <c r="S158" s="389"/>
      <c r="T158" s="169"/>
      <c r="U158" s="169"/>
      <c r="V158" s="169"/>
      <c r="W158" s="169"/>
    </row>
    <row r="159" spans="1:23" ht="12.75" hidden="1" customHeight="1">
      <c r="A159" s="384"/>
      <c r="B159" s="385"/>
      <c r="C159" s="3055"/>
      <c r="D159" s="3055"/>
      <c r="E159" s="395"/>
      <c r="F159" s="396"/>
      <c r="G159" s="1095"/>
      <c r="H159" s="3056"/>
      <c r="I159" s="3056"/>
      <c r="J159" s="3056"/>
      <c r="K159" s="3056"/>
      <c r="L159" s="3056"/>
      <c r="M159" s="387"/>
      <c r="N159" s="3057" t="str">
        <f>IF(COUNTIF($R$14:$R$38,M159),INDEX($S$14:$S$38,MATCH(M159,$R$14:$R190,0)),"")</f>
        <v/>
      </c>
      <c r="O159" s="3057"/>
      <c r="P159" s="3057"/>
      <c r="Q159" s="388"/>
      <c r="R159" s="390"/>
      <c r="S159" s="389"/>
      <c r="T159" s="169"/>
      <c r="U159" s="169"/>
      <c r="V159" s="169"/>
      <c r="W159" s="169"/>
    </row>
    <row r="160" spans="1:23" ht="12.75" hidden="1" customHeight="1">
      <c r="A160" s="384"/>
      <c r="B160" s="385"/>
      <c r="C160" s="3055"/>
      <c r="D160" s="3055"/>
      <c r="E160" s="395"/>
      <c r="F160" s="396"/>
      <c r="G160" s="1095"/>
      <c r="H160" s="3056"/>
      <c r="I160" s="3056"/>
      <c r="J160" s="3056"/>
      <c r="K160" s="3056"/>
      <c r="L160" s="3056"/>
      <c r="M160" s="387"/>
      <c r="N160" s="3057" t="str">
        <f>IF(COUNTIF($R$14:$R$38,M160),INDEX($S$14:$S$38,MATCH(M160,$R$14:$R191,0)),"")</f>
        <v/>
      </c>
      <c r="O160" s="3057"/>
      <c r="P160" s="3057"/>
      <c r="Q160" s="388"/>
      <c r="R160" s="390"/>
      <c r="S160" s="389"/>
      <c r="T160" s="169"/>
      <c r="U160" s="169"/>
      <c r="V160" s="169"/>
      <c r="W160" s="169"/>
    </row>
    <row r="161" spans="1:23" ht="12.75" hidden="1" customHeight="1">
      <c r="A161" s="384"/>
      <c r="B161" s="385"/>
      <c r="C161" s="3055"/>
      <c r="D161" s="3055"/>
      <c r="E161" s="395"/>
      <c r="F161" s="396"/>
      <c r="G161" s="1095"/>
      <c r="H161" s="3056"/>
      <c r="I161" s="3056"/>
      <c r="J161" s="3056"/>
      <c r="K161" s="3056"/>
      <c r="L161" s="3056"/>
      <c r="M161" s="387"/>
      <c r="N161" s="3057" t="str">
        <f>IF(COUNTIF($R$14:$R$38,M161),INDEX($S$14:$S$38,MATCH(M161,$R$14:$R192,0)),"")</f>
        <v/>
      </c>
      <c r="O161" s="3057"/>
      <c r="P161" s="3057"/>
      <c r="Q161" s="388"/>
      <c r="R161" s="390"/>
      <c r="S161" s="389"/>
      <c r="T161" s="169"/>
      <c r="U161" s="169"/>
      <c r="V161" s="169"/>
      <c r="W161" s="169"/>
    </row>
    <row r="162" spans="1:23" ht="12.75" hidden="1" customHeight="1">
      <c r="A162" s="384"/>
      <c r="B162" s="385"/>
      <c r="C162" s="3055"/>
      <c r="D162" s="3055"/>
      <c r="E162" s="395"/>
      <c r="F162" s="396"/>
      <c r="G162" s="1095"/>
      <c r="H162" s="3056"/>
      <c r="I162" s="3056"/>
      <c r="J162" s="3056"/>
      <c r="K162" s="3056"/>
      <c r="L162" s="3056"/>
      <c r="M162" s="387"/>
      <c r="N162" s="3057" t="str">
        <f>IF(COUNTIF($R$14:$R$38,M162),INDEX($S$14:$S$38,MATCH(M162,$R$14:$R193,0)),"")</f>
        <v/>
      </c>
      <c r="O162" s="3057"/>
      <c r="P162" s="3057"/>
      <c r="Q162" s="388"/>
      <c r="R162" s="390"/>
      <c r="S162" s="389"/>
      <c r="T162" s="169"/>
      <c r="U162" s="169"/>
      <c r="V162" s="169"/>
      <c r="W162" s="169"/>
    </row>
    <row r="163" spans="1:23" ht="12.75" hidden="1" customHeight="1">
      <c r="A163" s="384"/>
      <c r="B163" s="385"/>
      <c r="C163" s="3055"/>
      <c r="D163" s="3055"/>
      <c r="E163" s="395"/>
      <c r="F163" s="396"/>
      <c r="G163" s="1095"/>
      <c r="H163" s="3056"/>
      <c r="I163" s="3056"/>
      <c r="J163" s="3056"/>
      <c r="K163" s="3056"/>
      <c r="L163" s="3056"/>
      <c r="M163" s="387"/>
      <c r="N163" s="3057" t="str">
        <f>IF(COUNTIF($R$14:$R$38,M163),INDEX($S$14:$S$38,MATCH(M163,$R$14:$R194,0)),"")</f>
        <v/>
      </c>
      <c r="O163" s="3057"/>
      <c r="P163" s="3057"/>
      <c r="Q163" s="388"/>
      <c r="R163" s="390"/>
      <c r="S163" s="389"/>
      <c r="T163" s="169"/>
      <c r="U163" s="169"/>
      <c r="V163" s="169"/>
      <c r="W163" s="169"/>
    </row>
    <row r="164" spans="1:23" ht="12.75" hidden="1" customHeight="1">
      <c r="A164" s="384"/>
      <c r="B164" s="385"/>
      <c r="C164" s="3055"/>
      <c r="D164" s="3055"/>
      <c r="E164" s="395"/>
      <c r="F164" s="396"/>
      <c r="G164" s="1095"/>
      <c r="H164" s="3056"/>
      <c r="I164" s="3056"/>
      <c r="J164" s="3056"/>
      <c r="K164" s="3056"/>
      <c r="L164" s="3056"/>
      <c r="M164" s="387"/>
      <c r="N164" s="3057" t="str">
        <f>IF(COUNTIF($R$14:$R$38,M164),INDEX($S$14:$S$38,MATCH(M164,$R$14:$R195,0)),"")</f>
        <v/>
      </c>
      <c r="O164" s="3057"/>
      <c r="P164" s="3057"/>
      <c r="Q164" s="388"/>
      <c r="R164" s="390"/>
      <c r="S164" s="389"/>
      <c r="T164" s="169"/>
      <c r="U164" s="169"/>
      <c r="V164" s="169"/>
      <c r="W164" s="169"/>
    </row>
    <row r="165" spans="1:23" ht="12.75" hidden="1" customHeight="1">
      <c r="A165" s="384"/>
      <c r="B165" s="385"/>
      <c r="C165" s="3055"/>
      <c r="D165" s="3055"/>
      <c r="E165" s="395"/>
      <c r="F165" s="396"/>
      <c r="G165" s="1095"/>
      <c r="H165" s="3056"/>
      <c r="I165" s="3056"/>
      <c r="J165" s="3056"/>
      <c r="K165" s="3056"/>
      <c r="L165" s="3056"/>
      <c r="M165" s="387"/>
      <c r="N165" s="3057" t="str">
        <f>IF(COUNTIF($R$14:$R$38,M165),INDEX($S$14:$S$38,MATCH(M165,$R$14:$R196,0)),"")</f>
        <v/>
      </c>
      <c r="O165" s="3057"/>
      <c r="P165" s="3057"/>
      <c r="Q165" s="388"/>
      <c r="R165" s="390"/>
      <c r="S165" s="389"/>
      <c r="T165" s="169"/>
      <c r="U165" s="169"/>
      <c r="V165" s="169"/>
      <c r="W165" s="169"/>
    </row>
    <row r="166" spans="1:23" ht="12.75" hidden="1" customHeight="1">
      <c r="A166" s="384"/>
      <c r="B166" s="385"/>
      <c r="C166" s="3055"/>
      <c r="D166" s="3055"/>
      <c r="E166" s="395"/>
      <c r="F166" s="396"/>
      <c r="G166" s="1095"/>
      <c r="H166" s="3056"/>
      <c r="I166" s="3056"/>
      <c r="J166" s="3056"/>
      <c r="K166" s="3056"/>
      <c r="L166" s="3056"/>
      <c r="M166" s="387"/>
      <c r="N166" s="3057" t="str">
        <f>IF(COUNTIF($R$14:$R$38,M166),INDEX($S$14:$S$38,MATCH(M166,$R$14:$R197,0)),"")</f>
        <v/>
      </c>
      <c r="O166" s="3057"/>
      <c r="P166" s="3057"/>
      <c r="Q166" s="388"/>
      <c r="R166" s="390"/>
      <c r="S166" s="389"/>
      <c r="T166" s="169"/>
      <c r="U166" s="169"/>
      <c r="V166" s="169"/>
      <c r="W166" s="169"/>
    </row>
    <row r="167" spans="1:23" ht="12.75" hidden="1" customHeight="1">
      <c r="A167" s="384"/>
      <c r="B167" s="385"/>
      <c r="C167" s="3055"/>
      <c r="D167" s="3055"/>
      <c r="E167" s="395"/>
      <c r="F167" s="396"/>
      <c r="G167" s="1095"/>
      <c r="H167" s="3056"/>
      <c r="I167" s="3056"/>
      <c r="J167" s="3056"/>
      <c r="K167" s="3056"/>
      <c r="L167" s="3056"/>
      <c r="M167" s="387"/>
      <c r="N167" s="3057" t="str">
        <f>IF(COUNTIF($R$14:$R$38,M167),INDEX($S$14:$S$38,MATCH(M167,$R$14:$R198,0)),"")</f>
        <v/>
      </c>
      <c r="O167" s="3057"/>
      <c r="P167" s="3057"/>
      <c r="Q167" s="388"/>
      <c r="R167" s="390"/>
      <c r="S167" s="389"/>
      <c r="T167" s="169"/>
      <c r="U167" s="169"/>
      <c r="V167" s="169"/>
      <c r="W167" s="169"/>
    </row>
    <row r="168" spans="1:23" ht="12.75" hidden="1" customHeight="1">
      <c r="A168" s="384"/>
      <c r="B168" s="385"/>
      <c r="C168" s="3055"/>
      <c r="D168" s="3055"/>
      <c r="E168" s="395"/>
      <c r="F168" s="396"/>
      <c r="G168" s="1095"/>
      <c r="H168" s="3056"/>
      <c r="I168" s="3056"/>
      <c r="J168" s="3056"/>
      <c r="K168" s="3056"/>
      <c r="L168" s="3056"/>
      <c r="M168" s="387"/>
      <c r="N168" s="3057" t="str">
        <f>IF(COUNTIF($R$14:$R$38,M168),INDEX($S$14:$S$38,MATCH(M168,$R$14:$R199,0)),"")</f>
        <v/>
      </c>
      <c r="O168" s="3057"/>
      <c r="P168" s="3057"/>
      <c r="Q168" s="388"/>
      <c r="R168" s="390"/>
      <c r="S168" s="389"/>
      <c r="T168" s="169"/>
      <c r="U168" s="169"/>
      <c r="V168" s="169"/>
      <c r="W168" s="169"/>
    </row>
    <row r="169" spans="1:23" ht="12.75" hidden="1" customHeight="1">
      <c r="A169" s="384"/>
      <c r="B169" s="385"/>
      <c r="C169" s="3055"/>
      <c r="D169" s="3055"/>
      <c r="E169" s="395"/>
      <c r="F169" s="396"/>
      <c r="G169" s="1095"/>
      <c r="H169" s="3056"/>
      <c r="I169" s="3056"/>
      <c r="J169" s="3056"/>
      <c r="K169" s="3056"/>
      <c r="L169" s="3056"/>
      <c r="M169" s="387"/>
      <c r="N169" s="3057" t="str">
        <f>IF(COUNTIF($R$14:$R$38,M169),INDEX($S$14:$S$38,MATCH(M169,$R$14:$R200,0)),"")</f>
        <v/>
      </c>
      <c r="O169" s="3057"/>
      <c r="P169" s="3057"/>
      <c r="Q169" s="388"/>
      <c r="R169" s="390"/>
      <c r="S169" s="389"/>
      <c r="T169" s="169"/>
      <c r="U169" s="169"/>
      <c r="V169" s="169"/>
      <c r="W169" s="169"/>
    </row>
    <row r="170" spans="1:23" ht="12.75" hidden="1" customHeight="1">
      <c r="A170" s="384"/>
      <c r="B170" s="385"/>
      <c r="C170" s="3055"/>
      <c r="D170" s="3055"/>
      <c r="E170" s="395"/>
      <c r="F170" s="396"/>
      <c r="G170" s="1095"/>
      <c r="H170" s="3056"/>
      <c r="I170" s="3056"/>
      <c r="J170" s="3056"/>
      <c r="K170" s="3056"/>
      <c r="L170" s="3056"/>
      <c r="M170" s="387"/>
      <c r="N170" s="3057" t="str">
        <f>IF(COUNTIF($R$14:$R$38,M170),INDEX($S$14:$S$38,MATCH(M170,$R$14:$R201,0)),"")</f>
        <v/>
      </c>
      <c r="O170" s="3057"/>
      <c r="P170" s="3057"/>
      <c r="Q170" s="388"/>
      <c r="R170" s="390"/>
      <c r="S170" s="389"/>
      <c r="T170" s="169"/>
      <c r="U170" s="169"/>
      <c r="V170" s="169"/>
      <c r="W170" s="169"/>
    </row>
    <row r="171" spans="1:23" ht="12.75" hidden="1" customHeight="1">
      <c r="A171" s="384"/>
      <c r="B171" s="385"/>
      <c r="C171" s="3055"/>
      <c r="D171" s="3055"/>
      <c r="E171" s="395"/>
      <c r="F171" s="396"/>
      <c r="G171" s="1095"/>
      <c r="H171" s="3056"/>
      <c r="I171" s="3056"/>
      <c r="J171" s="3056"/>
      <c r="K171" s="3056"/>
      <c r="L171" s="3056"/>
      <c r="M171" s="387"/>
      <c r="N171" s="3057" t="str">
        <f>IF(COUNTIF($R$14:$R$38,M171),INDEX($S$14:$S$38,MATCH(M171,$R$14:$R202,0)),"")</f>
        <v/>
      </c>
      <c r="O171" s="3057"/>
      <c r="P171" s="3057"/>
      <c r="Q171" s="388"/>
      <c r="R171" s="390"/>
      <c r="S171" s="389"/>
      <c r="T171" s="169"/>
      <c r="U171" s="169"/>
      <c r="V171" s="169"/>
      <c r="W171" s="169"/>
    </row>
    <row r="172" spans="1:23" ht="12.75" hidden="1" customHeight="1">
      <c r="A172" s="384"/>
      <c r="B172" s="385"/>
      <c r="C172" s="3055"/>
      <c r="D172" s="3055"/>
      <c r="E172" s="395"/>
      <c r="F172" s="396"/>
      <c r="G172" s="1095"/>
      <c r="H172" s="3056"/>
      <c r="I172" s="3056"/>
      <c r="J172" s="3056"/>
      <c r="K172" s="3056"/>
      <c r="L172" s="3056"/>
      <c r="M172" s="387"/>
      <c r="N172" s="3057" t="str">
        <f>IF(COUNTIF($R$14:$R$38,M172),INDEX($S$14:$S$38,MATCH(M172,$R$14:$R203,0)),"")</f>
        <v/>
      </c>
      <c r="O172" s="3057"/>
      <c r="P172" s="3057"/>
      <c r="Q172" s="388"/>
      <c r="R172" s="390"/>
      <c r="S172" s="389"/>
      <c r="T172" s="169"/>
      <c r="U172" s="169"/>
      <c r="V172" s="169"/>
      <c r="W172" s="169"/>
    </row>
    <row r="173" spans="1:23" ht="12.75" hidden="1" customHeight="1">
      <c r="A173" s="384"/>
      <c r="B173" s="385"/>
      <c r="C173" s="3055"/>
      <c r="D173" s="3055"/>
      <c r="E173" s="395"/>
      <c r="F173" s="396"/>
      <c r="G173" s="1095"/>
      <c r="H173" s="3056"/>
      <c r="I173" s="3056"/>
      <c r="J173" s="3056"/>
      <c r="K173" s="3056"/>
      <c r="L173" s="3056"/>
      <c r="M173" s="387"/>
      <c r="N173" s="3057" t="str">
        <f>IF(COUNTIF($R$14:$R$38,M173),INDEX($S$14:$S$38,MATCH(M173,$R$14:$R204,0)),"")</f>
        <v/>
      </c>
      <c r="O173" s="3057"/>
      <c r="P173" s="3057"/>
      <c r="Q173" s="388"/>
      <c r="R173" s="390"/>
      <c r="S173" s="389"/>
      <c r="T173" s="169"/>
      <c r="U173" s="169"/>
      <c r="V173" s="169"/>
      <c r="W173" s="169"/>
    </row>
    <row r="174" spans="1:23" ht="12.75" hidden="1" customHeight="1">
      <c r="A174" s="384"/>
      <c r="B174" s="385"/>
      <c r="C174" s="3055"/>
      <c r="D174" s="3055"/>
      <c r="E174" s="395"/>
      <c r="F174" s="396"/>
      <c r="G174" s="1095"/>
      <c r="H174" s="3056"/>
      <c r="I174" s="3056"/>
      <c r="J174" s="3056"/>
      <c r="K174" s="3056"/>
      <c r="L174" s="3056"/>
      <c r="M174" s="387"/>
      <c r="N174" s="3057" t="str">
        <f>IF(COUNTIF($R$14:$R$38,M174),INDEX($S$14:$S$38,MATCH(M174,$R$14:$R205,0)),"")</f>
        <v/>
      </c>
      <c r="O174" s="3057"/>
      <c r="P174" s="3057"/>
      <c r="Q174" s="388"/>
      <c r="R174" s="390"/>
      <c r="S174" s="389"/>
      <c r="T174" s="169"/>
      <c r="U174" s="169"/>
      <c r="V174" s="169"/>
      <c r="W174" s="169"/>
    </row>
    <row r="175" spans="1:23" ht="12.75" hidden="1" customHeight="1">
      <c r="A175" s="384"/>
      <c r="B175" s="385"/>
      <c r="C175" s="3055"/>
      <c r="D175" s="3055"/>
      <c r="E175" s="395"/>
      <c r="F175" s="396"/>
      <c r="G175" s="1095"/>
      <c r="H175" s="3056"/>
      <c r="I175" s="3056"/>
      <c r="J175" s="3056"/>
      <c r="K175" s="3056"/>
      <c r="L175" s="3056"/>
      <c r="M175" s="387"/>
      <c r="N175" s="3057" t="str">
        <f>IF(COUNTIF($R$14:$R$38,M175),INDEX($S$14:$S$38,MATCH(M175,$R$14:$R206,0)),"")</f>
        <v/>
      </c>
      <c r="O175" s="3057"/>
      <c r="P175" s="3057"/>
      <c r="Q175" s="388"/>
      <c r="R175" s="390"/>
      <c r="S175" s="389"/>
      <c r="T175" s="169"/>
      <c r="U175" s="169"/>
      <c r="V175" s="169"/>
      <c r="W175" s="169"/>
    </row>
    <row r="176" spans="1:23" ht="12.75" hidden="1" customHeight="1">
      <c r="A176" s="384"/>
      <c r="B176" s="385"/>
      <c r="C176" s="3055"/>
      <c r="D176" s="3055"/>
      <c r="E176" s="395"/>
      <c r="F176" s="396"/>
      <c r="G176" s="1095"/>
      <c r="H176" s="3056"/>
      <c r="I176" s="3056"/>
      <c r="J176" s="3056"/>
      <c r="K176" s="3056"/>
      <c r="L176" s="3056"/>
      <c r="M176" s="387"/>
      <c r="N176" s="3057" t="str">
        <f>IF(COUNTIF($R$14:$R$38,M176),INDEX($S$14:$S$38,MATCH(M176,$R$14:$R207,0)),"")</f>
        <v/>
      </c>
      <c r="O176" s="3057"/>
      <c r="P176" s="3057"/>
      <c r="Q176" s="388"/>
      <c r="R176" s="390"/>
      <c r="S176" s="389"/>
      <c r="T176" s="169"/>
      <c r="U176" s="169"/>
      <c r="V176" s="169"/>
      <c r="W176" s="169"/>
    </row>
    <row r="177" spans="1:23" ht="12.75" hidden="1" customHeight="1">
      <c r="A177" s="384"/>
      <c r="B177" s="385"/>
      <c r="C177" s="3055"/>
      <c r="D177" s="3055"/>
      <c r="E177" s="395"/>
      <c r="F177" s="396"/>
      <c r="G177" s="1095"/>
      <c r="H177" s="3056"/>
      <c r="I177" s="3056"/>
      <c r="J177" s="3056"/>
      <c r="K177" s="3056"/>
      <c r="L177" s="3056"/>
      <c r="M177" s="387"/>
      <c r="N177" s="3057" t="str">
        <f>IF(COUNTIF($R$14:$R$38,M177),INDEX($S$14:$S$38,MATCH(M177,$R$14:$R208,0)),"")</f>
        <v/>
      </c>
      <c r="O177" s="3057"/>
      <c r="P177" s="3057"/>
      <c r="Q177" s="388"/>
      <c r="R177" s="390"/>
      <c r="S177" s="389"/>
      <c r="T177" s="169"/>
      <c r="U177" s="169"/>
      <c r="V177" s="169"/>
      <c r="W177" s="169"/>
    </row>
    <row r="178" spans="1:23" ht="12.75" hidden="1" customHeight="1">
      <c r="A178" s="384"/>
      <c r="B178" s="385"/>
      <c r="C178" s="3055"/>
      <c r="D178" s="3055"/>
      <c r="E178" s="395"/>
      <c r="F178" s="396"/>
      <c r="G178" s="1095"/>
      <c r="H178" s="3056"/>
      <c r="I178" s="3056"/>
      <c r="J178" s="3056"/>
      <c r="K178" s="3056"/>
      <c r="L178" s="3056"/>
      <c r="M178" s="387"/>
      <c r="N178" s="3057" t="str">
        <f>IF(COUNTIF($R$14:$R$38,M178),INDEX($S$14:$S$38,MATCH(M178,$R$14:$R209,0)),"")</f>
        <v/>
      </c>
      <c r="O178" s="3057"/>
      <c r="P178" s="3057"/>
      <c r="Q178" s="388"/>
      <c r="R178" s="390"/>
      <c r="S178" s="389"/>
      <c r="T178" s="169"/>
      <c r="U178" s="169"/>
      <c r="V178" s="169"/>
      <c r="W178" s="169"/>
    </row>
    <row r="179" spans="1:23" ht="12.75" hidden="1" customHeight="1">
      <c r="A179" s="384"/>
      <c r="B179" s="385"/>
      <c r="C179" s="3055"/>
      <c r="D179" s="3055"/>
      <c r="E179" s="395"/>
      <c r="F179" s="396"/>
      <c r="G179" s="1095"/>
      <c r="H179" s="3056"/>
      <c r="I179" s="3056"/>
      <c r="J179" s="3056"/>
      <c r="K179" s="3056"/>
      <c r="L179" s="3056"/>
      <c r="M179" s="387"/>
      <c r="N179" s="3057" t="str">
        <f>IF(COUNTIF($R$14:$R$38,M179),INDEX($S$14:$S$38,MATCH(M179,$R$14:$R210,0)),"")</f>
        <v/>
      </c>
      <c r="O179" s="3057"/>
      <c r="P179" s="3057"/>
      <c r="Q179" s="388"/>
      <c r="R179" s="390"/>
      <c r="S179" s="389"/>
      <c r="T179" s="169"/>
      <c r="U179" s="169"/>
      <c r="V179" s="169"/>
      <c r="W179" s="169"/>
    </row>
    <row r="180" spans="1:23" ht="12.75" hidden="1" customHeight="1">
      <c r="A180" s="384"/>
      <c r="B180" s="385"/>
      <c r="C180" s="3055"/>
      <c r="D180" s="3055"/>
      <c r="E180" s="395"/>
      <c r="F180" s="396"/>
      <c r="G180" s="1095"/>
      <c r="H180" s="3056"/>
      <c r="I180" s="3056"/>
      <c r="J180" s="3056"/>
      <c r="K180" s="3056"/>
      <c r="L180" s="3056"/>
      <c r="M180" s="387"/>
      <c r="N180" s="3057" t="str">
        <f>IF(COUNTIF($R$14:$R$38,M180),INDEX($S$14:$S$38,MATCH(M180,$R$14:$R211,0)),"")</f>
        <v/>
      </c>
      <c r="O180" s="3057"/>
      <c r="P180" s="3057"/>
      <c r="Q180" s="388"/>
      <c r="R180" s="390"/>
      <c r="S180" s="389"/>
      <c r="T180" s="169"/>
      <c r="U180" s="169"/>
      <c r="V180" s="169"/>
      <c r="W180" s="169"/>
    </row>
    <row r="181" spans="1:23" ht="12.75" hidden="1" customHeight="1">
      <c r="A181" s="384"/>
      <c r="B181" s="385"/>
      <c r="C181" s="3055"/>
      <c r="D181" s="3055"/>
      <c r="E181" s="395"/>
      <c r="F181" s="396"/>
      <c r="G181" s="1095"/>
      <c r="H181" s="3056"/>
      <c r="I181" s="3056"/>
      <c r="J181" s="3056"/>
      <c r="K181" s="3056"/>
      <c r="L181" s="3056"/>
      <c r="M181" s="387"/>
      <c r="N181" s="3057" t="str">
        <f>IF(COUNTIF($R$14:$R$38,M181),INDEX($S$14:$S$38,MATCH(M181,$R$14:$R212,0)),"")</f>
        <v/>
      </c>
      <c r="O181" s="3057"/>
      <c r="P181" s="3057"/>
      <c r="Q181" s="388"/>
      <c r="R181" s="390"/>
      <c r="S181" s="389"/>
      <c r="T181" s="169"/>
      <c r="U181" s="169"/>
      <c r="V181" s="169"/>
      <c r="W181" s="169"/>
    </row>
    <row r="182" spans="1:23" ht="12.75" hidden="1" customHeight="1">
      <c r="A182" s="384"/>
      <c r="B182" s="385"/>
      <c r="C182" s="3055"/>
      <c r="D182" s="3055"/>
      <c r="E182" s="395"/>
      <c r="F182" s="396"/>
      <c r="G182" s="1095"/>
      <c r="H182" s="3056"/>
      <c r="I182" s="3056"/>
      <c r="J182" s="3056"/>
      <c r="K182" s="3056"/>
      <c r="L182" s="3056"/>
      <c r="M182" s="387"/>
      <c r="N182" s="3057" t="str">
        <f>IF(COUNTIF($R$14:$R$38,M182),INDEX($S$14:$S$38,MATCH(M182,$R$14:$R213,0)),"")</f>
        <v/>
      </c>
      <c r="O182" s="3057"/>
      <c r="P182" s="3057"/>
      <c r="Q182" s="388"/>
      <c r="R182" s="390"/>
      <c r="S182" s="389"/>
      <c r="T182" s="169"/>
      <c r="U182" s="169"/>
      <c r="V182" s="169"/>
      <c r="W182" s="169"/>
    </row>
    <row r="183" spans="1:23" ht="12.75" hidden="1" customHeight="1">
      <c r="A183" s="384"/>
      <c r="B183" s="385"/>
      <c r="C183" s="3055"/>
      <c r="D183" s="3055"/>
      <c r="E183" s="395"/>
      <c r="F183" s="396"/>
      <c r="G183" s="1095"/>
      <c r="H183" s="3056"/>
      <c r="I183" s="3056"/>
      <c r="J183" s="3056"/>
      <c r="K183" s="3056"/>
      <c r="L183" s="3056"/>
      <c r="M183" s="387"/>
      <c r="N183" s="3057" t="str">
        <f>IF(COUNTIF($R$14:$R$38,M183),INDEX($S$14:$S$38,MATCH(M183,$R$14:$R214,0)),"")</f>
        <v/>
      </c>
      <c r="O183" s="3057"/>
      <c r="P183" s="3057"/>
      <c r="Q183" s="388"/>
      <c r="R183" s="390"/>
      <c r="S183" s="389"/>
      <c r="T183" s="169"/>
      <c r="U183" s="169"/>
      <c r="V183" s="169"/>
      <c r="W183" s="169"/>
    </row>
    <row r="184" spans="1:23" ht="12.75" hidden="1" customHeight="1">
      <c r="A184" s="384"/>
      <c r="B184" s="385"/>
      <c r="C184" s="3055"/>
      <c r="D184" s="3055"/>
      <c r="E184" s="395"/>
      <c r="F184" s="396"/>
      <c r="G184" s="1095"/>
      <c r="H184" s="3056"/>
      <c r="I184" s="3056"/>
      <c r="J184" s="3056"/>
      <c r="K184" s="3056"/>
      <c r="L184" s="3056"/>
      <c r="M184" s="387"/>
      <c r="N184" s="3057" t="str">
        <f>IF(COUNTIF($R$14:$R$38,M184),INDEX($S$14:$S$38,MATCH(M184,$R$14:$R215,0)),"")</f>
        <v/>
      </c>
      <c r="O184" s="3057"/>
      <c r="P184" s="3057"/>
      <c r="Q184" s="388"/>
      <c r="R184" s="390"/>
      <c r="S184" s="389"/>
      <c r="T184" s="169"/>
      <c r="U184" s="169"/>
      <c r="V184" s="169"/>
      <c r="W184" s="169"/>
    </row>
    <row r="185" spans="1:23" ht="12.75" hidden="1" customHeight="1">
      <c r="A185" s="384"/>
      <c r="B185" s="385"/>
      <c r="C185" s="3055"/>
      <c r="D185" s="3055"/>
      <c r="E185" s="395"/>
      <c r="F185" s="396"/>
      <c r="G185" s="1095"/>
      <c r="H185" s="3056"/>
      <c r="I185" s="3056"/>
      <c r="J185" s="3056"/>
      <c r="K185" s="3056"/>
      <c r="L185" s="3056"/>
      <c r="M185" s="387"/>
      <c r="N185" s="3057" t="str">
        <f>IF(COUNTIF($R$14:$R$38,M185),INDEX($S$14:$S$38,MATCH(M185,$R$14:$R216,0)),"")</f>
        <v/>
      </c>
      <c r="O185" s="3057"/>
      <c r="P185" s="3057"/>
      <c r="Q185" s="388"/>
      <c r="R185" s="390"/>
      <c r="S185" s="389"/>
      <c r="T185" s="169"/>
      <c r="U185" s="169"/>
      <c r="V185" s="169"/>
      <c r="W185" s="169"/>
    </row>
    <row r="186" spans="1:23" ht="12.75" hidden="1" customHeight="1">
      <c r="A186" s="384"/>
      <c r="B186" s="385"/>
      <c r="C186" s="3055"/>
      <c r="D186" s="3055"/>
      <c r="E186" s="395"/>
      <c r="F186" s="396"/>
      <c r="G186" s="1095"/>
      <c r="H186" s="3056"/>
      <c r="I186" s="3056"/>
      <c r="J186" s="3056"/>
      <c r="K186" s="3056"/>
      <c r="L186" s="3056"/>
      <c r="M186" s="387"/>
      <c r="N186" s="3057" t="str">
        <f>IF(COUNTIF($R$14:$R$38,M186),INDEX($S$14:$S$38,MATCH(M186,$R$14:$R217,0)),"")</f>
        <v/>
      </c>
      <c r="O186" s="3057"/>
      <c r="P186" s="3057"/>
      <c r="Q186" s="388"/>
      <c r="R186" s="390"/>
      <c r="S186" s="389"/>
      <c r="T186" s="169"/>
      <c r="U186" s="169"/>
      <c r="V186" s="169"/>
      <c r="W186" s="169"/>
    </row>
    <row r="187" spans="1:23" ht="12.75" hidden="1" customHeight="1">
      <c r="A187" s="384"/>
      <c r="B187" s="385"/>
      <c r="C187" s="3055"/>
      <c r="D187" s="3055"/>
      <c r="E187" s="395"/>
      <c r="F187" s="396"/>
      <c r="G187" s="1095"/>
      <c r="H187" s="3056"/>
      <c r="I187" s="3056"/>
      <c r="J187" s="3056"/>
      <c r="K187" s="3056"/>
      <c r="L187" s="3056"/>
      <c r="M187" s="387"/>
      <c r="N187" s="3057" t="str">
        <f>IF(COUNTIF($R$14:$R$38,M187),INDEX($S$14:$S$38,MATCH(M187,$R$14:$R218,0)),"")</f>
        <v/>
      </c>
      <c r="O187" s="3057"/>
      <c r="P187" s="3057"/>
      <c r="Q187" s="388"/>
      <c r="R187" s="390"/>
      <c r="S187" s="389"/>
      <c r="T187" s="169"/>
      <c r="U187" s="169"/>
      <c r="V187" s="169"/>
      <c r="W187" s="169"/>
    </row>
    <row r="188" spans="1:23" ht="12.75" hidden="1" customHeight="1">
      <c r="A188" s="384"/>
      <c r="B188" s="385"/>
      <c r="C188" s="3055"/>
      <c r="D188" s="3055"/>
      <c r="E188" s="395"/>
      <c r="F188" s="396"/>
      <c r="G188" s="1095"/>
      <c r="H188" s="3056"/>
      <c r="I188" s="3056"/>
      <c r="J188" s="3056"/>
      <c r="K188" s="3056"/>
      <c r="L188" s="3056"/>
      <c r="M188" s="387"/>
      <c r="N188" s="3057" t="str">
        <f>IF(COUNTIF($R$14:$R$38,M188),INDEX($S$14:$S$38,MATCH(M188,$R$14:$R219,0)),"")</f>
        <v/>
      </c>
      <c r="O188" s="3057"/>
      <c r="P188" s="3057"/>
      <c r="Q188" s="388"/>
      <c r="R188" s="390"/>
      <c r="S188" s="389"/>
      <c r="T188" s="169"/>
      <c r="U188" s="169"/>
      <c r="V188" s="169"/>
      <c r="W188" s="169"/>
    </row>
    <row r="189" spans="1:23" ht="12.75" hidden="1" customHeight="1">
      <c r="A189" s="384"/>
      <c r="B189" s="385"/>
      <c r="C189" s="3055"/>
      <c r="D189" s="3055"/>
      <c r="E189" s="395"/>
      <c r="F189" s="396"/>
      <c r="G189" s="1095"/>
      <c r="H189" s="3056"/>
      <c r="I189" s="3056"/>
      <c r="J189" s="3056"/>
      <c r="K189" s="3056"/>
      <c r="L189" s="3056"/>
      <c r="M189" s="387"/>
      <c r="N189" s="3057" t="str">
        <f>IF(COUNTIF($R$14:$R$38,M189),INDEX($S$14:$S$38,MATCH(M189,$R$14:$R220,0)),"")</f>
        <v/>
      </c>
      <c r="O189" s="3057"/>
      <c r="P189" s="3057"/>
      <c r="Q189" s="388"/>
      <c r="R189" s="390"/>
      <c r="S189" s="389"/>
      <c r="T189" s="169"/>
      <c r="U189" s="169"/>
      <c r="V189" s="169"/>
      <c r="W189" s="169"/>
    </row>
    <row r="190" spans="1:23" ht="12.75" hidden="1" customHeight="1">
      <c r="A190" s="384"/>
      <c r="B190" s="385"/>
      <c r="C190" s="3055"/>
      <c r="D190" s="3055"/>
      <c r="E190" s="395"/>
      <c r="F190" s="396"/>
      <c r="G190" s="1095"/>
      <c r="H190" s="3056"/>
      <c r="I190" s="3056"/>
      <c r="J190" s="3056"/>
      <c r="K190" s="3056"/>
      <c r="L190" s="3056"/>
      <c r="M190" s="387"/>
      <c r="N190" s="3057" t="str">
        <f>IF(COUNTIF($R$14:$R$38,M190),INDEX($S$14:$S$38,MATCH(M190,$R$14:$R221,0)),"")</f>
        <v/>
      </c>
      <c r="O190" s="3057"/>
      <c r="P190" s="3057"/>
      <c r="Q190" s="388"/>
      <c r="R190" s="390"/>
      <c r="S190" s="389"/>
      <c r="T190" s="169"/>
      <c r="U190" s="169"/>
      <c r="V190" s="169"/>
      <c r="W190" s="169"/>
    </row>
    <row r="191" spans="1:23" ht="12.75" hidden="1" customHeight="1">
      <c r="A191" s="384"/>
      <c r="B191" s="385"/>
      <c r="C191" s="3055"/>
      <c r="D191" s="3055"/>
      <c r="E191" s="395"/>
      <c r="F191" s="396"/>
      <c r="G191" s="1095"/>
      <c r="H191" s="3056"/>
      <c r="I191" s="3056"/>
      <c r="J191" s="3056"/>
      <c r="K191" s="3056"/>
      <c r="L191" s="3056"/>
      <c r="M191" s="387"/>
      <c r="N191" s="3057" t="str">
        <f>IF(COUNTIF($R$14:$R$38,M191),INDEX($S$14:$S$38,MATCH(M191,$R$14:$R222,0)),"")</f>
        <v/>
      </c>
      <c r="O191" s="3057"/>
      <c r="P191" s="3057"/>
      <c r="Q191" s="388"/>
      <c r="R191" s="390"/>
      <c r="S191" s="389"/>
      <c r="T191" s="169"/>
      <c r="U191" s="169"/>
      <c r="V191" s="169"/>
      <c r="W191" s="169"/>
    </row>
    <row r="192" spans="1:23" ht="12.75" hidden="1" customHeight="1">
      <c r="A192" s="384"/>
      <c r="B192" s="385"/>
      <c r="C192" s="3055"/>
      <c r="D192" s="3055"/>
      <c r="E192" s="395"/>
      <c r="F192" s="396"/>
      <c r="G192" s="1095"/>
      <c r="H192" s="3056"/>
      <c r="I192" s="3056"/>
      <c r="J192" s="3056"/>
      <c r="K192" s="3056"/>
      <c r="L192" s="3056"/>
      <c r="M192" s="387"/>
      <c r="N192" s="3057" t="str">
        <f>IF(COUNTIF($R$14:$R$38,M192),INDEX($S$14:$S$38,MATCH(M192,$R$14:$R223,0)),"")</f>
        <v/>
      </c>
      <c r="O192" s="3057"/>
      <c r="P192" s="3057"/>
      <c r="Q192" s="388"/>
      <c r="R192" s="390"/>
      <c r="S192" s="389"/>
      <c r="T192" s="169"/>
      <c r="U192" s="169"/>
      <c r="V192" s="169"/>
      <c r="W192" s="169"/>
    </row>
    <row r="193" spans="1:23" ht="12.75" hidden="1" customHeight="1">
      <c r="A193" s="384"/>
      <c r="B193" s="385"/>
      <c r="C193" s="3055"/>
      <c r="D193" s="3055"/>
      <c r="E193" s="395"/>
      <c r="F193" s="396"/>
      <c r="G193" s="1095"/>
      <c r="H193" s="3056"/>
      <c r="I193" s="3056"/>
      <c r="J193" s="3056"/>
      <c r="K193" s="3056"/>
      <c r="L193" s="3056"/>
      <c r="M193" s="387"/>
      <c r="N193" s="3057" t="str">
        <f>IF(COUNTIF($R$14:$R$38,M193),INDEX($S$14:$S$38,MATCH(M193,$R$14:$R224,0)),"")</f>
        <v/>
      </c>
      <c r="O193" s="3057"/>
      <c r="P193" s="3057"/>
      <c r="Q193" s="388"/>
      <c r="R193" s="390"/>
      <c r="S193" s="389"/>
      <c r="T193" s="169"/>
      <c r="U193" s="169"/>
      <c r="V193" s="169"/>
      <c r="W193" s="169"/>
    </row>
    <row r="194" spans="1:23" ht="12.75" hidden="1" customHeight="1">
      <c r="A194" s="384"/>
      <c r="B194" s="385"/>
      <c r="C194" s="3055"/>
      <c r="D194" s="3055"/>
      <c r="E194" s="395"/>
      <c r="F194" s="396"/>
      <c r="G194" s="1095"/>
      <c r="H194" s="3056"/>
      <c r="I194" s="3056"/>
      <c r="J194" s="3056"/>
      <c r="K194" s="3056"/>
      <c r="L194" s="3056"/>
      <c r="M194" s="387"/>
      <c r="N194" s="3057" t="str">
        <f>IF(COUNTIF($R$14:$R$38,M194),INDEX($S$14:$S$38,MATCH(M194,$R$14:$R225,0)),"")</f>
        <v/>
      </c>
      <c r="O194" s="3057"/>
      <c r="P194" s="3057"/>
      <c r="Q194" s="388"/>
      <c r="R194" s="390"/>
      <c r="S194" s="389"/>
      <c r="T194" s="169"/>
      <c r="U194" s="169"/>
      <c r="V194" s="169"/>
      <c r="W194" s="169"/>
    </row>
    <row r="195" spans="1:23" ht="12.75" hidden="1" customHeight="1">
      <c r="A195" s="384"/>
      <c r="B195" s="385"/>
      <c r="C195" s="3055"/>
      <c r="D195" s="3055"/>
      <c r="E195" s="395"/>
      <c r="F195" s="396"/>
      <c r="G195" s="1095"/>
      <c r="H195" s="3056"/>
      <c r="I195" s="3056"/>
      <c r="J195" s="3056"/>
      <c r="K195" s="3056"/>
      <c r="L195" s="3056"/>
      <c r="M195" s="387"/>
      <c r="N195" s="3057" t="str">
        <f>IF(COUNTIF($R$14:$R$38,M195),INDEX($S$14:$S$38,MATCH(M195,$R$14:$R226,0)),"")</f>
        <v/>
      </c>
      <c r="O195" s="3057"/>
      <c r="P195" s="3057"/>
      <c r="Q195" s="388"/>
      <c r="R195" s="390"/>
      <c r="S195" s="389"/>
      <c r="T195" s="169"/>
      <c r="U195" s="169"/>
      <c r="V195" s="169"/>
      <c r="W195" s="169"/>
    </row>
    <row r="196" spans="1:23" ht="12.75" hidden="1" customHeight="1">
      <c r="A196" s="384"/>
      <c r="B196" s="385"/>
      <c r="C196" s="3055"/>
      <c r="D196" s="3055"/>
      <c r="E196" s="395"/>
      <c r="F196" s="396"/>
      <c r="G196" s="1095"/>
      <c r="H196" s="3056"/>
      <c r="I196" s="3056"/>
      <c r="J196" s="3056"/>
      <c r="K196" s="3056"/>
      <c r="L196" s="3056"/>
      <c r="M196" s="387"/>
      <c r="N196" s="3057" t="str">
        <f>IF(COUNTIF($R$14:$R$38,M196),INDEX($S$14:$S$38,MATCH(M196,$R$14:$R227,0)),"")</f>
        <v/>
      </c>
      <c r="O196" s="3057"/>
      <c r="P196" s="3057"/>
      <c r="Q196" s="388"/>
      <c r="R196" s="169"/>
      <c r="S196" s="169"/>
      <c r="T196" s="169"/>
      <c r="U196" s="169"/>
      <c r="V196" s="169"/>
      <c r="W196" s="169"/>
    </row>
    <row r="197" spans="1:23" ht="12.75" hidden="1" customHeight="1">
      <c r="A197" s="384"/>
      <c r="B197" s="385"/>
      <c r="C197" s="3055"/>
      <c r="D197" s="3055"/>
      <c r="E197" s="395"/>
      <c r="F197" s="396"/>
      <c r="G197" s="1095"/>
      <c r="H197" s="3056"/>
      <c r="I197" s="3056"/>
      <c r="J197" s="3056"/>
      <c r="K197" s="3056"/>
      <c r="L197" s="3056"/>
      <c r="M197" s="387"/>
      <c r="N197" s="3057" t="str">
        <f>IF(COUNTIF($R$14:$R$38,M197),INDEX($S$14:$S$38,MATCH(M197,$R$14:$R228,0)),"")</f>
        <v/>
      </c>
      <c r="O197" s="3057"/>
      <c r="P197" s="3057"/>
      <c r="Q197" s="388"/>
      <c r="R197" s="169"/>
      <c r="S197" s="169"/>
      <c r="T197" s="169"/>
      <c r="U197" s="169"/>
      <c r="V197" s="169"/>
      <c r="W197" s="169"/>
    </row>
    <row r="198" spans="1:23" ht="12.75" hidden="1" customHeight="1">
      <c r="A198" s="384"/>
      <c r="B198" s="385"/>
      <c r="C198" s="3055"/>
      <c r="D198" s="3055"/>
      <c r="E198" s="395"/>
      <c r="F198" s="396"/>
      <c r="G198" s="1095"/>
      <c r="H198" s="3056"/>
      <c r="I198" s="3056"/>
      <c r="J198" s="3056"/>
      <c r="K198" s="3056"/>
      <c r="L198" s="3056"/>
      <c r="M198" s="387"/>
      <c r="N198" s="3057" t="str">
        <f>IF(COUNTIF($R$14:$R$38,M198),INDEX($S$14:$S$38,MATCH(M198,$R$14:$R229,0)),"")</f>
        <v/>
      </c>
      <c r="O198" s="3057"/>
      <c r="P198" s="3057"/>
      <c r="Q198" s="388"/>
      <c r="R198" s="169"/>
      <c r="S198" s="169"/>
      <c r="T198" s="169"/>
      <c r="U198" s="169"/>
      <c r="V198" s="169"/>
      <c r="W198" s="169"/>
    </row>
    <row r="199" spans="1:23" ht="12.75" hidden="1" customHeight="1">
      <c r="A199" s="384"/>
      <c r="B199" s="385"/>
      <c r="C199" s="3055"/>
      <c r="D199" s="3055"/>
      <c r="E199" s="395"/>
      <c r="F199" s="396"/>
      <c r="G199" s="1095"/>
      <c r="H199" s="3056"/>
      <c r="I199" s="3056"/>
      <c r="J199" s="3056"/>
      <c r="K199" s="3056"/>
      <c r="L199" s="3056"/>
      <c r="M199" s="387"/>
      <c r="N199" s="3057" t="str">
        <f>IF(COUNTIF($R$14:$R$38,M199),INDEX($S$14:$S$38,MATCH(M199,$R$14:$R230,0)),"")</f>
        <v/>
      </c>
      <c r="O199" s="3057"/>
      <c r="P199" s="3057"/>
      <c r="Q199" s="388"/>
      <c r="R199" s="169"/>
      <c r="S199" s="169"/>
      <c r="T199" s="169"/>
      <c r="U199" s="169"/>
      <c r="V199" s="169"/>
      <c r="W199" s="169"/>
    </row>
    <row r="200" spans="1:23" ht="12.75" hidden="1" customHeight="1">
      <c r="A200" s="384"/>
      <c r="B200" s="385"/>
      <c r="C200" s="3055"/>
      <c r="D200" s="3055"/>
      <c r="E200" s="395"/>
      <c r="F200" s="396"/>
      <c r="G200" s="1095"/>
      <c r="H200" s="3056"/>
      <c r="I200" s="3056"/>
      <c r="J200" s="3056"/>
      <c r="K200" s="3056"/>
      <c r="L200" s="3056"/>
      <c r="M200" s="387"/>
      <c r="N200" s="3057" t="str">
        <f>IF(COUNTIF($R$14:$R$38,M200),INDEX($S$14:$S$38,MATCH(M200,$R$14:$R231,0)),"")</f>
        <v/>
      </c>
      <c r="O200" s="3057"/>
      <c r="P200" s="3057"/>
      <c r="Q200" s="388"/>
      <c r="R200" s="169"/>
      <c r="S200" s="169"/>
      <c r="T200" s="169"/>
      <c r="U200" s="169"/>
      <c r="V200" s="169"/>
      <c r="W200" s="169"/>
    </row>
    <row r="201" spans="1:23" ht="12.75" hidden="1" customHeight="1">
      <c r="A201" s="384"/>
      <c r="B201" s="385"/>
      <c r="C201" s="3055"/>
      <c r="D201" s="3055"/>
      <c r="E201" s="395"/>
      <c r="F201" s="396"/>
      <c r="G201" s="1095"/>
      <c r="H201" s="3056"/>
      <c r="I201" s="3056"/>
      <c r="J201" s="3056"/>
      <c r="K201" s="3056"/>
      <c r="L201" s="3056"/>
      <c r="M201" s="387"/>
      <c r="N201" s="3057" t="str">
        <f>IF(COUNTIF($R$14:$R$38,M201),INDEX($S$14:$S$38,MATCH(M201,$R$14:$R232,0)),"")</f>
        <v/>
      </c>
      <c r="O201" s="3057"/>
      <c r="P201" s="3057"/>
      <c r="Q201" s="388"/>
      <c r="R201" s="169"/>
      <c r="S201" s="169"/>
      <c r="T201" s="169"/>
      <c r="U201" s="169"/>
      <c r="V201" s="169"/>
      <c r="W201" s="169"/>
    </row>
    <row r="202" spans="1:23" ht="12.75" hidden="1" customHeight="1">
      <c r="A202" s="384"/>
      <c r="B202" s="385"/>
      <c r="C202" s="3055"/>
      <c r="D202" s="3055"/>
      <c r="E202" s="395"/>
      <c r="F202" s="396"/>
      <c r="G202" s="1095"/>
      <c r="H202" s="3056"/>
      <c r="I202" s="3056"/>
      <c r="J202" s="3056"/>
      <c r="K202" s="3056"/>
      <c r="L202" s="3056"/>
      <c r="M202" s="387"/>
      <c r="N202" s="3057" t="str">
        <f>IF(COUNTIF($R$14:$R$38,M202),INDEX($S$14:$S$38,MATCH(M202,$R$14:$R233,0)),"")</f>
        <v/>
      </c>
      <c r="O202" s="3057"/>
      <c r="P202" s="3057"/>
      <c r="Q202" s="388"/>
      <c r="R202" s="169"/>
      <c r="S202" s="169"/>
      <c r="T202" s="169"/>
      <c r="U202" s="169"/>
      <c r="V202" s="169"/>
      <c r="W202" s="169"/>
    </row>
    <row r="203" spans="1:23" ht="12.75" hidden="1" customHeight="1">
      <c r="A203" s="384"/>
      <c r="B203" s="385"/>
      <c r="C203" s="3055"/>
      <c r="D203" s="3055"/>
      <c r="E203" s="395"/>
      <c r="F203" s="396"/>
      <c r="G203" s="1095"/>
      <c r="H203" s="3056"/>
      <c r="I203" s="3056"/>
      <c r="J203" s="3056"/>
      <c r="K203" s="3056"/>
      <c r="L203" s="3056"/>
      <c r="M203" s="387"/>
      <c r="N203" s="3057" t="str">
        <f>IF(COUNTIF($R$14:$R$38,M203),INDEX($S$14:$S$38,MATCH(M203,$R$14:$R234,0)),"")</f>
        <v/>
      </c>
      <c r="O203" s="3057"/>
      <c r="P203" s="3057"/>
      <c r="Q203" s="388"/>
      <c r="R203" s="169"/>
      <c r="S203" s="169"/>
      <c r="T203" s="169"/>
      <c r="U203" s="169"/>
      <c r="V203" s="169"/>
      <c r="W203" s="169"/>
    </row>
    <row r="204" spans="1:23" ht="12.75" hidden="1" customHeight="1">
      <c r="A204" s="384"/>
      <c r="B204" s="385"/>
      <c r="C204" s="3055"/>
      <c r="D204" s="3055"/>
      <c r="E204" s="395"/>
      <c r="F204" s="396"/>
      <c r="G204" s="1095"/>
      <c r="H204" s="3056"/>
      <c r="I204" s="3056"/>
      <c r="J204" s="3056"/>
      <c r="K204" s="3056"/>
      <c r="L204" s="3056"/>
      <c r="M204" s="387"/>
      <c r="N204" s="3057" t="str">
        <f>IF(COUNTIF($R$14:$R$38,M204),INDEX($S$14:$S$38,MATCH(M204,$R$14:$R235,0)),"")</f>
        <v/>
      </c>
      <c r="O204" s="3057"/>
      <c r="P204" s="3057"/>
      <c r="Q204" s="388"/>
      <c r="R204" s="169"/>
      <c r="S204" s="169"/>
      <c r="T204" s="169"/>
      <c r="U204" s="169"/>
      <c r="V204" s="169"/>
      <c r="W204" s="169"/>
    </row>
    <row r="205" spans="1:23" ht="12.75" hidden="1" customHeight="1">
      <c r="A205" s="384"/>
      <c r="B205" s="385"/>
      <c r="C205" s="3055"/>
      <c r="D205" s="3055"/>
      <c r="E205" s="395"/>
      <c r="F205" s="396"/>
      <c r="G205" s="1095"/>
      <c r="H205" s="3056"/>
      <c r="I205" s="3056"/>
      <c r="J205" s="3056"/>
      <c r="K205" s="3056"/>
      <c r="L205" s="3056"/>
      <c r="M205" s="387"/>
      <c r="N205" s="3057" t="str">
        <f>IF(COUNTIF($R$14:$R$38,M205),INDEX($S$14:$S$38,MATCH(M205,$R$14:$R236,0)),"")</f>
        <v/>
      </c>
      <c r="O205" s="3057"/>
      <c r="P205" s="3057"/>
      <c r="Q205" s="398"/>
      <c r="R205" s="169"/>
      <c r="S205" s="169"/>
      <c r="T205" s="169"/>
      <c r="U205" s="169"/>
      <c r="V205" s="169"/>
      <c r="W205" s="169"/>
    </row>
    <row r="206" spans="1:23" ht="16.5" customHeight="1">
      <c r="A206" s="3051" t="s">
        <v>574</v>
      </c>
      <c r="B206" s="3051"/>
      <c r="C206" s="399">
        <v>1</v>
      </c>
      <c r="D206" s="3052" t="str">
        <f t="shared" ref="D206:D211" si="0">IF(ISERROR(VLOOKUP(C206,$R$14:$S$38,2,FALSE)),"",VLOOKUP(C206,$R$14:$S$38,2,FALSE)&amp;"： "&amp;DOLLAR(SUMIF($M$6:$M$205,C206,$G$6:$G$205),2)&amp;"元。")</f>
        <v>未取得合法有效票据的支出： ¥0.00元。</v>
      </c>
      <c r="E206" s="3052"/>
      <c r="F206" s="3052"/>
      <c r="G206" s="3052"/>
      <c r="H206" s="3052"/>
      <c r="I206" s="3052"/>
      <c r="J206" s="399">
        <v>7</v>
      </c>
      <c r="K206" s="3053" t="str">
        <f t="shared" ref="K206:K211" si="1">IF(ISERROR(VLOOKUP(J206,$R$14:$S$38,2,FALSE)),"",VLOOKUP(J206,$R$14:$S$38,2,FALSE)&amp;"： "&amp;DOLLAR(SUMIF($M$6:$M$205,J206,$G$6:$G$205),2)&amp;"元。")</f>
        <v>不属于应付福利费开支范围的支出： ¥0.00元。</v>
      </c>
      <c r="L206" s="3053"/>
      <c r="M206" s="3053"/>
      <c r="N206" s="3053"/>
      <c r="O206" s="3053"/>
      <c r="P206" s="3053"/>
      <c r="Q206" s="3053"/>
      <c r="R206" s="3054" t="s">
        <v>456</v>
      </c>
      <c r="S206" s="3054"/>
      <c r="T206" s="3054"/>
      <c r="U206" s="3054"/>
      <c r="V206" s="3054"/>
      <c r="W206" s="3054"/>
    </row>
    <row r="207" spans="1:23" ht="16.5" customHeight="1">
      <c r="A207" s="3051"/>
      <c r="B207" s="3051"/>
      <c r="C207" s="400">
        <v>2</v>
      </c>
      <c r="D207" s="3048" t="str">
        <f t="shared" si="0"/>
        <v>跨期扣除项目： ¥0.00元。</v>
      </c>
      <c r="E207" s="3048"/>
      <c r="F207" s="3048"/>
      <c r="G207" s="3048"/>
      <c r="H207" s="3048"/>
      <c r="I207" s="3048"/>
      <c r="J207" s="400">
        <v>8</v>
      </c>
      <c r="K207" s="3049" t="str">
        <f t="shared" si="1"/>
        <v>税收滞纳金： ¥0.00元。</v>
      </c>
      <c r="L207" s="3049"/>
      <c r="M207" s="3049"/>
      <c r="N207" s="3049"/>
      <c r="O207" s="3049"/>
      <c r="P207" s="3049"/>
      <c r="Q207" s="3049"/>
      <c r="R207" s="2718" t="s">
        <v>575</v>
      </c>
      <c r="S207" s="2718"/>
      <c r="T207" s="2718"/>
      <c r="U207" s="2718"/>
      <c r="V207" s="2718"/>
      <c r="W207" s="2718"/>
    </row>
    <row r="208" spans="1:23" ht="16.5" customHeight="1">
      <c r="A208" s="3051"/>
      <c r="B208" s="3051"/>
      <c r="C208" s="400">
        <v>3</v>
      </c>
      <c r="D208" s="3048" t="str">
        <f t="shared" si="0"/>
        <v>与取得收入无关的支出： ¥0.00元。</v>
      </c>
      <c r="E208" s="3048"/>
      <c r="F208" s="3048"/>
      <c r="G208" s="3048"/>
      <c r="H208" s="3048"/>
      <c r="I208" s="3048"/>
      <c r="J208" s="400">
        <v>9</v>
      </c>
      <c r="K208" s="3049" t="str">
        <f t="shared" si="1"/>
        <v>大额购物未附清单： ¥0.00元。</v>
      </c>
      <c r="L208" s="3049"/>
      <c r="M208" s="3049"/>
      <c r="N208" s="3049"/>
      <c r="O208" s="3049"/>
      <c r="P208" s="3049"/>
      <c r="Q208" s="3049"/>
      <c r="R208" s="3054" t="s">
        <v>576</v>
      </c>
      <c r="S208" s="3054"/>
      <c r="T208" s="3054"/>
      <c r="U208" s="3054"/>
      <c r="V208" s="3054"/>
      <c r="W208" s="3054"/>
    </row>
    <row r="209" spans="1:23" ht="16.5" customHeight="1">
      <c r="A209" s="3051"/>
      <c r="B209" s="3051"/>
      <c r="C209" s="400">
        <v>4</v>
      </c>
      <c r="D209" s="3048" t="str">
        <f t="shared" si="0"/>
        <v>非本公司费用： ¥0.00元。</v>
      </c>
      <c r="E209" s="3048"/>
      <c r="F209" s="3048"/>
      <c r="G209" s="3048"/>
      <c r="H209" s="3048"/>
      <c r="I209" s="3048"/>
      <c r="J209" s="400">
        <v>10</v>
      </c>
      <c r="K209" s="3049" t="str">
        <f t="shared" si="1"/>
        <v>罚金、违法经营罚款和被没收财物损失： ¥0.00元。</v>
      </c>
      <c r="L209" s="3049"/>
      <c r="M209" s="3049"/>
      <c r="N209" s="3049"/>
      <c r="O209" s="3049"/>
      <c r="P209" s="3049"/>
      <c r="Q209" s="3049"/>
      <c r="R209" s="3050" t="s">
        <v>577</v>
      </c>
      <c r="S209" s="3050"/>
      <c r="T209" s="3050"/>
      <c r="U209" s="3050"/>
      <c r="V209" s="3050"/>
      <c r="W209" s="3050"/>
    </row>
    <row r="210" spans="1:23" ht="16.5" customHeight="1">
      <c r="A210" s="3051"/>
      <c r="B210" s="3051"/>
      <c r="C210" s="400">
        <v>5</v>
      </c>
      <c r="D210" s="3048" t="str">
        <f t="shared" si="0"/>
        <v>应并入业务招待费的费用： ¥0.00元。</v>
      </c>
      <c r="E210" s="3048"/>
      <c r="F210" s="3048"/>
      <c r="G210" s="3048"/>
      <c r="H210" s="3048"/>
      <c r="I210" s="3048"/>
      <c r="J210" s="400">
        <v>11</v>
      </c>
      <c r="K210" s="3049" t="str">
        <f t="shared" si="1"/>
        <v>不允许直接在损益中列支的当年福利费： ¥0.00元。</v>
      </c>
      <c r="L210" s="3049"/>
      <c r="M210" s="3049"/>
      <c r="N210" s="3049"/>
      <c r="O210" s="3049"/>
      <c r="P210" s="3049"/>
      <c r="Q210" s="3049"/>
      <c r="R210" s="3050" t="s">
        <v>578</v>
      </c>
      <c r="S210" s="3050"/>
      <c r="T210" s="3050"/>
      <c r="U210" s="3050"/>
      <c r="V210" s="3050"/>
      <c r="W210" s="3050"/>
    </row>
    <row r="211" spans="1:23" ht="16.5" customHeight="1">
      <c r="A211" s="3051"/>
      <c r="B211" s="3051"/>
      <c r="C211" s="402">
        <v>6</v>
      </c>
      <c r="D211" s="3046" t="str">
        <f t="shared" si="0"/>
        <v>产权不属于公司的汽车费用： ¥0.00元。</v>
      </c>
      <c r="E211" s="3046"/>
      <c r="F211" s="3046"/>
      <c r="G211" s="3046"/>
      <c r="H211" s="3046"/>
      <c r="I211" s="3046"/>
      <c r="J211" s="402">
        <v>12</v>
      </c>
      <c r="K211" s="3047" t="str">
        <f t="shared" si="1"/>
        <v>跨期费用： ¥0.00元。</v>
      </c>
      <c r="L211" s="3047"/>
      <c r="M211" s="3047"/>
      <c r="N211" s="3047"/>
      <c r="O211" s="3047"/>
      <c r="P211" s="3047"/>
      <c r="Q211" s="3047"/>
      <c r="R211" s="2718" t="s">
        <v>579</v>
      </c>
      <c r="S211" s="2718"/>
      <c r="T211" s="2718"/>
      <c r="U211" s="2718"/>
      <c r="V211" s="2718"/>
      <c r="W211" s="2718"/>
    </row>
    <row r="212" spans="1:23">
      <c r="A212" s="403"/>
      <c r="Q212" s="404"/>
      <c r="R212" s="3044" t="s">
        <v>580</v>
      </c>
      <c r="S212" s="3044"/>
      <c r="T212" s="3044"/>
      <c r="U212" s="3044"/>
      <c r="V212" s="3044"/>
      <c r="W212" s="3044"/>
    </row>
    <row r="213" spans="1:23">
      <c r="A213" s="403" t="s">
        <v>581</v>
      </c>
      <c r="Q213" s="405"/>
      <c r="R213" s="3044" t="s">
        <v>582</v>
      </c>
      <c r="S213" s="3044"/>
      <c r="T213" s="3044"/>
      <c r="U213" s="3044"/>
      <c r="V213" s="3044"/>
      <c r="W213" s="3044"/>
    </row>
    <row r="214" spans="1:23">
      <c r="Q214" s="405"/>
      <c r="R214" s="3044" t="s">
        <v>583</v>
      </c>
      <c r="S214" s="3044"/>
      <c r="T214" s="3044"/>
      <c r="U214" s="3044"/>
      <c r="V214" s="3044"/>
      <c r="W214" s="3044"/>
    </row>
    <row r="215" spans="1:23">
      <c r="Q215" s="405"/>
      <c r="R215" s="3044" t="s">
        <v>584</v>
      </c>
      <c r="S215" s="3044"/>
      <c r="T215" s="3044"/>
      <c r="U215" s="3044"/>
      <c r="V215" s="3044"/>
      <c r="W215" s="3044"/>
    </row>
    <row r="216" spans="1:23">
      <c r="Q216" s="405"/>
      <c r="R216" s="3044" t="s">
        <v>585</v>
      </c>
      <c r="S216" s="3044"/>
      <c r="T216" s="3044"/>
      <c r="U216" s="3044"/>
      <c r="V216" s="3044"/>
      <c r="W216" s="3044"/>
    </row>
    <row r="217" spans="1:23">
      <c r="Q217" s="405"/>
      <c r="R217" s="3044" t="s">
        <v>586</v>
      </c>
      <c r="S217" s="3044"/>
      <c r="T217" s="3044"/>
      <c r="U217" s="3044"/>
      <c r="V217" s="3044"/>
      <c r="W217" s="3044"/>
    </row>
    <row r="218" spans="1:23">
      <c r="Q218" s="405"/>
      <c r="R218" s="3044" t="s">
        <v>587</v>
      </c>
      <c r="S218" s="3044"/>
      <c r="T218" s="3044"/>
      <c r="U218" s="3044"/>
      <c r="V218" s="3044"/>
      <c r="W218" s="3044"/>
    </row>
    <row r="219" spans="1:23">
      <c r="Q219" s="405"/>
      <c r="R219" s="3044" t="s">
        <v>588</v>
      </c>
      <c r="S219" s="3044"/>
      <c r="T219" s="3044"/>
      <c r="U219" s="3044"/>
      <c r="V219" s="3044"/>
      <c r="W219" s="3044"/>
    </row>
    <row r="220" spans="1:23">
      <c r="R220" s="3044" t="s">
        <v>589</v>
      </c>
      <c r="S220" s="3044"/>
      <c r="T220" s="3044"/>
      <c r="U220" s="3044"/>
      <c r="V220" s="3044"/>
      <c r="W220" s="3044"/>
    </row>
    <row r="221" spans="1:23">
      <c r="R221" s="3044" t="s">
        <v>590</v>
      </c>
      <c r="S221" s="3044"/>
      <c r="T221" s="3044"/>
      <c r="U221" s="3044"/>
      <c r="V221" s="3044"/>
      <c r="W221" s="3044"/>
    </row>
    <row r="222" spans="1:23">
      <c r="R222" s="3044" t="s">
        <v>591</v>
      </c>
      <c r="S222" s="3044"/>
      <c r="T222" s="3044"/>
      <c r="U222" s="3044"/>
      <c r="V222" s="3044"/>
      <c r="W222" s="3044"/>
    </row>
    <row r="223" spans="1:23" ht="14.25" customHeight="1">
      <c r="R223" s="3045" t="s">
        <v>592</v>
      </c>
      <c r="S223" s="3045"/>
      <c r="T223" s="3045"/>
      <c r="U223" s="3045"/>
      <c r="V223" s="3045"/>
      <c r="W223" s="3045"/>
    </row>
    <row r="224" spans="1:23">
      <c r="R224" s="3045"/>
      <c r="S224" s="3045"/>
      <c r="T224" s="3045"/>
      <c r="U224" s="3045"/>
      <c r="V224" s="3045"/>
      <c r="W224" s="3045"/>
    </row>
    <row r="225" spans="18:23">
      <c r="R225" s="3045"/>
      <c r="S225" s="3045"/>
      <c r="T225" s="3045"/>
      <c r="U225" s="3045"/>
      <c r="V225" s="3045"/>
      <c r="W225" s="3045"/>
    </row>
    <row r="226" spans="18:23">
      <c r="R226" s="3045"/>
      <c r="S226" s="3045"/>
      <c r="T226" s="3045"/>
      <c r="U226" s="3045"/>
      <c r="V226" s="3045"/>
      <c r="W226" s="3045"/>
    </row>
    <row r="227" spans="18:23">
      <c r="R227" s="3045"/>
      <c r="S227" s="3045"/>
      <c r="T227" s="3045"/>
      <c r="U227" s="3045"/>
      <c r="V227" s="3045"/>
      <c r="W227" s="3045"/>
    </row>
    <row r="228" spans="18:23">
      <c r="R228" s="406"/>
      <c r="S228" s="406"/>
      <c r="T228" s="406"/>
      <c r="U228" s="406"/>
      <c r="V228" s="406"/>
      <c r="W228" s="406"/>
    </row>
    <row r="229" spans="18:23">
      <c r="R229" s="3043"/>
      <c r="S229" s="3043"/>
      <c r="T229" s="3043"/>
      <c r="U229" s="3043"/>
      <c r="V229" s="3043"/>
      <c r="W229" s="3043"/>
    </row>
    <row r="230" spans="18:23">
      <c r="R230" s="3043"/>
      <c r="S230" s="3043"/>
      <c r="T230" s="3043"/>
      <c r="U230" s="3043"/>
      <c r="V230" s="3043"/>
      <c r="W230" s="3043"/>
    </row>
    <row r="231" spans="18:23">
      <c r="R231" s="3043"/>
      <c r="S231" s="3043"/>
      <c r="T231" s="3043"/>
      <c r="U231" s="3043"/>
      <c r="V231" s="3043"/>
      <c r="W231" s="3043"/>
    </row>
  </sheetData>
  <sheetProtection selectLockedCells="1" selectUnlockedCells="1"/>
  <autoFilter ref="A5:W227"/>
  <mergeCells count="655">
    <mergeCell ref="A4:A5"/>
    <mergeCell ref="B4:B5"/>
    <mergeCell ref="C4:D5"/>
    <mergeCell ref="E4:G4"/>
    <mergeCell ref="A1:Q1"/>
    <mergeCell ref="A2:D2"/>
    <mergeCell ref="E2:H2"/>
    <mergeCell ref="J2:L2"/>
    <mergeCell ref="N2:O2"/>
    <mergeCell ref="P2:P3"/>
    <mergeCell ref="Q2:Q3"/>
    <mergeCell ref="A3:D3"/>
    <mergeCell ref="E3:H3"/>
    <mergeCell ref="J3:L3"/>
    <mergeCell ref="C6:D6"/>
    <mergeCell ref="H6:L6"/>
    <mergeCell ref="N6:P6"/>
    <mergeCell ref="N3:O3"/>
    <mergeCell ref="N4:P5"/>
    <mergeCell ref="H4:L5"/>
    <mergeCell ref="M4:M5"/>
    <mergeCell ref="Q4:Q5"/>
    <mergeCell ref="R5:T5"/>
    <mergeCell ref="C9:D9"/>
    <mergeCell ref="H9:L9"/>
    <mergeCell ref="N9:P9"/>
    <mergeCell ref="C10:D10"/>
    <mergeCell ref="H10:L10"/>
    <mergeCell ref="N10:P10"/>
    <mergeCell ref="C7:D7"/>
    <mergeCell ref="H7:L7"/>
    <mergeCell ref="N7:P7"/>
    <mergeCell ref="C8:D8"/>
    <mergeCell ref="H8:L8"/>
    <mergeCell ref="N8:P8"/>
    <mergeCell ref="C11:D11"/>
    <mergeCell ref="H11:L11"/>
    <mergeCell ref="N11:P11"/>
    <mergeCell ref="C12:D12"/>
    <mergeCell ref="H12:L12"/>
    <mergeCell ref="N12:P12"/>
    <mergeCell ref="R12:W13"/>
    <mergeCell ref="C13:D13"/>
    <mergeCell ref="H13:L13"/>
    <mergeCell ref="N13:P13"/>
    <mergeCell ref="C16:D16"/>
    <mergeCell ref="H16:L16"/>
    <mergeCell ref="N16:P16"/>
    <mergeCell ref="C17:D17"/>
    <mergeCell ref="H17:L17"/>
    <mergeCell ref="N17:P17"/>
    <mergeCell ref="C14:D14"/>
    <mergeCell ref="H14:L14"/>
    <mergeCell ref="N14:P14"/>
    <mergeCell ref="C15:D15"/>
    <mergeCell ref="H15:L15"/>
    <mergeCell ref="N15:P15"/>
    <mergeCell ref="C20:D20"/>
    <mergeCell ref="H20:L20"/>
    <mergeCell ref="N20:P20"/>
    <mergeCell ref="C21:D21"/>
    <mergeCell ref="H21:L21"/>
    <mergeCell ref="N21:P21"/>
    <mergeCell ref="C18:D18"/>
    <mergeCell ref="H18:L18"/>
    <mergeCell ref="N18:P18"/>
    <mergeCell ref="C19:D19"/>
    <mergeCell ref="H19:L19"/>
    <mergeCell ref="N19:P19"/>
    <mergeCell ref="C24:D24"/>
    <mergeCell ref="H24:L24"/>
    <mergeCell ref="N24:P24"/>
    <mergeCell ref="C25:D25"/>
    <mergeCell ref="H25:L25"/>
    <mergeCell ref="N25:P25"/>
    <mergeCell ref="C22:D22"/>
    <mergeCell ref="H22:L22"/>
    <mergeCell ref="N22:P22"/>
    <mergeCell ref="C23:D23"/>
    <mergeCell ref="H23:L23"/>
    <mergeCell ref="N23:P23"/>
    <mergeCell ref="C28:D28"/>
    <mergeCell ref="H28:L28"/>
    <mergeCell ref="N28:P28"/>
    <mergeCell ref="C29:D29"/>
    <mergeCell ref="H29:L29"/>
    <mergeCell ref="N29:P29"/>
    <mergeCell ref="C26:D26"/>
    <mergeCell ref="H26:L26"/>
    <mergeCell ref="N26:P26"/>
    <mergeCell ref="C27:D27"/>
    <mergeCell ref="H27:L27"/>
    <mergeCell ref="N27:P27"/>
    <mergeCell ref="C32:D32"/>
    <mergeCell ref="H32:L32"/>
    <mergeCell ref="N32:P32"/>
    <mergeCell ref="C33:D33"/>
    <mergeCell ref="H33:L33"/>
    <mergeCell ref="N33:P33"/>
    <mergeCell ref="C30:D30"/>
    <mergeCell ref="H30:L30"/>
    <mergeCell ref="N30:P30"/>
    <mergeCell ref="C31:D31"/>
    <mergeCell ref="H31:L31"/>
    <mergeCell ref="N31:P31"/>
    <mergeCell ref="C36:D36"/>
    <mergeCell ref="H36:L36"/>
    <mergeCell ref="N36:P36"/>
    <mergeCell ref="C37:D37"/>
    <mergeCell ref="H37:L37"/>
    <mergeCell ref="N37:P37"/>
    <mergeCell ref="C34:D34"/>
    <mergeCell ref="H34:L34"/>
    <mergeCell ref="N34:P34"/>
    <mergeCell ref="C35:D35"/>
    <mergeCell ref="H35:L35"/>
    <mergeCell ref="N35:P35"/>
    <mergeCell ref="C40:D40"/>
    <mergeCell ref="H40:L40"/>
    <mergeCell ref="N40:P40"/>
    <mergeCell ref="C41:D41"/>
    <mergeCell ref="H41:L41"/>
    <mergeCell ref="N41:P41"/>
    <mergeCell ref="C38:D38"/>
    <mergeCell ref="H38:L38"/>
    <mergeCell ref="N38:P38"/>
    <mergeCell ref="C39:D39"/>
    <mergeCell ref="H39:L39"/>
    <mergeCell ref="N39:P39"/>
    <mergeCell ref="C44:D44"/>
    <mergeCell ref="H44:L44"/>
    <mergeCell ref="N44:P44"/>
    <mergeCell ref="C45:D45"/>
    <mergeCell ref="H45:L45"/>
    <mergeCell ref="N45:P45"/>
    <mergeCell ref="C42:D42"/>
    <mergeCell ref="H42:L42"/>
    <mergeCell ref="N42:P42"/>
    <mergeCell ref="C43:D43"/>
    <mergeCell ref="H43:L43"/>
    <mergeCell ref="N43:P43"/>
    <mergeCell ref="C48:D48"/>
    <mergeCell ref="H48:L48"/>
    <mergeCell ref="N48:P48"/>
    <mergeCell ref="C49:D49"/>
    <mergeCell ref="H49:L49"/>
    <mergeCell ref="N49:P49"/>
    <mergeCell ref="C46:D46"/>
    <mergeCell ref="H46:L46"/>
    <mergeCell ref="N46:P46"/>
    <mergeCell ref="C47:D47"/>
    <mergeCell ref="H47:L47"/>
    <mergeCell ref="N47:P47"/>
    <mergeCell ref="C52:D52"/>
    <mergeCell ref="H52:L52"/>
    <mergeCell ref="N52:P52"/>
    <mergeCell ref="C53:D53"/>
    <mergeCell ref="H53:L53"/>
    <mergeCell ref="N53:P53"/>
    <mergeCell ref="C50:D50"/>
    <mergeCell ref="H50:L50"/>
    <mergeCell ref="N50:P50"/>
    <mergeCell ref="C51:D51"/>
    <mergeCell ref="H51:L51"/>
    <mergeCell ref="N51:P51"/>
    <mergeCell ref="C56:D56"/>
    <mergeCell ref="H56:L56"/>
    <mergeCell ref="N56:P56"/>
    <mergeCell ref="C57:D57"/>
    <mergeCell ref="H57:L57"/>
    <mergeCell ref="N57:P57"/>
    <mergeCell ref="C54:D54"/>
    <mergeCell ref="H54:L54"/>
    <mergeCell ref="N54:P54"/>
    <mergeCell ref="C55:D55"/>
    <mergeCell ref="H55:L55"/>
    <mergeCell ref="N55:P55"/>
    <mergeCell ref="C60:D60"/>
    <mergeCell ref="H60:L60"/>
    <mergeCell ref="N60:P60"/>
    <mergeCell ref="C61:D61"/>
    <mergeCell ref="H61:L61"/>
    <mergeCell ref="N61:P61"/>
    <mergeCell ref="C58:D58"/>
    <mergeCell ref="H58:L58"/>
    <mergeCell ref="N58:P58"/>
    <mergeCell ref="C59:D59"/>
    <mergeCell ref="H59:L59"/>
    <mergeCell ref="N59:P59"/>
    <mergeCell ref="C64:D64"/>
    <mergeCell ref="H64:L64"/>
    <mergeCell ref="N64:P64"/>
    <mergeCell ref="C65:D65"/>
    <mergeCell ref="H65:L65"/>
    <mergeCell ref="N65:P65"/>
    <mergeCell ref="C62:D62"/>
    <mergeCell ref="H62:L62"/>
    <mergeCell ref="N62:P62"/>
    <mergeCell ref="C63:D63"/>
    <mergeCell ref="H63:L63"/>
    <mergeCell ref="N63:P63"/>
    <mergeCell ref="C68:D68"/>
    <mergeCell ref="H68:L68"/>
    <mergeCell ref="N68:P68"/>
    <mergeCell ref="C69:D69"/>
    <mergeCell ref="H69:L69"/>
    <mergeCell ref="N69:P69"/>
    <mergeCell ref="C66:D66"/>
    <mergeCell ref="H66:L66"/>
    <mergeCell ref="N66:P66"/>
    <mergeCell ref="C67:D67"/>
    <mergeCell ref="H67:L67"/>
    <mergeCell ref="N67:P67"/>
    <mergeCell ref="C72:D72"/>
    <mergeCell ref="H72:L72"/>
    <mergeCell ref="N72:P72"/>
    <mergeCell ref="C73:D73"/>
    <mergeCell ref="H73:L73"/>
    <mergeCell ref="N73:P73"/>
    <mergeCell ref="C70:D70"/>
    <mergeCell ref="H70:L70"/>
    <mergeCell ref="N70:P70"/>
    <mergeCell ref="C71:D71"/>
    <mergeCell ref="H71:L71"/>
    <mergeCell ref="N71:P71"/>
    <mergeCell ref="C76:D76"/>
    <mergeCell ref="H76:L76"/>
    <mergeCell ref="N76:P76"/>
    <mergeCell ref="C77:D77"/>
    <mergeCell ref="H77:L77"/>
    <mergeCell ref="N77:P77"/>
    <mergeCell ref="C74:D74"/>
    <mergeCell ref="H74:L74"/>
    <mergeCell ref="N74:P74"/>
    <mergeCell ref="C75:D75"/>
    <mergeCell ref="H75:L75"/>
    <mergeCell ref="N75:P75"/>
    <mergeCell ref="C80:D80"/>
    <mergeCell ref="H80:L80"/>
    <mergeCell ref="N80:P80"/>
    <mergeCell ref="C81:D81"/>
    <mergeCell ref="H81:L81"/>
    <mergeCell ref="N81:P81"/>
    <mergeCell ref="C78:D78"/>
    <mergeCell ref="H78:L78"/>
    <mergeCell ref="N78:P78"/>
    <mergeCell ref="C79:D79"/>
    <mergeCell ref="H79:L79"/>
    <mergeCell ref="N79:P79"/>
    <mergeCell ref="C84:D84"/>
    <mergeCell ref="H84:L84"/>
    <mergeCell ref="N84:P84"/>
    <mergeCell ref="C85:D85"/>
    <mergeCell ref="H85:L85"/>
    <mergeCell ref="N85:P85"/>
    <mergeCell ref="C82:D82"/>
    <mergeCell ref="H82:L82"/>
    <mergeCell ref="N82:P82"/>
    <mergeCell ref="C83:D83"/>
    <mergeCell ref="H83:L83"/>
    <mergeCell ref="N83:P83"/>
    <mergeCell ref="C88:D88"/>
    <mergeCell ref="H88:L88"/>
    <mergeCell ref="N88:P88"/>
    <mergeCell ref="C89:D89"/>
    <mergeCell ref="H89:L89"/>
    <mergeCell ref="N89:P89"/>
    <mergeCell ref="C86:D86"/>
    <mergeCell ref="H86:L86"/>
    <mergeCell ref="N86:P86"/>
    <mergeCell ref="C87:D87"/>
    <mergeCell ref="H87:L87"/>
    <mergeCell ref="N87:P87"/>
    <mergeCell ref="C92:D92"/>
    <mergeCell ref="H92:L92"/>
    <mergeCell ref="N92:P92"/>
    <mergeCell ref="C93:D93"/>
    <mergeCell ref="H93:L93"/>
    <mergeCell ref="N93:P93"/>
    <mergeCell ref="C90:D90"/>
    <mergeCell ref="H90:L90"/>
    <mergeCell ref="N90:P90"/>
    <mergeCell ref="C91:D91"/>
    <mergeCell ref="H91:L91"/>
    <mergeCell ref="N91:P91"/>
    <mergeCell ref="C96:D96"/>
    <mergeCell ref="H96:L96"/>
    <mergeCell ref="N96:P96"/>
    <mergeCell ref="C97:D97"/>
    <mergeCell ref="H97:L97"/>
    <mergeCell ref="N97:P97"/>
    <mergeCell ref="C94:D94"/>
    <mergeCell ref="H94:L94"/>
    <mergeCell ref="N94:P94"/>
    <mergeCell ref="C95:D95"/>
    <mergeCell ref="H95:L95"/>
    <mergeCell ref="N95:P95"/>
    <mergeCell ref="C100:D100"/>
    <mergeCell ref="H100:L100"/>
    <mergeCell ref="N100:P100"/>
    <mergeCell ref="C101:D101"/>
    <mergeCell ref="H101:L101"/>
    <mergeCell ref="N101:P101"/>
    <mergeCell ref="C98:D98"/>
    <mergeCell ref="H98:L98"/>
    <mergeCell ref="N98:P98"/>
    <mergeCell ref="C99:D99"/>
    <mergeCell ref="H99:L99"/>
    <mergeCell ref="N99:P99"/>
    <mergeCell ref="C104:D104"/>
    <mergeCell ref="H104:L104"/>
    <mergeCell ref="N104:P104"/>
    <mergeCell ref="C105:D105"/>
    <mergeCell ref="H105:L105"/>
    <mergeCell ref="N105:P105"/>
    <mergeCell ref="C102:D102"/>
    <mergeCell ref="H102:L102"/>
    <mergeCell ref="N102:P102"/>
    <mergeCell ref="C103:D103"/>
    <mergeCell ref="H103:L103"/>
    <mergeCell ref="N103:P103"/>
    <mergeCell ref="C108:D108"/>
    <mergeCell ref="H108:L108"/>
    <mergeCell ref="N108:P108"/>
    <mergeCell ref="C109:D109"/>
    <mergeCell ref="H109:L109"/>
    <mergeCell ref="N109:P109"/>
    <mergeCell ref="C106:D106"/>
    <mergeCell ref="H106:L106"/>
    <mergeCell ref="N106:P106"/>
    <mergeCell ref="C107:D107"/>
    <mergeCell ref="H107:L107"/>
    <mergeCell ref="N107:P107"/>
    <mergeCell ref="C112:D112"/>
    <mergeCell ref="H112:L112"/>
    <mergeCell ref="N112:P112"/>
    <mergeCell ref="C113:D113"/>
    <mergeCell ref="H113:L113"/>
    <mergeCell ref="N113:P113"/>
    <mergeCell ref="C110:D110"/>
    <mergeCell ref="H110:L110"/>
    <mergeCell ref="N110:P110"/>
    <mergeCell ref="C111:D111"/>
    <mergeCell ref="H111:L111"/>
    <mergeCell ref="N111:P111"/>
    <mergeCell ref="C116:D116"/>
    <mergeCell ref="H116:L116"/>
    <mergeCell ref="N116:P116"/>
    <mergeCell ref="C117:D117"/>
    <mergeCell ref="H117:L117"/>
    <mergeCell ref="N117:P117"/>
    <mergeCell ref="C114:D114"/>
    <mergeCell ref="H114:L114"/>
    <mergeCell ref="N114:P114"/>
    <mergeCell ref="C115:D115"/>
    <mergeCell ref="H115:L115"/>
    <mergeCell ref="N115:P115"/>
    <mergeCell ref="C120:D120"/>
    <mergeCell ref="H120:L120"/>
    <mergeCell ref="N120:P120"/>
    <mergeCell ref="C121:D121"/>
    <mergeCell ref="H121:L121"/>
    <mergeCell ref="N121:P121"/>
    <mergeCell ref="C118:D118"/>
    <mergeCell ref="H118:L118"/>
    <mergeCell ref="N118:P118"/>
    <mergeCell ref="C119:D119"/>
    <mergeCell ref="H119:L119"/>
    <mergeCell ref="N119:P119"/>
    <mergeCell ref="C124:D124"/>
    <mergeCell ref="H124:L124"/>
    <mergeCell ref="N124:P124"/>
    <mergeCell ref="C125:D125"/>
    <mergeCell ref="H125:L125"/>
    <mergeCell ref="N125:P125"/>
    <mergeCell ref="C122:D122"/>
    <mergeCell ref="H122:L122"/>
    <mergeCell ref="N122:P122"/>
    <mergeCell ref="C123:D123"/>
    <mergeCell ref="H123:L123"/>
    <mergeCell ref="N123:P123"/>
    <mergeCell ref="C128:D128"/>
    <mergeCell ref="H128:L128"/>
    <mergeCell ref="N128:P128"/>
    <mergeCell ref="C129:D129"/>
    <mergeCell ref="H129:L129"/>
    <mergeCell ref="N129:P129"/>
    <mergeCell ref="C126:D126"/>
    <mergeCell ref="H126:L126"/>
    <mergeCell ref="N126:P126"/>
    <mergeCell ref="C127:D127"/>
    <mergeCell ref="H127:L127"/>
    <mergeCell ref="N127:P127"/>
    <mergeCell ref="C132:D132"/>
    <mergeCell ref="H132:L132"/>
    <mergeCell ref="N132:P132"/>
    <mergeCell ref="C133:D133"/>
    <mergeCell ref="H133:L133"/>
    <mergeCell ref="N133:P133"/>
    <mergeCell ref="C130:D130"/>
    <mergeCell ref="H130:L130"/>
    <mergeCell ref="N130:P130"/>
    <mergeCell ref="C131:D131"/>
    <mergeCell ref="H131:L131"/>
    <mergeCell ref="N131:P131"/>
    <mergeCell ref="C136:D136"/>
    <mergeCell ref="H136:L136"/>
    <mergeCell ref="N136:P136"/>
    <mergeCell ref="C137:D137"/>
    <mergeCell ref="H137:L137"/>
    <mergeCell ref="N137:P137"/>
    <mergeCell ref="C134:D134"/>
    <mergeCell ref="H134:L134"/>
    <mergeCell ref="N134:P134"/>
    <mergeCell ref="C135:D135"/>
    <mergeCell ref="H135:L135"/>
    <mergeCell ref="N135:P135"/>
    <mergeCell ref="C140:D140"/>
    <mergeCell ref="H140:L140"/>
    <mergeCell ref="N140:P140"/>
    <mergeCell ref="C141:D141"/>
    <mergeCell ref="H141:L141"/>
    <mergeCell ref="N141:P141"/>
    <mergeCell ref="C138:D138"/>
    <mergeCell ref="H138:L138"/>
    <mergeCell ref="N138:P138"/>
    <mergeCell ref="C139:D139"/>
    <mergeCell ref="H139:L139"/>
    <mergeCell ref="N139:P139"/>
    <mergeCell ref="C144:D144"/>
    <mergeCell ref="H144:L144"/>
    <mergeCell ref="N144:P144"/>
    <mergeCell ref="C145:D145"/>
    <mergeCell ref="H145:L145"/>
    <mergeCell ref="N145:P145"/>
    <mergeCell ref="C142:D142"/>
    <mergeCell ref="H142:L142"/>
    <mergeCell ref="N142:P142"/>
    <mergeCell ref="C143:D143"/>
    <mergeCell ref="H143:L143"/>
    <mergeCell ref="N143:P143"/>
    <mergeCell ref="C148:D148"/>
    <mergeCell ref="H148:L148"/>
    <mergeCell ref="N148:P148"/>
    <mergeCell ref="C149:D149"/>
    <mergeCell ref="H149:L149"/>
    <mergeCell ref="N149:P149"/>
    <mergeCell ref="C146:D146"/>
    <mergeCell ref="H146:L146"/>
    <mergeCell ref="N146:P146"/>
    <mergeCell ref="C147:D147"/>
    <mergeCell ref="H147:L147"/>
    <mergeCell ref="N147:P147"/>
    <mergeCell ref="C152:D152"/>
    <mergeCell ref="H152:L152"/>
    <mergeCell ref="N152:P152"/>
    <mergeCell ref="C153:D153"/>
    <mergeCell ref="H153:L153"/>
    <mergeCell ref="N153:P153"/>
    <mergeCell ref="C150:D150"/>
    <mergeCell ref="H150:L150"/>
    <mergeCell ref="N150:P150"/>
    <mergeCell ref="C151:D151"/>
    <mergeCell ref="H151:L151"/>
    <mergeCell ref="N151:P151"/>
    <mergeCell ref="C156:D156"/>
    <mergeCell ref="H156:L156"/>
    <mergeCell ref="N156:P156"/>
    <mergeCell ref="C157:D157"/>
    <mergeCell ref="H157:L157"/>
    <mergeCell ref="N157:P157"/>
    <mergeCell ref="C154:D154"/>
    <mergeCell ref="H154:L154"/>
    <mergeCell ref="N154:P154"/>
    <mergeCell ref="C155:D155"/>
    <mergeCell ref="H155:L155"/>
    <mergeCell ref="N155:P155"/>
    <mergeCell ref="C160:D160"/>
    <mergeCell ref="H160:L160"/>
    <mergeCell ref="N160:P160"/>
    <mergeCell ref="C161:D161"/>
    <mergeCell ref="H161:L161"/>
    <mergeCell ref="N161:P161"/>
    <mergeCell ref="C158:D158"/>
    <mergeCell ref="H158:L158"/>
    <mergeCell ref="N158:P158"/>
    <mergeCell ref="C159:D159"/>
    <mergeCell ref="H159:L159"/>
    <mergeCell ref="N159:P159"/>
    <mergeCell ref="C164:D164"/>
    <mergeCell ref="H164:L164"/>
    <mergeCell ref="N164:P164"/>
    <mergeCell ref="C165:D165"/>
    <mergeCell ref="H165:L165"/>
    <mergeCell ref="N165:P165"/>
    <mergeCell ref="C162:D162"/>
    <mergeCell ref="H162:L162"/>
    <mergeCell ref="N162:P162"/>
    <mergeCell ref="C163:D163"/>
    <mergeCell ref="H163:L163"/>
    <mergeCell ref="N163:P163"/>
    <mergeCell ref="C168:D168"/>
    <mergeCell ref="H168:L168"/>
    <mergeCell ref="N168:P168"/>
    <mergeCell ref="C169:D169"/>
    <mergeCell ref="H169:L169"/>
    <mergeCell ref="N169:P169"/>
    <mergeCell ref="C166:D166"/>
    <mergeCell ref="H166:L166"/>
    <mergeCell ref="N166:P166"/>
    <mergeCell ref="C167:D167"/>
    <mergeCell ref="H167:L167"/>
    <mergeCell ref="N167:P167"/>
    <mergeCell ref="C172:D172"/>
    <mergeCell ref="H172:L172"/>
    <mergeCell ref="N172:P172"/>
    <mergeCell ref="C173:D173"/>
    <mergeCell ref="H173:L173"/>
    <mergeCell ref="N173:P173"/>
    <mergeCell ref="C170:D170"/>
    <mergeCell ref="H170:L170"/>
    <mergeCell ref="N170:P170"/>
    <mergeCell ref="C171:D171"/>
    <mergeCell ref="H171:L171"/>
    <mergeCell ref="N171:P171"/>
    <mergeCell ref="C176:D176"/>
    <mergeCell ref="H176:L176"/>
    <mergeCell ref="N176:P176"/>
    <mergeCell ref="C177:D177"/>
    <mergeCell ref="H177:L177"/>
    <mergeCell ref="N177:P177"/>
    <mergeCell ref="C174:D174"/>
    <mergeCell ref="H174:L174"/>
    <mergeCell ref="N174:P174"/>
    <mergeCell ref="C175:D175"/>
    <mergeCell ref="H175:L175"/>
    <mergeCell ref="N175:P175"/>
    <mergeCell ref="C180:D180"/>
    <mergeCell ref="H180:L180"/>
    <mergeCell ref="N180:P180"/>
    <mergeCell ref="C181:D181"/>
    <mergeCell ref="H181:L181"/>
    <mergeCell ref="N181:P181"/>
    <mergeCell ref="C178:D178"/>
    <mergeCell ref="H178:L178"/>
    <mergeCell ref="N178:P178"/>
    <mergeCell ref="C179:D179"/>
    <mergeCell ref="H179:L179"/>
    <mergeCell ref="N179:P179"/>
    <mergeCell ref="C184:D184"/>
    <mergeCell ref="H184:L184"/>
    <mergeCell ref="N184:P184"/>
    <mergeCell ref="C185:D185"/>
    <mergeCell ref="H185:L185"/>
    <mergeCell ref="N185:P185"/>
    <mergeCell ref="C182:D182"/>
    <mergeCell ref="H182:L182"/>
    <mergeCell ref="N182:P182"/>
    <mergeCell ref="C183:D183"/>
    <mergeCell ref="H183:L183"/>
    <mergeCell ref="N183:P183"/>
    <mergeCell ref="C188:D188"/>
    <mergeCell ref="H188:L188"/>
    <mergeCell ref="N188:P188"/>
    <mergeCell ref="C189:D189"/>
    <mergeCell ref="H189:L189"/>
    <mergeCell ref="N189:P189"/>
    <mergeCell ref="C186:D186"/>
    <mergeCell ref="H186:L186"/>
    <mergeCell ref="N186:P186"/>
    <mergeCell ref="C187:D187"/>
    <mergeCell ref="H187:L187"/>
    <mergeCell ref="N187:P187"/>
    <mergeCell ref="C192:D192"/>
    <mergeCell ref="H192:L192"/>
    <mergeCell ref="N192:P192"/>
    <mergeCell ref="C193:D193"/>
    <mergeCell ref="H193:L193"/>
    <mergeCell ref="N193:P193"/>
    <mergeCell ref="C190:D190"/>
    <mergeCell ref="H190:L190"/>
    <mergeCell ref="N190:P190"/>
    <mergeCell ref="C191:D191"/>
    <mergeCell ref="H191:L191"/>
    <mergeCell ref="N191:P191"/>
    <mergeCell ref="C196:D196"/>
    <mergeCell ref="H196:L196"/>
    <mergeCell ref="N196:P196"/>
    <mergeCell ref="C197:D197"/>
    <mergeCell ref="H197:L197"/>
    <mergeCell ref="N197:P197"/>
    <mergeCell ref="C194:D194"/>
    <mergeCell ref="H194:L194"/>
    <mergeCell ref="N194:P194"/>
    <mergeCell ref="C195:D195"/>
    <mergeCell ref="H195:L195"/>
    <mergeCell ref="N195:P195"/>
    <mergeCell ref="C200:D200"/>
    <mergeCell ref="H200:L200"/>
    <mergeCell ref="N200:P200"/>
    <mergeCell ref="C201:D201"/>
    <mergeCell ref="H201:L201"/>
    <mergeCell ref="N201:P201"/>
    <mergeCell ref="C198:D198"/>
    <mergeCell ref="H198:L198"/>
    <mergeCell ref="N198:P198"/>
    <mergeCell ref="C199:D199"/>
    <mergeCell ref="H199:L199"/>
    <mergeCell ref="N199:P199"/>
    <mergeCell ref="C204:D204"/>
    <mergeCell ref="H204:L204"/>
    <mergeCell ref="N204:P204"/>
    <mergeCell ref="C205:D205"/>
    <mergeCell ref="H205:L205"/>
    <mergeCell ref="N205:P205"/>
    <mergeCell ref="C202:D202"/>
    <mergeCell ref="H202:L202"/>
    <mergeCell ref="N202:P202"/>
    <mergeCell ref="C203:D203"/>
    <mergeCell ref="H203:L203"/>
    <mergeCell ref="N203:P203"/>
    <mergeCell ref="A206:B211"/>
    <mergeCell ref="D206:I206"/>
    <mergeCell ref="K206:Q206"/>
    <mergeCell ref="R206:W206"/>
    <mergeCell ref="D207:I207"/>
    <mergeCell ref="K207:Q207"/>
    <mergeCell ref="R207:W207"/>
    <mergeCell ref="D208:I208"/>
    <mergeCell ref="K208:Q208"/>
    <mergeCell ref="R208:W208"/>
    <mergeCell ref="R213:W213"/>
    <mergeCell ref="R214:W214"/>
    <mergeCell ref="R215:W215"/>
    <mergeCell ref="R216:W216"/>
    <mergeCell ref="D211:I211"/>
    <mergeCell ref="K211:Q211"/>
    <mergeCell ref="R211:W211"/>
    <mergeCell ref="R212:W212"/>
    <mergeCell ref="D209:I209"/>
    <mergeCell ref="K209:Q209"/>
    <mergeCell ref="R209:W209"/>
    <mergeCell ref="D210:I210"/>
    <mergeCell ref="K210:Q210"/>
    <mergeCell ref="R210:W210"/>
    <mergeCell ref="R230:W230"/>
    <mergeCell ref="R231:W231"/>
    <mergeCell ref="R221:W221"/>
    <mergeCell ref="R222:W222"/>
    <mergeCell ref="R223:W227"/>
    <mergeCell ref="R229:W229"/>
    <mergeCell ref="R219:W219"/>
    <mergeCell ref="R220:W220"/>
    <mergeCell ref="R217:W217"/>
    <mergeCell ref="R218:W218"/>
  </mergeCells>
  <phoneticPr fontId="51" type="noConversion"/>
  <dataValidations count="1">
    <dataValidation allowBlank="1" showErrorMessage="1" sqref="J2:L2">
      <formula1>0</formula1>
      <formula2>0</formula2>
    </dataValidation>
  </dataValidations>
  <hyperlinks>
    <hyperlink ref="R6" location="其他事项!B18" display="其他事项!B18"/>
    <hyperlink ref="R7" location="工资福利!A1" display="工资福利!A1"/>
    <hyperlink ref="R8" location="招待!A1" display="招待!A1"/>
    <hyperlink ref="R9" location="社保明细工资人数!A1" display="社保明细工资人数"/>
    <hyperlink ref="R10" location="纳税调整明细表!E45" display="纳税调整明细表!E45"/>
    <hyperlink ref="R11" location="事项说明!B55" display="事项说明!B55"/>
  </hyperlinks>
  <pageMargins left="0.78740157480314998" right="0.35433070866141703" top="0.511811023622047" bottom="0.11811023622047198" header="0.511811023622047" footer="0.511811023622047"/>
  <pageSetup paperSize="9" scale="95" firstPageNumber="0" orientation="landscape" blackAndWhite="1"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1:F19"/>
  <sheetViews>
    <sheetView workbookViewId="0">
      <selection activeCell="B12" sqref="B12"/>
    </sheetView>
  </sheetViews>
  <sheetFormatPr defaultColWidth="9" defaultRowHeight="15.6"/>
  <cols>
    <col min="1" max="1" width="9" style="407"/>
    <col min="2" max="2" width="107.59765625" style="408" customWidth="1"/>
    <col min="3" max="16384" width="9" style="407"/>
  </cols>
  <sheetData>
    <row r="1" spans="2:6" ht="48.75" customHeight="1">
      <c r="C1" s="409"/>
      <c r="D1" s="409"/>
    </row>
    <row r="2" spans="2:6" ht="15" customHeight="1">
      <c r="C2" s="409"/>
      <c r="D2" s="409"/>
    </row>
    <row r="3" spans="2:6" ht="30.75" customHeight="1">
      <c r="B3" s="410" t="s">
        <v>593</v>
      </c>
      <c r="C3" s="409"/>
      <c r="D3" s="409"/>
      <c r="E3" s="409"/>
    </row>
    <row r="4" spans="2:6" ht="37.5" customHeight="1">
      <c r="B4" s="408" t="s">
        <v>594</v>
      </c>
      <c r="C4" s="411"/>
      <c r="D4" s="411"/>
      <c r="E4" s="411"/>
      <c r="F4" s="411"/>
    </row>
    <row r="5" spans="2:6">
      <c r="B5" s="408" t="s">
        <v>595</v>
      </c>
      <c r="C5" s="411"/>
      <c r="D5" s="411"/>
      <c r="E5" s="411"/>
      <c r="F5" s="411"/>
    </row>
    <row r="6" spans="2:6">
      <c r="C6" s="411"/>
      <c r="D6" s="411"/>
      <c r="E6" s="411"/>
      <c r="F6" s="411"/>
    </row>
    <row r="7" spans="2:6" ht="31.5" customHeight="1">
      <c r="B7" s="412" t="s">
        <v>596</v>
      </c>
      <c r="C7" s="411"/>
      <c r="D7" s="411"/>
      <c r="E7" s="411"/>
      <c r="F7" s="411"/>
    </row>
    <row r="8" spans="2:6">
      <c r="B8" s="413" t="s">
        <v>597</v>
      </c>
      <c r="C8" s="411"/>
      <c r="D8" s="411"/>
      <c r="E8" s="411"/>
      <c r="F8" s="411"/>
    </row>
    <row r="9" spans="2:6">
      <c r="B9" s="414" t="s">
        <v>598</v>
      </c>
      <c r="C9" s="411"/>
      <c r="D9" s="411"/>
      <c r="E9" s="411"/>
      <c r="F9" s="411"/>
    </row>
    <row r="10" spans="2:6">
      <c r="B10" s="415" t="s">
        <v>599</v>
      </c>
      <c r="C10" s="411"/>
      <c r="D10" s="411"/>
      <c r="E10" s="411"/>
      <c r="F10" s="411"/>
    </row>
    <row r="11" spans="2:6">
      <c r="B11" s="416" t="s">
        <v>600</v>
      </c>
      <c r="C11" s="411"/>
      <c r="D11" s="411"/>
      <c r="E11" s="411"/>
      <c r="F11" s="411"/>
    </row>
    <row r="12" spans="2:6">
      <c r="B12" s="417" t="s">
        <v>601</v>
      </c>
      <c r="C12" s="411"/>
      <c r="D12" s="411"/>
      <c r="E12" s="411"/>
      <c r="F12" s="411"/>
    </row>
    <row r="13" spans="2:6">
      <c r="B13" s="418" t="s">
        <v>602</v>
      </c>
      <c r="C13" s="411"/>
      <c r="D13" s="411"/>
      <c r="E13" s="411"/>
      <c r="F13" s="411"/>
    </row>
    <row r="14" spans="2:6">
      <c r="B14" s="419" t="s">
        <v>603</v>
      </c>
      <c r="C14" s="411"/>
      <c r="D14" s="411"/>
      <c r="E14" s="411"/>
      <c r="F14" s="411"/>
    </row>
    <row r="15" spans="2:6">
      <c r="B15" s="420"/>
      <c r="C15" s="411"/>
      <c r="D15" s="411"/>
      <c r="E15" s="411"/>
      <c r="F15" s="411"/>
    </row>
    <row r="16" spans="2:6" ht="26.25" customHeight="1">
      <c r="B16" s="412" t="s">
        <v>604</v>
      </c>
      <c r="C16" s="411"/>
      <c r="D16" s="411"/>
      <c r="E16" s="411"/>
      <c r="F16" s="411"/>
    </row>
    <row r="17" spans="2:6">
      <c r="B17" s="421" t="s">
        <v>605</v>
      </c>
      <c r="C17" s="411"/>
      <c r="D17" s="411"/>
      <c r="E17" s="411"/>
      <c r="F17" s="411"/>
    </row>
    <row r="18" spans="2:6" ht="31.2">
      <c r="B18" s="408" t="s">
        <v>606</v>
      </c>
    </row>
    <row r="19" spans="2:6">
      <c r="B19" s="408" t="s">
        <v>607</v>
      </c>
    </row>
  </sheetData>
  <sheetProtection selectLockedCells="1" selectUnlockedCells="1"/>
  <phoneticPr fontId="51" type="noConversion"/>
  <hyperlinks>
    <hyperlink ref="B17" location="基本情况!A1" display="    1、填表顺序最好先从“基本情况”工作表填起，而后利润表、损益类底稿、凭证抽查、调整类底稿，各相关底稿填列后审核报告基本自动生成。"/>
  </hyperlinks>
  <pageMargins left="0.78740157480314998" right="0.35433070866141703" top="0.511811023622047" bottom="0.11811023622047198" header="0.511811023622047" footer="0.511811023622047"/>
  <pageSetup paperSize="9" firstPageNumber="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M47"/>
  <sheetViews>
    <sheetView topLeftCell="A17" workbookViewId="0">
      <selection activeCell="C29" sqref="C29"/>
    </sheetView>
  </sheetViews>
  <sheetFormatPr defaultColWidth="9" defaultRowHeight="20.100000000000001" customHeight="1"/>
  <cols>
    <col min="1" max="1" width="24.09765625" style="422" customWidth="1"/>
    <col min="2" max="2" width="5.59765625" style="422" customWidth="1"/>
    <col min="3" max="4" width="15.59765625" style="423" customWidth="1"/>
    <col min="5" max="5" width="27.5" style="422" customWidth="1"/>
    <col min="6" max="6" width="5.59765625" style="422" customWidth="1"/>
    <col min="7" max="8" width="15.59765625" style="423" customWidth="1"/>
    <col min="9" max="9" width="25.8984375" style="424" customWidth="1"/>
    <col min="10" max="16384" width="9" style="424"/>
  </cols>
  <sheetData>
    <row r="1" spans="1:13" ht="22.5" customHeight="1">
      <c r="A1" s="425"/>
      <c r="B1" s="3071" t="s">
        <v>608</v>
      </c>
      <c r="C1" s="3071"/>
      <c r="D1" s="3071"/>
      <c r="E1" s="3071"/>
      <c r="F1" s="3071"/>
      <c r="G1" s="3071"/>
      <c r="H1" s="426" t="s">
        <v>1551</v>
      </c>
      <c r="I1" s="427"/>
      <c r="J1" s="58"/>
      <c r="K1" s="58"/>
      <c r="L1" s="58"/>
      <c r="M1" s="58"/>
    </row>
    <row r="2" spans="1:13" ht="18" customHeight="1">
      <c r="A2" s="3072" t="str">
        <f>"编制单位："&amp;基本情况!B2</f>
        <v>编制单位：0</v>
      </c>
      <c r="B2" s="3072"/>
      <c r="C2" s="3072"/>
      <c r="D2" s="3073" t="str">
        <f>本年度&amp;"年"&amp;截止月&amp;"月"&amp;截止日&amp;"日"</f>
        <v>2016年12月31日</v>
      </c>
      <c r="E2" s="3073"/>
      <c r="F2" s="428"/>
      <c r="G2" s="2296" t="s">
        <v>6902</v>
      </c>
      <c r="H2" s="429" t="s">
        <v>609</v>
      </c>
      <c r="I2" s="427"/>
      <c r="J2" s="58"/>
      <c r="K2" s="58"/>
      <c r="L2" s="58"/>
      <c r="M2" s="58"/>
    </row>
    <row r="3" spans="1:13" s="435" customFormat="1" ht="18" customHeight="1">
      <c r="A3" s="430" t="s">
        <v>610</v>
      </c>
      <c r="B3" s="431" t="s">
        <v>611</v>
      </c>
      <c r="C3" s="432" t="s">
        <v>6900</v>
      </c>
      <c r="D3" s="432" t="s">
        <v>613</v>
      </c>
      <c r="E3" s="431" t="s">
        <v>6901</v>
      </c>
      <c r="F3" s="431" t="s">
        <v>611</v>
      </c>
      <c r="G3" s="432" t="s">
        <v>612</v>
      </c>
      <c r="H3" s="433" t="s">
        <v>613</v>
      </c>
      <c r="I3" s="427"/>
      <c r="J3" s="434"/>
      <c r="K3" s="434"/>
      <c r="L3" s="434"/>
      <c r="M3" s="434"/>
    </row>
    <row r="4" spans="1:13" s="435" customFormat="1" ht="15.75" customHeight="1">
      <c r="A4" s="436" t="s">
        <v>614</v>
      </c>
      <c r="B4" s="437"/>
      <c r="C4" s="438"/>
      <c r="D4" s="438"/>
      <c r="E4" s="2295" t="s">
        <v>615</v>
      </c>
      <c r="F4" s="437"/>
      <c r="G4" s="438"/>
      <c r="H4" s="439"/>
      <c r="I4" s="427"/>
      <c r="J4" s="434"/>
      <c r="K4" s="434"/>
      <c r="L4" s="434"/>
      <c r="M4" s="434"/>
    </row>
    <row r="5" spans="1:13" s="435" customFormat="1" ht="15.75" customHeight="1">
      <c r="A5" s="440" t="s">
        <v>616</v>
      </c>
      <c r="B5" s="437">
        <v>1</v>
      </c>
      <c r="C5" s="1096"/>
      <c r="D5" s="1096"/>
      <c r="E5" s="441" t="s">
        <v>617</v>
      </c>
      <c r="F5" s="437">
        <v>31</v>
      </c>
      <c r="G5" s="1097"/>
      <c r="H5" s="1099"/>
      <c r="I5" s="58" t="s">
        <v>395</v>
      </c>
      <c r="J5" s="434"/>
      <c r="K5" s="434"/>
      <c r="L5" s="434"/>
      <c r="M5" s="434"/>
    </row>
    <row r="6" spans="1:13" s="435" customFormat="1" ht="15.75" customHeight="1">
      <c r="A6" s="436" t="s">
        <v>618</v>
      </c>
      <c r="B6" s="437">
        <v>2</v>
      </c>
      <c r="C6" s="1097"/>
      <c r="D6" s="1097"/>
      <c r="E6" s="441" t="s">
        <v>6898</v>
      </c>
      <c r="F6" s="437">
        <v>32</v>
      </c>
      <c r="G6" s="1097"/>
      <c r="H6" s="1099"/>
      <c r="I6" s="442" t="s">
        <v>619</v>
      </c>
      <c r="J6" s="434"/>
      <c r="K6" s="434"/>
      <c r="L6" s="434"/>
      <c r="M6" s="434"/>
    </row>
    <row r="7" spans="1:13" s="435" customFormat="1" ht="15.75" customHeight="1">
      <c r="A7" s="436" t="s">
        <v>620</v>
      </c>
      <c r="B7" s="437">
        <v>3</v>
      </c>
      <c r="C7" s="1097"/>
      <c r="D7" s="1097"/>
      <c r="E7" s="443" t="s">
        <v>621</v>
      </c>
      <c r="F7" s="437">
        <v>33</v>
      </c>
      <c r="G7" s="1097"/>
      <c r="H7" s="1099"/>
      <c r="I7" s="434"/>
      <c r="J7" s="434"/>
      <c r="K7" s="434"/>
      <c r="L7" s="434"/>
      <c r="M7" s="434"/>
    </row>
    <row r="8" spans="1:13" s="435" customFormat="1" ht="15.75" customHeight="1">
      <c r="A8" s="440" t="s">
        <v>623</v>
      </c>
      <c r="B8" s="437">
        <v>4</v>
      </c>
      <c r="C8" s="1097"/>
      <c r="D8" s="1097"/>
      <c r="E8" s="443" t="s">
        <v>622</v>
      </c>
      <c r="F8" s="437">
        <v>34</v>
      </c>
      <c r="G8" s="1097"/>
      <c r="H8" s="1099"/>
      <c r="I8" s="2453" t="s">
        <v>7153</v>
      </c>
      <c r="J8" s="2453" t="s">
        <v>7154</v>
      </c>
      <c r="K8" s="434"/>
      <c r="L8" s="434"/>
      <c r="M8" s="434"/>
    </row>
    <row r="9" spans="1:13" s="435" customFormat="1" ht="15.75" customHeight="1">
      <c r="A9" s="440" t="s">
        <v>624</v>
      </c>
      <c r="B9" s="437">
        <v>5</v>
      </c>
      <c r="C9" s="1097"/>
      <c r="D9" s="1097"/>
      <c r="E9" s="443" t="s">
        <v>6896</v>
      </c>
      <c r="F9" s="437">
        <v>35</v>
      </c>
      <c r="G9" s="1098"/>
      <c r="H9" s="1099"/>
      <c r="I9" s="2454"/>
      <c r="J9" s="2453" t="s">
        <v>7155</v>
      </c>
      <c r="K9" s="434"/>
      <c r="L9" s="434"/>
      <c r="M9" s="434"/>
    </row>
    <row r="10" spans="1:13" s="435" customFormat="1" ht="15.75" customHeight="1">
      <c r="A10" s="2294" t="s">
        <v>6894</v>
      </c>
      <c r="B10" s="437">
        <v>6</v>
      </c>
      <c r="C10" s="1101"/>
      <c r="D10" s="1097"/>
      <c r="E10" s="443" t="s">
        <v>6897</v>
      </c>
      <c r="F10" s="437">
        <v>36</v>
      </c>
      <c r="G10" s="1098"/>
      <c r="H10" s="1099"/>
      <c r="I10" s="2455"/>
      <c r="J10" s="2453" t="s">
        <v>7156</v>
      </c>
      <c r="K10" s="434"/>
      <c r="L10" s="434"/>
      <c r="M10" s="434"/>
    </row>
    <row r="11" spans="1:13" s="435" customFormat="1" ht="15.75" customHeight="1">
      <c r="A11" s="2294" t="s">
        <v>6895</v>
      </c>
      <c r="B11" s="437">
        <v>7</v>
      </c>
      <c r="C11" s="1101"/>
      <c r="D11" s="1097"/>
      <c r="E11" s="2311" t="s">
        <v>6899</v>
      </c>
      <c r="F11" s="437">
        <v>37</v>
      </c>
      <c r="G11" s="1098"/>
      <c r="H11" s="1099"/>
      <c r="I11" s="2455"/>
      <c r="J11" s="2453" t="s">
        <v>7157</v>
      </c>
      <c r="K11" s="434"/>
      <c r="L11" s="434"/>
      <c r="M11" s="434"/>
    </row>
    <row r="12" spans="1:13" s="435" customFormat="1" ht="15.75" customHeight="1">
      <c r="A12" s="440" t="s">
        <v>625</v>
      </c>
      <c r="B12" s="437">
        <v>8</v>
      </c>
      <c r="C12" s="1097"/>
      <c r="D12" s="1097"/>
      <c r="E12" s="441" t="s">
        <v>626</v>
      </c>
      <c r="F12" s="437">
        <v>38</v>
      </c>
      <c r="G12" s="1098"/>
      <c r="H12" s="1099"/>
      <c r="I12" s="2455"/>
      <c r="J12" s="2453" t="s">
        <v>7158</v>
      </c>
      <c r="K12" s="434"/>
      <c r="L12" s="434"/>
      <c r="M12" s="434"/>
    </row>
    <row r="13" spans="1:13" s="435" customFormat="1" ht="15.75" customHeight="1">
      <c r="A13" s="440" t="s">
        <v>627</v>
      </c>
      <c r="B13" s="437">
        <v>9</v>
      </c>
      <c r="C13" s="1097"/>
      <c r="D13" s="1097"/>
      <c r="E13" s="443" t="s">
        <v>6964</v>
      </c>
      <c r="F13" s="437">
        <v>39</v>
      </c>
      <c r="G13" s="1098"/>
      <c r="H13" s="1099"/>
      <c r="I13" s="2455"/>
      <c r="J13" s="2453" t="s">
        <v>7159</v>
      </c>
      <c r="K13" s="434"/>
      <c r="L13" s="434"/>
      <c r="M13" s="434"/>
    </row>
    <row r="14" spans="1:13" s="435" customFormat="1" ht="15.75" customHeight="1">
      <c r="A14" s="2294" t="s">
        <v>6931</v>
      </c>
      <c r="B14" s="437">
        <v>10</v>
      </c>
      <c r="C14" s="1097"/>
      <c r="D14" s="1097"/>
      <c r="E14" s="441" t="s">
        <v>630</v>
      </c>
      <c r="F14" s="437">
        <v>40</v>
      </c>
      <c r="G14" s="1098"/>
      <c r="H14" s="1099"/>
      <c r="I14" s="2455"/>
      <c r="J14" s="2453" t="s">
        <v>7160</v>
      </c>
      <c r="K14" s="434"/>
      <c r="L14" s="434"/>
      <c r="M14" s="434"/>
    </row>
    <row r="15" spans="1:13" s="435" customFormat="1" ht="15.75" customHeight="1">
      <c r="A15" s="2294" t="s">
        <v>6932</v>
      </c>
      <c r="B15" s="437">
        <v>11</v>
      </c>
      <c r="C15" s="1097"/>
      <c r="D15" s="1097"/>
      <c r="E15" s="437"/>
      <c r="F15" s="437"/>
      <c r="G15" s="2427"/>
      <c r="H15" s="2306"/>
      <c r="I15" s="2455"/>
      <c r="J15" s="2453" t="s">
        <v>7161</v>
      </c>
      <c r="K15" s="434"/>
      <c r="L15" s="434"/>
      <c r="M15" s="434"/>
    </row>
    <row r="16" spans="1:13" s="435" customFormat="1" ht="15.75" customHeight="1">
      <c r="A16" s="2301" t="s">
        <v>6933</v>
      </c>
      <c r="B16" s="437">
        <v>12</v>
      </c>
      <c r="C16" s="1097"/>
      <c r="D16" s="1097"/>
      <c r="E16" s="1258"/>
      <c r="F16" s="437"/>
      <c r="G16" s="2426"/>
      <c r="H16" s="2306"/>
      <c r="I16" s="2455"/>
      <c r="J16" s="2453" t="s">
        <v>7162</v>
      </c>
      <c r="K16" s="434"/>
      <c r="L16" s="434"/>
      <c r="M16" s="434"/>
    </row>
    <row r="17" spans="1:13" s="435" customFormat="1" ht="15.75" customHeight="1">
      <c r="A17" s="436" t="s">
        <v>6934</v>
      </c>
      <c r="B17" s="437">
        <v>13</v>
      </c>
      <c r="C17" s="1097"/>
      <c r="D17" s="1097"/>
      <c r="E17" s="443"/>
      <c r="F17" s="437"/>
      <c r="G17" s="2427"/>
      <c r="H17" s="2306"/>
      <c r="I17" s="2455"/>
      <c r="J17" s="2453" t="s">
        <v>7163</v>
      </c>
      <c r="K17" s="434"/>
      <c r="L17" s="434"/>
      <c r="M17" s="434"/>
    </row>
    <row r="18" spans="1:13" s="435" customFormat="1" ht="15.75" customHeight="1">
      <c r="A18" s="436" t="s">
        <v>628</v>
      </c>
      <c r="B18" s="437">
        <v>14</v>
      </c>
      <c r="C18" s="1097"/>
      <c r="D18" s="1097"/>
      <c r="E18" s="444"/>
      <c r="F18" s="437"/>
      <c r="G18" s="2428"/>
      <c r="H18" s="2306"/>
      <c r="I18" s="2455"/>
      <c r="J18" s="2453" t="s">
        <v>7164</v>
      </c>
      <c r="K18" s="434"/>
      <c r="L18" s="434"/>
      <c r="M18" s="434"/>
    </row>
    <row r="19" spans="1:13" s="435" customFormat="1" ht="15.75" customHeight="1">
      <c r="A19" s="445" t="s">
        <v>629</v>
      </c>
      <c r="B19" s="437">
        <v>15</v>
      </c>
      <c r="C19" s="446">
        <f>SUM(C5:C13)+C18</f>
        <v>0</v>
      </c>
      <c r="D19" s="446">
        <f>SUM(D5:D13)+D18</f>
        <v>0</v>
      </c>
      <c r="E19" s="437" t="s">
        <v>632</v>
      </c>
      <c r="F19" s="437">
        <v>41</v>
      </c>
      <c r="G19" s="2422">
        <f>SUM(G5:G18)</f>
        <v>0</v>
      </c>
      <c r="H19" s="2423">
        <f>SUM(H5:H18)</f>
        <v>0</v>
      </c>
      <c r="I19" s="2455"/>
      <c r="J19" s="2453" t="s">
        <v>7165</v>
      </c>
      <c r="K19" s="434"/>
      <c r="L19" s="434"/>
      <c r="M19" s="434"/>
    </row>
    <row r="20" spans="1:13" s="435" customFormat="1" ht="15.75" customHeight="1">
      <c r="A20" s="2297" t="s">
        <v>6903</v>
      </c>
      <c r="B20" s="437"/>
      <c r="C20" s="441"/>
      <c r="D20" s="441"/>
      <c r="E20" s="441" t="s">
        <v>6910</v>
      </c>
      <c r="F20" s="437"/>
      <c r="G20" s="2298"/>
      <c r="H20" s="444"/>
      <c r="I20" s="2456">
        <f>SUM(I9:I19)</f>
        <v>0</v>
      </c>
      <c r="J20" s="434"/>
      <c r="K20" s="434"/>
      <c r="L20" s="434"/>
      <c r="M20" s="434"/>
    </row>
    <row r="21" spans="1:13" s="435" customFormat="1" ht="15.75" customHeight="1">
      <c r="A21" s="436" t="s">
        <v>6904</v>
      </c>
      <c r="B21" s="437">
        <v>16</v>
      </c>
      <c r="C21" s="1097"/>
      <c r="D21" s="1097"/>
      <c r="E21" s="441" t="s">
        <v>633</v>
      </c>
      <c r="F21" s="437">
        <v>42</v>
      </c>
      <c r="G21" s="1097"/>
      <c r="H21" s="1099"/>
      <c r="I21" s="434"/>
      <c r="J21" s="434"/>
      <c r="K21" s="434"/>
      <c r="L21" s="434"/>
      <c r="M21" s="434"/>
    </row>
    <row r="22" spans="1:13" s="435" customFormat="1" ht="15.75" customHeight="1">
      <c r="A22" s="436" t="s">
        <v>631</v>
      </c>
      <c r="B22" s="437">
        <v>17</v>
      </c>
      <c r="C22" s="1098"/>
      <c r="D22" s="1097"/>
      <c r="E22" s="441" t="s">
        <v>7045</v>
      </c>
      <c r="F22" s="437">
        <v>43</v>
      </c>
      <c r="G22" s="1097"/>
      <c r="H22" s="1099"/>
      <c r="I22" s="434"/>
      <c r="J22" s="434"/>
      <c r="K22" s="434"/>
      <c r="L22" s="434"/>
      <c r="M22" s="434"/>
    </row>
    <row r="23" spans="1:13" s="435" customFormat="1" ht="15.75" customHeight="1">
      <c r="A23" s="440" t="s">
        <v>634</v>
      </c>
      <c r="B23" s="437">
        <v>18</v>
      </c>
      <c r="C23" s="1098"/>
      <c r="D23" s="1098"/>
      <c r="E23" s="441" t="s">
        <v>6911</v>
      </c>
      <c r="F23" s="437">
        <v>44</v>
      </c>
      <c r="G23" s="1097"/>
      <c r="H23" s="1099"/>
      <c r="I23" s="434"/>
      <c r="J23" s="434"/>
      <c r="K23" s="434"/>
      <c r="L23" s="434"/>
      <c r="M23" s="434"/>
    </row>
    <row r="24" spans="1:13" s="435" customFormat="1" ht="15.75" customHeight="1">
      <c r="A24" s="440" t="s">
        <v>635</v>
      </c>
      <c r="B24" s="437">
        <v>19</v>
      </c>
      <c r="C24" s="1097"/>
      <c r="D24" s="1097"/>
      <c r="E24" s="441" t="s">
        <v>6912</v>
      </c>
      <c r="F24" s="437">
        <v>45</v>
      </c>
      <c r="G24" s="1098"/>
      <c r="H24" s="1099"/>
      <c r="I24" s="434"/>
      <c r="J24" s="434"/>
      <c r="K24" s="434"/>
      <c r="L24" s="434"/>
      <c r="M24" s="434"/>
    </row>
    <row r="25" spans="1:13" s="435" customFormat="1" ht="15.75" customHeight="1">
      <c r="A25" s="2294" t="s">
        <v>6905</v>
      </c>
      <c r="B25" s="437">
        <v>20</v>
      </c>
      <c r="C25" s="446">
        <f>C23-C24</f>
        <v>0</v>
      </c>
      <c r="D25" s="446">
        <f>D23-D24</f>
        <v>0</v>
      </c>
      <c r="E25" s="445" t="s">
        <v>6913</v>
      </c>
      <c r="F25" s="437">
        <v>46</v>
      </c>
      <c r="G25" s="446">
        <f>SUM(G21:G24)</f>
        <v>0</v>
      </c>
      <c r="H25" s="2421">
        <f>SUM(H21:H24)</f>
        <v>0</v>
      </c>
      <c r="I25" s="434"/>
      <c r="J25" s="434"/>
      <c r="K25" s="434"/>
      <c r="L25" s="434"/>
      <c r="M25" s="434"/>
    </row>
    <row r="26" spans="1:13" s="435" customFormat="1" ht="15.75" customHeight="1">
      <c r="A26" s="440" t="s">
        <v>7042</v>
      </c>
      <c r="B26" s="437">
        <v>21</v>
      </c>
      <c r="C26" s="1098"/>
      <c r="D26" s="1098"/>
      <c r="E26" s="437" t="s">
        <v>6915</v>
      </c>
      <c r="F26" s="437">
        <v>47</v>
      </c>
      <c r="G26" s="446">
        <f>G25+G19</f>
        <v>0</v>
      </c>
      <c r="H26" s="2299">
        <f>H25+H19</f>
        <v>0</v>
      </c>
      <c r="I26" s="434"/>
      <c r="J26" s="434"/>
      <c r="K26" s="434"/>
      <c r="L26" s="434"/>
      <c r="M26" s="434"/>
    </row>
    <row r="27" spans="1:13" s="435" customFormat="1" ht="15.75" customHeight="1">
      <c r="A27" s="2294" t="s">
        <v>7043</v>
      </c>
      <c r="B27" s="437">
        <v>22</v>
      </c>
      <c r="C27" s="1098"/>
      <c r="D27" s="1098"/>
      <c r="E27" s="437"/>
      <c r="F27" s="437"/>
      <c r="G27" s="2424"/>
      <c r="H27" s="2305"/>
      <c r="I27" s="434"/>
      <c r="J27" s="434"/>
      <c r="K27" s="434"/>
      <c r="L27" s="434"/>
      <c r="M27" s="434"/>
    </row>
    <row r="28" spans="1:13" s="435" customFormat="1" ht="15.75" customHeight="1">
      <c r="A28" s="436" t="s">
        <v>6906</v>
      </c>
      <c r="B28" s="437">
        <v>23</v>
      </c>
      <c r="C28" s="1098"/>
      <c r="D28" s="1098"/>
      <c r="E28" s="441"/>
      <c r="F28" s="437"/>
      <c r="G28" s="2298"/>
      <c r="H28" s="2425"/>
      <c r="I28" s="434"/>
      <c r="J28" s="434"/>
      <c r="K28" s="434"/>
      <c r="L28" s="434"/>
      <c r="M28" s="434"/>
    </row>
    <row r="29" spans="1:13" s="435" customFormat="1" ht="15.75" customHeight="1">
      <c r="A29" s="436" t="s">
        <v>6907</v>
      </c>
      <c r="B29" s="437">
        <v>24</v>
      </c>
      <c r="C29" s="1096"/>
      <c r="D29" s="1096"/>
      <c r="E29" s="441" t="s">
        <v>6918</v>
      </c>
      <c r="F29" s="437">
        <v>44</v>
      </c>
      <c r="G29" s="2426"/>
      <c r="H29" s="2306"/>
      <c r="I29" s="434"/>
      <c r="J29" s="434"/>
      <c r="K29" s="434"/>
      <c r="L29" s="434"/>
      <c r="M29" s="434"/>
    </row>
    <row r="30" spans="1:13" s="435" customFormat="1" ht="15.75" customHeight="1">
      <c r="A30" s="440" t="s">
        <v>638</v>
      </c>
      <c r="B30" s="437">
        <v>25</v>
      </c>
      <c r="C30" s="1101"/>
      <c r="D30" s="1101"/>
      <c r="E30" s="443" t="s">
        <v>6916</v>
      </c>
      <c r="F30" s="437">
        <v>48</v>
      </c>
      <c r="G30" s="1097"/>
      <c r="H30" s="1099"/>
      <c r="I30" s="434"/>
      <c r="J30" s="434"/>
      <c r="K30" s="434"/>
      <c r="L30" s="434"/>
      <c r="M30" s="434"/>
    </row>
    <row r="31" spans="1:13" s="435" customFormat="1" ht="15.75" customHeight="1">
      <c r="A31" s="2294" t="s">
        <v>7044</v>
      </c>
      <c r="B31" s="437">
        <v>26</v>
      </c>
      <c r="C31" s="1101"/>
      <c r="D31" s="1101"/>
      <c r="E31" s="443" t="s">
        <v>636</v>
      </c>
      <c r="F31" s="437">
        <v>49</v>
      </c>
      <c r="G31" s="1097"/>
      <c r="H31" s="1099"/>
      <c r="I31" s="434"/>
      <c r="J31" s="434"/>
      <c r="K31" s="434"/>
      <c r="L31" s="434"/>
      <c r="M31" s="434"/>
    </row>
    <row r="32" spans="1:13" s="435" customFormat="1" ht="15.75" customHeight="1">
      <c r="A32" s="440" t="s">
        <v>639</v>
      </c>
      <c r="B32" s="437">
        <v>27</v>
      </c>
      <c r="C32" s="1101"/>
      <c r="D32" s="1101"/>
      <c r="E32" s="443" t="s">
        <v>637</v>
      </c>
      <c r="F32" s="437">
        <v>50</v>
      </c>
      <c r="G32" s="1097"/>
      <c r="H32" s="1099"/>
      <c r="I32" s="434"/>
      <c r="J32" s="434"/>
      <c r="K32" s="434"/>
      <c r="L32" s="434"/>
      <c r="M32" s="434"/>
    </row>
    <row r="33" spans="1:13" s="435" customFormat="1" ht="15.75" customHeight="1">
      <c r="A33" s="2294" t="s">
        <v>6908</v>
      </c>
      <c r="B33" s="437">
        <v>28</v>
      </c>
      <c r="C33" s="1098"/>
      <c r="D33" s="1098"/>
      <c r="E33" s="443" t="s">
        <v>6917</v>
      </c>
      <c r="F33" s="437">
        <v>51</v>
      </c>
      <c r="G33" s="1097"/>
      <c r="H33" s="1099"/>
      <c r="I33" s="232" t="s">
        <v>640</v>
      </c>
      <c r="J33" s="434"/>
      <c r="K33" s="434"/>
      <c r="L33" s="434"/>
      <c r="M33" s="434"/>
    </row>
    <row r="34" spans="1:13" s="435" customFormat="1" ht="15.75" customHeight="1">
      <c r="A34" s="445" t="s">
        <v>6909</v>
      </c>
      <c r="B34" s="437">
        <v>29</v>
      </c>
      <c r="C34" s="446">
        <f>C21+C22+SUM(C25:C33)</f>
        <v>0</v>
      </c>
      <c r="D34" s="446">
        <f>D21+D22+SUM(D25:D33)</f>
        <v>0</v>
      </c>
      <c r="E34" s="437" t="s">
        <v>6919</v>
      </c>
      <c r="F34" s="437">
        <v>52</v>
      </c>
      <c r="G34" s="446">
        <f>SUM(G30:G33)</f>
        <v>0</v>
      </c>
      <c r="H34" s="2299">
        <f>SUM(H30:H33)</f>
        <v>0</v>
      </c>
      <c r="I34" s="434"/>
      <c r="J34" s="434"/>
      <c r="K34" s="434"/>
      <c r="L34" s="434"/>
      <c r="M34" s="434"/>
    </row>
    <row r="35" spans="1:13" s="435" customFormat="1" ht="15.75" customHeight="1">
      <c r="A35" s="448" t="s">
        <v>6914</v>
      </c>
      <c r="B35" s="437">
        <v>30</v>
      </c>
      <c r="C35" s="450">
        <f>C19+C34</f>
        <v>0</v>
      </c>
      <c r="D35" s="450">
        <f>D19+D34</f>
        <v>0</v>
      </c>
      <c r="E35" s="449" t="s">
        <v>6920</v>
      </c>
      <c r="F35" s="437">
        <v>53</v>
      </c>
      <c r="G35" s="450">
        <f>G26+G34</f>
        <v>0</v>
      </c>
      <c r="H35" s="2300">
        <f>H26+H34</f>
        <v>0</v>
      </c>
      <c r="I35" s="434"/>
      <c r="J35" s="434"/>
      <c r="K35" s="434"/>
      <c r="L35" s="434"/>
      <c r="M35" s="434"/>
    </row>
    <row r="36" spans="1:13" ht="18.75" customHeight="1">
      <c r="A36" s="3074" t="s">
        <v>641</v>
      </c>
      <c r="B36" s="3075" t="str">
        <f>IF(C35&lt;&gt;G35,"期初数不平，差额如右!!!","期初数平衡!!!")</f>
        <v>期初数平衡!!!</v>
      </c>
      <c r="C36" s="3075"/>
      <c r="D36" s="3075"/>
      <c r="E36" s="3075"/>
      <c r="F36" s="3075"/>
      <c r="G36" s="3075"/>
      <c r="H36" s="451">
        <f>C35-G35</f>
        <v>0</v>
      </c>
      <c r="I36" s="58"/>
      <c r="J36" s="58"/>
      <c r="K36" s="58"/>
      <c r="L36" s="58"/>
      <c r="M36" s="58"/>
    </row>
    <row r="37" spans="1:13" ht="18.75" customHeight="1">
      <c r="A37" s="3074"/>
      <c r="B37" s="3076" t="str">
        <f>IF(H37=0,"期末数平衡!!!","期末数不平，差额如右!!!")</f>
        <v>期末数平衡!!!</v>
      </c>
      <c r="C37" s="3076"/>
      <c r="D37" s="3076"/>
      <c r="E37" s="3076"/>
      <c r="F37" s="3076"/>
      <c r="G37" s="3076"/>
      <c r="H37" s="452">
        <f>D35-H35</f>
        <v>0</v>
      </c>
      <c r="I37" s="58"/>
      <c r="J37" s="58"/>
      <c r="K37" s="58"/>
      <c r="L37" s="58"/>
      <c r="M37" s="58"/>
    </row>
    <row r="38" spans="1:13" ht="18.75" customHeight="1">
      <c r="A38" s="3074"/>
      <c r="B38" s="3076" t="str">
        <f>IF(H33&lt;&gt;利润!$G$22,"资产负债表未分配利润期末余额与利润表期末未分配利润不平，差额如右！！！","资产负债表未分配利润期末余额与利润表期末未分配利润相符!!!")</f>
        <v>资产负债表未分配利润期末余额与利润表期末未分配利润相符!!!</v>
      </c>
      <c r="C38" s="3076"/>
      <c r="D38" s="3076"/>
      <c r="E38" s="3076"/>
      <c r="F38" s="3076"/>
      <c r="G38" s="3076"/>
      <c r="H38" s="452">
        <f>H33-利润!$G$22</f>
        <v>0</v>
      </c>
      <c r="I38" s="58"/>
      <c r="J38" s="58"/>
      <c r="K38" s="58"/>
      <c r="L38" s="58"/>
      <c r="M38" s="58"/>
    </row>
    <row r="39" spans="1:13" ht="24.9" customHeight="1">
      <c r="H39" s="453"/>
    </row>
    <row r="40" spans="1:13" ht="24.9" customHeight="1"/>
    <row r="41" spans="1:13" ht="24.9" customHeight="1"/>
    <row r="42" spans="1:13" ht="24.9" customHeight="1"/>
    <row r="43" spans="1:13" ht="24.9" customHeight="1"/>
    <row r="44" spans="1:13" ht="24.9" customHeight="1"/>
    <row r="45" spans="1:13" ht="24.9" customHeight="1"/>
    <row r="46" spans="1:13" ht="24.9" customHeight="1"/>
    <row r="47" spans="1:13" ht="24.9" customHeight="1"/>
  </sheetData>
  <sheetProtection selectLockedCells="1" selectUnlockedCells="1"/>
  <mergeCells count="7">
    <mergeCell ref="B1:G1"/>
    <mergeCell ref="A2:C2"/>
    <mergeCell ref="D2:E2"/>
    <mergeCell ref="A36:A38"/>
    <mergeCell ref="B36:G36"/>
    <mergeCell ref="B37:G37"/>
    <mergeCell ref="B38:G38"/>
  </mergeCells>
  <phoneticPr fontId="51" type="noConversion"/>
  <hyperlinks>
    <hyperlink ref="A5" location="货币资金!A1" display="  货币资金"/>
    <hyperlink ref="I6" location="资产折旧纳税调整表!A1" display="资产折旧纳税调整表"/>
    <hyperlink ref="E7" location="应付!A1" display="   应付帐款"/>
    <hyperlink ref="E8" location="预收!A1" display="   预收帐款"/>
    <hyperlink ref="E9" location="工资福利!A1" display="   应付工资"/>
    <hyperlink ref="E10" location="税费缴纳测算!A1" display="   应交税费"/>
    <hyperlink ref="A12" location="其他应收!A1" display="  其他应收款"/>
    <hyperlink ref="A13" location="存货!A1" display="  存货"/>
    <hyperlink ref="E33" location="未分利润!A1" display="   未分配利润"/>
    <hyperlink ref="I33" location="未分利润!C8" display="未分利润!C8"/>
    <hyperlink ref="A8" location="应收!A1" display="  应收帐款"/>
    <hyperlink ref="A9" location="预付!A1" display="  预付账款"/>
    <hyperlink ref="A23" location="固资折旧!A1" display="  固定资产原价"/>
    <hyperlink ref="A24" location="固资折旧!A1" display="  减：累计折旧"/>
    <hyperlink ref="A30" location="无形长摊!A1" display="  无形资产"/>
    <hyperlink ref="A32" location="无形长摊!A1" display="  长期待摊费用"/>
    <hyperlink ref="A33" location="无形长摊!A1" display="  长期待摊费用"/>
    <hyperlink ref="E32" location="实收公积!A1" display="   盈余公积"/>
    <hyperlink ref="E13" location="其他应付!A1" display="   其他应付款"/>
    <hyperlink ref="E30" location="实收公积!A1" display="   资本公积"/>
    <hyperlink ref="E31" location="实收公积!A1" display="   盈余公积"/>
    <hyperlink ref="A26" location="在建工程审核表!A1" display="  在建工程"/>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L43"/>
  <sheetViews>
    <sheetView topLeftCell="A9" workbookViewId="0">
      <selection activeCell="D27" sqref="D27"/>
    </sheetView>
  </sheetViews>
  <sheetFormatPr defaultColWidth="9" defaultRowHeight="15.6"/>
  <cols>
    <col min="1" max="1" width="47.59765625" style="424" customWidth="1"/>
    <col min="2" max="2" width="5.09765625" style="424" customWidth="1"/>
    <col min="3" max="4" width="17" style="423" customWidth="1"/>
    <col min="5" max="5" width="28.8984375" style="424" customWidth="1"/>
    <col min="6" max="6" width="5.09765625" style="424" customWidth="1"/>
    <col min="7" max="8" width="17" style="423" customWidth="1"/>
    <col min="9" max="9" width="29" style="424" customWidth="1"/>
    <col min="10" max="16384" width="9" style="424"/>
  </cols>
  <sheetData>
    <row r="1" spans="1:12" ht="30" customHeight="1">
      <c r="A1" s="2719" t="s">
        <v>642</v>
      </c>
      <c r="B1" s="2719"/>
      <c r="C1" s="2719"/>
      <c r="D1" s="2719"/>
      <c r="E1" s="2719"/>
      <c r="F1" s="2719"/>
      <c r="G1" s="2719"/>
      <c r="H1" s="2719"/>
      <c r="I1" s="1334"/>
      <c r="J1" s="58"/>
      <c r="K1" s="58"/>
      <c r="L1" s="58"/>
    </row>
    <row r="2" spans="1:12" ht="15" customHeight="1">
      <c r="A2" s="454"/>
      <c r="B2" s="454"/>
      <c r="C2" s="454"/>
      <c r="D2" s="457"/>
      <c r="E2" s="457"/>
      <c r="F2" s="454"/>
      <c r="G2" s="455"/>
      <c r="H2" s="455" t="s">
        <v>1551</v>
      </c>
      <c r="I2" s="58"/>
      <c r="J2" s="58"/>
      <c r="K2" s="58"/>
      <c r="L2" s="58"/>
    </row>
    <row r="3" spans="1:12" ht="20.25" customHeight="1">
      <c r="A3" s="3077" t="str">
        <f>"编制单位："&amp;基本情况!B2</f>
        <v>编制单位：0</v>
      </c>
      <c r="B3" s="3077"/>
      <c r="C3" s="3078" t="str">
        <f>IF(OR(基本情况!B6&lt;&gt;"12月31日",基本情况!F5&lt;&gt;1,基本情况!G5&lt;&gt;1),基本情况!B7,基本情况!B4&amp;"年度")</f>
        <v>2016年01月01日至2016年12月31日</v>
      </c>
      <c r="D3" s="3078"/>
      <c r="E3" s="3078"/>
      <c r="F3" s="456"/>
      <c r="G3" s="457"/>
      <c r="H3" s="457" t="s">
        <v>643</v>
      </c>
      <c r="I3" s="58"/>
      <c r="J3" s="58"/>
      <c r="K3" s="58"/>
      <c r="L3" s="58"/>
    </row>
    <row r="4" spans="1:12" s="464" customFormat="1" ht="30" customHeight="1">
      <c r="A4" s="458" t="s">
        <v>644</v>
      </c>
      <c r="B4" s="459" t="s">
        <v>645</v>
      </c>
      <c r="C4" s="460" t="s">
        <v>6952</v>
      </c>
      <c r="D4" s="460" t="s">
        <v>6953</v>
      </c>
      <c r="E4" s="459" t="s">
        <v>646</v>
      </c>
      <c r="F4" s="459" t="s">
        <v>645</v>
      </c>
      <c r="G4" s="460" t="s">
        <v>6963</v>
      </c>
      <c r="H4" s="461" t="s">
        <v>6953</v>
      </c>
      <c r="I4" s="462" t="s">
        <v>395</v>
      </c>
      <c r="J4" s="463"/>
      <c r="K4" s="463"/>
      <c r="L4" s="463"/>
    </row>
    <row r="5" spans="1:12" ht="21" customHeight="1">
      <c r="A5" s="465" t="s">
        <v>6921</v>
      </c>
      <c r="B5" s="466">
        <v>1</v>
      </c>
      <c r="C5" s="1101"/>
      <c r="D5" s="1101"/>
      <c r="E5" s="467" t="s">
        <v>647</v>
      </c>
      <c r="F5" s="466">
        <v>36</v>
      </c>
      <c r="G5" s="446">
        <f>C39</f>
        <v>0</v>
      </c>
      <c r="H5" s="447">
        <f>D39</f>
        <v>0</v>
      </c>
      <c r="I5" s="442" t="s">
        <v>648</v>
      </c>
      <c r="J5" s="58"/>
      <c r="K5" s="58"/>
      <c r="L5" s="58"/>
    </row>
    <row r="6" spans="1:12" ht="21" customHeight="1">
      <c r="A6" s="465" t="s">
        <v>6922</v>
      </c>
      <c r="B6" s="466">
        <v>2</v>
      </c>
      <c r="C6" s="1097"/>
      <c r="D6" s="1097"/>
      <c r="E6" s="467" t="s">
        <v>6962</v>
      </c>
      <c r="F6" s="466">
        <v>37</v>
      </c>
      <c r="G6" s="1101"/>
      <c r="H6" s="1102"/>
      <c r="I6" s="442" t="s">
        <v>1538</v>
      </c>
      <c r="J6" s="58"/>
      <c r="K6" s="58"/>
      <c r="L6" s="58"/>
    </row>
    <row r="7" spans="1:12" ht="21" customHeight="1">
      <c r="A7" s="465" t="s">
        <v>6923</v>
      </c>
      <c r="B7" s="466">
        <v>3</v>
      </c>
      <c r="C7" s="1101"/>
      <c r="D7" s="1101"/>
      <c r="E7" s="467" t="s">
        <v>649</v>
      </c>
      <c r="F7" s="466">
        <v>38</v>
      </c>
      <c r="G7" s="2302">
        <f>资产负债!G33</f>
        <v>0</v>
      </c>
      <c r="H7" s="1100"/>
      <c r="I7" s="442" t="s">
        <v>650</v>
      </c>
      <c r="J7" s="58"/>
      <c r="K7" s="58"/>
      <c r="L7" s="58"/>
    </row>
    <row r="8" spans="1:12" ht="21" customHeight="1">
      <c r="A8" s="469" t="s">
        <v>6924</v>
      </c>
      <c r="B8" s="466">
        <v>4</v>
      </c>
      <c r="C8" s="1101"/>
      <c r="D8" s="1101"/>
      <c r="E8" s="467" t="s">
        <v>6959</v>
      </c>
      <c r="F8" s="466">
        <v>39</v>
      </c>
      <c r="G8" s="1098"/>
      <c r="H8" s="1100"/>
      <c r="I8" s="232" t="s">
        <v>651</v>
      </c>
      <c r="J8" s="58"/>
      <c r="K8" s="58"/>
      <c r="L8" s="58"/>
    </row>
    <row r="9" spans="1:12" ht="21" customHeight="1">
      <c r="A9" s="469" t="s">
        <v>6925</v>
      </c>
      <c r="B9" s="466">
        <v>5</v>
      </c>
      <c r="C9" s="1101"/>
      <c r="D9" s="1101"/>
      <c r="E9" s="467" t="s">
        <v>6960</v>
      </c>
      <c r="F9" s="466">
        <v>40</v>
      </c>
      <c r="G9" s="1098"/>
      <c r="H9" s="1100"/>
      <c r="I9" s="232" t="s">
        <v>376</v>
      </c>
      <c r="J9" s="58"/>
      <c r="K9" s="58"/>
      <c r="L9" s="58"/>
    </row>
    <row r="10" spans="1:12" ht="21" customHeight="1">
      <c r="A10" s="469" t="s">
        <v>6926</v>
      </c>
      <c r="B10" s="466">
        <v>6</v>
      </c>
      <c r="C10" s="1101"/>
      <c r="D10" s="1101"/>
      <c r="E10" s="467" t="s">
        <v>6961</v>
      </c>
      <c r="F10" s="466">
        <v>41</v>
      </c>
      <c r="G10" s="1098"/>
      <c r="H10" s="1100"/>
      <c r="I10" s="442"/>
      <c r="J10" s="58"/>
      <c r="K10" s="58"/>
      <c r="L10" s="58"/>
    </row>
    <row r="11" spans="1:12" ht="21" customHeight="1">
      <c r="A11" s="469" t="s">
        <v>6927</v>
      </c>
      <c r="B11" s="466">
        <v>7</v>
      </c>
      <c r="C11" s="1101"/>
      <c r="D11" s="1101"/>
      <c r="E11" s="467" t="s">
        <v>6954</v>
      </c>
      <c r="F11" s="466">
        <v>42</v>
      </c>
      <c r="G11" s="2303">
        <f>G5-G6+G7+G8+G9-G10</f>
        <v>0</v>
      </c>
      <c r="H11" s="2299">
        <f>H5-H6+H7+H8+H9-H10</f>
        <v>0</v>
      </c>
      <c r="I11" s="442"/>
      <c r="J11" s="58"/>
      <c r="K11" s="58"/>
      <c r="L11" s="58"/>
    </row>
    <row r="12" spans="1:12" ht="21" customHeight="1">
      <c r="A12" s="469" t="s">
        <v>6928</v>
      </c>
      <c r="B12" s="466">
        <v>8</v>
      </c>
      <c r="C12" s="1101"/>
      <c r="D12" s="1101"/>
      <c r="E12" s="465" t="s">
        <v>6970</v>
      </c>
      <c r="F12" s="466">
        <v>43</v>
      </c>
      <c r="G12" s="1098"/>
      <c r="H12" s="1100"/>
      <c r="I12" s="442"/>
      <c r="J12" s="58"/>
      <c r="K12" s="58"/>
      <c r="L12" s="58"/>
    </row>
    <row r="13" spans="1:12" ht="21" customHeight="1">
      <c r="A13" s="469" t="s">
        <v>6929</v>
      </c>
      <c r="B13" s="466">
        <v>9</v>
      </c>
      <c r="C13" s="1101"/>
      <c r="D13" s="1101"/>
      <c r="E13" s="465" t="s">
        <v>6971</v>
      </c>
      <c r="F13" s="466">
        <v>44</v>
      </c>
      <c r="G13" s="1098"/>
      <c r="H13" s="1100"/>
      <c r="I13" s="442"/>
      <c r="J13" s="58"/>
      <c r="K13" s="58"/>
      <c r="L13" s="58"/>
    </row>
    <row r="14" spans="1:12" ht="21" customHeight="1">
      <c r="A14" s="469" t="s">
        <v>6930</v>
      </c>
      <c r="B14" s="466">
        <v>10</v>
      </c>
      <c r="C14" s="1101"/>
      <c r="D14" s="1101"/>
      <c r="E14" s="465" t="s">
        <v>6969</v>
      </c>
      <c r="F14" s="466">
        <v>45</v>
      </c>
      <c r="G14" s="1098"/>
      <c r="H14" s="1100"/>
      <c r="I14" s="442"/>
      <c r="J14" s="58"/>
      <c r="K14" s="58"/>
      <c r="L14" s="58"/>
    </row>
    <row r="15" spans="1:12" ht="21" customHeight="1">
      <c r="A15" s="465" t="s">
        <v>6965</v>
      </c>
      <c r="B15" s="466">
        <v>11</v>
      </c>
      <c r="C15" s="1101"/>
      <c r="D15" s="1101"/>
      <c r="E15" s="465" t="s">
        <v>6972</v>
      </c>
      <c r="F15" s="466">
        <v>46</v>
      </c>
      <c r="G15" s="1098"/>
      <c r="H15" s="1100"/>
      <c r="I15" s="442"/>
      <c r="J15" s="58"/>
      <c r="K15" s="58"/>
      <c r="L15" s="58"/>
    </row>
    <row r="16" spans="1:12" ht="21" customHeight="1">
      <c r="A16" s="469" t="s">
        <v>6935</v>
      </c>
      <c r="B16" s="466">
        <v>12</v>
      </c>
      <c r="C16" s="1101"/>
      <c r="D16" s="1101"/>
      <c r="E16" s="465" t="s">
        <v>6973</v>
      </c>
      <c r="F16" s="466">
        <v>47</v>
      </c>
      <c r="G16" s="1098"/>
      <c r="H16" s="1100"/>
      <c r="I16" s="442"/>
      <c r="J16" s="58"/>
      <c r="K16" s="58"/>
      <c r="L16" s="58"/>
    </row>
    <row r="17" spans="1:12" ht="21" customHeight="1">
      <c r="A17" s="469" t="s">
        <v>6936</v>
      </c>
      <c r="B17" s="466">
        <v>13</v>
      </c>
      <c r="C17" s="1101"/>
      <c r="D17" s="1101"/>
      <c r="E17" s="465" t="s">
        <v>6974</v>
      </c>
      <c r="F17" s="466">
        <v>48</v>
      </c>
      <c r="G17" s="1098"/>
      <c r="H17" s="1100"/>
      <c r="I17" s="442"/>
      <c r="J17" s="58"/>
      <c r="K17" s="58"/>
      <c r="L17" s="58"/>
    </row>
    <row r="18" spans="1:12" ht="21" customHeight="1">
      <c r="A18" s="465" t="s">
        <v>6966</v>
      </c>
      <c r="B18" s="466">
        <v>14</v>
      </c>
      <c r="C18" s="1101"/>
      <c r="D18" s="1101"/>
      <c r="E18" s="465" t="s">
        <v>6975</v>
      </c>
      <c r="F18" s="466">
        <v>49</v>
      </c>
      <c r="G18" s="1098"/>
      <c r="H18" s="1100"/>
      <c r="I18" s="442"/>
      <c r="J18" s="58"/>
      <c r="K18" s="58"/>
      <c r="L18" s="58"/>
    </row>
    <row r="19" spans="1:12" ht="21" customHeight="1">
      <c r="A19" s="469" t="s">
        <v>6937</v>
      </c>
      <c r="B19" s="466">
        <v>15</v>
      </c>
      <c r="C19" s="1101"/>
      <c r="D19" s="1101"/>
      <c r="E19" s="467" t="s">
        <v>6955</v>
      </c>
      <c r="F19" s="466">
        <v>50</v>
      </c>
      <c r="G19" s="2303">
        <f>G11+G12-G13-G14-G15-G16-G17-G18</f>
        <v>0</v>
      </c>
      <c r="H19" s="2299">
        <f>H11+H12-H13-H14-H15-H16-H17-H18</f>
        <v>0</v>
      </c>
      <c r="I19" s="442"/>
      <c r="J19" s="58"/>
      <c r="K19" s="58"/>
      <c r="L19" s="58"/>
    </row>
    <row r="20" spans="1:12" ht="21" customHeight="1">
      <c r="A20" s="469" t="s">
        <v>6938</v>
      </c>
      <c r="B20" s="466">
        <v>16</v>
      </c>
      <c r="C20" s="1101"/>
      <c r="D20" s="1101"/>
      <c r="E20" s="467" t="s">
        <v>6957</v>
      </c>
      <c r="F20" s="466">
        <v>51</v>
      </c>
      <c r="G20" s="1098"/>
      <c r="H20" s="1100"/>
      <c r="I20" s="442"/>
      <c r="J20" s="58"/>
      <c r="K20" s="58"/>
      <c r="L20" s="58"/>
    </row>
    <row r="21" spans="1:12" ht="21" customHeight="1">
      <c r="A21" s="469" t="s">
        <v>6939</v>
      </c>
      <c r="B21" s="466">
        <v>17</v>
      </c>
      <c r="C21" s="1101"/>
      <c r="D21" s="1101"/>
      <c r="E21" s="467" t="s">
        <v>6958</v>
      </c>
      <c r="F21" s="466">
        <v>52</v>
      </c>
      <c r="G21" s="1101"/>
      <c r="H21" s="1102"/>
      <c r="J21" s="58"/>
      <c r="K21" s="58"/>
      <c r="L21" s="58"/>
    </row>
    <row r="22" spans="1:12" ht="21" customHeight="1">
      <c r="A22" s="465" t="s">
        <v>6940</v>
      </c>
      <c r="B22" s="466">
        <v>18</v>
      </c>
      <c r="C22" s="1097"/>
      <c r="D22" s="1097"/>
      <c r="E22" s="467" t="s">
        <v>6956</v>
      </c>
      <c r="F22" s="466">
        <v>53</v>
      </c>
      <c r="G22" s="2303">
        <f>G19-G20-G21</f>
        <v>0</v>
      </c>
      <c r="H22" s="2299">
        <f>H19-H20-H21</f>
        <v>0</v>
      </c>
      <c r="I22" s="424" t="str">
        <f>"与资产负债表相差"&amp;DOLLAR(G22-资产负债!H33,2)</f>
        <v>与资产负债表相差¥0.00</v>
      </c>
      <c r="J22" s="58"/>
      <c r="K22" s="58"/>
      <c r="L22" s="58"/>
    </row>
    <row r="23" spans="1:12" ht="21" customHeight="1">
      <c r="A23" s="469" t="s">
        <v>6941</v>
      </c>
      <c r="B23" s="466">
        <v>19</v>
      </c>
      <c r="C23" s="1101"/>
      <c r="D23" s="1101"/>
      <c r="E23" s="467"/>
      <c r="F23" s="467"/>
      <c r="G23" s="2304"/>
      <c r="H23" s="2305"/>
      <c r="I23" s="462"/>
      <c r="J23" s="58"/>
      <c r="K23" s="58"/>
      <c r="L23" s="58"/>
    </row>
    <row r="24" spans="1:12" ht="21" customHeight="1">
      <c r="A24" s="469" t="s">
        <v>7143</v>
      </c>
      <c r="B24" s="466">
        <v>20</v>
      </c>
      <c r="C24" s="1101"/>
      <c r="D24" s="1101"/>
      <c r="E24" s="467"/>
      <c r="F24" s="467"/>
      <c r="G24" s="2304"/>
      <c r="H24" s="2305"/>
      <c r="I24" s="462"/>
      <c r="J24" s="58"/>
      <c r="K24" s="58"/>
      <c r="L24" s="58"/>
    </row>
    <row r="25" spans="1:12" ht="21" customHeight="1">
      <c r="A25" s="465" t="s">
        <v>7144</v>
      </c>
      <c r="B25" s="466">
        <v>21</v>
      </c>
      <c r="C25" s="1101"/>
      <c r="D25" s="1101"/>
      <c r="E25" s="467"/>
      <c r="F25" s="467"/>
      <c r="G25" s="2304"/>
      <c r="H25" s="2305"/>
      <c r="I25" s="462"/>
      <c r="J25" s="58"/>
      <c r="K25" s="58"/>
      <c r="L25" s="58"/>
    </row>
    <row r="26" spans="1:12" ht="21" customHeight="1">
      <c r="A26" s="465" t="s">
        <v>7146</v>
      </c>
      <c r="B26" s="466">
        <v>22</v>
      </c>
      <c r="C26" s="1101"/>
      <c r="D26" s="1101"/>
      <c r="E26" s="467"/>
      <c r="F26" s="467"/>
      <c r="G26" s="2304"/>
      <c r="H26" s="2306"/>
      <c r="I26" s="58"/>
      <c r="J26" s="58"/>
      <c r="K26" s="58"/>
      <c r="L26" s="58"/>
    </row>
    <row r="27" spans="1:12" ht="21" customHeight="1">
      <c r="A27" s="468" t="s">
        <v>7145</v>
      </c>
      <c r="B27" s="466">
        <v>23</v>
      </c>
      <c r="C27" s="446">
        <f>C5-C6-C7-C15-C18-C22+C26-C24+C25</f>
        <v>0</v>
      </c>
      <c r="D27" s="446">
        <f>D5-D6-D7-D15-D18-D22+D26-D24+D25</f>
        <v>0</v>
      </c>
      <c r="E27" s="467"/>
      <c r="F27" s="467"/>
      <c r="G27" s="2304"/>
      <c r="H27" s="2306"/>
      <c r="I27" s="58"/>
      <c r="J27" s="58"/>
      <c r="K27" s="58"/>
      <c r="L27" s="58"/>
    </row>
    <row r="28" spans="1:12" ht="21" customHeight="1">
      <c r="A28" s="465" t="s">
        <v>6967</v>
      </c>
      <c r="B28" s="466">
        <v>24</v>
      </c>
      <c r="C28" s="1097"/>
      <c r="D28" s="1097"/>
      <c r="E28" s="467"/>
      <c r="F28" s="467"/>
      <c r="G28" s="2304"/>
      <c r="H28" s="2307"/>
      <c r="I28" s="58"/>
      <c r="J28" s="58"/>
      <c r="K28" s="58"/>
      <c r="L28" s="58"/>
    </row>
    <row r="29" spans="1:12" ht="21" customHeight="1">
      <c r="A29" s="469" t="s">
        <v>6942</v>
      </c>
      <c r="B29" s="466">
        <v>25</v>
      </c>
      <c r="C29" s="1097"/>
      <c r="D29" s="1097"/>
      <c r="E29" s="467"/>
      <c r="F29" s="467"/>
      <c r="G29" s="2304"/>
      <c r="H29" s="2306"/>
      <c r="I29" s="58"/>
      <c r="J29" s="58"/>
      <c r="K29" s="58"/>
      <c r="L29" s="58"/>
    </row>
    <row r="30" spans="1:12" ht="21" customHeight="1">
      <c r="A30" s="465" t="s">
        <v>6968</v>
      </c>
      <c r="B30" s="466">
        <v>26</v>
      </c>
      <c r="C30" s="1097"/>
      <c r="D30" s="1097"/>
      <c r="E30" s="467"/>
      <c r="F30" s="467"/>
      <c r="G30" s="2304"/>
      <c r="H30" s="2306"/>
      <c r="I30" s="58"/>
      <c r="J30" s="58"/>
      <c r="K30" s="58"/>
      <c r="L30" s="58"/>
    </row>
    <row r="31" spans="1:12" ht="21" customHeight="1">
      <c r="A31" s="469" t="s">
        <v>6943</v>
      </c>
      <c r="B31" s="466">
        <v>27</v>
      </c>
      <c r="C31" s="1097"/>
      <c r="D31" s="1097"/>
      <c r="E31" s="467"/>
      <c r="F31" s="467"/>
      <c r="G31" s="2304"/>
      <c r="H31" s="2306"/>
      <c r="I31" s="58"/>
      <c r="J31" s="58"/>
      <c r="K31" s="58"/>
      <c r="L31" s="58"/>
    </row>
    <row r="32" spans="1:12" ht="21" customHeight="1">
      <c r="A32" s="469" t="s">
        <v>6944</v>
      </c>
      <c r="B32" s="466">
        <v>28</v>
      </c>
      <c r="C32" s="1097"/>
      <c r="D32" s="1097"/>
      <c r="E32" s="467"/>
      <c r="F32" s="467"/>
      <c r="G32" s="2304"/>
      <c r="H32" s="2306"/>
      <c r="I32" s="58"/>
      <c r="J32" s="58"/>
      <c r="K32" s="58"/>
      <c r="L32" s="58"/>
    </row>
    <row r="33" spans="1:12" ht="21" customHeight="1">
      <c r="A33" s="469" t="s">
        <v>6945</v>
      </c>
      <c r="B33" s="466">
        <v>29</v>
      </c>
      <c r="C33" s="1097"/>
      <c r="D33" s="1097"/>
      <c r="E33" s="467"/>
      <c r="F33" s="467"/>
      <c r="G33" s="2304"/>
      <c r="H33" s="2306"/>
      <c r="I33" s="58"/>
      <c r="J33" s="58"/>
      <c r="K33" s="58"/>
      <c r="L33" s="58"/>
    </row>
    <row r="34" spans="1:12" ht="21" customHeight="1">
      <c r="A34" s="469" t="s">
        <v>6946</v>
      </c>
      <c r="B34" s="466">
        <v>30</v>
      </c>
      <c r="C34" s="1097"/>
      <c r="D34" s="1097"/>
      <c r="E34" s="467"/>
      <c r="F34" s="467"/>
      <c r="G34" s="2304"/>
      <c r="H34" s="2306"/>
      <c r="I34" s="58"/>
      <c r="J34" s="58"/>
      <c r="K34" s="58"/>
      <c r="L34" s="58"/>
    </row>
    <row r="35" spans="1:12" ht="21" customHeight="1">
      <c r="A35" s="469" t="s">
        <v>6947</v>
      </c>
      <c r="B35" s="466">
        <v>31</v>
      </c>
      <c r="C35" s="1097"/>
      <c r="D35" s="1097"/>
      <c r="E35" s="467"/>
      <c r="F35" s="467"/>
      <c r="G35" s="2304"/>
      <c r="H35" s="2306"/>
      <c r="I35" s="58"/>
      <c r="J35" s="58"/>
      <c r="K35" s="58"/>
      <c r="L35" s="58"/>
    </row>
    <row r="36" spans="1:12" ht="21" customHeight="1">
      <c r="A36" s="469" t="s">
        <v>6948</v>
      </c>
      <c r="B36" s="466">
        <v>32</v>
      </c>
      <c r="C36" s="1097"/>
      <c r="D36" s="1097"/>
      <c r="E36" s="467"/>
      <c r="F36" s="467"/>
      <c r="G36" s="2304"/>
      <c r="H36" s="2308"/>
      <c r="I36" s="58"/>
      <c r="J36" s="58"/>
      <c r="K36" s="58"/>
      <c r="L36" s="58"/>
    </row>
    <row r="37" spans="1:12" ht="21" customHeight="1">
      <c r="A37" s="468" t="s">
        <v>6949</v>
      </c>
      <c r="B37" s="466">
        <v>33</v>
      </c>
      <c r="C37" s="446">
        <f>C27+C28-C30</f>
        <v>0</v>
      </c>
      <c r="D37" s="446">
        <f>D27+D28-D30</f>
        <v>0</v>
      </c>
      <c r="E37" s="467"/>
      <c r="F37" s="467"/>
      <c r="G37" s="2304"/>
      <c r="H37" s="2306"/>
      <c r="I37" s="58"/>
      <c r="J37" s="58"/>
      <c r="K37" s="58"/>
      <c r="L37" s="58"/>
    </row>
    <row r="38" spans="1:12" ht="21" customHeight="1">
      <c r="A38" s="468" t="s">
        <v>6950</v>
      </c>
      <c r="B38" s="466">
        <v>34</v>
      </c>
      <c r="C38" s="1097"/>
      <c r="D38" s="1097"/>
      <c r="E38" s="467"/>
      <c r="F38" s="467"/>
      <c r="G38" s="2304"/>
      <c r="H38" s="2306"/>
      <c r="I38" s="471"/>
      <c r="J38" s="58"/>
      <c r="K38" s="58"/>
      <c r="L38" s="58"/>
    </row>
    <row r="39" spans="1:12" ht="21" customHeight="1">
      <c r="A39" s="472" t="s">
        <v>6951</v>
      </c>
      <c r="B39" s="473">
        <v>35</v>
      </c>
      <c r="C39" s="450">
        <f>C37-C38</f>
        <v>0</v>
      </c>
      <c r="D39" s="450">
        <f>D37-D38</f>
        <v>0</v>
      </c>
      <c r="E39" s="474"/>
      <c r="F39" s="473"/>
      <c r="G39" s="2309"/>
      <c r="H39" s="2310"/>
      <c r="I39" s="475"/>
      <c r="J39" s="58"/>
      <c r="K39" s="58"/>
      <c r="L39" s="58"/>
    </row>
    <row r="40" spans="1:12" ht="13.5" customHeight="1">
      <c r="E40" s="476"/>
      <c r="F40" s="477"/>
      <c r="G40" s="478"/>
      <c r="H40" s="478"/>
    </row>
    <row r="41" spans="1:12" ht="13.5" customHeight="1">
      <c r="A41" s="435"/>
    </row>
    <row r="42" spans="1:12" ht="13.5" customHeight="1"/>
    <row r="43" spans="1:12" ht="13.5" customHeight="1">
      <c r="E43" s="479"/>
    </row>
  </sheetData>
  <sheetProtection selectLockedCells="1" selectUnlockedCells="1"/>
  <mergeCells count="3">
    <mergeCell ref="A3:B3"/>
    <mergeCell ref="C3:E3"/>
    <mergeCell ref="A1:H1"/>
  </mergeCells>
  <phoneticPr fontId="51" type="noConversion"/>
  <hyperlinks>
    <hyperlink ref="A5" location="主营收支!A1" display="一、主营业务收入"/>
    <hyperlink ref="I5" location="申报主表!A1" display="申报主表"/>
    <hyperlink ref="A6" location="主营收支!A1" display="    减: 主营业务成本"/>
    <hyperlink ref="I6" location="事项说明!A1" display="事项说明"/>
    <hyperlink ref="A7" location="主营税金!A1" display="        主营业务税金及附加"/>
    <hyperlink ref="I7" location="报告正文!A1" display="报告正文"/>
    <hyperlink ref="I8" location="未分利润!C13" display="未分利润!C13"/>
    <hyperlink ref="I9" location="补亏!A1" display="弥补亏损审核表"/>
    <hyperlink ref="A15" location="营业费用!A1" display="    销售费用"/>
    <hyperlink ref="A18" location="管理费用!A1" display="    管理费用"/>
    <hyperlink ref="A22" location="财务费用!A1" display="        财务费用"/>
    <hyperlink ref="A26" location="投资收益审核表!A1" display="加：投资收益（损失以“-”号填列）"/>
    <hyperlink ref="A28" location="营外收支!A1" display="加: 营业外收入"/>
    <hyperlink ref="A30" location="营外收支!A1" display="减: 营业外支出"/>
    <hyperlink ref="E12" location="实收公积!A1" display="加：盈余公积补亏"/>
    <hyperlink ref="E13:E18" location="实收公积!A1" display="减：提取法定盈余公积"/>
    <hyperlink ref="A25" location="公允价值变动审定表!A1" display="加：公允价值变动收益（亏损以“-”号填列）"/>
  </hyperlinks>
  <pageMargins left="0.78740157480314998" right="0.35433070866141703" top="0.511811023622047" bottom="0.11811023622047198" header="0.511811023622047" footer="0.511811023622047"/>
  <pageSetup paperSize="9" scale="69" firstPageNumber="0" fitToWidth="0" orientation="landscape" blackAndWhite="1"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P152"/>
  <sheetViews>
    <sheetView workbookViewId="0">
      <selection activeCell="H10" sqref="H10"/>
    </sheetView>
  </sheetViews>
  <sheetFormatPr defaultRowHeight="15.6"/>
  <cols>
    <col min="1" max="1" width="3.09765625" customWidth="1"/>
    <col min="2" max="2" width="29.69921875" customWidth="1"/>
    <col min="3" max="3" width="5.09765625" customWidth="1"/>
    <col min="4" max="4" width="12.19921875" customWidth="1"/>
    <col min="5" max="5" width="7.09765625" customWidth="1"/>
    <col min="6" max="9" width="10.3984375" customWidth="1"/>
    <col min="10" max="10" width="20.3984375" customWidth="1"/>
    <col min="11" max="11" width="12" customWidth="1"/>
    <col min="12" max="12" width="25" customWidth="1"/>
  </cols>
  <sheetData>
    <row r="1" spans="1:16" ht="39" customHeight="1">
      <c r="A1" s="2729" t="s">
        <v>653</v>
      </c>
      <c r="B1" s="2729"/>
      <c r="C1" s="2729"/>
      <c r="D1" s="2729"/>
      <c r="E1" s="2729"/>
      <c r="F1" s="2729"/>
      <c r="G1" s="2729"/>
      <c r="H1" s="2729"/>
      <c r="I1" s="2729"/>
      <c r="J1" s="2729"/>
      <c r="K1" s="2729"/>
      <c r="L1" s="480"/>
      <c r="M1" s="84"/>
      <c r="N1" s="84"/>
      <c r="O1" s="84"/>
      <c r="P1" s="84"/>
    </row>
    <row r="2" spans="1:16">
      <c r="A2" s="3072" t="str">
        <f>"纳税人名称："&amp;基本情况!B2</f>
        <v>纳税人名称：0</v>
      </c>
      <c r="B2" s="3072"/>
      <c r="C2" s="3072"/>
      <c r="D2" s="3072"/>
      <c r="E2" s="3072"/>
      <c r="F2" s="3072"/>
      <c r="G2" s="3072"/>
      <c r="H2" s="481"/>
      <c r="I2" s="482"/>
      <c r="J2" s="483"/>
      <c r="K2" s="484" t="s">
        <v>1551</v>
      </c>
      <c r="L2" s="480"/>
      <c r="M2" s="84"/>
      <c r="N2" s="84"/>
      <c r="O2" s="84"/>
      <c r="P2" s="84"/>
    </row>
    <row r="3" spans="1:16" ht="24" customHeight="1">
      <c r="A3" s="3065" t="s">
        <v>654</v>
      </c>
      <c r="B3" s="3065"/>
      <c r="C3" s="3065"/>
      <c r="D3" s="3065"/>
      <c r="E3" s="2929" t="s">
        <v>655</v>
      </c>
      <c r="F3" s="2929"/>
      <c r="G3" s="2929"/>
      <c r="H3" s="2929"/>
      <c r="I3" s="2929"/>
      <c r="J3" s="3092" t="s">
        <v>656</v>
      </c>
      <c r="K3" s="3092"/>
      <c r="L3" s="84"/>
      <c r="M3" s="84"/>
      <c r="N3" s="84"/>
      <c r="O3" s="84"/>
      <c r="P3" s="84"/>
    </row>
    <row r="4" spans="1:16" ht="16.5" customHeight="1">
      <c r="A4" s="2921" t="s">
        <v>657</v>
      </c>
      <c r="B4" s="2921"/>
      <c r="C4" s="3094" t="s">
        <v>658</v>
      </c>
      <c r="D4" s="2924" t="s">
        <v>659</v>
      </c>
      <c r="E4" s="2924" t="s">
        <v>660</v>
      </c>
      <c r="F4" s="2924" t="s">
        <v>661</v>
      </c>
      <c r="G4" s="2924"/>
      <c r="H4" s="2924" t="s">
        <v>662</v>
      </c>
      <c r="I4" s="2924"/>
      <c r="J4" s="3092"/>
      <c r="K4" s="3092"/>
      <c r="L4" s="84" t="s">
        <v>395</v>
      </c>
      <c r="M4" s="84"/>
      <c r="N4" s="84"/>
      <c r="O4" s="84"/>
      <c r="P4" s="84"/>
    </row>
    <row r="5" spans="1:16" ht="22.5" customHeight="1">
      <c r="A5" s="2921"/>
      <c r="B5" s="2921"/>
      <c r="C5" s="3094"/>
      <c r="D5" s="2924"/>
      <c r="E5" s="2924"/>
      <c r="F5" s="486" t="s">
        <v>663</v>
      </c>
      <c r="G5" s="486" t="s">
        <v>664</v>
      </c>
      <c r="H5" s="486" t="s">
        <v>663</v>
      </c>
      <c r="I5" s="486" t="s">
        <v>664</v>
      </c>
      <c r="J5" s="486" t="s">
        <v>665</v>
      </c>
      <c r="K5" s="487" t="s">
        <v>557</v>
      </c>
      <c r="L5" s="232" t="s">
        <v>296</v>
      </c>
      <c r="M5" s="84"/>
      <c r="N5" s="84"/>
      <c r="O5" s="84"/>
      <c r="P5" s="84"/>
    </row>
    <row r="6" spans="1:16" ht="20.25" customHeight="1">
      <c r="A6" s="3080" t="s">
        <v>663</v>
      </c>
      <c r="B6" s="489" t="s">
        <v>666</v>
      </c>
      <c r="C6" s="486">
        <v>1</v>
      </c>
      <c r="D6" s="1103"/>
      <c r="E6" s="490" t="s">
        <v>667</v>
      </c>
      <c r="F6" s="1105"/>
      <c r="G6" s="491">
        <f>ROUND(F6*2%,2)</f>
        <v>0</v>
      </c>
      <c r="H6" s="1105"/>
      <c r="I6" s="491">
        <f>ROUND(H6*3%,2)</f>
        <v>0</v>
      </c>
      <c r="J6" s="492" t="s">
        <v>668</v>
      </c>
      <c r="K6" s="1106"/>
      <c r="L6" s="493" t="s">
        <v>5923</v>
      </c>
      <c r="M6" s="84"/>
      <c r="N6" s="84"/>
      <c r="O6" s="84"/>
      <c r="P6" s="84"/>
    </row>
    <row r="7" spans="1:16" ht="20.25" customHeight="1">
      <c r="A7" s="3080"/>
      <c r="B7" s="489" t="s">
        <v>670</v>
      </c>
      <c r="C7" s="486">
        <v>5</v>
      </c>
      <c r="D7" s="1103"/>
      <c r="E7" s="490" t="s">
        <v>671</v>
      </c>
      <c r="F7" s="1105"/>
      <c r="G7" s="491">
        <f>ROUND(F7*2%,2)</f>
        <v>0</v>
      </c>
      <c r="H7" s="1105"/>
      <c r="I7" s="491">
        <f>ROUND(H7*3%,2)</f>
        <v>0</v>
      </c>
      <c r="J7" s="492" t="s">
        <v>672</v>
      </c>
      <c r="K7" s="1106"/>
      <c r="L7" s="232" t="s">
        <v>673</v>
      </c>
      <c r="M7" s="84"/>
      <c r="N7" s="84"/>
      <c r="O7" s="84"/>
      <c r="P7" s="84"/>
    </row>
    <row r="8" spans="1:16" ht="20.25" customHeight="1">
      <c r="A8" s="3080"/>
      <c r="B8" s="489" t="s">
        <v>674</v>
      </c>
      <c r="C8" s="486">
        <v>7</v>
      </c>
      <c r="D8" s="1103"/>
      <c r="E8" s="490" t="s">
        <v>675</v>
      </c>
      <c r="F8" s="1105"/>
      <c r="G8" s="491">
        <f t="shared" ref="G8:G18" si="0">ROUND(F8*2%,2)</f>
        <v>0</v>
      </c>
      <c r="H8" s="1105"/>
      <c r="I8" s="491">
        <f t="shared" ref="I8:I18" si="1">ROUND(H8*3%,2)</f>
        <v>0</v>
      </c>
      <c r="J8" s="949"/>
      <c r="K8" s="1107"/>
      <c r="L8" s="493" t="s">
        <v>676</v>
      </c>
      <c r="M8" s="84"/>
      <c r="N8" s="84"/>
      <c r="O8" s="84"/>
      <c r="P8" s="84"/>
    </row>
    <row r="9" spans="1:16" ht="20.25" customHeight="1">
      <c r="A9" s="3080"/>
      <c r="B9" s="489" t="s">
        <v>677</v>
      </c>
      <c r="C9" s="486">
        <v>8</v>
      </c>
      <c r="D9" s="1103"/>
      <c r="E9" s="490" t="s">
        <v>678</v>
      </c>
      <c r="F9" s="1105"/>
      <c r="G9" s="491">
        <f t="shared" si="0"/>
        <v>0</v>
      </c>
      <c r="H9" s="1105"/>
      <c r="I9" s="491">
        <f t="shared" si="1"/>
        <v>0</v>
      </c>
      <c r="J9" s="163"/>
      <c r="K9" s="1107"/>
      <c r="L9" s="232" t="s">
        <v>679</v>
      </c>
      <c r="M9" s="84"/>
      <c r="N9" s="84"/>
      <c r="O9" s="84"/>
      <c r="P9" s="84"/>
    </row>
    <row r="10" spans="1:16" ht="20.25" customHeight="1">
      <c r="A10" s="3080"/>
      <c r="B10" s="489" t="s">
        <v>680</v>
      </c>
      <c r="C10" s="486"/>
      <c r="D10" s="495">
        <f>SUM(D6:D9)</f>
        <v>0</v>
      </c>
      <c r="E10" s="490" t="s">
        <v>681</v>
      </c>
      <c r="F10" s="1105"/>
      <c r="G10" s="491">
        <f t="shared" si="0"/>
        <v>0</v>
      </c>
      <c r="H10" s="1105"/>
      <c r="I10" s="491">
        <f t="shared" si="1"/>
        <v>0</v>
      </c>
      <c r="J10" s="158" t="s">
        <v>682</v>
      </c>
      <c r="K10" s="496">
        <f>IF(K7&lt;0,K6,K6+K7)</f>
        <v>0</v>
      </c>
      <c r="L10" s="1266" t="s">
        <v>683</v>
      </c>
      <c r="M10" s="84"/>
      <c r="N10" s="84"/>
      <c r="O10" s="84"/>
      <c r="P10" s="84"/>
    </row>
    <row r="11" spans="1:16" ht="20.25" customHeight="1">
      <c r="A11" s="3080" t="s">
        <v>684</v>
      </c>
      <c r="B11" s="489" t="s">
        <v>664</v>
      </c>
      <c r="C11" s="486">
        <v>19</v>
      </c>
      <c r="D11" s="1103"/>
      <c r="E11" s="490" t="s">
        <v>685</v>
      </c>
      <c r="F11" s="1105"/>
      <c r="G11" s="491">
        <f t="shared" si="0"/>
        <v>0</v>
      </c>
      <c r="H11" s="1105"/>
      <c r="I11" s="491">
        <f t="shared" si="1"/>
        <v>0</v>
      </c>
      <c r="J11" s="3099" t="s">
        <v>6502</v>
      </c>
      <c r="K11" s="3100"/>
      <c r="L11" s="144" t="s">
        <v>456</v>
      </c>
      <c r="M11" s="84"/>
      <c r="N11" s="84"/>
      <c r="O11" s="84"/>
      <c r="P11" s="84"/>
    </row>
    <row r="12" spans="1:16" ht="20.25" customHeight="1">
      <c r="A12" s="3080"/>
      <c r="B12" s="489" t="s">
        <v>686</v>
      </c>
      <c r="C12" s="486">
        <v>21</v>
      </c>
      <c r="D12" s="1103"/>
      <c r="E12" s="490" t="s">
        <v>687</v>
      </c>
      <c r="F12" s="1105"/>
      <c r="G12" s="491">
        <f t="shared" si="0"/>
        <v>0</v>
      </c>
      <c r="H12" s="1105"/>
      <c r="I12" s="491">
        <f t="shared" si="1"/>
        <v>0</v>
      </c>
      <c r="J12" s="3099"/>
      <c r="K12" s="3100"/>
      <c r="L12" s="144" t="s">
        <v>688</v>
      </c>
      <c r="M12" s="84"/>
      <c r="N12" s="84"/>
      <c r="O12" s="84"/>
      <c r="P12" s="84"/>
    </row>
    <row r="13" spans="1:16" ht="20.25" customHeight="1">
      <c r="A13" s="3080"/>
      <c r="B13" s="489" t="s">
        <v>689</v>
      </c>
      <c r="C13" s="486">
        <v>22</v>
      </c>
      <c r="D13" s="1103"/>
      <c r="E13" s="490" t="s">
        <v>690</v>
      </c>
      <c r="F13" s="1105"/>
      <c r="G13" s="491">
        <f t="shared" si="0"/>
        <v>0</v>
      </c>
      <c r="H13" s="1105"/>
      <c r="I13" s="491">
        <f t="shared" si="1"/>
        <v>0</v>
      </c>
      <c r="J13" s="3099" t="s">
        <v>6504</v>
      </c>
      <c r="K13" s="3100"/>
      <c r="L13" s="497" t="s">
        <v>691</v>
      </c>
      <c r="M13" s="84"/>
      <c r="N13" s="84"/>
      <c r="O13" s="84"/>
      <c r="P13" s="84"/>
    </row>
    <row r="14" spans="1:16" ht="20.25" customHeight="1">
      <c r="A14" s="3080"/>
      <c r="B14" s="489" t="s">
        <v>692</v>
      </c>
      <c r="C14" s="486">
        <v>23</v>
      </c>
      <c r="D14" s="1103"/>
      <c r="E14" s="490" t="s">
        <v>693</v>
      </c>
      <c r="F14" s="1105"/>
      <c r="G14" s="491">
        <f t="shared" si="0"/>
        <v>0</v>
      </c>
      <c r="H14" s="1105"/>
      <c r="I14" s="491">
        <f t="shared" si="1"/>
        <v>0</v>
      </c>
      <c r="J14" s="3099"/>
      <c r="K14" s="3100"/>
      <c r="L14" s="84"/>
      <c r="M14" s="84"/>
      <c r="N14" s="84"/>
      <c r="O14" s="84"/>
      <c r="P14" s="84"/>
    </row>
    <row r="15" spans="1:16" ht="20.25" customHeight="1">
      <c r="A15" s="3080"/>
      <c r="B15" s="489" t="s">
        <v>694</v>
      </c>
      <c r="C15" s="486">
        <v>24</v>
      </c>
      <c r="D15" s="495">
        <f>D11+D12-D14</f>
        <v>0</v>
      </c>
      <c r="E15" s="490" t="s">
        <v>695</v>
      </c>
      <c r="F15" s="1105"/>
      <c r="G15" s="491">
        <f t="shared" si="0"/>
        <v>0</v>
      </c>
      <c r="H15" s="1105"/>
      <c r="I15" s="491">
        <f t="shared" si="1"/>
        <v>0</v>
      </c>
      <c r="J15" s="3095"/>
      <c r="K15" s="3096"/>
      <c r="L15" s="84"/>
      <c r="M15" s="84"/>
      <c r="N15" s="84"/>
      <c r="O15" s="84"/>
      <c r="P15" s="84"/>
    </row>
    <row r="16" spans="1:16" ht="20.25" customHeight="1">
      <c r="A16" s="488"/>
      <c r="B16" s="489" t="s">
        <v>696</v>
      </c>
      <c r="C16" s="486"/>
      <c r="D16" s="1104"/>
      <c r="E16" s="490" t="s">
        <v>697</v>
      </c>
      <c r="F16" s="1105"/>
      <c r="G16" s="491">
        <f t="shared" si="0"/>
        <v>0</v>
      </c>
      <c r="H16" s="1105"/>
      <c r="I16" s="491">
        <f t="shared" si="1"/>
        <v>0</v>
      </c>
      <c r="J16" s="3095"/>
      <c r="K16" s="3096"/>
      <c r="L16" s="84"/>
      <c r="M16" s="84"/>
      <c r="N16" s="84"/>
      <c r="O16" s="84"/>
      <c r="P16" s="84"/>
    </row>
    <row r="17" spans="1:16" ht="20.25" customHeight="1">
      <c r="A17" s="3093" t="s">
        <v>698</v>
      </c>
      <c r="B17" s="489" t="s">
        <v>699</v>
      </c>
      <c r="C17" s="486"/>
      <c r="D17" s="498">
        <f>IF(ISERROR(D11/D6),0,D11/D6)</f>
        <v>0</v>
      </c>
      <c r="E17" s="490" t="s">
        <v>700</v>
      </c>
      <c r="F17" s="1105"/>
      <c r="G17" s="491">
        <f t="shared" si="0"/>
        <v>0</v>
      </c>
      <c r="H17" s="1104"/>
      <c r="I17" s="491">
        <f t="shared" si="1"/>
        <v>0</v>
      </c>
      <c r="J17" s="3095"/>
      <c r="K17" s="3096"/>
      <c r="L17" s="84"/>
      <c r="M17" s="84"/>
      <c r="N17" s="84"/>
      <c r="O17" s="84"/>
      <c r="P17" s="84"/>
    </row>
    <row r="18" spans="1:16" ht="20.25" customHeight="1">
      <c r="A18" s="3093"/>
      <c r="B18" s="489" t="s">
        <v>5917</v>
      </c>
      <c r="C18" s="1644"/>
      <c r="D18" s="1665"/>
      <c r="E18" s="3083" t="s">
        <v>701</v>
      </c>
      <c r="F18" s="3084"/>
      <c r="G18" s="3085">
        <f t="shared" si="0"/>
        <v>0</v>
      </c>
      <c r="H18" s="3084"/>
      <c r="I18" s="3085">
        <f t="shared" si="1"/>
        <v>0</v>
      </c>
      <c r="J18" s="3095"/>
      <c r="K18" s="3096"/>
      <c r="L18" s="84"/>
      <c r="M18" s="84"/>
      <c r="N18" s="84"/>
      <c r="O18" s="84"/>
      <c r="P18" s="84"/>
    </row>
    <row r="19" spans="1:16" ht="20.25" customHeight="1">
      <c r="A19" s="3093"/>
      <c r="B19" s="489" t="s">
        <v>7148</v>
      </c>
      <c r="C19" s="2444"/>
      <c r="D19" s="2447"/>
      <c r="E19" s="3083"/>
      <c r="F19" s="3084"/>
      <c r="G19" s="3085"/>
      <c r="H19" s="3084"/>
      <c r="I19" s="3085"/>
      <c r="J19" s="3095"/>
      <c r="K19" s="3096"/>
      <c r="L19" s="84"/>
      <c r="M19" s="84"/>
      <c r="N19" s="84"/>
      <c r="O19" s="84"/>
      <c r="P19" s="84"/>
    </row>
    <row r="20" spans="1:16" ht="35.25" customHeight="1">
      <c r="A20" s="3093"/>
      <c r="B20" s="1659"/>
      <c r="C20" s="1660"/>
      <c r="D20" s="1661"/>
      <c r="E20" s="2448" t="s">
        <v>7149</v>
      </c>
      <c r="F20" s="2449"/>
      <c r="G20" s="491">
        <f>ROUND(F20*2%,2)</f>
        <v>0</v>
      </c>
      <c r="H20" s="2449"/>
      <c r="I20" s="491">
        <f>ROUND(H20*3%,2)</f>
        <v>0</v>
      </c>
      <c r="J20" s="3095"/>
      <c r="K20" s="3096"/>
      <c r="L20" s="84"/>
      <c r="M20" s="84"/>
      <c r="N20" s="84"/>
      <c r="O20" s="84"/>
      <c r="P20" s="84"/>
    </row>
    <row r="21" spans="1:16" ht="20.25" customHeight="1">
      <c r="A21" s="3093"/>
      <c r="B21" s="1659"/>
      <c r="C21" s="1660"/>
      <c r="D21" s="1661"/>
      <c r="E21" s="3086" t="s">
        <v>7150</v>
      </c>
      <c r="F21" s="3088"/>
      <c r="G21" s="3090">
        <f>ROUND(F21*2%,2)</f>
        <v>0</v>
      </c>
      <c r="H21" s="3088"/>
      <c r="I21" s="3090">
        <f>ROUND(H21*3%,2)</f>
        <v>0</v>
      </c>
      <c r="J21" s="3095"/>
      <c r="K21" s="3096"/>
      <c r="L21" s="84"/>
      <c r="M21" s="84"/>
      <c r="N21" s="84"/>
      <c r="O21" s="84"/>
      <c r="P21" s="84"/>
    </row>
    <row r="22" spans="1:16" ht="20.25" customHeight="1">
      <c r="A22" s="3093"/>
      <c r="B22" s="1659"/>
      <c r="C22" s="1660"/>
      <c r="D22" s="1661"/>
      <c r="E22" s="3087"/>
      <c r="F22" s="3089"/>
      <c r="G22" s="3091"/>
      <c r="H22" s="3089"/>
      <c r="I22" s="3091"/>
      <c r="J22" s="3095"/>
      <c r="K22" s="3096"/>
      <c r="L22" s="84"/>
      <c r="M22" s="84"/>
      <c r="N22" s="84"/>
      <c r="O22" s="84"/>
      <c r="P22" s="84"/>
    </row>
    <row r="23" spans="1:16" ht="20.25" customHeight="1">
      <c r="A23" s="3093"/>
      <c r="B23" s="1662"/>
      <c r="C23" s="1663"/>
      <c r="D23" s="1664"/>
      <c r="E23" s="499" t="s">
        <v>702</v>
      </c>
      <c r="F23" s="495">
        <f>SUM(F6:F17)+F21</f>
        <v>0</v>
      </c>
      <c r="G23" s="495">
        <f>SUM(G6:G17)+G21</f>
        <v>0</v>
      </c>
      <c r="H23" s="495">
        <f>SUM(H6:H17)+H22</f>
        <v>0</v>
      </c>
      <c r="I23" s="495">
        <f>SUM(I6:I17)+I21</f>
        <v>0</v>
      </c>
      <c r="J23" s="3097"/>
      <c r="K23" s="3098"/>
      <c r="L23" s="84"/>
      <c r="M23" s="84"/>
      <c r="N23" s="84"/>
      <c r="O23" s="84"/>
      <c r="P23" s="84"/>
    </row>
    <row r="24" spans="1:16" ht="20.25" customHeight="1">
      <c r="A24" s="3081" t="s">
        <v>455</v>
      </c>
      <c r="B24" s="3082"/>
      <c r="C24" s="3082"/>
      <c r="D24" s="3082"/>
      <c r="E24" s="3082"/>
      <c r="F24" s="3082"/>
      <c r="G24" s="3082"/>
      <c r="H24" s="3082"/>
      <c r="I24" s="3082"/>
      <c r="J24" s="3082"/>
      <c r="K24" s="3082"/>
      <c r="L24" s="84"/>
      <c r="M24" s="84"/>
      <c r="N24" s="84"/>
      <c r="O24" s="84"/>
      <c r="P24" s="84"/>
    </row>
    <row r="25" spans="1:16" ht="20.25" customHeight="1">
      <c r="A25" s="3081"/>
      <c r="B25" s="3082"/>
      <c r="C25" s="3082"/>
      <c r="D25" s="3082"/>
      <c r="E25" s="3082"/>
      <c r="F25" s="3082"/>
      <c r="G25" s="3082"/>
      <c r="H25" s="3082"/>
      <c r="I25" s="3082"/>
      <c r="J25" s="3082"/>
      <c r="K25" s="3082"/>
      <c r="L25" s="84"/>
      <c r="M25" s="84"/>
      <c r="N25" s="84"/>
      <c r="O25" s="84"/>
      <c r="P25" s="84"/>
    </row>
    <row r="26" spans="1:16" ht="20.25" customHeight="1">
      <c r="A26" s="3081"/>
      <c r="B26" s="3082"/>
      <c r="C26" s="3082"/>
      <c r="D26" s="3082"/>
      <c r="E26" s="3082"/>
      <c r="F26" s="3082"/>
      <c r="G26" s="3082"/>
      <c r="H26" s="3082"/>
      <c r="I26" s="3082"/>
      <c r="J26" s="3082"/>
      <c r="K26" s="3082"/>
      <c r="L26" s="84"/>
      <c r="M26" s="84"/>
      <c r="N26" s="84"/>
      <c r="O26" s="84"/>
      <c r="P26" s="84"/>
    </row>
    <row r="27" spans="1:16">
      <c r="A27" s="500"/>
      <c r="B27" s="500"/>
      <c r="C27" s="500"/>
      <c r="D27" s="500"/>
      <c r="E27" s="500"/>
      <c r="F27" s="500"/>
      <c r="G27" s="500"/>
      <c r="H27" s="500"/>
      <c r="I27" s="500"/>
      <c r="J27" s="500"/>
      <c r="K27" s="500"/>
    </row>
    <row r="28" spans="1:16" s="501" customFormat="1">
      <c r="A28" s="3079"/>
      <c r="B28" s="3079"/>
      <c r="C28" s="3079"/>
      <c r="D28" s="3079"/>
      <c r="E28" s="3079"/>
      <c r="F28" s="3079"/>
      <c r="G28" s="3079"/>
      <c r="H28" s="3079"/>
      <c r="I28" s="3079"/>
      <c r="J28" s="3079"/>
      <c r="K28" s="3079"/>
    </row>
    <row r="29" spans="1:16" s="501" customFormat="1">
      <c r="A29" s="3079"/>
      <c r="B29" s="3079"/>
      <c r="C29" s="3079"/>
      <c r="D29" s="3079"/>
      <c r="E29" s="3079"/>
      <c r="F29" s="3079"/>
      <c r="G29" s="3079"/>
      <c r="H29" s="3079"/>
      <c r="I29" s="3079"/>
      <c r="J29" s="3079"/>
      <c r="K29" s="3079"/>
    </row>
    <row r="30" spans="1:16" s="501" customFormat="1">
      <c r="A30" s="3079"/>
      <c r="B30" s="3079"/>
      <c r="C30" s="3079"/>
      <c r="D30" s="3079"/>
      <c r="E30" s="3079"/>
      <c r="F30" s="3079"/>
      <c r="G30" s="3079"/>
      <c r="H30" s="3079"/>
      <c r="I30" s="3079"/>
      <c r="J30" s="3079"/>
      <c r="K30" s="3079"/>
    </row>
    <row r="31" spans="1:16" s="501" customFormat="1">
      <c r="A31" s="3079"/>
      <c r="B31" s="3079"/>
      <c r="C31" s="3079"/>
      <c r="D31" s="3079"/>
      <c r="E31" s="3079"/>
      <c r="F31" s="3079"/>
      <c r="G31" s="3079"/>
      <c r="H31" s="3079"/>
      <c r="I31" s="3079"/>
      <c r="J31" s="3079"/>
      <c r="K31" s="3079"/>
    </row>
    <row r="32" spans="1:16" s="501" customFormat="1">
      <c r="A32" s="3079"/>
      <c r="B32" s="3079"/>
      <c r="C32" s="3079"/>
      <c r="D32" s="3079"/>
      <c r="E32" s="3079"/>
      <c r="F32" s="3079"/>
      <c r="G32" s="3079"/>
      <c r="H32" s="3079"/>
      <c r="I32" s="3079"/>
      <c r="J32" s="3079"/>
      <c r="K32" s="3079"/>
    </row>
    <row r="33" spans="1:11" s="501" customFormat="1">
      <c r="A33" s="3079"/>
      <c r="B33" s="3079"/>
      <c r="C33" s="3079"/>
      <c r="D33" s="3079"/>
      <c r="E33" s="3079"/>
      <c r="F33" s="3079"/>
      <c r="G33" s="3079"/>
      <c r="H33" s="3079"/>
      <c r="I33" s="3079"/>
      <c r="J33" s="3079"/>
      <c r="K33" s="3079"/>
    </row>
    <row r="34" spans="1:11" s="501" customFormat="1">
      <c r="A34" s="3079"/>
      <c r="B34" s="3079"/>
      <c r="C34" s="3079"/>
      <c r="D34" s="3079"/>
      <c r="E34" s="3079"/>
      <c r="F34" s="3079"/>
      <c r="G34" s="3079"/>
      <c r="H34" s="3079"/>
      <c r="I34" s="3079"/>
      <c r="J34" s="3079"/>
      <c r="K34" s="3079"/>
    </row>
    <row r="35" spans="1:11" s="501" customFormat="1">
      <c r="A35" s="3079"/>
      <c r="B35" s="3079"/>
      <c r="C35" s="3079"/>
      <c r="D35" s="3079"/>
      <c r="E35" s="3079"/>
      <c r="F35" s="3079"/>
      <c r="G35" s="3079"/>
      <c r="H35" s="3079"/>
      <c r="I35" s="3079"/>
      <c r="J35" s="3079"/>
      <c r="K35" s="3079"/>
    </row>
    <row r="36" spans="1:11" s="501" customFormat="1">
      <c r="A36" s="3079"/>
      <c r="B36" s="3079"/>
      <c r="C36" s="3079"/>
      <c r="D36" s="3079"/>
      <c r="E36" s="3079"/>
      <c r="F36" s="3079"/>
      <c r="G36" s="3079"/>
      <c r="H36" s="3079"/>
      <c r="I36" s="3079"/>
      <c r="J36" s="3079"/>
      <c r="K36" s="3079"/>
    </row>
    <row r="37" spans="1:11" s="501" customFormat="1">
      <c r="A37" s="3079"/>
      <c r="B37" s="3079"/>
      <c r="C37" s="3079"/>
      <c r="D37" s="3079"/>
      <c r="E37" s="3079"/>
      <c r="F37" s="3079"/>
      <c r="G37" s="3079"/>
      <c r="H37" s="3079"/>
      <c r="I37" s="3079"/>
      <c r="J37" s="3079"/>
      <c r="K37" s="3079"/>
    </row>
    <row r="38" spans="1:11" s="501" customFormat="1">
      <c r="A38" s="3079"/>
      <c r="B38" s="3079"/>
      <c r="C38" s="3079"/>
      <c r="D38" s="3079"/>
      <c r="E38" s="3079"/>
      <c r="F38" s="3079"/>
      <c r="G38" s="3079"/>
      <c r="H38" s="3079"/>
      <c r="I38" s="3079"/>
      <c r="J38" s="3079"/>
      <c r="K38" s="3079"/>
    </row>
    <row r="39" spans="1:11" s="501" customFormat="1">
      <c r="A39" s="3079"/>
      <c r="B39" s="3079"/>
      <c r="C39" s="3079"/>
      <c r="D39" s="3079"/>
      <c r="E39" s="3079"/>
      <c r="F39" s="3079"/>
      <c r="G39" s="3079"/>
      <c r="H39" s="3079"/>
      <c r="I39" s="3079"/>
      <c r="J39" s="3079"/>
      <c r="K39" s="3079"/>
    </row>
    <row r="40" spans="1:11" s="501" customFormat="1">
      <c r="A40" s="3079"/>
      <c r="B40" s="3079"/>
      <c r="C40" s="3079"/>
      <c r="D40" s="3079"/>
      <c r="E40" s="3079"/>
      <c r="F40" s="3079"/>
      <c r="G40" s="3079"/>
      <c r="H40" s="3079"/>
      <c r="I40" s="3079"/>
      <c r="J40" s="3079"/>
      <c r="K40" s="3079"/>
    </row>
    <row r="41" spans="1:11" s="501" customFormat="1">
      <c r="A41" s="3079"/>
      <c r="B41" s="3079"/>
      <c r="C41" s="3079"/>
      <c r="D41" s="3079"/>
      <c r="E41" s="3079"/>
      <c r="F41" s="3079"/>
      <c r="G41" s="3079"/>
      <c r="H41" s="3079"/>
      <c r="I41" s="3079"/>
      <c r="J41" s="3079"/>
      <c r="K41" s="3079"/>
    </row>
    <row r="42" spans="1:11" s="501" customFormat="1">
      <c r="A42" s="3079"/>
      <c r="B42" s="3079"/>
      <c r="C42" s="3079"/>
      <c r="D42" s="3079"/>
      <c r="E42" s="3079"/>
      <c r="F42" s="3079"/>
      <c r="G42" s="3079"/>
      <c r="H42" s="3079"/>
      <c r="I42" s="3079"/>
      <c r="J42" s="3079"/>
      <c r="K42" s="3079"/>
    </row>
    <row r="43" spans="1:11" s="501" customFormat="1">
      <c r="A43" s="3079"/>
      <c r="B43" s="3079"/>
      <c r="C43" s="3079"/>
      <c r="D43" s="3079"/>
      <c r="E43" s="3079"/>
      <c r="F43" s="3079"/>
      <c r="G43" s="3079"/>
      <c r="H43" s="3079"/>
      <c r="I43" s="3079"/>
      <c r="J43" s="3079"/>
      <c r="K43" s="3079"/>
    </row>
    <row r="44" spans="1:11" s="501" customFormat="1">
      <c r="A44" s="3079"/>
      <c r="B44" s="3079"/>
      <c r="C44" s="3079"/>
      <c r="D44" s="3079"/>
      <c r="E44" s="3079"/>
      <c r="F44" s="3079"/>
      <c r="G44" s="3079"/>
      <c r="H44" s="3079"/>
      <c r="I44" s="3079"/>
      <c r="J44" s="3079"/>
      <c r="K44" s="3079"/>
    </row>
    <row r="45" spans="1:11" s="501" customFormat="1">
      <c r="A45" s="3079"/>
      <c r="B45" s="3079"/>
      <c r="C45" s="3079"/>
      <c r="D45" s="3079"/>
      <c r="E45" s="3079"/>
      <c r="F45" s="3079"/>
      <c r="G45" s="3079"/>
      <c r="H45" s="3079"/>
      <c r="I45" s="3079"/>
      <c r="J45" s="3079"/>
      <c r="K45" s="3079"/>
    </row>
    <row r="46" spans="1:11" s="501" customFormat="1">
      <c r="A46" s="3079"/>
      <c r="B46" s="3079"/>
      <c r="C46" s="3079"/>
      <c r="D46" s="3079"/>
      <c r="E46" s="3079"/>
      <c r="F46" s="3079"/>
      <c r="G46" s="3079"/>
      <c r="H46" s="3079"/>
      <c r="I46" s="3079"/>
      <c r="J46" s="3079"/>
      <c r="K46" s="3079"/>
    </row>
    <row r="47" spans="1:11" s="501" customFormat="1">
      <c r="A47" s="3079"/>
      <c r="B47" s="3079"/>
      <c r="C47" s="3079"/>
      <c r="D47" s="3079"/>
      <c r="E47" s="3079"/>
      <c r="F47" s="3079"/>
      <c r="G47" s="3079"/>
      <c r="H47" s="3079"/>
      <c r="I47" s="3079"/>
      <c r="J47" s="3079"/>
      <c r="K47" s="3079"/>
    </row>
    <row r="48" spans="1:11" s="501" customFormat="1">
      <c r="A48" s="3079"/>
      <c r="B48" s="3079"/>
      <c r="C48" s="3079"/>
      <c r="D48" s="3079"/>
      <c r="E48" s="3079"/>
      <c r="F48" s="3079"/>
      <c r="G48" s="3079"/>
      <c r="H48" s="3079"/>
      <c r="I48" s="3079"/>
      <c r="J48" s="3079"/>
      <c r="K48" s="3079"/>
    </row>
    <row r="49" spans="1:11" s="501" customFormat="1">
      <c r="A49" s="3079"/>
      <c r="B49" s="3079"/>
      <c r="C49" s="3079"/>
      <c r="D49" s="3079"/>
      <c r="E49" s="3079"/>
      <c r="F49" s="3079"/>
      <c r="G49" s="3079"/>
      <c r="H49" s="3079"/>
      <c r="I49" s="3079"/>
      <c r="J49" s="3079"/>
      <c r="K49" s="3079"/>
    </row>
    <row r="50" spans="1:11" s="501" customFormat="1">
      <c r="A50" s="3079"/>
      <c r="B50" s="3079"/>
      <c r="C50" s="3079"/>
      <c r="D50" s="3079"/>
      <c r="E50" s="3079"/>
      <c r="F50" s="3079"/>
      <c r="G50" s="3079"/>
      <c r="H50" s="3079"/>
      <c r="I50" s="3079"/>
      <c r="J50" s="3079"/>
      <c r="K50" s="3079"/>
    </row>
    <row r="51" spans="1:11" s="501" customFormat="1">
      <c r="A51" s="3079"/>
      <c r="B51" s="3079"/>
      <c r="C51" s="3079"/>
      <c r="D51" s="3079"/>
      <c r="E51" s="3079"/>
      <c r="F51" s="3079"/>
      <c r="G51" s="3079"/>
      <c r="H51" s="3079"/>
      <c r="I51" s="3079"/>
      <c r="J51" s="3079"/>
      <c r="K51" s="3079"/>
    </row>
    <row r="52" spans="1:11" s="501" customFormat="1">
      <c r="A52" s="3079"/>
      <c r="B52" s="3079"/>
      <c r="C52" s="3079"/>
      <c r="D52" s="3079"/>
      <c r="E52" s="3079"/>
      <c r="F52" s="3079"/>
      <c r="G52" s="3079"/>
      <c r="H52" s="3079"/>
      <c r="I52" s="3079"/>
      <c r="J52" s="3079"/>
      <c r="K52" s="3079"/>
    </row>
    <row r="53" spans="1:11" s="501" customFormat="1">
      <c r="A53" s="3079"/>
      <c r="B53" s="3079"/>
      <c r="C53" s="3079"/>
      <c r="D53" s="3079"/>
      <c r="E53" s="3079"/>
      <c r="F53" s="3079"/>
      <c r="G53" s="3079"/>
      <c r="H53" s="3079"/>
      <c r="I53" s="3079"/>
      <c r="J53" s="3079"/>
      <c r="K53" s="3079"/>
    </row>
    <row r="54" spans="1:11" s="501" customFormat="1">
      <c r="A54" s="3079"/>
      <c r="B54" s="3079"/>
      <c r="C54" s="3079"/>
      <c r="D54" s="3079"/>
      <c r="E54" s="3079"/>
      <c r="F54" s="3079"/>
      <c r="G54" s="3079"/>
      <c r="H54" s="3079"/>
      <c r="I54" s="3079"/>
      <c r="J54" s="3079"/>
      <c r="K54" s="3079"/>
    </row>
    <row r="55" spans="1:11" s="501" customFormat="1">
      <c r="A55" s="3079"/>
      <c r="B55" s="3079"/>
      <c r="C55" s="3079"/>
      <c r="D55" s="3079"/>
      <c r="E55" s="3079"/>
      <c r="F55" s="3079"/>
      <c r="G55" s="3079"/>
      <c r="H55" s="3079"/>
      <c r="I55" s="3079"/>
      <c r="J55" s="3079"/>
      <c r="K55" s="3079"/>
    </row>
    <row r="56" spans="1:11" s="501" customFormat="1">
      <c r="A56" s="3079"/>
      <c r="B56" s="3079"/>
      <c r="C56" s="3079"/>
      <c r="D56" s="3079"/>
      <c r="E56" s="3079"/>
      <c r="F56" s="3079"/>
      <c r="G56" s="3079"/>
      <c r="H56" s="3079"/>
      <c r="I56" s="3079"/>
      <c r="J56" s="3079"/>
      <c r="K56" s="3079"/>
    </row>
    <row r="57" spans="1:11" s="501" customFormat="1">
      <c r="A57" s="3079"/>
      <c r="B57" s="3079"/>
      <c r="C57" s="3079"/>
      <c r="D57" s="3079"/>
      <c r="E57" s="3079"/>
      <c r="F57" s="3079"/>
      <c r="G57" s="3079"/>
      <c r="H57" s="3079"/>
      <c r="I57" s="3079"/>
      <c r="J57" s="3079"/>
      <c r="K57" s="3079"/>
    </row>
    <row r="58" spans="1:11" s="501" customFormat="1">
      <c r="A58" s="3079"/>
      <c r="B58" s="3079"/>
      <c r="C58" s="3079"/>
      <c r="D58" s="3079"/>
      <c r="E58" s="3079"/>
      <c r="F58" s="3079"/>
      <c r="G58" s="3079"/>
      <c r="H58" s="3079"/>
      <c r="I58" s="3079"/>
      <c r="J58" s="3079"/>
      <c r="K58" s="3079"/>
    </row>
    <row r="59" spans="1:11" s="501" customFormat="1">
      <c r="A59" s="3079"/>
      <c r="B59" s="3079"/>
      <c r="C59" s="3079"/>
      <c r="D59" s="3079"/>
      <c r="E59" s="3079"/>
      <c r="F59" s="3079"/>
      <c r="G59" s="3079"/>
      <c r="H59" s="3079"/>
      <c r="I59" s="3079"/>
      <c r="J59" s="3079"/>
      <c r="K59" s="3079"/>
    </row>
    <row r="60" spans="1:11" s="501" customFormat="1">
      <c r="A60" s="3079"/>
      <c r="B60" s="3079"/>
      <c r="C60" s="3079"/>
      <c r="D60" s="3079"/>
      <c r="E60" s="3079"/>
      <c r="F60" s="3079"/>
      <c r="G60" s="3079"/>
      <c r="H60" s="3079"/>
      <c r="I60" s="3079"/>
      <c r="J60" s="3079"/>
      <c r="K60" s="3079"/>
    </row>
    <row r="61" spans="1:11" s="501" customFormat="1">
      <c r="A61" s="3079"/>
      <c r="B61" s="3079"/>
      <c r="C61" s="3079"/>
      <c r="D61" s="3079"/>
      <c r="E61" s="3079"/>
      <c r="F61" s="3079"/>
      <c r="G61" s="3079"/>
      <c r="H61" s="3079"/>
      <c r="I61" s="3079"/>
      <c r="J61" s="3079"/>
      <c r="K61" s="3079"/>
    </row>
    <row r="62" spans="1:11" s="501" customFormat="1">
      <c r="A62" s="3079"/>
      <c r="B62" s="3079"/>
      <c r="C62" s="3079"/>
      <c r="D62" s="3079"/>
      <c r="E62" s="3079"/>
      <c r="F62" s="3079"/>
      <c r="G62" s="3079"/>
      <c r="H62" s="3079"/>
      <c r="I62" s="3079"/>
      <c r="J62" s="3079"/>
      <c r="K62" s="3079"/>
    </row>
    <row r="63" spans="1:11" s="501" customFormat="1">
      <c r="A63" s="3079"/>
      <c r="B63" s="3079"/>
      <c r="C63" s="3079"/>
      <c r="D63" s="3079"/>
      <c r="E63" s="3079"/>
      <c r="F63" s="3079"/>
      <c r="G63" s="3079"/>
      <c r="H63" s="3079"/>
      <c r="I63" s="3079"/>
      <c r="J63" s="3079"/>
      <c r="K63" s="3079"/>
    </row>
    <row r="64" spans="1:11" s="501" customFormat="1">
      <c r="A64" s="3079"/>
      <c r="B64" s="3079"/>
      <c r="C64" s="3079"/>
      <c r="D64" s="3079"/>
      <c r="E64" s="3079"/>
      <c r="F64" s="3079"/>
      <c r="G64" s="3079"/>
      <c r="H64" s="3079"/>
      <c r="I64" s="3079"/>
      <c r="J64" s="3079"/>
      <c r="K64" s="3079"/>
    </row>
    <row r="65" spans="1:11" s="501" customFormat="1">
      <c r="A65" s="3079"/>
      <c r="B65" s="3079"/>
      <c r="C65" s="3079"/>
      <c r="D65" s="3079"/>
      <c r="E65" s="3079"/>
      <c r="F65" s="3079"/>
      <c r="G65" s="3079"/>
      <c r="H65" s="3079"/>
      <c r="I65" s="3079"/>
      <c r="J65" s="3079"/>
      <c r="K65" s="3079"/>
    </row>
    <row r="66" spans="1:11" s="501" customFormat="1">
      <c r="A66" s="3079"/>
      <c r="B66" s="3079"/>
      <c r="C66" s="3079"/>
      <c r="D66" s="3079"/>
      <c r="E66" s="3079"/>
      <c r="F66" s="3079"/>
      <c r="G66" s="3079"/>
      <c r="H66" s="3079"/>
      <c r="I66" s="3079"/>
      <c r="J66" s="3079"/>
      <c r="K66" s="3079"/>
    </row>
    <row r="67" spans="1:11" s="501" customFormat="1">
      <c r="A67" s="3079"/>
      <c r="B67" s="3079"/>
      <c r="C67" s="3079"/>
      <c r="D67" s="3079"/>
      <c r="E67" s="3079"/>
      <c r="F67" s="3079"/>
      <c r="G67" s="3079"/>
      <c r="H67" s="3079"/>
      <c r="I67" s="3079"/>
      <c r="J67" s="3079"/>
      <c r="K67" s="3079"/>
    </row>
    <row r="68" spans="1:11" s="501" customFormat="1">
      <c r="A68" s="3079"/>
      <c r="B68" s="3079"/>
      <c r="C68" s="3079"/>
      <c r="D68" s="3079"/>
      <c r="E68" s="3079"/>
      <c r="F68" s="3079"/>
      <c r="G68" s="3079"/>
      <c r="H68" s="3079"/>
      <c r="I68" s="3079"/>
      <c r="J68" s="3079"/>
      <c r="K68" s="3079"/>
    </row>
    <row r="69" spans="1:11" s="501" customFormat="1">
      <c r="A69" s="3079"/>
      <c r="B69" s="3079"/>
      <c r="C69" s="3079"/>
      <c r="D69" s="3079"/>
      <c r="E69" s="3079"/>
      <c r="F69" s="3079"/>
      <c r="G69" s="3079"/>
      <c r="H69" s="3079"/>
      <c r="I69" s="3079"/>
      <c r="J69" s="3079"/>
      <c r="K69" s="3079"/>
    </row>
    <row r="70" spans="1:11" s="501" customFormat="1">
      <c r="A70" s="3079"/>
      <c r="B70" s="3079"/>
      <c r="C70" s="3079"/>
      <c r="D70" s="3079"/>
      <c r="E70" s="3079"/>
      <c r="F70" s="3079"/>
      <c r="G70" s="3079"/>
      <c r="H70" s="3079"/>
      <c r="I70" s="3079"/>
      <c r="J70" s="3079"/>
      <c r="K70" s="3079"/>
    </row>
    <row r="71" spans="1:11" s="501" customFormat="1">
      <c r="A71" s="3079"/>
      <c r="B71" s="3079"/>
      <c r="C71" s="3079"/>
      <c r="D71" s="3079"/>
      <c r="E71" s="3079"/>
      <c r="F71" s="3079"/>
      <c r="G71" s="3079"/>
      <c r="H71" s="3079"/>
      <c r="I71" s="3079"/>
      <c r="J71" s="3079"/>
      <c r="K71" s="3079"/>
    </row>
    <row r="72" spans="1:11" s="501" customFormat="1">
      <c r="A72" s="3079"/>
      <c r="B72" s="3079"/>
      <c r="C72" s="3079"/>
      <c r="D72" s="3079"/>
      <c r="E72" s="3079"/>
      <c r="F72" s="3079"/>
      <c r="G72" s="3079"/>
      <c r="H72" s="3079"/>
      <c r="I72" s="3079"/>
      <c r="J72" s="3079"/>
      <c r="K72" s="3079"/>
    </row>
    <row r="73" spans="1:11" s="501" customFormat="1">
      <c r="A73" s="3079"/>
      <c r="B73" s="3079"/>
      <c r="C73" s="3079"/>
      <c r="D73" s="3079"/>
      <c r="E73" s="3079"/>
      <c r="F73" s="3079"/>
      <c r="G73" s="3079"/>
      <c r="H73" s="3079"/>
      <c r="I73" s="3079"/>
      <c r="J73" s="3079"/>
      <c r="K73" s="3079"/>
    </row>
    <row r="74" spans="1:11" s="501" customFormat="1">
      <c r="A74" s="3079"/>
      <c r="B74" s="3079"/>
      <c r="C74" s="3079"/>
      <c r="D74" s="3079"/>
      <c r="E74" s="3079"/>
      <c r="F74" s="3079"/>
      <c r="G74" s="3079"/>
      <c r="H74" s="3079"/>
      <c r="I74" s="3079"/>
      <c r="J74" s="3079"/>
      <c r="K74" s="3079"/>
    </row>
    <row r="75" spans="1:11" s="501" customFormat="1">
      <c r="A75" s="3079"/>
      <c r="B75" s="3079"/>
      <c r="C75" s="3079"/>
      <c r="D75" s="3079"/>
      <c r="E75" s="3079"/>
      <c r="F75" s="3079"/>
      <c r="G75" s="3079"/>
      <c r="H75" s="3079"/>
      <c r="I75" s="3079"/>
      <c r="J75" s="3079"/>
      <c r="K75" s="3079"/>
    </row>
    <row r="76" spans="1:11" s="501" customFormat="1">
      <c r="A76" s="3079"/>
      <c r="B76" s="3079"/>
      <c r="C76" s="3079"/>
      <c r="D76" s="3079"/>
      <c r="E76" s="3079"/>
      <c r="F76" s="3079"/>
      <c r="G76" s="3079"/>
      <c r="H76" s="3079"/>
      <c r="I76" s="3079"/>
      <c r="J76" s="3079"/>
      <c r="K76" s="3079"/>
    </row>
    <row r="77" spans="1:11" s="501" customFormat="1">
      <c r="A77" s="3079"/>
      <c r="B77" s="3079"/>
      <c r="C77" s="3079"/>
      <c r="D77" s="3079"/>
      <c r="E77" s="3079"/>
      <c r="F77" s="3079"/>
      <c r="G77" s="3079"/>
      <c r="H77" s="3079"/>
      <c r="I77" s="3079"/>
      <c r="J77" s="3079"/>
      <c r="K77" s="3079"/>
    </row>
    <row r="78" spans="1:11" s="501" customFormat="1">
      <c r="A78" s="3079"/>
      <c r="B78" s="3079"/>
      <c r="C78" s="3079"/>
      <c r="D78" s="3079"/>
      <c r="E78" s="3079"/>
      <c r="F78" s="3079"/>
      <c r="G78" s="3079"/>
      <c r="H78" s="3079"/>
      <c r="I78" s="3079"/>
      <c r="J78" s="3079"/>
      <c r="K78" s="3079"/>
    </row>
    <row r="79" spans="1:11" s="501" customFormat="1">
      <c r="A79" s="3079"/>
      <c r="B79" s="3079"/>
      <c r="C79" s="3079"/>
      <c r="D79" s="3079"/>
      <c r="E79" s="3079"/>
      <c r="F79" s="3079"/>
      <c r="G79" s="3079"/>
      <c r="H79" s="3079"/>
      <c r="I79" s="3079"/>
      <c r="J79" s="3079"/>
      <c r="K79" s="3079"/>
    </row>
    <row r="80" spans="1:11" s="501" customFormat="1">
      <c r="A80" s="3079"/>
      <c r="B80" s="3079"/>
      <c r="C80" s="3079"/>
      <c r="D80" s="3079"/>
      <c r="E80" s="3079"/>
      <c r="F80" s="3079"/>
      <c r="G80" s="3079"/>
      <c r="H80" s="3079"/>
      <c r="I80" s="3079"/>
      <c r="J80" s="3079"/>
      <c r="K80" s="3079"/>
    </row>
    <row r="81" spans="1:11" s="501" customFormat="1">
      <c r="A81" s="3079"/>
      <c r="B81" s="3079"/>
      <c r="C81" s="3079"/>
      <c r="D81" s="3079"/>
      <c r="E81" s="3079"/>
      <c r="F81" s="3079"/>
      <c r="G81" s="3079"/>
      <c r="H81" s="3079"/>
      <c r="I81" s="3079"/>
      <c r="J81" s="3079"/>
      <c r="K81" s="3079"/>
    </row>
    <row r="82" spans="1:11" s="501" customFormat="1">
      <c r="A82" s="3079"/>
      <c r="B82" s="3079"/>
      <c r="C82" s="3079"/>
      <c r="D82" s="3079"/>
      <c r="E82" s="3079"/>
      <c r="F82" s="3079"/>
      <c r="G82" s="3079"/>
      <c r="H82" s="3079"/>
      <c r="I82" s="3079"/>
      <c r="J82" s="3079"/>
      <c r="K82" s="3079"/>
    </row>
    <row r="83" spans="1:11" s="501" customFormat="1">
      <c r="A83" s="3079"/>
      <c r="B83" s="3079"/>
      <c r="C83" s="3079"/>
      <c r="D83" s="3079"/>
      <c r="E83" s="3079"/>
      <c r="F83" s="3079"/>
      <c r="G83" s="3079"/>
      <c r="H83" s="3079"/>
      <c r="I83" s="3079"/>
      <c r="J83" s="3079"/>
      <c r="K83" s="3079"/>
    </row>
    <row r="84" spans="1:11" s="501" customFormat="1">
      <c r="A84" s="3079"/>
      <c r="B84" s="3079"/>
      <c r="C84" s="3079"/>
      <c r="D84" s="3079"/>
      <c r="E84" s="3079"/>
      <c r="F84" s="3079"/>
      <c r="G84" s="3079"/>
      <c r="H84" s="3079"/>
      <c r="I84" s="3079"/>
      <c r="J84" s="3079"/>
      <c r="K84" s="3079"/>
    </row>
    <row r="85" spans="1:11" s="501" customFormat="1">
      <c r="A85" s="3079"/>
      <c r="B85" s="3079"/>
      <c r="C85" s="3079"/>
      <c r="D85" s="3079"/>
      <c r="E85" s="3079"/>
      <c r="F85" s="3079"/>
      <c r="G85" s="3079"/>
      <c r="H85" s="3079"/>
      <c r="I85" s="3079"/>
      <c r="J85" s="3079"/>
      <c r="K85" s="3079"/>
    </row>
    <row r="86" spans="1:11" s="501" customFormat="1">
      <c r="A86" s="3079"/>
      <c r="B86" s="3079"/>
      <c r="C86" s="3079"/>
      <c r="D86" s="3079"/>
      <c r="E86" s="3079"/>
      <c r="F86" s="3079"/>
      <c r="G86" s="3079"/>
      <c r="H86" s="3079"/>
      <c r="I86" s="3079"/>
      <c r="J86" s="3079"/>
      <c r="K86" s="3079"/>
    </row>
    <row r="87" spans="1:11" s="501" customFormat="1">
      <c r="A87" s="3079"/>
      <c r="B87" s="3079"/>
      <c r="C87" s="3079"/>
      <c r="D87" s="3079"/>
      <c r="E87" s="3079"/>
      <c r="F87" s="3079"/>
      <c r="G87" s="3079"/>
      <c r="H87" s="3079"/>
      <c r="I87" s="3079"/>
      <c r="J87" s="3079"/>
      <c r="K87" s="3079"/>
    </row>
    <row r="88" spans="1:11" s="501" customFormat="1">
      <c r="A88" s="3079"/>
      <c r="B88" s="3079"/>
      <c r="C88" s="3079"/>
      <c r="D88" s="3079"/>
      <c r="E88" s="3079"/>
      <c r="F88" s="3079"/>
      <c r="G88" s="3079"/>
      <c r="H88" s="3079"/>
      <c r="I88" s="3079"/>
      <c r="J88" s="3079"/>
      <c r="K88" s="3079"/>
    </row>
    <row r="89" spans="1:11" s="501" customFormat="1">
      <c r="A89" s="3079"/>
      <c r="B89" s="3079"/>
      <c r="C89" s="3079"/>
      <c r="D89" s="3079"/>
      <c r="E89" s="3079"/>
      <c r="F89" s="3079"/>
      <c r="G89" s="3079"/>
      <c r="H89" s="3079"/>
      <c r="I89" s="3079"/>
      <c r="J89" s="3079"/>
      <c r="K89" s="3079"/>
    </row>
    <row r="90" spans="1:11" s="501" customFormat="1">
      <c r="A90" s="3079"/>
      <c r="B90" s="3079"/>
      <c r="C90" s="3079"/>
      <c r="D90" s="3079"/>
      <c r="E90" s="3079"/>
      <c r="F90" s="3079"/>
      <c r="G90" s="3079"/>
      <c r="H90" s="3079"/>
      <c r="I90" s="3079"/>
      <c r="J90" s="3079"/>
      <c r="K90" s="3079"/>
    </row>
    <row r="91" spans="1:11" s="501" customFormat="1">
      <c r="A91" s="3079"/>
      <c r="B91" s="3079"/>
      <c r="C91" s="3079"/>
      <c r="D91" s="3079"/>
      <c r="E91" s="3079"/>
      <c r="F91" s="3079"/>
      <c r="G91" s="3079"/>
      <c r="H91" s="3079"/>
      <c r="I91" s="3079"/>
      <c r="J91" s="3079"/>
      <c r="K91" s="3079"/>
    </row>
    <row r="92" spans="1:11" s="501" customFormat="1">
      <c r="A92" s="3079"/>
      <c r="B92" s="3079"/>
      <c r="C92" s="3079"/>
      <c r="D92" s="3079"/>
      <c r="E92" s="3079"/>
      <c r="F92" s="3079"/>
      <c r="G92" s="3079"/>
      <c r="H92" s="3079"/>
      <c r="I92" s="3079"/>
      <c r="J92" s="3079"/>
      <c r="K92" s="3079"/>
    </row>
    <row r="93" spans="1:11" s="501" customFormat="1">
      <c r="A93" s="3079"/>
      <c r="B93" s="3079"/>
      <c r="C93" s="3079"/>
      <c r="D93" s="3079"/>
      <c r="E93" s="3079"/>
      <c r="F93" s="3079"/>
      <c r="G93" s="3079"/>
      <c r="H93" s="3079"/>
      <c r="I93" s="3079"/>
      <c r="J93" s="3079"/>
      <c r="K93" s="3079"/>
    </row>
    <row r="94" spans="1:11" s="501" customFormat="1">
      <c r="A94" s="3079"/>
      <c r="B94" s="3079"/>
      <c r="C94" s="3079"/>
      <c r="D94" s="3079"/>
      <c r="E94" s="3079"/>
      <c r="F94" s="3079"/>
      <c r="G94" s="3079"/>
      <c r="H94" s="3079"/>
      <c r="I94" s="3079"/>
      <c r="J94" s="3079"/>
      <c r="K94" s="3079"/>
    </row>
    <row r="95" spans="1:11" s="501" customFormat="1">
      <c r="A95" s="3079"/>
      <c r="B95" s="3079"/>
      <c r="C95" s="3079"/>
      <c r="D95" s="3079"/>
      <c r="E95" s="3079"/>
      <c r="F95" s="3079"/>
      <c r="G95" s="3079"/>
      <c r="H95" s="3079"/>
      <c r="I95" s="3079"/>
      <c r="J95" s="3079"/>
      <c r="K95" s="3079"/>
    </row>
    <row r="96" spans="1:11" s="501" customFormat="1">
      <c r="A96" s="3079"/>
      <c r="B96" s="3079"/>
      <c r="C96" s="3079"/>
      <c r="D96" s="3079"/>
      <c r="E96" s="3079"/>
      <c r="F96" s="3079"/>
      <c r="G96" s="3079"/>
      <c r="H96" s="3079"/>
      <c r="I96" s="3079"/>
      <c r="J96" s="3079"/>
      <c r="K96" s="3079"/>
    </row>
    <row r="97" spans="1:11" s="501" customFormat="1">
      <c r="A97" s="3079"/>
      <c r="B97" s="3079"/>
      <c r="C97" s="3079"/>
      <c r="D97" s="3079"/>
      <c r="E97" s="3079"/>
      <c r="F97" s="3079"/>
      <c r="G97" s="3079"/>
      <c r="H97" s="3079"/>
      <c r="I97" s="3079"/>
      <c r="J97" s="3079"/>
      <c r="K97" s="3079"/>
    </row>
    <row r="98" spans="1:11" s="501" customFormat="1">
      <c r="A98" s="3079"/>
      <c r="B98" s="3079"/>
      <c r="C98" s="3079"/>
      <c r="D98" s="3079"/>
      <c r="E98" s="3079"/>
      <c r="F98" s="3079"/>
      <c r="G98" s="3079"/>
      <c r="H98" s="3079"/>
      <c r="I98" s="3079"/>
      <c r="J98" s="3079"/>
      <c r="K98" s="3079"/>
    </row>
    <row r="99" spans="1:11" s="501" customFormat="1">
      <c r="A99" s="3079"/>
      <c r="B99" s="3079"/>
      <c r="C99" s="3079"/>
      <c r="D99" s="3079"/>
      <c r="E99" s="3079"/>
      <c r="F99" s="3079"/>
      <c r="G99" s="3079"/>
      <c r="H99" s="3079"/>
      <c r="I99" s="3079"/>
      <c r="J99" s="3079"/>
      <c r="K99" s="3079"/>
    </row>
    <row r="100" spans="1:11" s="501" customFormat="1">
      <c r="A100" s="3079"/>
      <c r="B100" s="3079"/>
      <c r="C100" s="3079"/>
      <c r="D100" s="3079"/>
      <c r="E100" s="3079"/>
      <c r="F100" s="3079"/>
      <c r="G100" s="3079"/>
      <c r="H100" s="3079"/>
      <c r="I100" s="3079"/>
      <c r="J100" s="3079"/>
      <c r="K100" s="3079"/>
    </row>
    <row r="101" spans="1:11" s="501" customFormat="1">
      <c r="A101" s="3079"/>
      <c r="B101" s="3079"/>
      <c r="C101" s="3079"/>
      <c r="D101" s="3079"/>
      <c r="E101" s="3079"/>
      <c r="F101" s="3079"/>
      <c r="G101" s="3079"/>
      <c r="H101" s="3079"/>
      <c r="I101" s="3079"/>
      <c r="J101" s="3079"/>
      <c r="K101" s="3079"/>
    </row>
    <row r="102" spans="1:11" s="501" customFormat="1">
      <c r="A102" s="3079"/>
      <c r="B102" s="3079"/>
      <c r="C102" s="3079"/>
      <c r="D102" s="3079"/>
      <c r="E102" s="3079"/>
      <c r="F102" s="3079"/>
      <c r="G102" s="3079"/>
      <c r="H102" s="3079"/>
      <c r="I102" s="3079"/>
      <c r="J102" s="3079"/>
      <c r="K102" s="3079"/>
    </row>
    <row r="103" spans="1:11" s="501" customFormat="1">
      <c r="A103" s="3079"/>
      <c r="B103" s="3079"/>
      <c r="C103" s="3079"/>
      <c r="D103" s="3079"/>
      <c r="E103" s="3079"/>
      <c r="F103" s="3079"/>
      <c r="G103" s="3079"/>
      <c r="H103" s="3079"/>
      <c r="I103" s="3079"/>
      <c r="J103" s="3079"/>
      <c r="K103" s="3079"/>
    </row>
    <row r="104" spans="1:11" s="501" customFormat="1">
      <c r="A104" s="3079"/>
      <c r="B104" s="3079"/>
      <c r="C104" s="3079"/>
      <c r="D104" s="3079"/>
      <c r="E104" s="3079"/>
      <c r="F104" s="3079"/>
      <c r="G104" s="3079"/>
      <c r="H104" s="3079"/>
      <c r="I104" s="3079"/>
      <c r="J104" s="3079"/>
      <c r="K104" s="3079"/>
    </row>
    <row r="105" spans="1:11" s="501" customFormat="1">
      <c r="A105" s="3079"/>
      <c r="B105" s="3079"/>
      <c r="C105" s="3079"/>
      <c r="D105" s="3079"/>
      <c r="E105" s="3079"/>
      <c r="F105" s="3079"/>
      <c r="G105" s="3079"/>
      <c r="H105" s="3079"/>
      <c r="I105" s="3079"/>
      <c r="J105" s="3079"/>
      <c r="K105" s="3079"/>
    </row>
    <row r="106" spans="1:11" s="501" customFormat="1">
      <c r="A106" s="3079"/>
      <c r="B106" s="3079"/>
      <c r="C106" s="3079"/>
      <c r="D106" s="3079"/>
      <c r="E106" s="3079"/>
      <c r="F106" s="3079"/>
      <c r="G106" s="3079"/>
      <c r="H106" s="3079"/>
      <c r="I106" s="3079"/>
      <c r="J106" s="3079"/>
      <c r="K106" s="3079"/>
    </row>
    <row r="107" spans="1:11" s="501" customFormat="1">
      <c r="A107" s="3079"/>
      <c r="B107" s="3079"/>
      <c r="C107" s="3079"/>
      <c r="D107" s="3079"/>
      <c r="E107" s="3079"/>
      <c r="F107" s="3079"/>
      <c r="G107" s="3079"/>
      <c r="H107" s="3079"/>
      <c r="I107" s="3079"/>
      <c r="J107" s="3079"/>
      <c r="K107" s="3079"/>
    </row>
    <row r="108" spans="1:11" s="501" customFormat="1">
      <c r="A108" s="3079"/>
      <c r="B108" s="3079"/>
      <c r="C108" s="3079"/>
      <c r="D108" s="3079"/>
      <c r="E108" s="3079"/>
      <c r="F108" s="3079"/>
      <c r="G108" s="3079"/>
      <c r="H108" s="3079"/>
      <c r="I108" s="3079"/>
      <c r="J108" s="3079"/>
      <c r="K108" s="3079"/>
    </row>
    <row r="109" spans="1:11" s="501" customFormat="1">
      <c r="A109" s="3079"/>
      <c r="B109" s="3079"/>
      <c r="C109" s="3079"/>
      <c r="D109" s="3079"/>
      <c r="E109" s="3079"/>
      <c r="F109" s="3079"/>
      <c r="G109" s="3079"/>
      <c r="H109" s="3079"/>
      <c r="I109" s="3079"/>
      <c r="J109" s="3079"/>
      <c r="K109" s="3079"/>
    </row>
    <row r="110" spans="1:11" s="501" customFormat="1">
      <c r="A110" s="3079"/>
      <c r="B110" s="3079"/>
      <c r="C110" s="3079"/>
      <c r="D110" s="3079"/>
      <c r="E110" s="3079"/>
      <c r="F110" s="3079"/>
      <c r="G110" s="3079"/>
      <c r="H110" s="3079"/>
      <c r="I110" s="3079"/>
      <c r="J110" s="3079"/>
      <c r="K110" s="3079"/>
    </row>
    <row r="111" spans="1:11" s="501" customFormat="1">
      <c r="A111" s="3079"/>
      <c r="B111" s="3079"/>
      <c r="C111" s="3079"/>
      <c r="D111" s="3079"/>
      <c r="E111" s="3079"/>
      <c r="F111" s="3079"/>
      <c r="G111" s="3079"/>
      <c r="H111" s="3079"/>
      <c r="I111" s="3079"/>
      <c r="J111" s="3079"/>
      <c r="K111" s="3079"/>
    </row>
    <row r="112" spans="1:11" s="501" customFormat="1">
      <c r="A112" s="3079"/>
      <c r="B112" s="3079"/>
      <c r="C112" s="3079"/>
      <c r="D112" s="3079"/>
      <c r="E112" s="3079"/>
      <c r="F112" s="3079"/>
      <c r="G112" s="3079"/>
      <c r="H112" s="3079"/>
      <c r="I112" s="3079"/>
      <c r="J112" s="3079"/>
      <c r="K112" s="3079"/>
    </row>
    <row r="113" spans="1:11" s="501" customFormat="1">
      <c r="A113" s="3079"/>
      <c r="B113" s="3079"/>
      <c r="C113" s="3079"/>
      <c r="D113" s="3079"/>
      <c r="E113" s="3079"/>
      <c r="F113" s="3079"/>
      <c r="G113" s="3079"/>
      <c r="H113" s="3079"/>
      <c r="I113" s="3079"/>
      <c r="J113" s="3079"/>
      <c r="K113" s="3079"/>
    </row>
    <row r="114" spans="1:11" s="501" customFormat="1">
      <c r="A114" s="3079"/>
      <c r="B114" s="3079"/>
      <c r="C114" s="3079"/>
      <c r="D114" s="3079"/>
      <c r="E114" s="3079"/>
      <c r="F114" s="3079"/>
      <c r="G114" s="3079"/>
      <c r="H114" s="3079"/>
      <c r="I114" s="3079"/>
      <c r="J114" s="3079"/>
      <c r="K114" s="3079"/>
    </row>
    <row r="115" spans="1:11" s="501" customFormat="1">
      <c r="A115" s="3079"/>
      <c r="B115" s="3079"/>
      <c r="C115" s="3079"/>
      <c r="D115" s="3079"/>
      <c r="E115" s="3079"/>
      <c r="F115" s="3079"/>
      <c r="G115" s="3079"/>
      <c r="H115" s="3079"/>
      <c r="I115" s="3079"/>
      <c r="J115" s="3079"/>
      <c r="K115" s="3079"/>
    </row>
    <row r="116" spans="1:11" s="501" customFormat="1">
      <c r="A116" s="3079"/>
      <c r="B116" s="3079"/>
      <c r="C116" s="3079"/>
      <c r="D116" s="3079"/>
      <c r="E116" s="3079"/>
      <c r="F116" s="3079"/>
      <c r="G116" s="3079"/>
      <c r="H116" s="3079"/>
      <c r="I116" s="3079"/>
      <c r="J116" s="3079"/>
      <c r="K116" s="3079"/>
    </row>
    <row r="117" spans="1:11" s="501" customFormat="1">
      <c r="A117" s="3079"/>
      <c r="B117" s="3079"/>
      <c r="C117" s="3079"/>
      <c r="D117" s="3079"/>
      <c r="E117" s="3079"/>
      <c r="F117" s="3079"/>
      <c r="G117" s="3079"/>
      <c r="H117" s="3079"/>
      <c r="I117" s="3079"/>
      <c r="J117" s="3079"/>
      <c r="K117" s="3079"/>
    </row>
    <row r="118" spans="1:11" s="501" customFormat="1">
      <c r="A118" s="3079"/>
      <c r="B118" s="3079"/>
      <c r="C118" s="3079"/>
      <c r="D118" s="3079"/>
      <c r="E118" s="3079"/>
      <c r="F118" s="3079"/>
      <c r="G118" s="3079"/>
      <c r="H118" s="3079"/>
      <c r="I118" s="3079"/>
      <c r="J118" s="3079"/>
      <c r="K118" s="3079"/>
    </row>
    <row r="119" spans="1:11" s="501" customFormat="1">
      <c r="A119" s="3079"/>
      <c r="B119" s="3079"/>
      <c r="C119" s="3079"/>
      <c r="D119" s="3079"/>
      <c r="E119" s="3079"/>
      <c r="F119" s="3079"/>
      <c r="G119" s="3079"/>
      <c r="H119" s="3079"/>
      <c r="I119" s="3079"/>
      <c r="J119" s="3079"/>
      <c r="K119" s="3079"/>
    </row>
    <row r="120" spans="1:11" s="501" customFormat="1">
      <c r="A120" s="3079"/>
      <c r="B120" s="3079"/>
      <c r="C120" s="3079"/>
      <c r="D120" s="3079"/>
      <c r="E120" s="3079"/>
      <c r="F120" s="3079"/>
      <c r="G120" s="3079"/>
      <c r="H120" s="3079"/>
      <c r="I120" s="3079"/>
      <c r="J120" s="3079"/>
      <c r="K120" s="3079"/>
    </row>
    <row r="121" spans="1:11" s="501" customFormat="1">
      <c r="A121" s="3079"/>
      <c r="B121" s="3079"/>
      <c r="C121" s="3079"/>
      <c r="D121" s="3079"/>
      <c r="E121" s="3079"/>
      <c r="F121" s="3079"/>
      <c r="G121" s="3079"/>
      <c r="H121" s="3079"/>
      <c r="I121" s="3079"/>
      <c r="J121" s="3079"/>
      <c r="K121" s="3079"/>
    </row>
    <row r="122" spans="1:11" s="501" customFormat="1">
      <c r="A122" s="3079"/>
      <c r="B122" s="3079"/>
      <c r="C122" s="3079"/>
      <c r="D122" s="3079"/>
      <c r="E122" s="3079"/>
      <c r="F122" s="3079"/>
      <c r="G122" s="3079"/>
      <c r="H122" s="3079"/>
      <c r="I122" s="3079"/>
      <c r="J122" s="3079"/>
      <c r="K122" s="3079"/>
    </row>
    <row r="123" spans="1:11" s="501" customFormat="1">
      <c r="A123" s="3079"/>
      <c r="B123" s="3079"/>
      <c r="C123" s="3079"/>
      <c r="D123" s="3079"/>
      <c r="E123" s="3079"/>
      <c r="F123" s="3079"/>
      <c r="G123" s="3079"/>
      <c r="H123" s="3079"/>
      <c r="I123" s="3079"/>
      <c r="J123" s="3079"/>
      <c r="K123" s="3079"/>
    </row>
    <row r="124" spans="1:11" s="501" customFormat="1">
      <c r="A124" s="3079"/>
      <c r="B124" s="3079"/>
      <c r="C124" s="3079"/>
      <c r="D124" s="3079"/>
      <c r="E124" s="3079"/>
      <c r="F124" s="3079"/>
      <c r="G124" s="3079"/>
      <c r="H124" s="3079"/>
      <c r="I124" s="3079"/>
      <c r="J124" s="3079"/>
      <c r="K124" s="3079"/>
    </row>
    <row r="125" spans="1:11" s="501" customFormat="1">
      <c r="A125" s="3079"/>
      <c r="B125" s="3079"/>
      <c r="C125" s="3079"/>
      <c r="D125" s="3079"/>
      <c r="E125" s="3079"/>
      <c r="F125" s="3079"/>
      <c r="G125" s="3079"/>
      <c r="H125" s="3079"/>
      <c r="I125" s="3079"/>
      <c r="J125" s="3079"/>
      <c r="K125" s="3079"/>
    </row>
    <row r="126" spans="1:11" s="501" customFormat="1">
      <c r="A126" s="3079"/>
      <c r="B126" s="3079"/>
      <c r="C126" s="3079"/>
      <c r="D126" s="3079"/>
      <c r="E126" s="3079"/>
      <c r="F126" s="3079"/>
      <c r="G126" s="3079"/>
      <c r="H126" s="3079"/>
      <c r="I126" s="3079"/>
      <c r="J126" s="3079"/>
      <c r="K126" s="3079"/>
    </row>
    <row r="127" spans="1:11" s="501" customFormat="1">
      <c r="A127" s="3079"/>
      <c r="B127" s="3079"/>
      <c r="C127" s="3079"/>
      <c r="D127" s="3079"/>
      <c r="E127" s="3079"/>
      <c r="F127" s="3079"/>
      <c r="G127" s="3079"/>
      <c r="H127" s="3079"/>
      <c r="I127" s="3079"/>
      <c r="J127" s="3079"/>
      <c r="K127" s="3079"/>
    </row>
    <row r="128" spans="1:11" s="501" customFormat="1">
      <c r="A128" s="3079"/>
      <c r="B128" s="3079"/>
      <c r="C128" s="3079"/>
      <c r="D128" s="3079"/>
      <c r="E128" s="3079"/>
      <c r="F128" s="3079"/>
      <c r="G128" s="3079"/>
      <c r="H128" s="3079"/>
      <c r="I128" s="3079"/>
      <c r="J128" s="3079"/>
      <c r="K128" s="3079"/>
    </row>
    <row r="129" spans="1:11" s="501" customFormat="1">
      <c r="A129" s="3079"/>
      <c r="B129" s="3079"/>
      <c r="C129" s="3079"/>
      <c r="D129" s="3079"/>
      <c r="E129" s="3079"/>
      <c r="F129" s="3079"/>
      <c r="G129" s="3079"/>
      <c r="H129" s="3079"/>
      <c r="I129" s="3079"/>
      <c r="J129" s="3079"/>
      <c r="K129" s="3079"/>
    </row>
    <row r="130" spans="1:11" s="501" customFormat="1"/>
    <row r="131" spans="1:11" s="501" customFormat="1"/>
    <row r="132" spans="1:11" s="501" customFormat="1"/>
    <row r="133" spans="1:11" s="501" customFormat="1"/>
    <row r="134" spans="1:11" s="501" customFormat="1"/>
    <row r="135" spans="1:11" s="501" customFormat="1"/>
    <row r="136" spans="1:11" s="501" customFormat="1"/>
    <row r="137" spans="1:11" s="501" customFormat="1"/>
    <row r="138" spans="1:11" s="501" customFormat="1"/>
    <row r="139" spans="1:11" s="501" customFormat="1"/>
    <row r="140" spans="1:11" s="501" customFormat="1"/>
    <row r="141" spans="1:11" s="501" customFormat="1"/>
    <row r="142" spans="1:11" s="501" customFormat="1"/>
    <row r="143" spans="1:11" s="501" customFormat="1"/>
    <row r="144" spans="1:11" s="501" customFormat="1"/>
    <row r="145" s="501" customFormat="1"/>
    <row r="146" s="501" customFormat="1"/>
    <row r="147" s="501" customFormat="1"/>
    <row r="148" s="501" customFormat="1"/>
    <row r="149" s="501" customFormat="1"/>
    <row r="150" s="501" customFormat="1"/>
    <row r="151" s="501" customFormat="1"/>
    <row r="152" s="501" customFormat="1"/>
  </sheetData>
  <sheetProtection selectLockedCells="1" selectUnlockedCells="1"/>
  <mergeCells count="133">
    <mergeCell ref="A1:K1"/>
    <mergeCell ref="A2:G2"/>
    <mergeCell ref="A3:D3"/>
    <mergeCell ref="E3:I3"/>
    <mergeCell ref="J3:K4"/>
    <mergeCell ref="A4:B5"/>
    <mergeCell ref="F4:G4"/>
    <mergeCell ref="A17:A23"/>
    <mergeCell ref="D4:D5"/>
    <mergeCell ref="E4:E5"/>
    <mergeCell ref="H4:I4"/>
    <mergeCell ref="C4:C5"/>
    <mergeCell ref="A6:A10"/>
    <mergeCell ref="J15:K23"/>
    <mergeCell ref="J11:J12"/>
    <mergeCell ref="J13:J14"/>
    <mergeCell ref="K11:K12"/>
    <mergeCell ref="K13:K14"/>
    <mergeCell ref="A32:K32"/>
    <mergeCell ref="A31:K31"/>
    <mergeCell ref="A29:K29"/>
    <mergeCell ref="A30:K30"/>
    <mergeCell ref="A46:K46"/>
    <mergeCell ref="A51:K51"/>
    <mergeCell ref="A36:K36"/>
    <mergeCell ref="A37:K37"/>
    <mergeCell ref="A33:K33"/>
    <mergeCell ref="A34:K34"/>
    <mergeCell ref="A35:K35"/>
    <mergeCell ref="A28:K28"/>
    <mergeCell ref="A11:A15"/>
    <mergeCell ref="A24:A26"/>
    <mergeCell ref="B24:K26"/>
    <mergeCell ref="E18:E19"/>
    <mergeCell ref="F18:F19"/>
    <mergeCell ref="G18:G19"/>
    <mergeCell ref="H18:H19"/>
    <mergeCell ref="I18:I19"/>
    <mergeCell ref="E21:E22"/>
    <mergeCell ref="F21:F22"/>
    <mergeCell ref="G21:G22"/>
    <mergeCell ref="H21:H22"/>
    <mergeCell ref="I21:I22"/>
    <mergeCell ref="A53:K53"/>
    <mergeCell ref="A38:K38"/>
    <mergeCell ref="A39:K39"/>
    <mergeCell ref="A40:K40"/>
    <mergeCell ref="A41:K41"/>
    <mergeCell ref="A42:K42"/>
    <mergeCell ref="A43:K43"/>
    <mergeCell ref="A44:K44"/>
    <mergeCell ref="A52:K52"/>
    <mergeCell ref="A48:K48"/>
    <mergeCell ref="A49:K49"/>
    <mergeCell ref="A50:K50"/>
    <mergeCell ref="A47:K47"/>
    <mergeCell ref="A45:K45"/>
    <mergeCell ref="A62:K62"/>
    <mergeCell ref="A63:K63"/>
    <mergeCell ref="A64:K64"/>
    <mergeCell ref="A65:K65"/>
    <mergeCell ref="A68:K68"/>
    <mergeCell ref="A69:K69"/>
    <mergeCell ref="A66:K66"/>
    <mergeCell ref="A67:K67"/>
    <mergeCell ref="A54:K54"/>
    <mergeCell ref="A55:K55"/>
    <mergeCell ref="A56:K56"/>
    <mergeCell ref="A57:K57"/>
    <mergeCell ref="A58:K58"/>
    <mergeCell ref="A59:K59"/>
    <mergeCell ref="A60:K60"/>
    <mergeCell ref="A61:K61"/>
    <mergeCell ref="A70:K70"/>
    <mergeCell ref="A71:K71"/>
    <mergeCell ref="A74:K74"/>
    <mergeCell ref="A75:K75"/>
    <mergeCell ref="A80:K80"/>
    <mergeCell ref="A81:K81"/>
    <mergeCell ref="A86:K86"/>
    <mergeCell ref="A87:K87"/>
    <mergeCell ref="A76:K76"/>
    <mergeCell ref="A77:K77"/>
    <mergeCell ref="A78:K78"/>
    <mergeCell ref="A79:K79"/>
    <mergeCell ref="A82:K82"/>
    <mergeCell ref="A83:K83"/>
    <mergeCell ref="A94:K94"/>
    <mergeCell ref="A95:K95"/>
    <mergeCell ref="A92:K92"/>
    <mergeCell ref="A93:K93"/>
    <mergeCell ref="A88:K88"/>
    <mergeCell ref="A89:K89"/>
    <mergeCell ref="A90:K90"/>
    <mergeCell ref="A91:K91"/>
    <mergeCell ref="A72:K72"/>
    <mergeCell ref="A73:K73"/>
    <mergeCell ref="A84:K84"/>
    <mergeCell ref="A85:K85"/>
    <mergeCell ref="A113:K113"/>
    <mergeCell ref="A102:K102"/>
    <mergeCell ref="A103:K103"/>
    <mergeCell ref="A104:K104"/>
    <mergeCell ref="A105:K105"/>
    <mergeCell ref="A110:K110"/>
    <mergeCell ref="A111:K111"/>
    <mergeCell ref="A106:K106"/>
    <mergeCell ref="A107:K107"/>
    <mergeCell ref="A96:K96"/>
    <mergeCell ref="A97:K97"/>
    <mergeCell ref="A100:K100"/>
    <mergeCell ref="A101:K101"/>
    <mergeCell ref="A108:K108"/>
    <mergeCell ref="A109:K109"/>
    <mergeCell ref="A98:K98"/>
    <mergeCell ref="A99:K99"/>
    <mergeCell ref="A112:K112"/>
    <mergeCell ref="A118:K118"/>
    <mergeCell ref="A119:K119"/>
    <mergeCell ref="A114:K114"/>
    <mergeCell ref="A115:K115"/>
    <mergeCell ref="A116:K116"/>
    <mergeCell ref="A117:K117"/>
    <mergeCell ref="A128:K128"/>
    <mergeCell ref="A129:K129"/>
    <mergeCell ref="A120:K120"/>
    <mergeCell ref="A121:K121"/>
    <mergeCell ref="A122:K122"/>
    <mergeCell ref="A123:K123"/>
    <mergeCell ref="A124:K124"/>
    <mergeCell ref="A125:K125"/>
    <mergeCell ref="A126:K126"/>
    <mergeCell ref="A127:K127"/>
  </mergeCells>
  <phoneticPr fontId="51" type="noConversion"/>
  <hyperlinks>
    <hyperlink ref="L5" location="主营收支!A1" display="主营业务收支审核表"/>
    <hyperlink ref="L6" location="收入与申报核对表!A1" display="收入与申报核对表"/>
    <hyperlink ref="L7" location="主营税金!A1" display="主营税金审核表"/>
    <hyperlink ref="L8" location="企业各税审核汇总表!A1" display="企业各税审核汇总表"/>
    <hyperlink ref="L9" location="其他业务!A1" display="其他业务利润审核表"/>
    <hyperlink ref="L10" location="税费缴纳测算!A1" display="税费"/>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J52"/>
  <sheetViews>
    <sheetView workbookViewId="0">
      <selection activeCell="G35" sqref="G35:H35"/>
    </sheetView>
  </sheetViews>
  <sheetFormatPr defaultColWidth="9" defaultRowHeight="12"/>
  <cols>
    <col min="1" max="1" width="10.59765625" style="502" customWidth="1"/>
    <col min="2" max="2" width="13.19921875" style="502" customWidth="1"/>
    <col min="3" max="3" width="10.69921875" style="502" customWidth="1"/>
    <col min="4" max="4" width="4.5" style="502" customWidth="1"/>
    <col min="5" max="8" width="10.69921875" style="502" customWidth="1"/>
    <col min="9" max="9" width="55.59765625" style="502" customWidth="1"/>
    <col min="10" max="16384" width="9" style="502"/>
  </cols>
  <sheetData>
    <row r="1" spans="1:10" ht="33" customHeight="1">
      <c r="A1" s="3136" t="s">
        <v>341</v>
      </c>
      <c r="B1" s="3136"/>
      <c r="C1" s="3136"/>
      <c r="D1" s="3136"/>
      <c r="E1" s="3136"/>
      <c r="F1" s="3136"/>
      <c r="G1" s="3136"/>
      <c r="H1" s="3136"/>
      <c r="I1" s="144"/>
      <c r="J1" s="144"/>
    </row>
    <row r="2" spans="1:10" ht="17.25" customHeight="1">
      <c r="A2" s="3137" t="str">
        <f>"委托单位："&amp;基本情况!B2</f>
        <v>委托单位：0</v>
      </c>
      <c r="B2" s="3137"/>
      <c r="C2" s="3137"/>
      <c r="D2" s="3137"/>
      <c r="E2" s="509"/>
      <c r="F2" s="136" t="s">
        <v>1282</v>
      </c>
      <c r="G2" s="136" t="s">
        <v>1053</v>
      </c>
      <c r="H2" s="485" t="s">
        <v>283</v>
      </c>
      <c r="I2" s="144"/>
      <c r="J2" s="144"/>
    </row>
    <row r="3" spans="1:10" ht="17.25" customHeight="1">
      <c r="A3" s="3137"/>
      <c r="B3" s="3137"/>
      <c r="C3" s="3137"/>
      <c r="D3" s="3137"/>
      <c r="E3" s="158" t="s">
        <v>450</v>
      </c>
      <c r="F3" s="510">
        <f>基本情况!B12</f>
        <v>0</v>
      </c>
      <c r="G3" s="511" t="str">
        <f>TEXT(基本情况!B21,"yyyy-mm-dd")</f>
        <v>2017-03-16</v>
      </c>
      <c r="H3" s="3138" t="str">
        <f>档案索引!A35</f>
        <v>2A-15</v>
      </c>
      <c r="I3" s="144"/>
      <c r="J3" s="144"/>
    </row>
    <row r="4" spans="1:10" ht="17.25" customHeight="1">
      <c r="A4" s="3139" t="str">
        <f>"会计期间:"&amp;基本情况!B7</f>
        <v>会计期间:2016年01月01日至2016年12月31日</v>
      </c>
      <c r="B4" s="3139"/>
      <c r="C4" s="3139"/>
      <c r="D4" s="3139"/>
      <c r="E4" s="140" t="s">
        <v>452</v>
      </c>
      <c r="F4" s="513">
        <f>基本情况!B11</f>
        <v>0</v>
      </c>
      <c r="G4" s="514" t="str">
        <f>TEXT(基本情况!B22,"yyyy-mm-dd")</f>
        <v>2017-05-04</v>
      </c>
      <c r="H4" s="3138"/>
      <c r="I4" s="144"/>
      <c r="J4" s="144"/>
    </row>
    <row r="5" spans="1:10" ht="7.5" customHeight="1">
      <c r="A5" s="3133"/>
      <c r="B5" s="3133"/>
      <c r="C5" s="3133"/>
      <c r="D5" s="3133"/>
      <c r="E5" s="3133"/>
      <c r="F5" s="3133"/>
      <c r="G5" s="3133"/>
      <c r="H5" s="3133"/>
      <c r="I5" s="144"/>
      <c r="J5" s="144"/>
    </row>
    <row r="6" spans="1:10" ht="22.5" customHeight="1">
      <c r="A6" s="3065" t="s">
        <v>665</v>
      </c>
      <c r="B6" s="3065"/>
      <c r="C6" s="3134" t="s">
        <v>1283</v>
      </c>
      <c r="D6" s="3134"/>
      <c r="E6" s="515" t="s">
        <v>1284</v>
      </c>
      <c r="F6" s="515" t="s">
        <v>1285</v>
      </c>
      <c r="G6" s="515" t="s">
        <v>1286</v>
      </c>
      <c r="H6" s="485" t="s">
        <v>6487</v>
      </c>
      <c r="I6" s="1332" t="s">
        <v>6088</v>
      </c>
      <c r="J6" s="144"/>
    </row>
    <row r="7" spans="1:10" ht="18" customHeight="1">
      <c r="A7" s="2921" t="s">
        <v>1287</v>
      </c>
      <c r="B7" s="2921"/>
      <c r="C7" s="3135">
        <f>制造费用、生产成本!C11+制造费用、生产成本!C15</f>
        <v>0</v>
      </c>
      <c r="D7" s="3135"/>
      <c r="E7" s="1108"/>
      <c r="F7" s="1109"/>
      <c r="G7" s="1110"/>
      <c r="H7" s="517"/>
      <c r="I7" s="493" t="s">
        <v>1288</v>
      </c>
      <c r="J7" s="144"/>
    </row>
    <row r="8" spans="1:10" ht="18" customHeight="1">
      <c r="A8" s="2921" t="s">
        <v>1289</v>
      </c>
      <c r="B8" s="2921"/>
      <c r="C8" s="3135">
        <f>制造费用、生产成本!C22</f>
        <v>0</v>
      </c>
      <c r="D8" s="3135"/>
      <c r="E8" s="518">
        <f>制造费用、生产成本!C23</f>
        <v>0</v>
      </c>
      <c r="F8" s="518">
        <f>制造费用、生产成本!C24</f>
        <v>0</v>
      </c>
      <c r="G8" s="1111"/>
      <c r="H8" s="519"/>
      <c r="I8" s="493" t="s">
        <v>642</v>
      </c>
      <c r="J8" s="144"/>
    </row>
    <row r="9" spans="1:10" ht="18" customHeight="1">
      <c r="A9" s="3093" t="s">
        <v>1290</v>
      </c>
      <c r="B9" s="3093"/>
      <c r="C9" s="3135">
        <f>营业费用!H6</f>
        <v>0</v>
      </c>
      <c r="D9" s="3135"/>
      <c r="E9" s="518">
        <f>营业费用!H7</f>
        <v>0</v>
      </c>
      <c r="F9" s="518">
        <f>营业费用!H8</f>
        <v>0</v>
      </c>
      <c r="G9" s="520">
        <f>营业费用!H9</f>
        <v>0</v>
      </c>
      <c r="H9" s="519"/>
      <c r="I9" s="493" t="s">
        <v>1291</v>
      </c>
      <c r="J9" s="144"/>
    </row>
    <row r="10" spans="1:10" ht="18" customHeight="1">
      <c r="A10" s="3093" t="s">
        <v>1292</v>
      </c>
      <c r="B10" s="3093"/>
      <c r="C10" s="3135">
        <f>管理费用!H6</f>
        <v>0</v>
      </c>
      <c r="D10" s="3135"/>
      <c r="E10" s="518">
        <f>管理费用!H7</f>
        <v>0</v>
      </c>
      <c r="F10" s="518">
        <f>管理费用!H8</f>
        <v>0</v>
      </c>
      <c r="G10" s="520">
        <f>管理费用!H9</f>
        <v>0</v>
      </c>
      <c r="H10" s="519"/>
      <c r="I10" s="493" t="s">
        <v>320</v>
      </c>
      <c r="J10" s="144"/>
    </row>
    <row r="11" spans="1:10" ht="18" customHeight="1">
      <c r="A11" s="3093" t="s">
        <v>1293</v>
      </c>
      <c r="B11" s="3093"/>
      <c r="C11" s="3131"/>
      <c r="D11" s="3131"/>
      <c r="E11" s="1110"/>
      <c r="F11" s="1110"/>
      <c r="G11" s="1112"/>
      <c r="H11" s="519"/>
      <c r="I11" s="493" t="s">
        <v>324</v>
      </c>
      <c r="J11" s="144"/>
    </row>
    <row r="12" spans="1:10" ht="18" customHeight="1">
      <c r="A12" s="2921" t="s">
        <v>1284</v>
      </c>
      <c r="B12" s="2921"/>
      <c r="C12" s="3131"/>
      <c r="D12" s="3131"/>
      <c r="E12" s="1113"/>
      <c r="F12" s="1113"/>
      <c r="G12" s="1112"/>
      <c r="H12" s="519"/>
      <c r="I12" s="232" t="s">
        <v>1294</v>
      </c>
      <c r="J12" s="144"/>
    </row>
    <row r="13" spans="1:10" ht="18" customHeight="1">
      <c r="A13" s="2921" t="s">
        <v>1295</v>
      </c>
      <c r="B13" s="2921"/>
      <c r="C13" s="3131"/>
      <c r="D13" s="3131"/>
      <c r="E13" s="1113"/>
      <c r="F13" s="1113"/>
      <c r="G13" s="1112"/>
      <c r="H13" s="519"/>
      <c r="I13" s="232" t="s">
        <v>1296</v>
      </c>
      <c r="J13" s="144"/>
    </row>
    <row r="14" spans="1:10" ht="18" customHeight="1">
      <c r="A14" s="2921" t="s">
        <v>1297</v>
      </c>
      <c r="B14" s="2921"/>
      <c r="C14" s="3132">
        <f>SUM(C7:D13)</f>
        <v>0</v>
      </c>
      <c r="D14" s="3132"/>
      <c r="E14" s="522">
        <f>SUM(E7:E13)</f>
        <v>0</v>
      </c>
      <c r="F14" s="522">
        <f>SUM(F7:F13)</f>
        <v>0</v>
      </c>
      <c r="G14" s="522">
        <f>SUM(G7:G13)</f>
        <v>0</v>
      </c>
      <c r="H14" s="519"/>
      <c r="I14" s="232" t="s">
        <v>1298</v>
      </c>
      <c r="J14" s="144"/>
    </row>
    <row r="15" spans="1:10" ht="18" customHeight="1">
      <c r="A15" s="2921" t="s">
        <v>10085</v>
      </c>
      <c r="B15" s="2921"/>
      <c r="C15" s="3131"/>
      <c r="D15" s="3131"/>
      <c r="E15" s="1108"/>
      <c r="F15" s="1108"/>
      <c r="G15" s="1114"/>
      <c r="H15" s="519"/>
      <c r="I15" s="3107" t="s">
        <v>1299</v>
      </c>
      <c r="J15" s="144"/>
    </row>
    <row r="16" spans="1:10" ht="18" customHeight="1">
      <c r="A16" s="2921" t="s">
        <v>10086</v>
      </c>
      <c r="B16" s="2921"/>
      <c r="C16" s="3128">
        <f>C14+C15</f>
        <v>0</v>
      </c>
      <c r="D16" s="3128"/>
      <c r="E16" s="525">
        <f>E14+E15</f>
        <v>0</v>
      </c>
      <c r="F16" s="525">
        <f>F14+F15</f>
        <v>0</v>
      </c>
      <c r="G16" s="525">
        <f>G14+G15</f>
        <v>0</v>
      </c>
      <c r="H16" s="519"/>
      <c r="I16" s="3107"/>
      <c r="J16" s="144"/>
    </row>
    <row r="17" spans="1:10" ht="18" customHeight="1">
      <c r="A17" s="2921" t="s">
        <v>1300</v>
      </c>
      <c r="B17" s="2921"/>
      <c r="C17" s="3128">
        <f>IF(C18&gt;0,C16-C18,C16)</f>
        <v>0</v>
      </c>
      <c r="D17" s="3128"/>
      <c r="E17" s="525">
        <f>IF(E18&gt;0,E16-E18,E16)</f>
        <v>0</v>
      </c>
      <c r="F17" s="525">
        <f>MIN(C17*G34,F16+F20)</f>
        <v>0</v>
      </c>
      <c r="G17" s="525">
        <f>IF(G18&gt;0,G16-G18,G16)</f>
        <v>0</v>
      </c>
      <c r="H17" s="519"/>
      <c r="I17" s="3107"/>
      <c r="J17" s="144"/>
    </row>
    <row r="18" spans="1:10" ht="18" customHeight="1">
      <c r="A18" s="3093" t="s">
        <v>1301</v>
      </c>
      <c r="B18" s="3093"/>
      <c r="C18" s="3128">
        <f>G27+G28</f>
        <v>0</v>
      </c>
      <c r="D18" s="3128"/>
      <c r="E18" s="525">
        <f>G29+G30+G31+G32</f>
        <v>0</v>
      </c>
      <c r="F18" s="525">
        <f>F16-F17</f>
        <v>0</v>
      </c>
      <c r="G18" s="525">
        <f>G35+G36+G37</f>
        <v>0</v>
      </c>
      <c r="H18" s="519"/>
      <c r="I18" s="3107"/>
      <c r="J18" s="144"/>
    </row>
    <row r="19" spans="1:10" ht="18" customHeight="1">
      <c r="A19" s="3093" t="s">
        <v>1302</v>
      </c>
      <c r="B19" s="3093"/>
      <c r="C19" s="3122" t="s">
        <v>509</v>
      </c>
      <c r="D19" s="3122"/>
      <c r="E19" s="526" t="s">
        <v>509</v>
      </c>
      <c r="F19" s="524">
        <f>F18</f>
        <v>0</v>
      </c>
      <c r="G19" s="526" t="s">
        <v>509</v>
      </c>
      <c r="H19" s="519"/>
      <c r="I19" s="3107"/>
      <c r="J19" s="144"/>
    </row>
    <row r="20" spans="1:10" ht="18" customHeight="1">
      <c r="A20" s="3093" t="s">
        <v>1303</v>
      </c>
      <c r="B20" s="3093"/>
      <c r="C20" s="3122" t="s">
        <v>509</v>
      </c>
      <c r="D20" s="3122"/>
      <c r="E20" s="526" t="s">
        <v>509</v>
      </c>
      <c r="F20" s="1115"/>
      <c r="G20" s="526" t="s">
        <v>509</v>
      </c>
      <c r="H20" s="519"/>
      <c r="I20" s="3107"/>
      <c r="J20" s="144"/>
    </row>
    <row r="21" spans="1:10" ht="18" customHeight="1">
      <c r="A21" s="3093" t="s">
        <v>1304</v>
      </c>
      <c r="B21" s="3093"/>
      <c r="C21" s="3122" t="s">
        <v>509</v>
      </c>
      <c r="D21" s="3122"/>
      <c r="E21" s="526" t="s">
        <v>509</v>
      </c>
      <c r="F21" s="524">
        <f>IF(F20&gt;0,IF(F16&lt;ROUND(C16*0.025,2),MIN(F20,ROUND(C16*0.025,2)-F16),0),0)</f>
        <v>0</v>
      </c>
      <c r="G21" s="526" t="s">
        <v>509</v>
      </c>
      <c r="H21" s="519"/>
      <c r="I21" s="3107"/>
      <c r="J21" s="144"/>
    </row>
    <row r="22" spans="1:10" ht="18" customHeight="1">
      <c r="A22" s="3093" t="s">
        <v>1305</v>
      </c>
      <c r="B22" s="3093"/>
      <c r="C22" s="3122" t="s">
        <v>509</v>
      </c>
      <c r="D22" s="3122"/>
      <c r="E22" s="526" t="s">
        <v>509</v>
      </c>
      <c r="F22" s="1682">
        <f>F21</f>
        <v>0</v>
      </c>
      <c r="G22" s="526" t="s">
        <v>509</v>
      </c>
      <c r="H22" s="519"/>
      <c r="I22" s="3107"/>
      <c r="J22" s="144"/>
    </row>
    <row r="23" spans="1:10" ht="18" customHeight="1">
      <c r="A23" s="3093" t="s">
        <v>1306</v>
      </c>
      <c r="B23" s="3093"/>
      <c r="C23" s="3122" t="s">
        <v>509</v>
      </c>
      <c r="D23" s="3122"/>
      <c r="E23" s="526" t="s">
        <v>509</v>
      </c>
      <c r="F23" s="1682">
        <f>F16+F20-F17</f>
        <v>0</v>
      </c>
      <c r="G23" s="526" t="s">
        <v>509</v>
      </c>
      <c r="H23" s="519"/>
      <c r="I23" s="3107"/>
      <c r="J23" s="144"/>
    </row>
    <row r="24" spans="1:10" ht="18" customHeight="1">
      <c r="A24" s="3093" t="s">
        <v>6095</v>
      </c>
      <c r="B24" s="3093"/>
      <c r="C24" s="3124"/>
      <c r="D24" s="3125"/>
      <c r="E24" s="1692" t="s">
        <v>509</v>
      </c>
      <c r="F24" s="1692" t="s">
        <v>509</v>
      </c>
      <c r="G24" s="1693" t="s">
        <v>509</v>
      </c>
      <c r="H24" s="519"/>
      <c r="I24" s="3107"/>
      <c r="J24" s="144"/>
    </row>
    <row r="25" spans="1:10" ht="18" customHeight="1">
      <c r="A25" s="3123" t="s">
        <v>6094</v>
      </c>
      <c r="B25" s="3123"/>
      <c r="C25" s="3126" t="s">
        <v>6096</v>
      </c>
      <c r="D25" s="3127"/>
      <c r="E25" s="1692" t="s">
        <v>509</v>
      </c>
      <c r="F25" s="1694"/>
      <c r="G25" s="1693" t="s">
        <v>509</v>
      </c>
      <c r="H25" s="1771">
        <f>F25</f>
        <v>0</v>
      </c>
      <c r="I25" s="3107"/>
      <c r="J25" s="144"/>
    </row>
    <row r="26" spans="1:10" ht="24.75" customHeight="1">
      <c r="A26" s="3065" t="s">
        <v>1307</v>
      </c>
      <c r="B26" s="3065"/>
      <c r="C26" s="2929" t="s">
        <v>1308</v>
      </c>
      <c r="D26" s="2929"/>
      <c r="E26" s="2929"/>
      <c r="F26" s="2929"/>
      <c r="G26" s="3129" t="s">
        <v>1309</v>
      </c>
      <c r="H26" s="3129"/>
      <c r="I26" s="3107"/>
      <c r="J26" s="144"/>
    </row>
    <row r="27" spans="1:10" ht="18" customHeight="1">
      <c r="A27" s="3116" t="s">
        <v>1310</v>
      </c>
      <c r="B27" s="3116"/>
      <c r="C27" s="3117" t="s">
        <v>1311</v>
      </c>
      <c r="D27" s="3117"/>
      <c r="E27" s="3117"/>
      <c r="F27" s="3117"/>
      <c r="G27" s="3121"/>
      <c r="H27" s="3121"/>
      <c r="I27" s="3107"/>
      <c r="J27" s="144"/>
    </row>
    <row r="28" spans="1:10" ht="18" customHeight="1">
      <c r="A28" s="3116" t="s">
        <v>1310</v>
      </c>
      <c r="B28" s="3116"/>
      <c r="C28" s="3117" t="s">
        <v>1312</v>
      </c>
      <c r="D28" s="3117"/>
      <c r="E28" s="3117"/>
      <c r="F28" s="3117"/>
      <c r="G28" s="3114"/>
      <c r="H28" s="3114"/>
      <c r="I28" s="3107"/>
      <c r="J28" s="144"/>
    </row>
    <row r="29" spans="1:10" ht="18" customHeight="1">
      <c r="A29" s="3116" t="s">
        <v>1313</v>
      </c>
      <c r="B29" s="3116"/>
      <c r="C29" s="3117" t="s">
        <v>1314</v>
      </c>
      <c r="D29" s="3117"/>
      <c r="E29" s="3117"/>
      <c r="F29" s="3117"/>
      <c r="G29" s="3130"/>
      <c r="H29" s="3130"/>
      <c r="I29" s="3107"/>
      <c r="J29" s="144"/>
    </row>
    <row r="30" spans="1:10" ht="18" customHeight="1">
      <c r="A30" s="3116" t="s">
        <v>1313</v>
      </c>
      <c r="B30" s="3116"/>
      <c r="C30" s="3117" t="s">
        <v>1315</v>
      </c>
      <c r="D30" s="3117"/>
      <c r="E30" s="3117"/>
      <c r="F30" s="3117"/>
      <c r="G30" s="3114"/>
      <c r="H30" s="3114"/>
      <c r="I30" s="3107"/>
      <c r="J30" s="144"/>
    </row>
    <row r="31" spans="1:10" ht="18" customHeight="1">
      <c r="A31" s="3116" t="s">
        <v>1313</v>
      </c>
      <c r="B31" s="3116"/>
      <c r="C31" s="3117" t="s">
        <v>1316</v>
      </c>
      <c r="D31" s="3117"/>
      <c r="E31" s="3117"/>
      <c r="F31" s="3117"/>
      <c r="G31" s="3119">
        <f>IF(E16&gt;ROUND(C17*0.14,2),E16-ROUND(C17*0.14,2),0)</f>
        <v>0</v>
      </c>
      <c r="H31" s="3119"/>
      <c r="I31" s="3107"/>
      <c r="J31" s="144"/>
    </row>
    <row r="32" spans="1:10" ht="18" customHeight="1">
      <c r="A32" s="3116" t="s">
        <v>1313</v>
      </c>
      <c r="B32" s="3116"/>
      <c r="C32" s="3117" t="s">
        <v>573</v>
      </c>
      <c r="D32" s="3117"/>
      <c r="E32" s="3117"/>
      <c r="F32" s="3117"/>
      <c r="G32" s="3120">
        <f>SUMIF(凭证检查!M6:M205,凭证检查!R24,凭证检查!G6:G205)</f>
        <v>0</v>
      </c>
      <c r="H32" s="3120"/>
      <c r="I32" s="3107"/>
      <c r="J32" s="144"/>
    </row>
    <row r="33" spans="1:10" ht="18" customHeight="1">
      <c r="A33" s="3116" t="s">
        <v>1285</v>
      </c>
      <c r="B33" s="3116"/>
      <c r="C33" s="3117" t="s">
        <v>1317</v>
      </c>
      <c r="D33" s="3117"/>
      <c r="E33" s="3117"/>
      <c r="F33" s="3117"/>
      <c r="G33" s="3114"/>
      <c r="H33" s="3114"/>
      <c r="I33" s="3107"/>
      <c r="J33" s="144"/>
    </row>
    <row r="34" spans="1:10" ht="18" customHeight="1">
      <c r="A34" s="3116" t="s">
        <v>1285</v>
      </c>
      <c r="B34" s="3116"/>
      <c r="C34" s="3117" t="s">
        <v>6102</v>
      </c>
      <c r="D34" s="3117"/>
      <c r="E34" s="3117"/>
      <c r="F34" s="3117"/>
      <c r="G34" s="3118">
        <v>2.5000000000000001E-2</v>
      </c>
      <c r="H34" s="3118"/>
      <c r="I34" s="3107"/>
      <c r="J34" s="144"/>
    </row>
    <row r="35" spans="1:10" ht="18" customHeight="1">
      <c r="A35" s="3116" t="s">
        <v>1318</v>
      </c>
      <c r="B35" s="3116"/>
      <c r="C35" s="3117" t="s">
        <v>1319</v>
      </c>
      <c r="D35" s="3117"/>
      <c r="E35" s="3117"/>
      <c r="F35" s="3117"/>
      <c r="G35" s="3119">
        <f>IF(G16&gt;ROUND(C17*0.02,2),G16-ROUND(C17*0.02,2),0)</f>
        <v>0</v>
      </c>
      <c r="H35" s="3119"/>
      <c r="I35" s="523"/>
      <c r="J35" s="144"/>
    </row>
    <row r="36" spans="1:10" ht="18" customHeight="1">
      <c r="A36" s="3116" t="s">
        <v>1318</v>
      </c>
      <c r="B36" s="3116"/>
      <c r="C36" s="3117" t="s">
        <v>1320</v>
      </c>
      <c r="D36" s="3117"/>
      <c r="E36" s="3117"/>
      <c r="F36" s="3117"/>
      <c r="G36" s="3114"/>
      <c r="H36" s="3114"/>
      <c r="I36" s="3107" t="s">
        <v>1321</v>
      </c>
      <c r="J36" s="144"/>
    </row>
    <row r="37" spans="1:10" ht="18" customHeight="1">
      <c r="A37" s="3112" t="s">
        <v>1318</v>
      </c>
      <c r="B37" s="3112"/>
      <c r="C37" s="3113" t="s">
        <v>1322</v>
      </c>
      <c r="D37" s="3113"/>
      <c r="E37" s="3113"/>
      <c r="F37" s="3113"/>
      <c r="G37" s="3114"/>
      <c r="H37" s="3114"/>
      <c r="I37" s="3107"/>
      <c r="J37" s="144"/>
    </row>
    <row r="38" spans="1:10" ht="18" customHeight="1">
      <c r="A38" s="3051" t="s">
        <v>702</v>
      </c>
      <c r="B38" s="3051"/>
      <c r="C38" s="3051"/>
      <c r="D38" s="3051"/>
      <c r="E38" s="3051"/>
      <c r="F38" s="3051"/>
      <c r="G38" s="3115">
        <f>SUM(G27:G37)-G34</f>
        <v>0</v>
      </c>
      <c r="H38" s="3115"/>
      <c r="I38" s="3107"/>
      <c r="J38" s="144"/>
    </row>
    <row r="39" spans="1:10" ht="15" customHeight="1">
      <c r="A39" s="3103" t="s">
        <v>1323</v>
      </c>
      <c r="B39" s="3103"/>
      <c r="C39" s="3110" t="s">
        <v>1324</v>
      </c>
      <c r="D39" s="3111"/>
      <c r="E39" s="3111"/>
      <c r="F39" s="3111"/>
      <c r="G39" s="3101" t="str">
        <f>IF(G38&lt;&gt;0,"、E","")</f>
        <v/>
      </c>
      <c r="H39" s="3102"/>
      <c r="I39" s="3107" t="s">
        <v>1325</v>
      </c>
      <c r="J39" s="144"/>
    </row>
    <row r="40" spans="1:10" ht="48.75" customHeight="1">
      <c r="A40" s="3103"/>
      <c r="B40" s="3103"/>
      <c r="C40" s="3108"/>
      <c r="D40" s="3108"/>
      <c r="E40" s="3108"/>
      <c r="F40" s="3108"/>
      <c r="G40" s="3108"/>
      <c r="H40" s="3108"/>
      <c r="I40" s="3107"/>
      <c r="J40" s="144"/>
    </row>
    <row r="41" spans="1:10" ht="22.5" customHeight="1">
      <c r="A41" s="3109" t="s">
        <v>574</v>
      </c>
      <c r="B41" s="3109"/>
      <c r="C41" s="3106" t="str">
        <f>IF(G38&lt;&gt;0,"纳税调整后认可！","不存在调整事项，认可！")</f>
        <v>不存在调整事项，认可！</v>
      </c>
      <c r="D41" s="3106"/>
      <c r="E41" s="3106"/>
      <c r="F41" s="3106"/>
      <c r="G41" s="3106"/>
      <c r="H41" s="3106"/>
      <c r="I41" s="3107"/>
      <c r="J41" s="144"/>
    </row>
    <row r="42" spans="1:10" ht="14.25" customHeight="1">
      <c r="A42" s="144"/>
      <c r="B42" s="144"/>
      <c r="C42" s="144"/>
      <c r="D42" s="144"/>
      <c r="E42" s="144"/>
      <c r="F42" s="144"/>
      <c r="G42" s="144"/>
      <c r="H42" s="144"/>
      <c r="I42" s="3104" t="s">
        <v>1326</v>
      </c>
      <c r="J42" s="144"/>
    </row>
    <row r="43" spans="1:10" ht="12" customHeight="1">
      <c r="A43" s="534"/>
      <c r="B43" s="144"/>
      <c r="C43" s="144"/>
      <c r="D43" s="144"/>
      <c r="E43" s="144"/>
      <c r="F43" s="144"/>
      <c r="G43" s="144"/>
      <c r="H43" s="144"/>
      <c r="I43" s="3104"/>
      <c r="J43" s="144"/>
    </row>
    <row r="44" spans="1:10" ht="15.15" customHeight="1">
      <c r="A44" s="84"/>
      <c r="B44" s="144"/>
      <c r="C44" s="144"/>
      <c r="D44" s="144"/>
      <c r="E44" s="144"/>
      <c r="F44" s="144"/>
      <c r="G44" s="144"/>
      <c r="H44" s="144"/>
      <c r="I44" s="3104" t="s">
        <v>1327</v>
      </c>
      <c r="J44" s="144"/>
    </row>
    <row r="45" spans="1:10">
      <c r="A45" s="534"/>
      <c r="B45" s="144"/>
      <c r="C45" s="144"/>
      <c r="D45" s="144"/>
      <c r="E45" s="144"/>
      <c r="F45" s="144"/>
      <c r="G45" s="144"/>
      <c r="H45" s="144"/>
      <c r="I45" s="3104"/>
      <c r="J45" s="144"/>
    </row>
    <row r="46" spans="1:10" ht="169.35" customHeight="1">
      <c r="A46"/>
      <c r="I46" s="3104"/>
      <c r="J46" s="144"/>
    </row>
    <row r="47" spans="1:10" ht="15.15" customHeight="1">
      <c r="A47" s="535"/>
      <c r="I47" s="3105" t="s">
        <v>1328</v>
      </c>
      <c r="J47" s="144"/>
    </row>
    <row r="48" spans="1:10" ht="15.6">
      <c r="A48"/>
      <c r="I48" s="3105"/>
      <c r="J48" s="144"/>
    </row>
    <row r="49" spans="1:10">
      <c r="A49" s="535"/>
      <c r="I49" s="3105"/>
      <c r="J49" s="144"/>
    </row>
    <row r="50" spans="1:10">
      <c r="I50" s="3105"/>
    </row>
    <row r="51" spans="1:10">
      <c r="I51" s="3105"/>
    </row>
    <row r="52" spans="1:10">
      <c r="I52" s="3105"/>
    </row>
  </sheetData>
  <sheetProtection selectLockedCells="1" selectUnlockedCells="1"/>
  <mergeCells count="95">
    <mergeCell ref="A1:H1"/>
    <mergeCell ref="A2:D3"/>
    <mergeCell ref="H3:H4"/>
    <mergeCell ref="A4:D4"/>
    <mergeCell ref="A10:B10"/>
    <mergeCell ref="C10:D10"/>
    <mergeCell ref="C12:D12"/>
    <mergeCell ref="A5:H5"/>
    <mergeCell ref="A6:B6"/>
    <mergeCell ref="C6:D6"/>
    <mergeCell ref="A7:B7"/>
    <mergeCell ref="C7:D7"/>
    <mergeCell ref="A8:B8"/>
    <mergeCell ref="C8:D8"/>
    <mergeCell ref="A9:B9"/>
    <mergeCell ref="C9:D9"/>
    <mergeCell ref="A11:B11"/>
    <mergeCell ref="C11:D11"/>
    <mergeCell ref="A12:B12"/>
    <mergeCell ref="A13:B13"/>
    <mergeCell ref="C13:D13"/>
    <mergeCell ref="A15:B15"/>
    <mergeCell ref="C15:D15"/>
    <mergeCell ref="C20:D20"/>
    <mergeCell ref="A19:B19"/>
    <mergeCell ref="C19:D19"/>
    <mergeCell ref="A20:B20"/>
    <mergeCell ref="A14:B14"/>
    <mergeCell ref="C14:D14"/>
    <mergeCell ref="A18:B18"/>
    <mergeCell ref="C18:D18"/>
    <mergeCell ref="I15:I34"/>
    <mergeCell ref="A16:B16"/>
    <mergeCell ref="C16:D16"/>
    <mergeCell ref="A17:B17"/>
    <mergeCell ref="C17:D17"/>
    <mergeCell ref="G26:H26"/>
    <mergeCell ref="A27:B27"/>
    <mergeCell ref="G28:H28"/>
    <mergeCell ref="A29:B29"/>
    <mergeCell ref="C29:F29"/>
    <mergeCell ref="C26:F26"/>
    <mergeCell ref="A21:B21"/>
    <mergeCell ref="C21:D21"/>
    <mergeCell ref="G29:H29"/>
    <mergeCell ref="A22:B22"/>
    <mergeCell ref="C22:D22"/>
    <mergeCell ref="A28:B28"/>
    <mergeCell ref="C28:F28"/>
    <mergeCell ref="G27:H27"/>
    <mergeCell ref="A23:B23"/>
    <mergeCell ref="C27:F27"/>
    <mergeCell ref="C23:D23"/>
    <mergeCell ref="A26:B26"/>
    <mergeCell ref="A25:B25"/>
    <mergeCell ref="A24:B24"/>
    <mergeCell ref="C24:D24"/>
    <mergeCell ref="C25:D25"/>
    <mergeCell ref="A30:B30"/>
    <mergeCell ref="C30:F30"/>
    <mergeCell ref="G30:H30"/>
    <mergeCell ref="A31:B31"/>
    <mergeCell ref="C31:F31"/>
    <mergeCell ref="G31:H31"/>
    <mergeCell ref="A32:B32"/>
    <mergeCell ref="C32:F32"/>
    <mergeCell ref="G32:H32"/>
    <mergeCell ref="A33:B33"/>
    <mergeCell ref="C33:F33"/>
    <mergeCell ref="G33:H33"/>
    <mergeCell ref="A34:B34"/>
    <mergeCell ref="C34:F34"/>
    <mergeCell ref="G34:H34"/>
    <mergeCell ref="A35:B35"/>
    <mergeCell ref="C35:F35"/>
    <mergeCell ref="G35:H35"/>
    <mergeCell ref="I36:I38"/>
    <mergeCell ref="A37:B37"/>
    <mergeCell ref="C37:F37"/>
    <mergeCell ref="G37:H37"/>
    <mergeCell ref="A38:F38"/>
    <mergeCell ref="G38:H38"/>
    <mergeCell ref="A36:B36"/>
    <mergeCell ref="C36:F36"/>
    <mergeCell ref="G36:H36"/>
    <mergeCell ref="G39:H39"/>
    <mergeCell ref="A39:B40"/>
    <mergeCell ref="I44:I46"/>
    <mergeCell ref="I47:I52"/>
    <mergeCell ref="C41:H41"/>
    <mergeCell ref="I39:I41"/>
    <mergeCell ref="C40:H40"/>
    <mergeCell ref="A41:B41"/>
    <mergeCell ref="I42:I43"/>
    <mergeCell ref="C39:F39"/>
  </mergeCells>
  <phoneticPr fontId="51" type="noConversion"/>
  <dataValidations disablePrompts="1" count="1">
    <dataValidation allowBlank="1" showErrorMessage="1" sqref="F3">
      <formula1>0</formula1>
      <formula2>0</formula2>
    </dataValidation>
  </dataValidations>
  <hyperlinks>
    <hyperlink ref="I7" location="资产负债!A1" display="资产负债表"/>
    <hyperlink ref="I8" location="利润!A1" display="利润及利润分配表"/>
    <hyperlink ref="I9" location="纳税调整明细表!D27" display="纳税调整明细表"/>
    <hyperlink ref="I10" location="营业费用!A1" display="营业费用审核表"/>
    <hyperlink ref="I11" location="管理费用!A1" display="管理费用审核表"/>
    <hyperlink ref="I12" location="其他事项!D32" display="其他事项!D32"/>
    <hyperlink ref="I13" location="制造费用、生产成本!A1" display="制造费用、生产成本审核表"/>
    <hyperlink ref="I14" location="凭证检查!A1" display="凭证检查!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W40"/>
  <sheetViews>
    <sheetView workbookViewId="0">
      <selection activeCell="J7" sqref="J7:K7"/>
    </sheetView>
  </sheetViews>
  <sheetFormatPr defaultColWidth="9" defaultRowHeight="15.6"/>
  <cols>
    <col min="1" max="1" width="7.59765625" style="168" customWidth="1"/>
    <col min="2" max="2" width="5.09765625" style="168" customWidth="1"/>
    <col min="3" max="6" width="7.09765625" style="168" customWidth="1"/>
    <col min="7" max="7" width="5.59765625" style="168" customWidth="1"/>
    <col min="8" max="8" width="9.8984375" style="168" customWidth="1"/>
    <col min="9" max="9" width="0" style="168" hidden="1" customWidth="1"/>
    <col min="10" max="10" width="4.3984375" style="168" customWidth="1"/>
    <col min="11" max="11" width="9.8984375" style="168" customWidth="1"/>
    <col min="12" max="12" width="2.3984375" style="168" customWidth="1"/>
    <col min="13" max="13" width="6.69921875" style="168" customWidth="1"/>
    <col min="14" max="16384" width="9" style="168"/>
  </cols>
  <sheetData>
    <row r="1" spans="1:21" ht="22.2">
      <c r="A1" s="2719" t="s">
        <v>1329</v>
      </c>
      <c r="B1" s="2719"/>
      <c r="C1" s="2719"/>
      <c r="D1" s="2719"/>
      <c r="E1" s="2719"/>
      <c r="F1" s="2719"/>
      <c r="G1" s="2719"/>
      <c r="H1" s="2719"/>
      <c r="I1" s="2719"/>
      <c r="J1" s="2719"/>
      <c r="K1" s="2719"/>
      <c r="L1" s="2719"/>
      <c r="M1" s="2719"/>
      <c r="N1" s="536"/>
      <c r="O1" s="169"/>
      <c r="P1" s="169"/>
      <c r="Q1" s="169"/>
      <c r="R1" s="169"/>
      <c r="S1" s="169"/>
      <c r="T1" s="169"/>
      <c r="U1" s="169"/>
    </row>
    <row r="2" spans="1:21" ht="7.5" customHeight="1">
      <c r="A2" s="170"/>
      <c r="B2" s="170"/>
      <c r="C2" s="170"/>
      <c r="D2" s="170"/>
      <c r="E2" s="170"/>
      <c r="F2" s="170"/>
      <c r="G2" s="170"/>
      <c r="H2" s="170"/>
      <c r="I2" s="170"/>
      <c r="J2" s="170"/>
      <c r="K2" s="170"/>
      <c r="L2" s="170"/>
      <c r="M2" s="170"/>
      <c r="N2" s="536"/>
      <c r="O2" s="169"/>
      <c r="P2" s="169"/>
      <c r="Q2" s="169"/>
      <c r="R2" s="169"/>
      <c r="S2" s="169"/>
      <c r="T2" s="169"/>
      <c r="U2" s="169"/>
    </row>
    <row r="3" spans="1:21" ht="21.75" customHeight="1">
      <c r="A3" s="3065" t="s">
        <v>447</v>
      </c>
      <c r="B3" s="3065"/>
      <c r="C3" s="3169">
        <f>基本情况!B2</f>
        <v>0</v>
      </c>
      <c r="D3" s="3169"/>
      <c r="E3" s="3169"/>
      <c r="F3" s="3169"/>
      <c r="G3" s="537"/>
      <c r="H3" s="369" t="s">
        <v>1330</v>
      </c>
      <c r="I3" s="537"/>
      <c r="J3" s="2929" t="s">
        <v>449</v>
      </c>
      <c r="K3" s="2929"/>
      <c r="L3" s="3092" t="s">
        <v>283</v>
      </c>
      <c r="M3" s="3092"/>
      <c r="N3" s="536"/>
      <c r="O3" s="169"/>
      <c r="P3" s="169"/>
      <c r="Q3" s="169"/>
      <c r="R3" s="169"/>
      <c r="S3" s="169"/>
      <c r="T3" s="169"/>
      <c r="U3" s="169"/>
    </row>
    <row r="4" spans="1:21" ht="19.5" customHeight="1">
      <c r="A4" s="3065"/>
      <c r="B4" s="3065"/>
      <c r="C4" s="3169"/>
      <c r="D4" s="3169"/>
      <c r="E4" s="3169"/>
      <c r="F4" s="3169"/>
      <c r="G4" s="538" t="s">
        <v>450</v>
      </c>
      <c r="H4" s="539">
        <f>基本情况!B12</f>
        <v>0</v>
      </c>
      <c r="I4" s="540"/>
      <c r="J4" s="3170" t="str">
        <f>TEXT(基本情况!B21,"yyyy-mm-dd")</f>
        <v>2017-03-16</v>
      </c>
      <c r="K4" s="3170"/>
      <c r="L4" s="3138" t="str">
        <f>档案索引!A36</f>
        <v>2A-16</v>
      </c>
      <c r="M4" s="3138"/>
      <c r="N4" s="536"/>
      <c r="O4" s="169"/>
      <c r="P4" s="169"/>
      <c r="Q4" s="169"/>
      <c r="R4" s="169"/>
      <c r="S4" s="169"/>
      <c r="T4" s="169"/>
      <c r="U4" s="169"/>
    </row>
    <row r="5" spans="1:21" ht="19.5" customHeight="1">
      <c r="A5" s="2922" t="s">
        <v>451</v>
      </c>
      <c r="B5" s="2922"/>
      <c r="C5" s="2930" t="str">
        <f>基本情况!B7</f>
        <v>2016年01月01日至2016年12月31日</v>
      </c>
      <c r="D5" s="2930"/>
      <c r="E5" s="2930"/>
      <c r="F5" s="2930"/>
      <c r="G5" s="373" t="s">
        <v>452</v>
      </c>
      <c r="H5" s="374">
        <f>基本情况!B11</f>
        <v>0</v>
      </c>
      <c r="I5" s="542"/>
      <c r="J5" s="3171" t="str">
        <f>TEXT(基本情况!B22,"yyyy-mm-dd")</f>
        <v>2017-05-04</v>
      </c>
      <c r="K5" s="3171"/>
      <c r="L5" s="3138"/>
      <c r="M5" s="3138"/>
      <c r="N5" s="543"/>
      <c r="O5" s="169"/>
      <c r="P5" s="169"/>
      <c r="Q5" s="169"/>
      <c r="R5" s="169"/>
      <c r="S5" s="169"/>
      <c r="T5" s="169"/>
      <c r="U5" s="169"/>
    </row>
    <row r="6" spans="1:21" ht="7.5" customHeight="1">
      <c r="A6" s="2926"/>
      <c r="B6" s="2926"/>
      <c r="C6" s="2926"/>
      <c r="D6" s="2926"/>
      <c r="E6" s="2926"/>
      <c r="F6" s="2926"/>
      <c r="G6" s="2926"/>
      <c r="H6" s="2926"/>
      <c r="I6" s="2926"/>
      <c r="J6" s="2926"/>
      <c r="K6" s="2926"/>
      <c r="L6" s="2926"/>
      <c r="M6" s="2926"/>
      <c r="N6" s="84"/>
      <c r="O6" s="169"/>
      <c r="P6" s="169"/>
      <c r="Q6" s="169"/>
      <c r="R6" s="169"/>
      <c r="S6" s="169"/>
      <c r="T6" s="169"/>
      <c r="U6" s="169"/>
    </row>
    <row r="7" spans="1:21" ht="36" customHeight="1">
      <c r="A7" s="3163" t="s">
        <v>665</v>
      </c>
      <c r="B7" s="3163"/>
      <c r="C7" s="3163"/>
      <c r="D7" s="3163"/>
      <c r="E7" s="3064" t="s">
        <v>1331</v>
      </c>
      <c r="F7" s="3064"/>
      <c r="G7" s="3064" t="s">
        <v>1491</v>
      </c>
      <c r="H7" s="3064"/>
      <c r="I7" s="3064"/>
      <c r="J7" s="3064" t="s">
        <v>1492</v>
      </c>
      <c r="K7" s="3064"/>
      <c r="L7" s="3164" t="s">
        <v>455</v>
      </c>
      <c r="M7" s="3164"/>
      <c r="N7" s="84" t="s">
        <v>395</v>
      </c>
      <c r="O7" s="169"/>
      <c r="P7" s="169"/>
      <c r="Q7" s="169"/>
      <c r="R7" s="169"/>
      <c r="S7" s="169"/>
      <c r="T7" s="169"/>
      <c r="U7" s="169"/>
    </row>
    <row r="8" spans="1:21" ht="24" customHeight="1">
      <c r="A8" s="3065" t="s">
        <v>1332</v>
      </c>
      <c r="B8" s="3065"/>
      <c r="C8" s="3065"/>
      <c r="D8" s="3065"/>
      <c r="E8" s="3167">
        <f>营业费用!H10</f>
        <v>0</v>
      </c>
      <c r="F8" s="3167"/>
      <c r="G8" s="3168"/>
      <c r="H8" s="3168"/>
      <c r="I8" s="3168"/>
      <c r="J8" s="3166">
        <f t="shared" ref="J8:J15" si="0">E8+G8</f>
        <v>0</v>
      </c>
      <c r="K8" s="3166"/>
      <c r="L8" s="3165"/>
      <c r="M8" s="3165"/>
      <c r="N8" s="3161" t="s">
        <v>1333</v>
      </c>
      <c r="O8" s="3161"/>
      <c r="P8" s="3161"/>
      <c r="Q8" s="169"/>
      <c r="R8" s="169"/>
      <c r="S8" s="169"/>
      <c r="T8" s="169"/>
      <c r="U8" s="169"/>
    </row>
    <row r="9" spans="1:21" ht="24" customHeight="1">
      <c r="A9" s="2921" t="s">
        <v>1334</v>
      </c>
      <c r="B9" s="2921"/>
      <c r="C9" s="2921"/>
      <c r="D9" s="2921"/>
      <c r="E9" s="3160">
        <f>管理费用!H10</f>
        <v>0</v>
      </c>
      <c r="F9" s="3160"/>
      <c r="G9" s="3162"/>
      <c r="H9" s="3162"/>
      <c r="I9" s="3162"/>
      <c r="J9" s="3159">
        <f t="shared" si="0"/>
        <v>0</v>
      </c>
      <c r="K9" s="3159"/>
      <c r="L9" s="3157"/>
      <c r="M9" s="3157"/>
      <c r="N9" s="442" t="s">
        <v>1335</v>
      </c>
      <c r="O9" s="169"/>
      <c r="P9" s="169"/>
      <c r="Q9" s="169"/>
      <c r="R9" s="169"/>
      <c r="S9" s="169"/>
      <c r="T9" s="169"/>
      <c r="U9" s="169"/>
    </row>
    <row r="10" spans="1:21" ht="24" customHeight="1">
      <c r="A10" s="2921" t="s">
        <v>1336</v>
      </c>
      <c r="B10" s="2921"/>
      <c r="C10" s="2921"/>
      <c r="D10" s="2921"/>
      <c r="E10" s="3160">
        <f>制造费用、生产成本!C25</f>
        <v>0</v>
      </c>
      <c r="F10" s="3160"/>
      <c r="G10" s="3162"/>
      <c r="H10" s="3162"/>
      <c r="I10" s="3162"/>
      <c r="J10" s="3159">
        <f t="shared" si="0"/>
        <v>0</v>
      </c>
      <c r="K10" s="3159"/>
      <c r="L10" s="3157"/>
      <c r="M10" s="3157"/>
      <c r="N10" s="232" t="s">
        <v>1296</v>
      </c>
      <c r="O10" s="169"/>
      <c r="P10" s="169"/>
      <c r="Q10" s="169"/>
      <c r="R10" s="169"/>
      <c r="S10" s="169"/>
      <c r="T10" s="169"/>
      <c r="U10" s="169"/>
    </row>
    <row r="11" spans="1:21" ht="24" customHeight="1">
      <c r="A11" s="2921" t="s">
        <v>1337</v>
      </c>
      <c r="B11" s="2921"/>
      <c r="C11" s="2921"/>
      <c r="D11" s="2921"/>
      <c r="E11" s="3162"/>
      <c r="F11" s="3162"/>
      <c r="G11" s="3162"/>
      <c r="H11" s="3162"/>
      <c r="I11" s="3162"/>
      <c r="J11" s="3159">
        <f t="shared" si="0"/>
        <v>0</v>
      </c>
      <c r="K11" s="3159"/>
      <c r="L11" s="3157"/>
      <c r="M11" s="3157"/>
      <c r="N11" s="442"/>
      <c r="O11" s="169"/>
      <c r="P11" s="169"/>
      <c r="Q11" s="169"/>
      <c r="R11" s="169"/>
      <c r="S11" s="169"/>
      <c r="T11" s="169"/>
      <c r="U11" s="169"/>
    </row>
    <row r="12" spans="1:21" ht="24" customHeight="1">
      <c r="A12" s="2921" t="s">
        <v>1338</v>
      </c>
      <c r="B12" s="2921"/>
      <c r="C12" s="2921"/>
      <c r="D12" s="2921"/>
      <c r="E12" s="3162"/>
      <c r="F12" s="3162"/>
      <c r="G12" s="3162"/>
      <c r="H12" s="3162"/>
      <c r="I12" s="3162"/>
      <c r="J12" s="3159">
        <f t="shared" si="0"/>
        <v>0</v>
      </c>
      <c r="K12" s="3159"/>
      <c r="L12" s="3157"/>
      <c r="M12" s="3157"/>
      <c r="N12" s="442"/>
      <c r="O12" s="169"/>
      <c r="P12" s="169"/>
      <c r="Q12" s="169"/>
      <c r="R12" s="169"/>
      <c r="S12" s="169"/>
      <c r="T12" s="169"/>
      <c r="U12" s="169"/>
    </row>
    <row r="13" spans="1:21" ht="24" customHeight="1">
      <c r="A13" s="2921" t="s">
        <v>1339</v>
      </c>
      <c r="B13" s="2921"/>
      <c r="C13" s="2921"/>
      <c r="D13" s="2921"/>
      <c r="E13" s="3162"/>
      <c r="F13" s="3162"/>
      <c r="G13" s="3162"/>
      <c r="H13" s="3162"/>
      <c r="I13" s="3162"/>
      <c r="J13" s="3159">
        <f t="shared" si="0"/>
        <v>0</v>
      </c>
      <c r="K13" s="3159"/>
      <c r="L13" s="3157"/>
      <c r="M13" s="3157"/>
      <c r="N13" s="442"/>
      <c r="O13" s="169"/>
      <c r="P13" s="169"/>
      <c r="Q13" s="169"/>
      <c r="R13" s="169"/>
      <c r="S13" s="169"/>
      <c r="T13" s="169"/>
      <c r="U13" s="169"/>
    </row>
    <row r="14" spans="1:21" ht="24" customHeight="1">
      <c r="A14" s="2921" t="s">
        <v>1340</v>
      </c>
      <c r="B14" s="2921"/>
      <c r="C14" s="2921"/>
      <c r="D14" s="2921"/>
      <c r="E14" s="3162"/>
      <c r="F14" s="3162"/>
      <c r="G14" s="3159"/>
      <c r="H14" s="3159"/>
      <c r="I14" s="3159"/>
      <c r="J14" s="3159">
        <f t="shared" si="0"/>
        <v>0</v>
      </c>
      <c r="K14" s="3159"/>
      <c r="L14" s="3157"/>
      <c r="M14" s="3157"/>
      <c r="N14" s="3161" t="s">
        <v>324</v>
      </c>
      <c r="O14" s="3161"/>
      <c r="P14" s="3161"/>
      <c r="Q14" s="169"/>
      <c r="R14" s="169"/>
      <c r="S14" s="169"/>
      <c r="T14" s="169"/>
      <c r="U14" s="169"/>
    </row>
    <row r="15" spans="1:21" ht="24" customHeight="1">
      <c r="A15" s="2921" t="s">
        <v>1341</v>
      </c>
      <c r="B15" s="2921"/>
      <c r="C15" s="2921"/>
      <c r="D15" s="2921"/>
      <c r="E15" s="3159">
        <f>SUM(E8:F14)</f>
        <v>0</v>
      </c>
      <c r="F15" s="3159"/>
      <c r="G15" s="3159">
        <f>SUM(G8:I14)</f>
        <v>0</v>
      </c>
      <c r="H15" s="3159"/>
      <c r="I15" s="3159"/>
      <c r="J15" s="3159">
        <f t="shared" si="0"/>
        <v>0</v>
      </c>
      <c r="K15" s="3159"/>
      <c r="L15" s="3157"/>
      <c r="M15" s="3157"/>
      <c r="N15" s="232" t="s">
        <v>1342</v>
      </c>
      <c r="O15" s="169"/>
      <c r="P15" s="169"/>
      <c r="Q15" s="169"/>
      <c r="R15" s="169"/>
      <c r="S15" s="169"/>
      <c r="T15" s="169"/>
      <c r="U15" s="169"/>
    </row>
    <row r="16" spans="1:21" ht="24" customHeight="1">
      <c r="A16" s="3158" t="s">
        <v>1343</v>
      </c>
      <c r="B16" s="3158"/>
      <c r="C16" s="3158"/>
      <c r="D16" s="3158"/>
      <c r="E16" s="3122" t="s">
        <v>509</v>
      </c>
      <c r="F16" s="3122"/>
      <c r="G16" s="3122" t="s">
        <v>509</v>
      </c>
      <c r="H16" s="3122"/>
      <c r="I16" s="3122"/>
      <c r="J16" s="3159">
        <f>ROUND(J15*0.6,2)</f>
        <v>0</v>
      </c>
      <c r="K16" s="3159"/>
      <c r="L16" s="3157"/>
      <c r="M16" s="3157"/>
      <c r="N16" s="232" t="s">
        <v>1344</v>
      </c>
      <c r="O16" s="169"/>
      <c r="P16" s="169"/>
      <c r="Q16" s="169"/>
      <c r="R16" s="169"/>
      <c r="S16" s="169"/>
      <c r="T16" s="169"/>
      <c r="U16" s="169"/>
    </row>
    <row r="17" spans="1:23" ht="24" customHeight="1">
      <c r="A17" s="3158" t="s">
        <v>10087</v>
      </c>
      <c r="B17" s="3158"/>
      <c r="C17" s="3158"/>
      <c r="D17" s="3158"/>
      <c r="E17" s="3122" t="s">
        <v>509</v>
      </c>
      <c r="F17" s="3122"/>
      <c r="G17" s="3122" t="s">
        <v>509</v>
      </c>
      <c r="H17" s="3122"/>
      <c r="I17" s="3122"/>
      <c r="J17" s="3160">
        <f>主营收支!H23</f>
        <v>0</v>
      </c>
      <c r="K17" s="3160"/>
      <c r="L17" s="3157"/>
      <c r="M17" s="3157"/>
      <c r="N17" s="232" t="s">
        <v>1345</v>
      </c>
      <c r="O17" s="169"/>
      <c r="P17" s="169"/>
      <c r="Q17" s="169"/>
      <c r="R17" s="169"/>
      <c r="S17" s="169"/>
      <c r="T17" s="169"/>
      <c r="U17" s="169"/>
    </row>
    <row r="18" spans="1:23" ht="24" customHeight="1">
      <c r="A18" s="3158" t="s">
        <v>10088</v>
      </c>
      <c r="B18" s="3158"/>
      <c r="C18" s="3158"/>
      <c r="D18" s="3158"/>
      <c r="E18" s="3122" t="s">
        <v>509</v>
      </c>
      <c r="F18" s="3122"/>
      <c r="G18" s="3122" t="s">
        <v>509</v>
      </c>
      <c r="H18" s="3122"/>
      <c r="I18" s="3122"/>
      <c r="J18" s="3160">
        <f>其他业务!E18</f>
        <v>0</v>
      </c>
      <c r="K18" s="3160"/>
      <c r="L18" s="3157"/>
      <c r="M18" s="3157"/>
      <c r="N18" s="169"/>
      <c r="O18" s="169"/>
      <c r="P18" s="169"/>
      <c r="Q18" s="169"/>
      <c r="R18" s="169"/>
      <c r="S18" s="169"/>
      <c r="T18" s="169"/>
      <c r="U18" s="169"/>
      <c r="V18" s="546"/>
      <c r="W18" s="546"/>
    </row>
    <row r="19" spans="1:23" ht="24" customHeight="1">
      <c r="A19" s="3158" t="s">
        <v>10089</v>
      </c>
      <c r="B19" s="3158"/>
      <c r="C19" s="3158"/>
      <c r="D19" s="3158"/>
      <c r="E19" s="3122" t="s">
        <v>509</v>
      </c>
      <c r="F19" s="3122"/>
      <c r="G19" s="3122" t="s">
        <v>509</v>
      </c>
      <c r="H19" s="3122"/>
      <c r="I19" s="3122"/>
      <c r="J19" s="3160">
        <f>A105010视同销售和房地产开发企业特定业务纳税调整明细表!C5</f>
        <v>0</v>
      </c>
      <c r="K19" s="3160"/>
      <c r="L19" s="3157"/>
      <c r="M19" s="3157"/>
      <c r="V19" s="546"/>
      <c r="W19" s="546"/>
    </row>
    <row r="20" spans="1:23" ht="24" customHeight="1">
      <c r="A20" s="3158" t="s">
        <v>10090</v>
      </c>
      <c r="B20" s="3158"/>
      <c r="C20" s="3158"/>
      <c r="D20" s="3158"/>
      <c r="E20" s="3122" t="s">
        <v>509</v>
      </c>
      <c r="F20" s="3122"/>
      <c r="G20" s="3122" t="s">
        <v>509</v>
      </c>
      <c r="H20" s="3122"/>
      <c r="I20" s="3122"/>
      <c r="J20" s="3159">
        <f>SUM(J17:K19)+J24</f>
        <v>0</v>
      </c>
      <c r="K20" s="3159"/>
      <c r="L20" s="3157"/>
      <c r="M20" s="3157"/>
      <c r="N20" s="3107" t="s">
        <v>1243</v>
      </c>
      <c r="O20" s="3107"/>
      <c r="P20" s="3107"/>
      <c r="Q20" s="3107"/>
      <c r="R20" s="3107"/>
      <c r="S20" s="3107"/>
      <c r="T20" s="3107"/>
      <c r="U20" s="3107"/>
      <c r="V20" s="546"/>
      <c r="W20" s="546"/>
    </row>
    <row r="21" spans="1:23" ht="24" customHeight="1">
      <c r="A21" s="3158" t="s">
        <v>10091</v>
      </c>
      <c r="B21" s="3158"/>
      <c r="C21" s="3158"/>
      <c r="D21" s="3158"/>
      <c r="E21" s="3122" t="s">
        <v>509</v>
      </c>
      <c r="F21" s="3122"/>
      <c r="G21" s="3122" t="s">
        <v>509</v>
      </c>
      <c r="H21" s="3122"/>
      <c r="I21" s="3122"/>
      <c r="J21" s="3159">
        <f>ROUND(J20*0.005,2)</f>
        <v>0</v>
      </c>
      <c r="K21" s="3159"/>
      <c r="L21" s="3157"/>
      <c r="M21" s="3157"/>
      <c r="N21" s="3107"/>
      <c r="O21" s="3107"/>
      <c r="P21" s="3107"/>
      <c r="Q21" s="3107"/>
      <c r="R21" s="3107"/>
      <c r="S21" s="3107"/>
      <c r="T21" s="3107"/>
      <c r="U21" s="3107"/>
      <c r="V21" s="546"/>
      <c r="W21" s="546"/>
    </row>
    <row r="22" spans="1:23" ht="24" customHeight="1">
      <c r="A22" s="3158" t="s">
        <v>1244</v>
      </c>
      <c r="B22" s="3158"/>
      <c r="C22" s="3158"/>
      <c r="D22" s="3158"/>
      <c r="E22" s="3122" t="s">
        <v>509</v>
      </c>
      <c r="F22" s="3122"/>
      <c r="G22" s="3122" t="s">
        <v>509</v>
      </c>
      <c r="H22" s="3122"/>
      <c r="I22" s="3122"/>
      <c r="J22" s="3159">
        <f>MIN(J16,J21)</f>
        <v>0</v>
      </c>
      <c r="K22" s="3159"/>
      <c r="L22" s="3157"/>
      <c r="M22" s="3157"/>
      <c r="N22" s="3107"/>
      <c r="O22" s="3107"/>
      <c r="P22" s="3107"/>
      <c r="Q22" s="3107"/>
      <c r="R22" s="3107"/>
      <c r="S22" s="3107"/>
      <c r="T22" s="3107"/>
      <c r="U22" s="3107"/>
      <c r="V22" s="546"/>
      <c r="W22" s="546"/>
    </row>
    <row r="23" spans="1:23" ht="24" customHeight="1">
      <c r="A23" s="3150" t="s">
        <v>1245</v>
      </c>
      <c r="B23" s="3150"/>
      <c r="C23" s="3150"/>
      <c r="D23" s="3150"/>
      <c r="E23" s="3151" t="s">
        <v>509</v>
      </c>
      <c r="F23" s="3151"/>
      <c r="G23" s="3151" t="s">
        <v>509</v>
      </c>
      <c r="H23" s="3151"/>
      <c r="I23" s="3151"/>
      <c r="J23" s="3152">
        <f>J15-J22</f>
        <v>0</v>
      </c>
      <c r="K23" s="3152"/>
      <c r="L23" s="3153"/>
      <c r="M23" s="3153"/>
      <c r="N23" s="3107"/>
      <c r="O23" s="3107"/>
      <c r="P23" s="3107"/>
      <c r="Q23" s="3107"/>
      <c r="R23" s="3107"/>
      <c r="S23" s="3107"/>
      <c r="T23" s="3107"/>
      <c r="U23" s="3107"/>
      <c r="V23" s="546"/>
      <c r="W23" s="546"/>
    </row>
    <row r="24" spans="1:23" ht="24" customHeight="1">
      <c r="A24" s="3154" t="s">
        <v>1246</v>
      </c>
      <c r="B24" s="3154"/>
      <c r="C24" s="3154"/>
      <c r="D24" s="3154"/>
      <c r="E24" s="3151" t="s">
        <v>509</v>
      </c>
      <c r="F24" s="3151"/>
      <c r="G24" s="3151" t="s">
        <v>509</v>
      </c>
      <c r="H24" s="3151"/>
      <c r="I24" s="548"/>
      <c r="J24" s="3155">
        <f>视同销售和房地产开发企业特定业务审核表!C30-视同销售和房地产开发企业特定业务审核表!C34</f>
        <v>0</v>
      </c>
      <c r="K24" s="3155"/>
      <c r="L24" s="3156"/>
      <c r="M24" s="3156"/>
      <c r="N24" s="3107"/>
      <c r="O24" s="3107"/>
      <c r="P24" s="3107"/>
      <c r="Q24" s="3107"/>
      <c r="R24" s="3107"/>
      <c r="S24" s="3107"/>
      <c r="T24" s="3107"/>
      <c r="U24" s="3107"/>
      <c r="V24" s="546"/>
      <c r="W24" s="546"/>
    </row>
    <row r="25" spans="1:23" ht="24" hidden="1" customHeight="1">
      <c r="A25" s="3143" t="s">
        <v>1247</v>
      </c>
      <c r="B25" s="3143"/>
      <c r="C25" s="3143"/>
      <c r="D25" s="3143"/>
      <c r="E25" s="3144" t="s">
        <v>509</v>
      </c>
      <c r="F25" s="3144"/>
      <c r="G25" s="3144" t="s">
        <v>509</v>
      </c>
      <c r="H25" s="3144"/>
      <c r="I25" s="549"/>
      <c r="J25" s="3145"/>
      <c r="K25" s="3145"/>
      <c r="L25" s="3146"/>
      <c r="M25" s="3146"/>
      <c r="N25" s="3107"/>
      <c r="O25" s="3107"/>
      <c r="P25" s="3107"/>
      <c r="Q25" s="3107"/>
      <c r="R25" s="3107"/>
      <c r="S25" s="3107"/>
      <c r="T25" s="3107"/>
      <c r="U25" s="3107"/>
      <c r="V25" s="546"/>
      <c r="W25" s="546"/>
    </row>
    <row r="26" spans="1:23" ht="15" customHeight="1">
      <c r="A26" s="3147" t="s">
        <v>1323</v>
      </c>
      <c r="B26" s="3147"/>
      <c r="C26" s="3148" t="s">
        <v>1248</v>
      </c>
      <c r="D26" s="3148"/>
      <c r="E26" s="3102" t="str">
        <f>IF(J23&lt;&gt;0,"、E","")</f>
        <v/>
      </c>
      <c r="F26" s="3102"/>
      <c r="G26" s="3102"/>
      <c r="H26" s="3102"/>
      <c r="I26" s="3102"/>
      <c r="J26" s="3102"/>
      <c r="K26" s="3102"/>
      <c r="L26" s="3102"/>
      <c r="M26" s="3102"/>
      <c r="N26" s="3107"/>
      <c r="O26" s="3107"/>
      <c r="P26" s="3107"/>
      <c r="Q26" s="3107"/>
      <c r="R26" s="3107"/>
      <c r="S26" s="3107"/>
      <c r="T26" s="3107"/>
      <c r="U26" s="3107"/>
    </row>
    <row r="27" spans="1:23" ht="24" customHeight="1">
      <c r="A27" s="3147"/>
      <c r="B27" s="3147"/>
      <c r="C27" s="3149"/>
      <c r="D27" s="3149"/>
      <c r="E27" s="3149"/>
      <c r="F27" s="3149"/>
      <c r="G27" s="3149"/>
      <c r="H27" s="3149"/>
      <c r="I27" s="3149"/>
      <c r="J27" s="3149"/>
      <c r="K27" s="3149"/>
      <c r="L27" s="3149"/>
      <c r="M27" s="3149"/>
      <c r="N27" s="3107"/>
      <c r="O27" s="3107"/>
      <c r="P27" s="3107"/>
      <c r="Q27" s="3107"/>
      <c r="R27" s="3107"/>
      <c r="S27" s="3107"/>
      <c r="T27" s="3107"/>
      <c r="U27" s="3107"/>
    </row>
    <row r="28" spans="1:23" ht="84.75" customHeight="1">
      <c r="A28" s="3147"/>
      <c r="B28" s="3147"/>
      <c r="C28" s="3149"/>
      <c r="D28" s="3149"/>
      <c r="E28" s="3149"/>
      <c r="F28" s="3149"/>
      <c r="G28" s="3149"/>
      <c r="H28" s="3149"/>
      <c r="I28" s="3149"/>
      <c r="J28" s="3149"/>
      <c r="K28" s="3149"/>
      <c r="L28" s="3149"/>
      <c r="M28" s="3149"/>
      <c r="N28" s="547"/>
      <c r="O28" s="551"/>
      <c r="P28" s="551"/>
      <c r="Q28" s="551"/>
      <c r="R28" s="551"/>
      <c r="S28" s="551"/>
      <c r="T28" s="551"/>
      <c r="U28" s="551"/>
    </row>
    <row r="29" spans="1:23" ht="18.75" customHeight="1">
      <c r="A29" s="3140" t="s">
        <v>574</v>
      </c>
      <c r="B29" s="3140"/>
      <c r="C29" s="3141" t="str">
        <f>IF(J23=0,"不存在调整事项，认可！","实际列支招待费大于税法允许列支的限额,应予纳税调整增加"&amp;DOLLAR(J23,2)&amp;"元！")</f>
        <v>不存在调整事项，认可！</v>
      </c>
      <c r="D29" s="3141"/>
      <c r="E29" s="3141"/>
      <c r="F29" s="3141"/>
      <c r="G29" s="3141"/>
      <c r="H29" s="3141"/>
      <c r="I29" s="3141"/>
      <c r="J29" s="3141"/>
      <c r="K29" s="3141"/>
      <c r="L29" s="3141"/>
      <c r="M29" s="3141"/>
      <c r="N29" s="547"/>
      <c r="O29" s="551"/>
      <c r="P29" s="551"/>
      <c r="Q29" s="551"/>
      <c r="R29" s="551"/>
      <c r="S29" s="551"/>
      <c r="T29" s="551"/>
      <c r="U29" s="551"/>
    </row>
    <row r="30" spans="1:23" ht="18.75" customHeight="1">
      <c r="A30" s="3140"/>
      <c r="B30" s="3140"/>
      <c r="C30" s="3141"/>
      <c r="D30" s="3141"/>
      <c r="E30" s="3141"/>
      <c r="F30" s="3141"/>
      <c r="G30" s="3141"/>
      <c r="H30" s="3141"/>
      <c r="I30" s="3141"/>
      <c r="J30" s="3141"/>
      <c r="K30" s="3141"/>
      <c r="L30" s="3141"/>
      <c r="M30" s="3141"/>
      <c r="N30" s="547"/>
      <c r="O30" s="551"/>
      <c r="P30" s="551"/>
      <c r="Q30" s="551"/>
      <c r="R30" s="551"/>
      <c r="S30" s="551"/>
      <c r="T30" s="551"/>
      <c r="U30" s="551"/>
    </row>
    <row r="31" spans="1:23" ht="18.75" customHeight="1">
      <c r="A31" s="3140"/>
      <c r="B31" s="3140"/>
      <c r="C31" s="3141"/>
      <c r="D31" s="3141"/>
      <c r="E31" s="3141"/>
      <c r="F31" s="3141"/>
      <c r="G31" s="3141"/>
      <c r="H31" s="3141"/>
      <c r="I31" s="3141"/>
      <c r="J31" s="3141"/>
      <c r="K31" s="3141"/>
      <c r="L31" s="3141"/>
      <c r="M31" s="3141"/>
      <c r="N31" s="3142" t="s">
        <v>1249</v>
      </c>
      <c r="O31" s="3142"/>
      <c r="P31" s="3142"/>
      <c r="Q31" s="3142"/>
      <c r="R31" s="3142"/>
      <c r="S31" s="3142"/>
      <c r="T31" s="3142"/>
      <c r="U31" s="3142"/>
    </row>
    <row r="32" spans="1:23">
      <c r="A32" s="169"/>
      <c r="B32" s="169"/>
      <c r="C32" s="169"/>
      <c r="D32" s="169"/>
      <c r="E32" s="169"/>
      <c r="F32" s="169"/>
      <c r="G32" s="169"/>
      <c r="H32" s="169"/>
      <c r="I32" s="169"/>
      <c r="J32" s="169"/>
      <c r="K32" s="552"/>
      <c r="L32" s="552"/>
      <c r="M32" s="552"/>
      <c r="N32" s="3142"/>
      <c r="O32" s="3142"/>
      <c r="P32" s="3142"/>
      <c r="Q32" s="3142"/>
      <c r="R32" s="3142"/>
      <c r="S32" s="3142"/>
      <c r="T32" s="3142"/>
      <c r="U32" s="3142"/>
    </row>
    <row r="33" spans="1:21">
      <c r="A33" s="169"/>
      <c r="B33" s="169"/>
      <c r="C33" s="169"/>
      <c r="D33" s="169"/>
      <c r="E33" s="169"/>
      <c r="F33" s="169"/>
      <c r="G33" s="169"/>
      <c r="H33" s="169"/>
      <c r="I33" s="169"/>
      <c r="J33" s="169"/>
      <c r="K33" s="553"/>
      <c r="L33" s="553"/>
      <c r="M33" s="553"/>
      <c r="N33" s="3142"/>
      <c r="O33" s="3142"/>
      <c r="P33" s="3142"/>
      <c r="Q33" s="3142"/>
      <c r="R33" s="3142"/>
      <c r="S33" s="3142"/>
      <c r="T33" s="3142"/>
      <c r="U33" s="3142"/>
    </row>
    <row r="34" spans="1:21">
      <c r="A34" s="169"/>
      <c r="B34" s="169"/>
      <c r="C34" s="169"/>
      <c r="D34" s="169"/>
      <c r="E34" s="169"/>
      <c r="F34" s="169"/>
      <c r="G34" s="169"/>
      <c r="H34" s="169"/>
      <c r="I34" s="169"/>
      <c r="J34" s="169"/>
      <c r="K34" s="553"/>
      <c r="L34" s="553"/>
      <c r="M34" s="553"/>
      <c r="N34" s="3142"/>
      <c r="O34" s="3142"/>
      <c r="P34" s="3142"/>
      <c r="Q34" s="3142"/>
      <c r="R34" s="3142"/>
      <c r="S34" s="3142"/>
      <c r="T34" s="3142"/>
      <c r="U34" s="3142"/>
    </row>
    <row r="35" spans="1:21">
      <c r="A35" s="169"/>
      <c r="B35" s="169"/>
      <c r="C35" s="169"/>
      <c r="D35" s="169"/>
      <c r="E35" s="169"/>
      <c r="F35" s="169"/>
      <c r="G35" s="169"/>
      <c r="H35" s="169"/>
      <c r="I35" s="169"/>
      <c r="J35" s="169"/>
      <c r="K35" s="553"/>
      <c r="L35" s="553"/>
      <c r="M35" s="553"/>
    </row>
    <row r="36" spans="1:21" ht="14.25" customHeight="1">
      <c r="A36" s="169"/>
      <c r="B36" s="169"/>
      <c r="C36" s="169"/>
      <c r="D36" s="169"/>
      <c r="E36" s="169"/>
      <c r="F36" s="169"/>
      <c r="G36" s="169"/>
      <c r="H36" s="169"/>
      <c r="I36" s="169"/>
      <c r="J36" s="169"/>
      <c r="K36" s="169"/>
      <c r="L36" s="169"/>
      <c r="M36" s="169"/>
    </row>
    <row r="37" spans="1:21">
      <c r="A37" s="169"/>
      <c r="B37" s="169"/>
      <c r="C37" s="169"/>
      <c r="D37" s="169"/>
      <c r="E37" s="169"/>
      <c r="F37" s="169"/>
      <c r="G37" s="169"/>
      <c r="H37" s="169"/>
      <c r="I37" s="169"/>
      <c r="J37" s="169"/>
      <c r="K37" s="169"/>
      <c r="L37" s="169"/>
      <c r="M37" s="169"/>
    </row>
    <row r="38" spans="1:21">
      <c r="A38" s="169"/>
      <c r="B38" s="169"/>
      <c r="C38" s="169"/>
      <c r="D38" s="169"/>
      <c r="E38" s="169"/>
      <c r="F38" s="169"/>
      <c r="G38" s="169"/>
      <c r="H38" s="169"/>
      <c r="I38" s="169"/>
      <c r="J38" s="169"/>
      <c r="K38" s="169"/>
      <c r="L38" s="169"/>
      <c r="M38" s="169"/>
    </row>
    <row r="39" spans="1:21">
      <c r="A39" s="169"/>
      <c r="B39" s="169"/>
      <c r="C39" s="169"/>
      <c r="D39" s="169"/>
      <c r="E39" s="169"/>
      <c r="F39" s="169"/>
      <c r="G39" s="169"/>
      <c r="H39" s="169"/>
      <c r="I39" s="169"/>
      <c r="J39" s="169"/>
      <c r="K39" s="169"/>
      <c r="L39" s="169"/>
      <c r="M39" s="169"/>
    </row>
    <row r="40" spans="1:21">
      <c r="A40" s="169"/>
      <c r="B40" s="169"/>
      <c r="C40" s="169"/>
      <c r="D40" s="169"/>
      <c r="E40" s="169"/>
      <c r="F40" s="169"/>
      <c r="G40" s="169"/>
      <c r="H40" s="169"/>
      <c r="I40" s="169"/>
      <c r="J40" s="169"/>
      <c r="K40" s="169"/>
      <c r="L40" s="169"/>
      <c r="M40" s="169"/>
    </row>
  </sheetData>
  <sheetProtection selectLockedCells="1" selectUnlockedCells="1"/>
  <mergeCells count="116">
    <mergeCell ref="A1:M1"/>
    <mergeCell ref="A3:B4"/>
    <mergeCell ref="C3:F4"/>
    <mergeCell ref="J3:K3"/>
    <mergeCell ref="L3:M3"/>
    <mergeCell ref="J4:K4"/>
    <mergeCell ref="L4:M5"/>
    <mergeCell ref="A5:B5"/>
    <mergeCell ref="C5:F5"/>
    <mergeCell ref="J5:K5"/>
    <mergeCell ref="N8:P8"/>
    <mergeCell ref="A9:D9"/>
    <mergeCell ref="E9:F9"/>
    <mergeCell ref="G9:I9"/>
    <mergeCell ref="J9:K9"/>
    <mergeCell ref="L9:M9"/>
    <mergeCell ref="A8:D8"/>
    <mergeCell ref="E8:F8"/>
    <mergeCell ref="G8:I8"/>
    <mergeCell ref="A6:M6"/>
    <mergeCell ref="A7:D7"/>
    <mergeCell ref="E7:F7"/>
    <mergeCell ref="G7:I7"/>
    <mergeCell ref="J7:K7"/>
    <mergeCell ref="L7:M7"/>
    <mergeCell ref="L8:M8"/>
    <mergeCell ref="J8:K8"/>
    <mergeCell ref="L10:M10"/>
    <mergeCell ref="A11:D11"/>
    <mergeCell ref="E11:F11"/>
    <mergeCell ref="G11:I11"/>
    <mergeCell ref="L11:M11"/>
    <mergeCell ref="A10:D10"/>
    <mergeCell ref="E10:F10"/>
    <mergeCell ref="G10:I10"/>
    <mergeCell ref="J10:K10"/>
    <mergeCell ref="J11:K11"/>
    <mergeCell ref="L12:M12"/>
    <mergeCell ref="A13:D13"/>
    <mergeCell ref="E13:F13"/>
    <mergeCell ref="G13:I13"/>
    <mergeCell ref="J13:K13"/>
    <mergeCell ref="L13:M13"/>
    <mergeCell ref="A12:D12"/>
    <mergeCell ref="E12:F12"/>
    <mergeCell ref="G12:I12"/>
    <mergeCell ref="J12:K12"/>
    <mergeCell ref="N14:P14"/>
    <mergeCell ref="L14:M14"/>
    <mergeCell ref="A15:D15"/>
    <mergeCell ref="E15:F15"/>
    <mergeCell ref="G15:I15"/>
    <mergeCell ref="J15:K15"/>
    <mergeCell ref="L15:M15"/>
    <mergeCell ref="A14:D14"/>
    <mergeCell ref="E14:F14"/>
    <mergeCell ref="G14:I14"/>
    <mergeCell ref="J14:K14"/>
    <mergeCell ref="L16:M16"/>
    <mergeCell ref="A17:D17"/>
    <mergeCell ref="E17:F17"/>
    <mergeCell ref="G17:I17"/>
    <mergeCell ref="J17:K17"/>
    <mergeCell ref="L17:M17"/>
    <mergeCell ref="A16:D16"/>
    <mergeCell ref="E16:F16"/>
    <mergeCell ref="G16:I16"/>
    <mergeCell ref="J16:K16"/>
    <mergeCell ref="A20:D20"/>
    <mergeCell ref="E20:F20"/>
    <mergeCell ref="G20:I20"/>
    <mergeCell ref="J20:K20"/>
    <mergeCell ref="L20:M20"/>
    <mergeCell ref="L18:M18"/>
    <mergeCell ref="A19:D19"/>
    <mergeCell ref="E19:F19"/>
    <mergeCell ref="G19:I19"/>
    <mergeCell ref="J19:K19"/>
    <mergeCell ref="L19:M19"/>
    <mergeCell ref="A18:D18"/>
    <mergeCell ref="E18:F18"/>
    <mergeCell ref="G18:I18"/>
    <mergeCell ref="J18:K18"/>
    <mergeCell ref="G22:I22"/>
    <mergeCell ref="J22:K22"/>
    <mergeCell ref="L22:M22"/>
    <mergeCell ref="E24:F24"/>
    <mergeCell ref="G24:H24"/>
    <mergeCell ref="A21:D21"/>
    <mergeCell ref="E21:F21"/>
    <mergeCell ref="G21:I21"/>
    <mergeCell ref="J21:K21"/>
    <mergeCell ref="A29:B31"/>
    <mergeCell ref="C29:M31"/>
    <mergeCell ref="N31:U34"/>
    <mergeCell ref="A25:D25"/>
    <mergeCell ref="E25:F25"/>
    <mergeCell ref="G25:H25"/>
    <mergeCell ref="J25:K25"/>
    <mergeCell ref="L25:M25"/>
    <mergeCell ref="A26:B28"/>
    <mergeCell ref="C26:D26"/>
    <mergeCell ref="N20:U27"/>
    <mergeCell ref="E26:M26"/>
    <mergeCell ref="C27:M28"/>
    <mergeCell ref="A23:D23"/>
    <mergeCell ref="E23:F23"/>
    <mergeCell ref="G23:I23"/>
    <mergeCell ref="J23:K23"/>
    <mergeCell ref="L23:M23"/>
    <mergeCell ref="A24:D24"/>
    <mergeCell ref="J24:K24"/>
    <mergeCell ref="L24:M24"/>
    <mergeCell ref="L21:M21"/>
    <mergeCell ref="A22:D22"/>
    <mergeCell ref="E22:F22"/>
  </mergeCells>
  <phoneticPr fontId="51" type="noConversion"/>
  <dataValidations count="2">
    <dataValidation allowBlank="1" showErrorMessage="1" sqref="H4 C29">
      <formula1>0</formula1>
      <formula2>0</formula2>
    </dataValidation>
    <dataValidation allowBlank="1" showErrorMessage="1" promptTitle="存在调整事项时" prompt="_x000a_选择 “E”" sqref="E26:M26">
      <formula1>0</formula1>
      <formula2>0</formula2>
    </dataValidation>
  </dataValidations>
  <hyperlinks>
    <hyperlink ref="N8" location="纳税调整明细表!C31" display="纳税调整明细表!C31"/>
    <hyperlink ref="N9" location="凭证检查!A1" display="凭证检查"/>
    <hyperlink ref="N10" location="制造费用、生产成本!A1" display="制造费用、生产成本审核表"/>
    <hyperlink ref="N14" location="管理费用!A1" display="管理费用审核表"/>
    <hyperlink ref="N15" location="收入明细表!D17" display="收入明细表!D17"/>
    <hyperlink ref="N16" location="其他事项!E10" display="其他事项!E10"/>
    <hyperlink ref="N17" location="广宣!J32" display="广宣!J32"/>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J87"/>
  <sheetViews>
    <sheetView topLeftCell="A5" workbookViewId="0">
      <selection activeCell="A10" sqref="A10"/>
    </sheetView>
  </sheetViews>
  <sheetFormatPr defaultColWidth="9" defaultRowHeight="15.6"/>
  <cols>
    <col min="1" max="1" width="7.09765625" style="502" customWidth="1"/>
    <col min="2" max="2" width="13.69921875" style="502" customWidth="1"/>
    <col min="3" max="7" width="12.8984375" style="502" customWidth="1"/>
    <col min="8" max="8" width="55.5" style="554" customWidth="1"/>
    <col min="9" max="16384" width="9" style="554"/>
  </cols>
  <sheetData>
    <row r="1" spans="1:9" ht="30" customHeight="1">
      <c r="A1" s="3179" t="s">
        <v>349</v>
      </c>
      <c r="B1" s="3179"/>
      <c r="C1" s="3179"/>
      <c r="D1" s="3179"/>
      <c r="E1" s="3179"/>
      <c r="F1" s="3179"/>
      <c r="G1" s="3179"/>
      <c r="H1" s="3180"/>
      <c r="I1" s="90"/>
    </row>
    <row r="2" spans="1:9" s="558" customFormat="1" ht="20.100000000000001" customHeight="1">
      <c r="A2" s="3137" t="str">
        <f>"委托单位："&amp;基本情况!B2</f>
        <v>委托单位：0</v>
      </c>
      <c r="B2" s="3137"/>
      <c r="C2" s="3137"/>
      <c r="D2" s="556"/>
      <c r="E2" s="136" t="s">
        <v>1282</v>
      </c>
      <c r="F2" s="136" t="s">
        <v>1053</v>
      </c>
      <c r="G2" s="485" t="s">
        <v>283</v>
      </c>
      <c r="H2" s="3180"/>
      <c r="I2" s="557"/>
    </row>
    <row r="3" spans="1:9" s="558" customFormat="1" ht="20.100000000000001" customHeight="1">
      <c r="A3" s="3137"/>
      <c r="B3" s="3137"/>
      <c r="C3" s="3137"/>
      <c r="D3" s="158" t="s">
        <v>450</v>
      </c>
      <c r="E3" s="510">
        <f>基本情况!B12</f>
        <v>0</v>
      </c>
      <c r="F3" s="559" t="str">
        <f>TEXT(基本情况!B21,"yyyy-mm-dd")</f>
        <v>2017-03-16</v>
      </c>
      <c r="G3" s="3138" t="str">
        <f>档案索引!A37</f>
        <v>2A-17</v>
      </c>
      <c r="H3" s="3180"/>
      <c r="I3" s="557"/>
    </row>
    <row r="4" spans="1:9" s="558" customFormat="1" ht="20.100000000000001" customHeight="1">
      <c r="A4" s="3181" t="str">
        <f>"会计期间："&amp;基本情况!B7</f>
        <v>会计期间：2016年01月01日至2016年12月31日</v>
      </c>
      <c r="B4" s="3181"/>
      <c r="C4" s="3181"/>
      <c r="D4" s="140" t="s">
        <v>452</v>
      </c>
      <c r="E4" s="513">
        <f>基本情况!B11</f>
        <v>0</v>
      </c>
      <c r="F4" s="513" t="str">
        <f>TEXT(基本情况!B22,"yyyy-mm-dd")</f>
        <v>2017-05-04</v>
      </c>
      <c r="G4" s="3138"/>
      <c r="H4" s="3180"/>
      <c r="I4" s="557"/>
    </row>
    <row r="5" spans="1:9" s="565" customFormat="1" ht="7.5" customHeight="1">
      <c r="A5" s="560"/>
      <c r="B5" s="561"/>
      <c r="C5" s="562"/>
      <c r="D5" s="563"/>
      <c r="E5" s="561"/>
      <c r="F5" s="561"/>
      <c r="G5" s="564"/>
      <c r="H5" s="543"/>
      <c r="I5" s="543"/>
    </row>
    <row r="6" spans="1:9" s="558" customFormat="1" ht="28.5" customHeight="1">
      <c r="A6" s="566"/>
      <c r="B6" s="567" t="s">
        <v>1250</v>
      </c>
      <c r="C6" s="567" t="s">
        <v>1251</v>
      </c>
      <c r="D6" s="567" t="s">
        <v>1252</v>
      </c>
      <c r="E6" s="567" t="s">
        <v>1253</v>
      </c>
      <c r="F6" s="567" t="s">
        <v>1254</v>
      </c>
      <c r="G6" s="568" t="s">
        <v>1255</v>
      </c>
      <c r="H6" s="84" t="s">
        <v>395</v>
      </c>
      <c r="I6" s="557"/>
    </row>
    <row r="7" spans="1:9" s="558" customFormat="1" ht="23.25" customHeight="1">
      <c r="A7" s="1745" t="s">
        <v>6416</v>
      </c>
      <c r="B7" s="569" t="s">
        <v>1256</v>
      </c>
      <c r="C7" s="569"/>
      <c r="D7" s="509"/>
      <c r="E7" s="509"/>
      <c r="F7" s="509"/>
      <c r="G7" s="570"/>
      <c r="H7" s="493" t="s">
        <v>1288</v>
      </c>
      <c r="I7" s="144"/>
    </row>
    <row r="8" spans="1:9" s="558" customFormat="1" ht="23.25" customHeight="1">
      <c r="A8" s="2693">
        <f t="shared" ref="A8:A12" ca="1" si="0">C18+G18-E18</f>
        <v>0</v>
      </c>
      <c r="B8" s="571" t="s">
        <v>1257</v>
      </c>
      <c r="C8" s="572">
        <f t="array" ref="C8">SUM(IF(YEAR(购入日期)&lt;本年度,IF(资产类别=B8,资产原值)))</f>
        <v>0</v>
      </c>
      <c r="D8" s="573">
        <f t="array" ref="D8">SUM(IF(YEAR(购入日期)=本年度,IF(资产类别=B8,资产购入金额)))</f>
        <v>0</v>
      </c>
      <c r="E8" s="572">
        <f t="array" ref="E8">SUM(IF(YEAR(减少日期)=本年度,IF(资产类别=B8,资产减少金额)))</f>
        <v>0</v>
      </c>
      <c r="F8" s="572">
        <f>C8+D8-E8</f>
        <v>0</v>
      </c>
      <c r="G8" s="574">
        <f>F8</f>
        <v>0</v>
      </c>
      <c r="H8" s="575" t="s">
        <v>619</v>
      </c>
      <c r="I8" s="144"/>
    </row>
    <row r="9" spans="1:9" s="558" customFormat="1" ht="23.25" customHeight="1">
      <c r="A9" s="2693">
        <f t="shared" ca="1" si="0"/>
        <v>0</v>
      </c>
      <c r="B9" s="577" t="s">
        <v>1258</v>
      </c>
      <c r="C9" s="573">
        <f t="array" ref="C9">SUM(IF(YEAR(购入日期)&lt;本年度,IF(资产类别=B9,资产原值)))</f>
        <v>0</v>
      </c>
      <c r="D9" s="573">
        <f t="array" ref="D9">SUM(IF(YEAR(购入日期)=本年度,IF(资产类别=B9,资产购入金额)))</f>
        <v>0</v>
      </c>
      <c r="E9" s="572">
        <f t="array" ref="E9">SUM(IF(YEAR(减少日期)=本年度,IF(资产类别=B9,资产减少金额)))</f>
        <v>0</v>
      </c>
      <c r="F9" s="572">
        <f>C9+D9-E9</f>
        <v>0</v>
      </c>
      <c r="G9" s="574">
        <f>F9</f>
        <v>0</v>
      </c>
      <c r="H9" s="575" t="s">
        <v>1259</v>
      </c>
      <c r="I9" s="144"/>
    </row>
    <row r="10" spans="1:9" s="558" customFormat="1" ht="23.25" customHeight="1">
      <c r="A10" s="2693">
        <f t="shared" ca="1" si="0"/>
        <v>0</v>
      </c>
      <c r="B10" s="577" t="s">
        <v>1260</v>
      </c>
      <c r="C10" s="573">
        <f t="array" ref="C10">SUM(IF(YEAR(购入日期)&lt;本年度,IF(资产类别=B10,资产原值)))</f>
        <v>0</v>
      </c>
      <c r="D10" s="573">
        <f t="array" ref="D10">SUM(IF(YEAR(购入日期)=本年度,IF(资产类别=B10,资产购入金额)))</f>
        <v>0</v>
      </c>
      <c r="E10" s="572">
        <f t="array" ref="E10">SUM(IF(YEAR(减少日期)=本年度,IF(资产类别=B10,资产减少金额)))</f>
        <v>0</v>
      </c>
      <c r="F10" s="572">
        <f>C10+D10-E10</f>
        <v>0</v>
      </c>
      <c r="G10" s="574">
        <f>F10</f>
        <v>0</v>
      </c>
      <c r="H10" s="575" t="s">
        <v>1291</v>
      </c>
      <c r="I10" s="144"/>
    </row>
    <row r="11" spans="1:9" s="558" customFormat="1" ht="23.25" customHeight="1">
      <c r="A11" s="2693">
        <f t="shared" ca="1" si="0"/>
        <v>0</v>
      </c>
      <c r="B11" s="577" t="s">
        <v>1261</v>
      </c>
      <c r="C11" s="573">
        <f t="array" ref="C11">SUM(IF(YEAR(购入日期)&lt;本年度,IF(资产类别=B11,资产原值)))</f>
        <v>0</v>
      </c>
      <c r="D11" s="573">
        <f t="array" ref="D11">SUM(IF(YEAR(购入日期)=本年度,IF(资产类别=B11,资产购入金额)))</f>
        <v>0</v>
      </c>
      <c r="E11" s="572">
        <f t="array" ref="E11">SUM(IF(YEAR(减少日期)=本年度,IF(资产类别=B11,资产减少金额)))</f>
        <v>0</v>
      </c>
      <c r="F11" s="572">
        <f>C11+D11-E11</f>
        <v>0</v>
      </c>
      <c r="G11" s="574">
        <f>F11</f>
        <v>0</v>
      </c>
      <c r="H11" s="232" t="s">
        <v>320</v>
      </c>
      <c r="I11" s="557"/>
    </row>
    <row r="12" spans="1:9" s="558" customFormat="1" ht="23.25" customHeight="1">
      <c r="A12" s="2693">
        <f t="shared" ca="1" si="0"/>
        <v>0</v>
      </c>
      <c r="B12" s="578" t="s">
        <v>1262</v>
      </c>
      <c r="C12" s="579">
        <f t="array" ref="C12">SUM(IF(YEAR(购入日期)&lt;本年度,IF(资产类别=B12,资产原值)))</f>
        <v>0</v>
      </c>
      <c r="D12" s="573">
        <f t="array" ref="D12">SUM(IF(YEAR(购入日期)=本年度,IF(资产类别=B12,资产购入金额)))</f>
        <v>0</v>
      </c>
      <c r="E12" s="572">
        <f t="array" ref="E12">SUM(IF(YEAR(减少日期)=本年度,IF(资产类别=B12,资产减少金额)))</f>
        <v>0</v>
      </c>
      <c r="F12" s="580">
        <f>C12+D12-E12</f>
        <v>0</v>
      </c>
      <c r="G12" s="574">
        <f>F12</f>
        <v>0</v>
      </c>
      <c r="H12" s="575" t="s">
        <v>324</v>
      </c>
      <c r="I12" s="557"/>
    </row>
    <row r="13" spans="1:9" s="558" customFormat="1" ht="23.25" customHeight="1">
      <c r="A13" s="1745" t="s">
        <v>6416</v>
      </c>
      <c r="B13" s="582" t="s">
        <v>702</v>
      </c>
      <c r="C13" s="583">
        <f>SUM(C8:C12)</f>
        <v>0</v>
      </c>
      <c r="D13" s="583">
        <f>SUM(D8:D12)</f>
        <v>0</v>
      </c>
      <c r="E13" s="583">
        <f>SUM(E8:E12)</f>
        <v>0</v>
      </c>
      <c r="F13" s="583">
        <f>SUM(F8:F12)</f>
        <v>0</v>
      </c>
      <c r="G13" s="584">
        <f>SUM(G8:G12)</f>
        <v>0</v>
      </c>
      <c r="H13" s="575" t="s">
        <v>1263</v>
      </c>
      <c r="I13" s="557"/>
    </row>
    <row r="14" spans="1:9" s="558" customFormat="1" ht="23.25" customHeight="1">
      <c r="A14" s="1743"/>
      <c r="B14" s="1711" t="s">
        <v>6409</v>
      </c>
      <c r="C14" s="1730"/>
      <c r="D14" s="1730"/>
      <c r="E14" s="1730"/>
      <c r="F14" s="1731">
        <f>C14+D14-E14</f>
        <v>0</v>
      </c>
      <c r="G14" s="1732">
        <f>F14</f>
        <v>0</v>
      </c>
      <c r="H14" s="1266" t="s">
        <v>6442</v>
      </c>
      <c r="I14" s="557"/>
    </row>
    <row r="15" spans="1:9" s="558" customFormat="1" ht="23.25" customHeight="1">
      <c r="A15" s="1744"/>
      <c r="B15" s="615" t="s">
        <v>6411</v>
      </c>
      <c r="C15" s="1728"/>
      <c r="D15" s="1728"/>
      <c r="E15" s="1728"/>
      <c r="F15" s="527">
        <f>C15+D15-E15</f>
        <v>0</v>
      </c>
      <c r="G15" s="1729">
        <f>F15</f>
        <v>0</v>
      </c>
      <c r="H15" s="1266" t="s">
        <v>6441</v>
      </c>
      <c r="I15" s="557"/>
    </row>
    <row r="16" spans="1:9" s="558" customFormat="1" ht="23.25" customHeight="1">
      <c r="A16" s="581"/>
      <c r="B16" s="1714" t="s">
        <v>6414</v>
      </c>
      <c r="C16" s="1713">
        <f>C14+C15</f>
        <v>0</v>
      </c>
      <c r="D16" s="1713">
        <f>D14+D15</f>
        <v>0</v>
      </c>
      <c r="E16" s="1713">
        <f>E14+E15</f>
        <v>0</v>
      </c>
      <c r="F16" s="1713">
        <f>F14+F15</f>
        <v>0</v>
      </c>
      <c r="G16" s="794"/>
      <c r="H16" s="1266" t="s">
        <v>6412</v>
      </c>
      <c r="I16" s="557"/>
    </row>
    <row r="17" spans="1:10" s="558" customFormat="1" ht="36" customHeight="1">
      <c r="A17" s="837" t="s">
        <v>6415</v>
      </c>
      <c r="B17" s="569" t="s">
        <v>1264</v>
      </c>
      <c r="C17" s="136" t="s">
        <v>1251</v>
      </c>
      <c r="D17" s="136" t="s">
        <v>1252</v>
      </c>
      <c r="E17" s="136" t="s">
        <v>1253</v>
      </c>
      <c r="F17" s="136" t="s">
        <v>1254</v>
      </c>
      <c r="G17" s="505" t="s">
        <v>1265</v>
      </c>
      <c r="H17" s="557"/>
      <c r="I17" s="557"/>
    </row>
    <row r="18" spans="1:10" s="558" customFormat="1" ht="23.25" customHeight="1">
      <c r="A18" s="1742"/>
      <c r="B18" s="571" t="s">
        <v>1257</v>
      </c>
      <c r="C18" s="1118"/>
      <c r="D18" s="572">
        <f>SUMIF(资产类别,B18,本年折旧)</f>
        <v>0</v>
      </c>
      <c r="E18" s="1119"/>
      <c r="F18" s="585">
        <f>C18+D18-E18</f>
        <v>0</v>
      </c>
      <c r="G18" s="586">
        <f ca="1">SUMIF(折旧明细,B18,税收折旧)</f>
        <v>0</v>
      </c>
      <c r="H18" s="3107" t="s">
        <v>850</v>
      </c>
      <c r="I18" s="3107"/>
      <c r="J18" s="587"/>
    </row>
    <row r="19" spans="1:10" s="558" customFormat="1" ht="23.25" customHeight="1">
      <c r="A19" s="732"/>
      <c r="B19" s="577" t="s">
        <v>1258</v>
      </c>
      <c r="C19" s="1120"/>
      <c r="D19" s="573">
        <f>SUMIF(资产类别,B19,本年折旧)</f>
        <v>0</v>
      </c>
      <c r="E19" s="1121"/>
      <c r="F19" s="588">
        <f>C19+D19-E19</f>
        <v>0</v>
      </c>
      <c r="G19" s="586">
        <f ca="1">SUMIF(折旧明细,B19,税收折旧)</f>
        <v>0</v>
      </c>
      <c r="H19" s="3107"/>
      <c r="I19" s="3107"/>
      <c r="J19" s="587"/>
    </row>
    <row r="20" spans="1:10" s="558" customFormat="1" ht="23.25" customHeight="1">
      <c r="A20" s="732"/>
      <c r="B20" s="577" t="s">
        <v>1260</v>
      </c>
      <c r="C20" s="1120"/>
      <c r="D20" s="573">
        <f>SUMIF(资产类别,B20,本年折旧)</f>
        <v>0</v>
      </c>
      <c r="E20" s="1121"/>
      <c r="F20" s="588">
        <f>C20+D20-E20</f>
        <v>0</v>
      </c>
      <c r="G20" s="586">
        <f ca="1">SUMIF(折旧明细,B20,税收折旧)</f>
        <v>0</v>
      </c>
      <c r="H20" s="3107"/>
      <c r="I20" s="3107"/>
      <c r="J20" s="587"/>
    </row>
    <row r="21" spans="1:10" s="558" customFormat="1" ht="23.25" customHeight="1">
      <c r="A21" s="732"/>
      <c r="B21" s="577" t="s">
        <v>1261</v>
      </c>
      <c r="C21" s="1120"/>
      <c r="D21" s="573">
        <f>SUMIF(资产类别,B21,本年折旧)</f>
        <v>0</v>
      </c>
      <c r="E21" s="1121"/>
      <c r="F21" s="588">
        <f>C21+D21-E21</f>
        <v>0</v>
      </c>
      <c r="G21" s="586">
        <f ca="1">SUMIF(折旧明细,B21,税收折旧)</f>
        <v>0</v>
      </c>
      <c r="H21" s="3107"/>
      <c r="I21" s="3107"/>
      <c r="J21" s="587"/>
    </row>
    <row r="22" spans="1:10" s="558" customFormat="1" ht="23.25" customHeight="1">
      <c r="A22" s="737"/>
      <c r="B22" s="578" t="s">
        <v>1262</v>
      </c>
      <c r="C22" s="1122"/>
      <c r="D22" s="579">
        <f>SUMIF(资产类别,B22,本年折旧)</f>
        <v>0</v>
      </c>
      <c r="E22" s="1123"/>
      <c r="F22" s="589">
        <f>C22+D22-E22</f>
        <v>0</v>
      </c>
      <c r="G22" s="586">
        <f ca="1">SUMIF(折旧明细,B22,税收折旧)</f>
        <v>0</v>
      </c>
      <c r="H22" s="3107"/>
      <c r="I22" s="3107"/>
    </row>
    <row r="23" spans="1:10" s="558" customFormat="1" ht="23.25" customHeight="1">
      <c r="A23" s="837" t="s">
        <v>6415</v>
      </c>
      <c r="B23" s="582" t="s">
        <v>702</v>
      </c>
      <c r="C23" s="590">
        <f>SUM(C18:C22)</f>
        <v>0</v>
      </c>
      <c r="D23" s="590">
        <f>SUM(D18:D22)</f>
        <v>0</v>
      </c>
      <c r="E23" s="590">
        <f>SUM(E18:E22)</f>
        <v>0</v>
      </c>
      <c r="F23" s="590">
        <f>SUM(F18:F22)</f>
        <v>0</v>
      </c>
      <c r="G23" s="533">
        <f ca="1">SUM(G18:G22)</f>
        <v>0</v>
      </c>
      <c r="H23" s="591" t="s">
        <v>851</v>
      </c>
      <c r="I23" s="592"/>
    </row>
    <row r="24" spans="1:10" s="558" customFormat="1" ht="23.25" customHeight="1">
      <c r="A24" s="1740"/>
      <c r="B24" s="1710" t="s">
        <v>6408</v>
      </c>
      <c r="C24" s="1736"/>
      <c r="D24" s="1736"/>
      <c r="E24" s="1736"/>
      <c r="F24" s="985">
        <f t="shared" ref="F24:F25" si="1">C24+D24-E24</f>
        <v>0</v>
      </c>
      <c r="G24" s="1738"/>
      <c r="H24" s="484"/>
      <c r="I24" s="592"/>
    </row>
    <row r="25" spans="1:10" s="558" customFormat="1" ht="23.25" customHeight="1">
      <c r="A25" s="1741"/>
      <c r="B25" s="1734" t="s">
        <v>6410</v>
      </c>
      <c r="C25" s="1735"/>
      <c r="D25" s="1735"/>
      <c r="E25" s="1735"/>
      <c r="F25" s="1731">
        <f t="shared" si="1"/>
        <v>0</v>
      </c>
      <c r="G25" s="1739"/>
      <c r="H25" s="484"/>
      <c r="I25" s="592"/>
    </row>
    <row r="26" spans="1:10" s="558" customFormat="1" ht="23.25" customHeight="1">
      <c r="A26" s="1733"/>
      <c r="B26" s="1712" t="s">
        <v>6413</v>
      </c>
      <c r="C26" s="1727">
        <f>C24+C25</f>
        <v>0</v>
      </c>
      <c r="D26" s="1727">
        <f>D24+D25</f>
        <v>0</v>
      </c>
      <c r="E26" s="1727">
        <f>E24+E25</f>
        <v>0</v>
      </c>
      <c r="F26" s="1713">
        <f>F24+F25</f>
        <v>0</v>
      </c>
      <c r="G26" s="1737"/>
      <c r="H26" s="484"/>
      <c r="I26" s="592"/>
    </row>
    <row r="27" spans="1:10" s="558" customFormat="1" ht="20.25" customHeight="1">
      <c r="A27" s="2918" t="s">
        <v>852</v>
      </c>
      <c r="B27" s="2918"/>
      <c r="C27" s="2918"/>
      <c r="D27" s="2918"/>
      <c r="E27" s="2918"/>
      <c r="F27" s="2918"/>
      <c r="G27" s="2918"/>
      <c r="H27" s="557"/>
      <c r="I27" s="557"/>
    </row>
    <row r="28" spans="1:10" s="558" customFormat="1" ht="26.25" customHeight="1">
      <c r="A28" s="3176" t="s">
        <v>853</v>
      </c>
      <c r="B28" s="3176"/>
      <c r="C28" s="593" t="s">
        <v>854</v>
      </c>
      <c r="D28" s="593" t="s">
        <v>855</v>
      </c>
      <c r="E28" s="593" t="s">
        <v>1292</v>
      </c>
      <c r="F28" s="593" t="s">
        <v>856</v>
      </c>
      <c r="G28" s="594" t="s">
        <v>702</v>
      </c>
      <c r="H28" s="557"/>
      <c r="I28" s="557"/>
    </row>
    <row r="29" spans="1:10" s="558" customFormat="1" ht="26.25" customHeight="1">
      <c r="A29" s="2922" t="s">
        <v>557</v>
      </c>
      <c r="B29" s="2922"/>
      <c r="C29" s="1124"/>
      <c r="D29" s="595">
        <f>营业费用!H20</f>
        <v>0</v>
      </c>
      <c r="E29" s="595">
        <f>管理费用!H20</f>
        <v>0</v>
      </c>
      <c r="F29" s="1125"/>
      <c r="G29" s="596">
        <f>SUM(C29:F29)</f>
        <v>0</v>
      </c>
      <c r="H29" s="557"/>
      <c r="I29" s="557"/>
    </row>
    <row r="30" spans="1:10" s="558" customFormat="1" ht="24" customHeight="1">
      <c r="A30" s="3163" t="s">
        <v>641</v>
      </c>
      <c r="B30" s="3163"/>
      <c r="C30" s="3177" t="str">
        <f>IF(F13&lt;&gt;资产负债!D23,"固定资产原值账载数与报表数相差"&amp;DOLLAR(F13-资产负债!D23,2)&amp;"元！","固定资产原值账载数与报表数相符！")</f>
        <v>固定资产原值账载数与报表数相符！</v>
      </c>
      <c r="D30" s="3177"/>
      <c r="E30" s="3177"/>
      <c r="F30" s="3177"/>
      <c r="G30" s="3177"/>
      <c r="H30" s="557"/>
      <c r="I30" s="557"/>
    </row>
    <row r="31" spans="1:10" s="558" customFormat="1" ht="24" customHeight="1">
      <c r="A31" s="3163"/>
      <c r="B31" s="3163"/>
      <c r="C31" s="3178" t="str">
        <f>IF(F23&lt;&gt;资产负债!D24,"累计折旧账载数与报表数相差"&amp;DOLLAR(F23-资产负债!D24,2)&amp;"元！","累计折旧账载数与报表数相符！")</f>
        <v>累计折旧账载数与报表数相符！</v>
      </c>
      <c r="D31" s="3178"/>
      <c r="E31" s="3178"/>
      <c r="F31" s="3178"/>
      <c r="G31" s="3178"/>
      <c r="H31" s="557"/>
      <c r="I31" s="557"/>
    </row>
    <row r="32" spans="1:10" s="558" customFormat="1" ht="24" customHeight="1">
      <c r="A32" s="3163"/>
      <c r="B32" s="3163"/>
      <c r="C32" s="3141" t="str">
        <f>IF(G29&lt;&gt;D23,"对应科目折旧发生额与本期折旧额相差"&amp;DOLLAR(G29-D23,2)&amp;"元！","对应科目折旧发生额与本期折旧额相符！")</f>
        <v>对应科目折旧发生额与本期折旧额相符！</v>
      </c>
      <c r="D32" s="3141"/>
      <c r="E32" s="3141"/>
      <c r="F32" s="3141"/>
      <c r="G32" s="3141"/>
      <c r="H32" s="557"/>
      <c r="I32" s="557"/>
    </row>
    <row r="33" spans="1:9" s="558" customFormat="1" ht="15" customHeight="1">
      <c r="A33" s="3147" t="s">
        <v>1323</v>
      </c>
      <c r="B33" s="3147"/>
      <c r="C33" s="3173" t="s">
        <v>857</v>
      </c>
      <c r="D33" s="3173"/>
      <c r="E33" s="3174" t="str">
        <f ca="1">IF(D23-G23&gt;0,"、E","")</f>
        <v/>
      </c>
      <c r="F33" s="3174"/>
      <c r="G33" s="3174"/>
      <c r="H33" s="557"/>
      <c r="I33" s="557"/>
    </row>
    <row r="34" spans="1:9" s="558" customFormat="1" ht="43.5" customHeight="1">
      <c r="A34" s="3147"/>
      <c r="B34" s="3147"/>
      <c r="C34" s="3175"/>
      <c r="D34" s="3175"/>
      <c r="E34" s="3175"/>
      <c r="F34" s="3175"/>
      <c r="G34" s="3175"/>
      <c r="H34" s="557"/>
      <c r="I34" s="557"/>
    </row>
    <row r="35" spans="1:9" s="558" customFormat="1" ht="28.5" customHeight="1">
      <c r="A35" s="3172" t="s">
        <v>574</v>
      </c>
      <c r="B35" s="3172"/>
      <c r="C35" s="3141" t="str">
        <f ca="1">IF(D23-G23&gt;0,"会计折旧大于税法允许计提的折旧额,应予纳税调整增加"&amp;DOLLAR(D23-G23,2)&amp;"元！",IF(D23-G23&lt;0,"会计折旧小于税法允许计提的折旧额,应予纳税调整减少"&amp;DOLLAR(G23-D23,2)&amp;"元！","折旧计提未超过税法允许的数额,认可！"))</f>
        <v>折旧计提未超过税法允许的数额,认可！</v>
      </c>
      <c r="D35" s="3141"/>
      <c r="E35" s="3141"/>
      <c r="F35" s="3141"/>
      <c r="G35" s="3141"/>
      <c r="H35" s="598"/>
      <c r="I35" s="557"/>
    </row>
    <row r="36" spans="1:9" s="130" customFormat="1" ht="13.5" customHeight="1">
      <c r="A36" s="502"/>
      <c r="B36" s="502"/>
      <c r="C36" s="502"/>
      <c r="D36" s="502"/>
      <c r="E36" s="599"/>
      <c r="F36" s="599"/>
      <c r="G36" s="599"/>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H18:I22"/>
    <mergeCell ref="A1:G1"/>
    <mergeCell ref="H1:H4"/>
    <mergeCell ref="A2:C3"/>
    <mergeCell ref="G3:G4"/>
    <mergeCell ref="A4:C4"/>
    <mergeCell ref="A27:G27"/>
    <mergeCell ref="A28:B28"/>
    <mergeCell ref="A29:B29"/>
    <mergeCell ref="A30:B32"/>
    <mergeCell ref="C30:G30"/>
    <mergeCell ref="C31:G31"/>
    <mergeCell ref="C32:G32"/>
    <mergeCell ref="A35:B35"/>
    <mergeCell ref="C35:G35"/>
    <mergeCell ref="A33:B34"/>
    <mergeCell ref="C33:D33"/>
    <mergeCell ref="E33:G33"/>
    <mergeCell ref="C34:G34"/>
  </mergeCells>
  <phoneticPr fontId="51" type="noConversion"/>
  <dataValidations count="2">
    <dataValidation allowBlank="1" showErrorMessage="1" sqref="E3">
      <formula1>0</formula1>
      <formula2>0</formula2>
    </dataValidation>
    <dataValidation allowBlank="1" showErrorMessage="1" promptTitle="存在调整事项时" prompt="_x000a_选择 “E”" sqref="E33:G33">
      <formula1>0</formula1>
      <formula2>0</formula2>
    </dataValidation>
  </dataValidations>
  <hyperlinks>
    <hyperlink ref="H7" location="资产负债!A1" display="资产负债表"/>
    <hyperlink ref="H8" location="资产折旧纳税调整表!A1" display="资产折旧纳税调整表"/>
    <hyperlink ref="H9" location="折旧测算!A1" display="折旧验算表"/>
    <hyperlink ref="H10" location="纳税调整明细表!A1" display="纳税调整明细表"/>
    <hyperlink ref="H11" location="营业费用!A1" display="营业费用审核表"/>
    <hyperlink ref="H12" location="管理费用!A1" display="管理费用审核表"/>
    <hyperlink ref="H13" location="在建工程审核表!A1" display="在建工程审核表"/>
    <hyperlink ref="H16" location="A105081固定资产加速折旧、扣除明细表!A1" display="A105081固定资产加速折旧、扣除明细表!A1"/>
    <hyperlink ref="H14" location="固定资产加速折旧审核表!A1" display="固定资产加速折旧审核表!A1"/>
    <hyperlink ref="H15" location="A105080资产折旧、摊销情况及纳税调整明细表!A1" display="A105080资产折旧、摊销情况及纳税调整明细表!A1"/>
  </hyperlinks>
  <pageMargins left="0.78740157480314998" right="0.35433070866141703" top="0.511811023622047" bottom="0.11811023622047198" header="0.511811023622047" footer="0.511811023622047"/>
  <pageSetup paperSize="9" firstPageNumber="0" fitToWidth="0" orientation="portrait" blackAndWhite="1"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S1015"/>
  <sheetViews>
    <sheetView workbookViewId="0">
      <selection activeCell="P11" sqref="P11"/>
    </sheetView>
  </sheetViews>
  <sheetFormatPr defaultColWidth="9" defaultRowHeight="12"/>
  <cols>
    <col min="1" max="1" width="7" style="502" customWidth="1"/>
    <col min="2" max="2" width="7.09765625" style="502" customWidth="1"/>
    <col min="3" max="3" width="9.5" style="600" customWidth="1"/>
    <col min="4" max="4" width="8.19921875" style="601" customWidth="1"/>
    <col min="5" max="6" width="9.5" style="601" customWidth="1"/>
    <col min="7" max="7" width="8.19921875" style="601" customWidth="1"/>
    <col min="8" max="11" width="9.5" style="601" customWidth="1"/>
    <col min="12" max="13" width="9.5" style="600" customWidth="1"/>
    <col min="14" max="14" width="9.5" style="502" customWidth="1"/>
    <col min="15" max="15" width="7.69921875" style="502" customWidth="1"/>
    <col min="16" max="16" width="27.09765625" style="502" customWidth="1"/>
    <col min="17" max="16384" width="9" style="502"/>
  </cols>
  <sheetData>
    <row r="1" spans="1:19" ht="26.25" customHeight="1">
      <c r="A1" s="2785" t="s">
        <v>858</v>
      </c>
      <c r="B1" s="2785"/>
      <c r="C1" s="2785"/>
      <c r="D1" s="2785"/>
      <c r="E1" s="2785"/>
      <c r="F1" s="2785"/>
      <c r="G1" s="2785"/>
      <c r="H1" s="2785"/>
      <c r="I1" s="2785"/>
      <c r="J1" s="2785"/>
      <c r="K1" s="2785"/>
      <c r="L1" s="2785"/>
      <c r="M1" s="2785"/>
      <c r="N1" s="2785"/>
      <c r="O1" s="2785"/>
      <c r="P1" s="3180"/>
      <c r="Q1" s="144"/>
      <c r="R1" s="144"/>
      <c r="S1" s="144"/>
    </row>
    <row r="2" spans="1:19" ht="22.5" customHeight="1">
      <c r="A2" s="3191" t="str">
        <f>"委托单位："&amp;基本情况!B2</f>
        <v>委托单位：0</v>
      </c>
      <c r="B2" s="3191"/>
      <c r="C2" s="3191"/>
      <c r="D2" s="3191"/>
      <c r="E2" s="3191"/>
      <c r="F2" s="3191"/>
      <c r="G2" s="602" t="s">
        <v>450</v>
      </c>
      <c r="H2" s="3192">
        <f>基本情况!B12</f>
        <v>0</v>
      </c>
      <c r="I2" s="3192"/>
      <c r="J2" s="136" t="s">
        <v>449</v>
      </c>
      <c r="K2" s="3193" t="str">
        <f>TEXT(基本情况!B21,"yyyy-mm-dd")</f>
        <v>2017-03-16</v>
      </c>
      <c r="L2" s="3193"/>
      <c r="M2" s="1685"/>
      <c r="N2" s="3194" t="s">
        <v>283</v>
      </c>
      <c r="O2" s="3195"/>
      <c r="P2" s="3180"/>
      <c r="Q2" s="144"/>
      <c r="R2" s="144"/>
      <c r="S2" s="144"/>
    </row>
    <row r="3" spans="1:19" ht="22.5" customHeight="1">
      <c r="A3" s="3189" t="str">
        <f>"会计期间："&amp;基本情况!B7</f>
        <v>会计期间：2016年01月01日至2016年12月31日</v>
      </c>
      <c r="B3" s="3189"/>
      <c r="C3" s="3189"/>
      <c r="D3" s="3189"/>
      <c r="E3" s="3189"/>
      <c r="F3" s="3189"/>
      <c r="G3" s="604" t="s">
        <v>452</v>
      </c>
      <c r="H3" s="3190">
        <f>基本情况!B11</f>
        <v>0</v>
      </c>
      <c r="I3" s="3190"/>
      <c r="J3" s="605" t="s">
        <v>449</v>
      </c>
      <c r="K3" s="3190" t="str">
        <f>TEXT(基本情况!B22,"yyyy-mm-dd")</f>
        <v>2017-05-04</v>
      </c>
      <c r="L3" s="3190"/>
      <c r="M3" s="1686"/>
      <c r="N3" s="3194"/>
      <c r="O3" s="3195"/>
      <c r="P3" s="3180"/>
      <c r="Q3" s="144"/>
      <c r="R3" s="144"/>
      <c r="S3" s="144"/>
    </row>
    <row r="4" spans="1:19" s="607" customFormat="1" ht="7.5" customHeight="1">
      <c r="A4" s="2926"/>
      <c r="B4" s="2926"/>
      <c r="C4" s="2926"/>
      <c r="D4" s="2926"/>
      <c r="E4" s="2926"/>
      <c r="F4" s="2926"/>
      <c r="G4" s="2926"/>
      <c r="H4" s="2926"/>
      <c r="I4" s="2926"/>
      <c r="J4" s="2926"/>
      <c r="K4" s="2926"/>
      <c r="L4" s="2926"/>
      <c r="M4" s="2926"/>
      <c r="N4" s="2926"/>
      <c r="O4" s="2926"/>
      <c r="P4" s="3180"/>
      <c r="Q4" s="606"/>
      <c r="R4" s="606"/>
      <c r="S4" s="606"/>
    </row>
    <row r="5" spans="1:19" s="607" customFormat="1" ht="18" customHeight="1">
      <c r="A5" s="3147" t="s">
        <v>1250</v>
      </c>
      <c r="B5" s="3184" t="s">
        <v>859</v>
      </c>
      <c r="C5" s="3185" t="s">
        <v>860</v>
      </c>
      <c r="D5" s="3182" t="s">
        <v>1252</v>
      </c>
      <c r="E5" s="3182"/>
      <c r="F5" s="3182"/>
      <c r="G5" s="3182" t="s">
        <v>1253</v>
      </c>
      <c r="H5" s="3182"/>
      <c r="I5" s="3182"/>
      <c r="J5" s="3186" t="s">
        <v>861</v>
      </c>
      <c r="K5" s="3186" t="s">
        <v>862</v>
      </c>
      <c r="L5" s="3185" t="s">
        <v>863</v>
      </c>
      <c r="M5" s="3187" t="s">
        <v>6089</v>
      </c>
      <c r="N5" s="3184" t="s">
        <v>864</v>
      </c>
      <c r="O5" s="3129" t="s">
        <v>865</v>
      </c>
      <c r="P5" s="555"/>
      <c r="Q5" s="606"/>
      <c r="R5" s="606"/>
      <c r="S5" s="606"/>
    </row>
    <row r="6" spans="1:19" ht="21" customHeight="1">
      <c r="A6" s="3147"/>
      <c r="B6" s="3184"/>
      <c r="C6" s="3185"/>
      <c r="D6" s="609" t="s">
        <v>866</v>
      </c>
      <c r="E6" s="609" t="s">
        <v>557</v>
      </c>
      <c r="F6" s="609" t="s">
        <v>867</v>
      </c>
      <c r="G6" s="609" t="s">
        <v>868</v>
      </c>
      <c r="H6" s="609" t="s">
        <v>557</v>
      </c>
      <c r="I6" s="609" t="s">
        <v>869</v>
      </c>
      <c r="J6" s="3186"/>
      <c r="K6" s="3186"/>
      <c r="L6" s="3185"/>
      <c r="M6" s="3188"/>
      <c r="N6" s="3184"/>
      <c r="O6" s="3129"/>
      <c r="P6" s="543"/>
      <c r="Q6" s="144"/>
      <c r="R6" s="144"/>
      <c r="S6" s="144"/>
    </row>
    <row r="7" spans="1:19" ht="46.5" customHeight="1">
      <c r="A7" s="610" t="s">
        <v>870</v>
      </c>
      <c r="B7" s="611" t="s">
        <v>871</v>
      </c>
      <c r="C7" s="612">
        <v>1</v>
      </c>
      <c r="D7" s="613" t="s">
        <v>872</v>
      </c>
      <c r="E7" s="614">
        <v>2</v>
      </c>
      <c r="F7" s="613" t="s">
        <v>873</v>
      </c>
      <c r="G7" s="613" t="s">
        <v>874</v>
      </c>
      <c r="H7" s="614">
        <v>4</v>
      </c>
      <c r="I7" s="613" t="s">
        <v>875</v>
      </c>
      <c r="J7" s="615" t="s">
        <v>876</v>
      </c>
      <c r="K7" s="615" t="s">
        <v>877</v>
      </c>
      <c r="L7" s="616">
        <v>8</v>
      </c>
      <c r="M7" s="616" t="s">
        <v>6090</v>
      </c>
      <c r="N7" s="617" t="s">
        <v>6091</v>
      </c>
      <c r="O7" s="618" t="s">
        <v>878</v>
      </c>
      <c r="P7" s="543"/>
      <c r="Q7" s="144"/>
      <c r="R7" s="144"/>
      <c r="S7" s="144"/>
    </row>
    <row r="8" spans="1:19" ht="18" customHeight="1">
      <c r="A8" s="3163" t="s">
        <v>702</v>
      </c>
      <c r="B8" s="3163"/>
      <c r="C8" s="619">
        <f>SUM(C9:C1004)</f>
        <v>0</v>
      </c>
      <c r="D8" s="620"/>
      <c r="E8" s="619">
        <f>SUM(E9:E1004)</f>
        <v>0</v>
      </c>
      <c r="F8" s="619">
        <f>SUM(F9:F1004)</f>
        <v>0</v>
      </c>
      <c r="G8" s="620"/>
      <c r="H8" s="621">
        <f t="shared" ref="H8:O8" si="0">SUM(H9:H1004)</f>
        <v>0</v>
      </c>
      <c r="I8" s="621">
        <f t="shared" si="0"/>
        <v>0</v>
      </c>
      <c r="J8" s="621">
        <f t="shared" si="0"/>
        <v>0</v>
      </c>
      <c r="K8" s="621">
        <f t="shared" si="0"/>
        <v>0</v>
      </c>
      <c r="L8" s="621">
        <f t="shared" si="0"/>
        <v>0</v>
      </c>
      <c r="M8" s="621">
        <f t="shared" si="0"/>
        <v>0</v>
      </c>
      <c r="N8" s="622">
        <f t="shared" si="0"/>
        <v>0</v>
      </c>
      <c r="O8" s="623">
        <f t="shared" si="0"/>
        <v>0</v>
      </c>
      <c r="P8" s="84" t="s">
        <v>395</v>
      </c>
      <c r="Q8" s="144"/>
      <c r="R8" s="144"/>
      <c r="S8" s="144"/>
    </row>
    <row r="9" spans="1:19" ht="14.25" customHeight="1">
      <c r="A9" s="624" t="s">
        <v>1261</v>
      </c>
      <c r="B9" s="625"/>
      <c r="C9" s="1126"/>
      <c r="D9" s="626"/>
      <c r="E9" s="1126"/>
      <c r="F9" s="627">
        <f>E9*(12-MONTH(D9))/12</f>
        <v>0</v>
      </c>
      <c r="G9" s="628"/>
      <c r="H9" s="1129"/>
      <c r="I9" s="629">
        <f>H9*(12-MONTH(G9))/12</f>
        <v>0</v>
      </c>
      <c r="J9" s="627">
        <f t="shared" ref="J9:J17" si="1">C9+E9-H9</f>
        <v>0</v>
      </c>
      <c r="K9" s="627">
        <f t="shared" ref="K9:K17" si="2">C9+F9-I9</f>
        <v>0</v>
      </c>
      <c r="L9" s="1126"/>
      <c r="M9" s="1687"/>
      <c r="N9" s="1689">
        <f>IF(M9&lt;&gt;0,ROUND(B9*K9,2)+M9,IF(ABS(ROUND(K9*B9,2)-L9)&lt;3,L9,MIN(ROUND(K9*B9,2),L9)))</f>
        <v>0</v>
      </c>
      <c r="O9" s="1690">
        <f>IF(ISERROR(L9-N9),"",IF(ABS(L9-N9)&lt;3,0,L9-N9))</f>
        <v>0</v>
      </c>
      <c r="P9" s="493" t="s">
        <v>1288</v>
      </c>
      <c r="Q9" s="144"/>
      <c r="R9" s="144"/>
      <c r="S9" s="144"/>
    </row>
    <row r="10" spans="1:19" ht="14.25" customHeight="1">
      <c r="A10" s="630"/>
      <c r="B10" s="631"/>
      <c r="C10" s="1127"/>
      <c r="D10" s="632"/>
      <c r="E10" s="1127"/>
      <c r="F10" s="633">
        <f>E10*(12-MONTH(D10))/12</f>
        <v>0</v>
      </c>
      <c r="G10" s="632"/>
      <c r="H10" s="1127"/>
      <c r="I10" s="633">
        <f>H10*(12-MONTH(G10))/12</f>
        <v>0</v>
      </c>
      <c r="J10" s="633">
        <f t="shared" si="1"/>
        <v>0</v>
      </c>
      <c r="K10" s="633">
        <f t="shared" si="2"/>
        <v>0</v>
      </c>
      <c r="L10" s="1127"/>
      <c r="M10" s="1127"/>
      <c r="N10" s="1691">
        <f t="shared" ref="N10:N73" si="3">IF(M10&lt;&gt;0,ROUND(B10*K10,2)+M10,IF(ABS(ROUND(K10*B10,2)-L10)&lt;3,L10,MIN(ROUND(K10*B10,2),L10)))</f>
        <v>0</v>
      </c>
      <c r="O10" s="634">
        <f t="shared" ref="O10:O73" si="4">IF(ISERROR(L10-N10),"",IF(ABS(L10-N10)&lt;3,0,L10-N10))</f>
        <v>0</v>
      </c>
      <c r="P10" s="575" t="s">
        <v>619</v>
      </c>
      <c r="Q10" s="144"/>
      <c r="R10" s="144"/>
      <c r="S10" s="144"/>
    </row>
    <row r="11" spans="1:19" ht="14.25" customHeight="1">
      <c r="A11" s="630"/>
      <c r="B11" s="631"/>
      <c r="C11" s="1127"/>
      <c r="D11" s="632"/>
      <c r="E11" s="1127"/>
      <c r="F11" s="633">
        <f t="shared" ref="F11:F74" si="5">E11*(12-MONTH(D11))/12</f>
        <v>0</v>
      </c>
      <c r="G11" s="632"/>
      <c r="H11" s="1127"/>
      <c r="I11" s="633">
        <f t="shared" ref="I11:I74" si="6">H11*(12-MONTH(G11))/12</f>
        <v>0</v>
      </c>
      <c r="J11" s="633">
        <f t="shared" si="1"/>
        <v>0</v>
      </c>
      <c r="K11" s="633">
        <f t="shared" si="2"/>
        <v>0</v>
      </c>
      <c r="L11" s="1127"/>
      <c r="M11" s="1127"/>
      <c r="N11" s="1691">
        <f t="shared" si="3"/>
        <v>0</v>
      </c>
      <c r="O11" s="634">
        <f t="shared" si="4"/>
        <v>0</v>
      </c>
      <c r="P11" s="575" t="s">
        <v>879</v>
      </c>
      <c r="Q11" s="144"/>
      <c r="R11" s="144"/>
      <c r="S11" s="144"/>
    </row>
    <row r="12" spans="1:19" ht="14.25" customHeight="1">
      <c r="A12" s="630"/>
      <c r="B12" s="631"/>
      <c r="C12" s="1127"/>
      <c r="D12" s="632"/>
      <c r="E12" s="1127"/>
      <c r="F12" s="633">
        <f t="shared" si="5"/>
        <v>0</v>
      </c>
      <c r="G12" s="632"/>
      <c r="H12" s="1127"/>
      <c r="I12" s="633">
        <f t="shared" si="6"/>
        <v>0</v>
      </c>
      <c r="J12" s="633">
        <f t="shared" si="1"/>
        <v>0</v>
      </c>
      <c r="K12" s="633">
        <f t="shared" si="2"/>
        <v>0</v>
      </c>
      <c r="L12" s="1127"/>
      <c r="M12" s="1127"/>
      <c r="N12" s="1691">
        <f t="shared" si="3"/>
        <v>0</v>
      </c>
      <c r="O12" s="634">
        <f t="shared" si="4"/>
        <v>0</v>
      </c>
      <c r="P12" s="1266" t="s">
        <v>6442</v>
      </c>
      <c r="Q12" s="144"/>
      <c r="R12" s="144"/>
      <c r="S12" s="144"/>
    </row>
    <row r="13" spans="1:19" ht="14.25" customHeight="1">
      <c r="A13" s="630"/>
      <c r="B13" s="631"/>
      <c r="C13" s="1127"/>
      <c r="D13" s="632"/>
      <c r="E13" s="1127"/>
      <c r="F13" s="633">
        <f t="shared" si="5"/>
        <v>0</v>
      </c>
      <c r="G13" s="632"/>
      <c r="H13" s="1127"/>
      <c r="I13" s="633">
        <f t="shared" si="6"/>
        <v>0</v>
      </c>
      <c r="J13" s="633">
        <f t="shared" si="1"/>
        <v>0</v>
      </c>
      <c r="K13" s="633">
        <f t="shared" si="2"/>
        <v>0</v>
      </c>
      <c r="L13" s="1127"/>
      <c r="M13" s="1127"/>
      <c r="N13" s="1691">
        <f t="shared" si="3"/>
        <v>0</v>
      </c>
      <c r="O13" s="634">
        <f t="shared" si="4"/>
        <v>0</v>
      </c>
      <c r="P13" s="575"/>
      <c r="Q13" s="144"/>
      <c r="R13" s="144"/>
      <c r="S13" s="144"/>
    </row>
    <row r="14" spans="1:19" ht="14.25" customHeight="1">
      <c r="A14" s="630"/>
      <c r="B14" s="631"/>
      <c r="C14" s="1127"/>
      <c r="D14" s="632"/>
      <c r="E14" s="1127"/>
      <c r="F14" s="633">
        <f t="shared" si="5"/>
        <v>0</v>
      </c>
      <c r="G14" s="632"/>
      <c r="H14" s="1127"/>
      <c r="I14" s="633">
        <f t="shared" si="6"/>
        <v>0</v>
      </c>
      <c r="J14" s="633">
        <f t="shared" si="1"/>
        <v>0</v>
      </c>
      <c r="K14" s="633">
        <f t="shared" si="2"/>
        <v>0</v>
      </c>
      <c r="L14" s="1127"/>
      <c r="M14" s="1127"/>
      <c r="N14" s="1691">
        <f t="shared" si="3"/>
        <v>0</v>
      </c>
      <c r="O14" s="634">
        <f t="shared" si="4"/>
        <v>0</v>
      </c>
      <c r="P14" s="575"/>
      <c r="Q14" s="144"/>
      <c r="R14" s="144"/>
      <c r="S14" s="144"/>
    </row>
    <row r="15" spans="1:19" ht="14.25" customHeight="1">
      <c r="A15" s="630"/>
      <c r="B15" s="631"/>
      <c r="C15" s="1127"/>
      <c r="D15" s="632"/>
      <c r="E15" s="1127"/>
      <c r="F15" s="633">
        <f t="shared" si="5"/>
        <v>0</v>
      </c>
      <c r="G15" s="632"/>
      <c r="H15" s="1127"/>
      <c r="I15" s="633">
        <f t="shared" si="6"/>
        <v>0</v>
      </c>
      <c r="J15" s="633">
        <f t="shared" si="1"/>
        <v>0</v>
      </c>
      <c r="K15" s="633">
        <f t="shared" si="2"/>
        <v>0</v>
      </c>
      <c r="L15" s="1127"/>
      <c r="M15" s="1127"/>
      <c r="N15" s="1691">
        <f t="shared" si="3"/>
        <v>0</v>
      </c>
      <c r="O15" s="634">
        <f t="shared" si="4"/>
        <v>0</v>
      </c>
      <c r="P15" s="3183" t="s">
        <v>880</v>
      </c>
      <c r="Q15" s="3183"/>
      <c r="R15" s="3183"/>
      <c r="S15" s="3183"/>
    </row>
    <row r="16" spans="1:19" ht="14.25" customHeight="1">
      <c r="A16" s="630"/>
      <c r="B16" s="631"/>
      <c r="C16" s="1127"/>
      <c r="D16" s="632"/>
      <c r="E16" s="1127"/>
      <c r="F16" s="633">
        <f t="shared" si="5"/>
        <v>0</v>
      </c>
      <c r="G16" s="632"/>
      <c r="H16" s="1127"/>
      <c r="I16" s="633">
        <f t="shared" si="6"/>
        <v>0</v>
      </c>
      <c r="J16" s="633">
        <f t="shared" si="1"/>
        <v>0</v>
      </c>
      <c r="K16" s="633">
        <f t="shared" si="2"/>
        <v>0</v>
      </c>
      <c r="L16" s="1127"/>
      <c r="M16" s="1127"/>
      <c r="N16" s="1691">
        <f t="shared" si="3"/>
        <v>0</v>
      </c>
      <c r="O16" s="634">
        <f t="shared" si="4"/>
        <v>0</v>
      </c>
      <c r="P16" s="3183"/>
      <c r="Q16" s="3183"/>
      <c r="R16" s="3183"/>
      <c r="S16" s="3183"/>
    </row>
    <row r="17" spans="1:19" ht="14.25" customHeight="1">
      <c r="A17" s="630"/>
      <c r="B17" s="631"/>
      <c r="C17" s="1127"/>
      <c r="D17" s="632"/>
      <c r="E17" s="1127"/>
      <c r="F17" s="633">
        <f t="shared" si="5"/>
        <v>0</v>
      </c>
      <c r="G17" s="632"/>
      <c r="H17" s="1127"/>
      <c r="I17" s="633">
        <f t="shared" si="6"/>
        <v>0</v>
      </c>
      <c r="J17" s="633">
        <f t="shared" si="1"/>
        <v>0</v>
      </c>
      <c r="K17" s="633">
        <f t="shared" si="2"/>
        <v>0</v>
      </c>
      <c r="L17" s="1127"/>
      <c r="M17" s="1127"/>
      <c r="N17" s="1691">
        <f t="shared" si="3"/>
        <v>0</v>
      </c>
      <c r="O17" s="634">
        <f t="shared" si="4"/>
        <v>0</v>
      </c>
      <c r="P17" s="3183"/>
      <c r="Q17" s="3183"/>
      <c r="R17" s="3183"/>
      <c r="S17" s="3183"/>
    </row>
    <row r="18" spans="1:19" ht="14.25" customHeight="1">
      <c r="A18" s="630"/>
      <c r="B18" s="631"/>
      <c r="C18" s="1127"/>
      <c r="D18" s="632"/>
      <c r="E18" s="1127"/>
      <c r="F18" s="633">
        <f t="shared" si="5"/>
        <v>0</v>
      </c>
      <c r="G18" s="632"/>
      <c r="H18" s="1127"/>
      <c r="I18" s="633">
        <f t="shared" si="6"/>
        <v>0</v>
      </c>
      <c r="J18" s="633">
        <f t="shared" ref="J18:J74" si="7">C18+E18-H18</f>
        <v>0</v>
      </c>
      <c r="K18" s="633">
        <f t="shared" ref="K18:K74" si="8">C18+F18-I18</f>
        <v>0</v>
      </c>
      <c r="L18" s="1127"/>
      <c r="M18" s="1127"/>
      <c r="N18" s="1691">
        <f t="shared" si="3"/>
        <v>0</v>
      </c>
      <c r="O18" s="634">
        <f t="shared" si="4"/>
        <v>0</v>
      </c>
      <c r="P18" s="635"/>
      <c r="Q18" s="144"/>
      <c r="R18" s="144"/>
      <c r="S18" s="144"/>
    </row>
    <row r="19" spans="1:19" ht="14.25" customHeight="1">
      <c r="A19" s="630"/>
      <c r="B19" s="631"/>
      <c r="C19" s="1127"/>
      <c r="D19" s="632"/>
      <c r="E19" s="1127"/>
      <c r="F19" s="633">
        <f t="shared" si="5"/>
        <v>0</v>
      </c>
      <c r="G19" s="632"/>
      <c r="H19" s="1127"/>
      <c r="I19" s="633">
        <f t="shared" si="6"/>
        <v>0</v>
      </c>
      <c r="J19" s="633">
        <f t="shared" si="7"/>
        <v>0</v>
      </c>
      <c r="K19" s="633">
        <f t="shared" si="8"/>
        <v>0</v>
      </c>
      <c r="L19" s="1127"/>
      <c r="M19" s="1127"/>
      <c r="N19" s="1691">
        <f t="shared" si="3"/>
        <v>0</v>
      </c>
      <c r="O19" s="634">
        <f t="shared" si="4"/>
        <v>0</v>
      </c>
      <c r="P19" s="636" t="s">
        <v>881</v>
      </c>
      <c r="Q19" s="144"/>
      <c r="R19" s="144"/>
      <c r="S19" s="144"/>
    </row>
    <row r="20" spans="1:19" ht="14.25" customHeight="1">
      <c r="A20" s="630"/>
      <c r="B20" s="631"/>
      <c r="C20" s="1127"/>
      <c r="D20" s="632"/>
      <c r="E20" s="1127"/>
      <c r="F20" s="633">
        <f t="shared" si="5"/>
        <v>0</v>
      </c>
      <c r="G20" s="632"/>
      <c r="H20" s="1127"/>
      <c r="I20" s="633">
        <f t="shared" si="6"/>
        <v>0</v>
      </c>
      <c r="J20" s="633">
        <f t="shared" si="7"/>
        <v>0</v>
      </c>
      <c r="K20" s="633">
        <f t="shared" si="8"/>
        <v>0</v>
      </c>
      <c r="L20" s="1127"/>
      <c r="M20" s="1127"/>
      <c r="N20" s="1691">
        <f t="shared" si="3"/>
        <v>0</v>
      </c>
      <c r="O20" s="634">
        <f t="shared" si="4"/>
        <v>0</v>
      </c>
      <c r="P20" s="637"/>
      <c r="Q20" s="144"/>
      <c r="R20" s="144"/>
      <c r="S20" s="144"/>
    </row>
    <row r="21" spans="1:19" ht="14.25" customHeight="1">
      <c r="A21" s="630"/>
      <c r="B21" s="631"/>
      <c r="C21" s="1127"/>
      <c r="D21" s="632"/>
      <c r="E21" s="1127"/>
      <c r="F21" s="633">
        <f t="shared" si="5"/>
        <v>0</v>
      </c>
      <c r="G21" s="632"/>
      <c r="H21" s="1127"/>
      <c r="I21" s="633">
        <f t="shared" si="6"/>
        <v>0</v>
      </c>
      <c r="J21" s="633">
        <f t="shared" si="7"/>
        <v>0</v>
      </c>
      <c r="K21" s="633">
        <f t="shared" si="8"/>
        <v>0</v>
      </c>
      <c r="L21" s="1127"/>
      <c r="M21" s="1127"/>
      <c r="N21" s="1691">
        <f t="shared" si="3"/>
        <v>0</v>
      </c>
      <c r="O21" s="634">
        <f t="shared" si="4"/>
        <v>0</v>
      </c>
      <c r="P21" s="144"/>
      <c r="Q21" s="144"/>
      <c r="R21" s="144"/>
      <c r="S21" s="144"/>
    </row>
    <row r="22" spans="1:19" ht="14.25" customHeight="1">
      <c r="A22" s="630"/>
      <c r="B22" s="631"/>
      <c r="C22" s="1127"/>
      <c r="D22" s="632"/>
      <c r="E22" s="1127"/>
      <c r="F22" s="633">
        <f t="shared" si="5"/>
        <v>0</v>
      </c>
      <c r="G22" s="632"/>
      <c r="H22" s="1127"/>
      <c r="I22" s="633">
        <f t="shared" si="6"/>
        <v>0</v>
      </c>
      <c r="J22" s="633">
        <f t="shared" si="7"/>
        <v>0</v>
      </c>
      <c r="K22" s="633">
        <f t="shared" si="8"/>
        <v>0</v>
      </c>
      <c r="L22" s="1127"/>
      <c r="M22" s="1127"/>
      <c r="N22" s="1691">
        <f t="shared" si="3"/>
        <v>0</v>
      </c>
      <c r="O22" s="634">
        <f t="shared" si="4"/>
        <v>0</v>
      </c>
      <c r="P22" s="144"/>
      <c r="Q22" s="144"/>
      <c r="R22" s="144"/>
      <c r="S22" s="144"/>
    </row>
    <row r="23" spans="1:19" ht="14.25" customHeight="1">
      <c r="A23" s="630"/>
      <c r="B23" s="631"/>
      <c r="C23" s="1127"/>
      <c r="D23" s="632"/>
      <c r="E23" s="1127"/>
      <c r="F23" s="633">
        <f t="shared" si="5"/>
        <v>0</v>
      </c>
      <c r="G23" s="632"/>
      <c r="H23" s="1127"/>
      <c r="I23" s="633">
        <f t="shared" si="6"/>
        <v>0</v>
      </c>
      <c r="J23" s="633">
        <f t="shared" si="7"/>
        <v>0</v>
      </c>
      <c r="K23" s="633">
        <f t="shared" si="8"/>
        <v>0</v>
      </c>
      <c r="L23" s="1127"/>
      <c r="M23" s="1127"/>
      <c r="N23" s="1691">
        <f t="shared" si="3"/>
        <v>0</v>
      </c>
      <c r="O23" s="634">
        <f t="shared" si="4"/>
        <v>0</v>
      </c>
      <c r="P23" s="144"/>
      <c r="Q23" s="144"/>
      <c r="R23" s="144"/>
      <c r="S23" s="144"/>
    </row>
    <row r="24" spans="1:19" ht="14.25" customHeight="1">
      <c r="A24" s="630"/>
      <c r="B24" s="631"/>
      <c r="C24" s="1127"/>
      <c r="D24" s="632"/>
      <c r="E24" s="1127"/>
      <c r="F24" s="633">
        <f t="shared" si="5"/>
        <v>0</v>
      </c>
      <c r="G24" s="632"/>
      <c r="H24" s="1127"/>
      <c r="I24" s="633">
        <f t="shared" si="6"/>
        <v>0</v>
      </c>
      <c r="J24" s="633">
        <f t="shared" si="7"/>
        <v>0</v>
      </c>
      <c r="K24" s="633">
        <f t="shared" si="8"/>
        <v>0</v>
      </c>
      <c r="L24" s="1127"/>
      <c r="M24" s="1127"/>
      <c r="N24" s="1691">
        <f t="shared" si="3"/>
        <v>0</v>
      </c>
      <c r="O24" s="634">
        <f t="shared" si="4"/>
        <v>0</v>
      </c>
      <c r="P24" s="144"/>
      <c r="Q24" s="144"/>
      <c r="R24" s="144"/>
      <c r="S24" s="144"/>
    </row>
    <row r="25" spans="1:19" ht="14.25" customHeight="1">
      <c r="A25" s="630"/>
      <c r="B25" s="631"/>
      <c r="C25" s="1127"/>
      <c r="D25" s="632"/>
      <c r="E25" s="1127"/>
      <c r="F25" s="633">
        <f t="shared" si="5"/>
        <v>0</v>
      </c>
      <c r="G25" s="632"/>
      <c r="H25" s="1127"/>
      <c r="I25" s="633">
        <f t="shared" si="6"/>
        <v>0</v>
      </c>
      <c r="J25" s="633">
        <f t="shared" si="7"/>
        <v>0</v>
      </c>
      <c r="K25" s="633">
        <f t="shared" si="8"/>
        <v>0</v>
      </c>
      <c r="L25" s="1127"/>
      <c r="M25" s="1127"/>
      <c r="N25" s="1691">
        <f t="shared" si="3"/>
        <v>0</v>
      </c>
      <c r="O25" s="634">
        <f t="shared" si="4"/>
        <v>0</v>
      </c>
      <c r="P25" s="144"/>
      <c r="Q25" s="144"/>
      <c r="R25" s="144"/>
      <c r="S25" s="144"/>
    </row>
    <row r="26" spans="1:19" ht="14.25" customHeight="1">
      <c r="A26" s="630"/>
      <c r="B26" s="631"/>
      <c r="C26" s="1127"/>
      <c r="D26" s="632"/>
      <c r="E26" s="1127"/>
      <c r="F26" s="633">
        <f t="shared" si="5"/>
        <v>0</v>
      </c>
      <c r="G26" s="632"/>
      <c r="H26" s="1127"/>
      <c r="I26" s="633">
        <f t="shared" si="6"/>
        <v>0</v>
      </c>
      <c r="J26" s="633">
        <f t="shared" si="7"/>
        <v>0</v>
      </c>
      <c r="K26" s="633">
        <f t="shared" si="8"/>
        <v>0</v>
      </c>
      <c r="L26" s="1127"/>
      <c r="M26" s="1127"/>
      <c r="N26" s="1691">
        <f t="shared" si="3"/>
        <v>0</v>
      </c>
      <c r="O26" s="634">
        <f t="shared" si="4"/>
        <v>0</v>
      </c>
      <c r="P26" s="144"/>
      <c r="Q26" s="144"/>
      <c r="R26" s="144"/>
      <c r="S26" s="144"/>
    </row>
    <row r="27" spans="1:19" ht="14.25" customHeight="1">
      <c r="A27" s="630"/>
      <c r="B27" s="631"/>
      <c r="C27" s="1127"/>
      <c r="D27" s="632"/>
      <c r="E27" s="1127"/>
      <c r="F27" s="633">
        <f t="shared" si="5"/>
        <v>0</v>
      </c>
      <c r="G27" s="632"/>
      <c r="H27" s="1127"/>
      <c r="I27" s="633">
        <f t="shared" si="6"/>
        <v>0</v>
      </c>
      <c r="J27" s="633">
        <f t="shared" si="7"/>
        <v>0</v>
      </c>
      <c r="K27" s="633">
        <f t="shared" si="8"/>
        <v>0</v>
      </c>
      <c r="L27" s="1127"/>
      <c r="M27" s="1127"/>
      <c r="N27" s="1691">
        <f t="shared" si="3"/>
        <v>0</v>
      </c>
      <c r="O27" s="634">
        <f t="shared" si="4"/>
        <v>0</v>
      </c>
      <c r="P27" s="144"/>
      <c r="Q27" s="144"/>
      <c r="R27" s="144"/>
      <c r="S27" s="144"/>
    </row>
    <row r="28" spans="1:19" ht="14.25" customHeight="1">
      <c r="A28" s="630"/>
      <c r="B28" s="631"/>
      <c r="C28" s="1127"/>
      <c r="D28" s="632"/>
      <c r="E28" s="1127"/>
      <c r="F28" s="633">
        <f t="shared" si="5"/>
        <v>0</v>
      </c>
      <c r="G28" s="632"/>
      <c r="H28" s="1127"/>
      <c r="I28" s="633">
        <f t="shared" si="6"/>
        <v>0</v>
      </c>
      <c r="J28" s="633">
        <f t="shared" si="7"/>
        <v>0</v>
      </c>
      <c r="K28" s="633">
        <f t="shared" si="8"/>
        <v>0</v>
      </c>
      <c r="L28" s="1127"/>
      <c r="M28" s="1127"/>
      <c r="N28" s="1691">
        <f t="shared" si="3"/>
        <v>0</v>
      </c>
      <c r="O28" s="634">
        <f t="shared" si="4"/>
        <v>0</v>
      </c>
      <c r="P28" s="144"/>
      <c r="Q28" s="144"/>
      <c r="R28" s="144"/>
      <c r="S28" s="144"/>
    </row>
    <row r="29" spans="1:19" ht="14.25" customHeight="1">
      <c r="A29" s="630"/>
      <c r="B29" s="631"/>
      <c r="C29" s="1127"/>
      <c r="D29" s="632"/>
      <c r="E29" s="1127"/>
      <c r="F29" s="633">
        <f t="shared" si="5"/>
        <v>0</v>
      </c>
      <c r="G29" s="632"/>
      <c r="H29" s="1127"/>
      <c r="I29" s="633">
        <f t="shared" si="6"/>
        <v>0</v>
      </c>
      <c r="J29" s="633">
        <f t="shared" si="7"/>
        <v>0</v>
      </c>
      <c r="K29" s="633">
        <f t="shared" si="8"/>
        <v>0</v>
      </c>
      <c r="L29" s="1127"/>
      <c r="M29" s="1127"/>
      <c r="N29" s="1691">
        <f t="shared" si="3"/>
        <v>0</v>
      </c>
      <c r="O29" s="634">
        <f t="shared" si="4"/>
        <v>0</v>
      </c>
      <c r="P29" s="144"/>
      <c r="Q29" s="144"/>
      <c r="R29" s="144"/>
      <c r="S29" s="144"/>
    </row>
    <row r="30" spans="1:19" ht="14.25" customHeight="1">
      <c r="A30" s="630"/>
      <c r="B30" s="631"/>
      <c r="C30" s="1127"/>
      <c r="D30" s="632"/>
      <c r="E30" s="1127"/>
      <c r="F30" s="633">
        <f t="shared" si="5"/>
        <v>0</v>
      </c>
      <c r="G30" s="632"/>
      <c r="H30" s="1127"/>
      <c r="I30" s="633">
        <f t="shared" si="6"/>
        <v>0</v>
      </c>
      <c r="J30" s="633">
        <f t="shared" si="7"/>
        <v>0</v>
      </c>
      <c r="K30" s="633">
        <f t="shared" si="8"/>
        <v>0</v>
      </c>
      <c r="L30" s="1127"/>
      <c r="M30" s="1127"/>
      <c r="N30" s="1691">
        <f t="shared" si="3"/>
        <v>0</v>
      </c>
      <c r="O30" s="634">
        <f t="shared" si="4"/>
        <v>0</v>
      </c>
      <c r="P30" s="144"/>
      <c r="Q30" s="144"/>
      <c r="R30" s="144"/>
      <c r="S30" s="144"/>
    </row>
    <row r="31" spans="1:19" ht="14.25" customHeight="1">
      <c r="A31" s="630"/>
      <c r="B31" s="631"/>
      <c r="C31" s="1127"/>
      <c r="D31" s="632"/>
      <c r="E31" s="1127"/>
      <c r="F31" s="633">
        <f t="shared" si="5"/>
        <v>0</v>
      </c>
      <c r="G31" s="632"/>
      <c r="H31" s="1127"/>
      <c r="I31" s="633">
        <f t="shared" si="6"/>
        <v>0</v>
      </c>
      <c r="J31" s="633">
        <f t="shared" si="7"/>
        <v>0</v>
      </c>
      <c r="K31" s="633">
        <f t="shared" si="8"/>
        <v>0</v>
      </c>
      <c r="L31" s="1127"/>
      <c r="M31" s="1127"/>
      <c r="N31" s="1691">
        <f t="shared" si="3"/>
        <v>0</v>
      </c>
      <c r="O31" s="634">
        <f t="shared" si="4"/>
        <v>0</v>
      </c>
      <c r="P31" s="144"/>
      <c r="Q31" s="144"/>
      <c r="R31" s="144"/>
      <c r="S31" s="144"/>
    </row>
    <row r="32" spans="1:19" ht="14.25" customHeight="1">
      <c r="A32" s="630"/>
      <c r="B32" s="631"/>
      <c r="C32" s="1127"/>
      <c r="D32" s="632"/>
      <c r="E32" s="1127"/>
      <c r="F32" s="633">
        <f t="shared" si="5"/>
        <v>0</v>
      </c>
      <c r="G32" s="632"/>
      <c r="H32" s="1127"/>
      <c r="I32" s="633">
        <f t="shared" si="6"/>
        <v>0</v>
      </c>
      <c r="J32" s="633">
        <f t="shared" si="7"/>
        <v>0</v>
      </c>
      <c r="K32" s="633">
        <f t="shared" si="8"/>
        <v>0</v>
      </c>
      <c r="L32" s="1127"/>
      <c r="M32" s="1127"/>
      <c r="N32" s="1691">
        <f t="shared" si="3"/>
        <v>0</v>
      </c>
      <c r="O32" s="634">
        <f t="shared" si="4"/>
        <v>0</v>
      </c>
      <c r="P32" s="144"/>
      <c r="Q32" s="144"/>
      <c r="R32" s="144"/>
      <c r="S32" s="144"/>
    </row>
    <row r="33" spans="1:19" ht="14.25" customHeight="1">
      <c r="A33" s="630"/>
      <c r="B33" s="631"/>
      <c r="C33" s="1127"/>
      <c r="D33" s="632"/>
      <c r="E33" s="1127"/>
      <c r="F33" s="633">
        <f t="shared" si="5"/>
        <v>0</v>
      </c>
      <c r="G33" s="632"/>
      <c r="H33" s="1127"/>
      <c r="I33" s="633">
        <f t="shared" si="6"/>
        <v>0</v>
      </c>
      <c r="J33" s="633">
        <f t="shared" si="7"/>
        <v>0</v>
      </c>
      <c r="K33" s="633">
        <f t="shared" si="8"/>
        <v>0</v>
      </c>
      <c r="L33" s="1127"/>
      <c r="M33" s="1127"/>
      <c r="N33" s="1691">
        <f t="shared" si="3"/>
        <v>0</v>
      </c>
      <c r="O33" s="634">
        <f t="shared" si="4"/>
        <v>0</v>
      </c>
      <c r="P33" s="144"/>
      <c r="Q33" s="144"/>
      <c r="R33" s="144"/>
      <c r="S33" s="144"/>
    </row>
    <row r="34" spans="1:19" ht="14.25" customHeight="1">
      <c r="A34" s="630"/>
      <c r="B34" s="631"/>
      <c r="C34" s="1127"/>
      <c r="D34" s="632"/>
      <c r="E34" s="1127"/>
      <c r="F34" s="633">
        <f t="shared" si="5"/>
        <v>0</v>
      </c>
      <c r="G34" s="632"/>
      <c r="H34" s="1127"/>
      <c r="I34" s="633">
        <f t="shared" si="6"/>
        <v>0</v>
      </c>
      <c r="J34" s="633">
        <f t="shared" si="7"/>
        <v>0</v>
      </c>
      <c r="K34" s="633">
        <f t="shared" si="8"/>
        <v>0</v>
      </c>
      <c r="L34" s="1127"/>
      <c r="M34" s="1127"/>
      <c r="N34" s="1691">
        <f t="shared" si="3"/>
        <v>0</v>
      </c>
      <c r="O34" s="634">
        <f t="shared" si="4"/>
        <v>0</v>
      </c>
      <c r="P34" s="144"/>
      <c r="Q34" s="144"/>
      <c r="R34" s="144"/>
      <c r="S34" s="144"/>
    </row>
    <row r="35" spans="1:19" ht="14.25" customHeight="1">
      <c r="A35" s="630"/>
      <c r="B35" s="631"/>
      <c r="C35" s="1127"/>
      <c r="D35" s="632"/>
      <c r="E35" s="1127"/>
      <c r="F35" s="633">
        <f t="shared" si="5"/>
        <v>0</v>
      </c>
      <c r="G35" s="632"/>
      <c r="H35" s="1127"/>
      <c r="I35" s="633">
        <f t="shared" si="6"/>
        <v>0</v>
      </c>
      <c r="J35" s="633">
        <f t="shared" si="7"/>
        <v>0</v>
      </c>
      <c r="K35" s="633">
        <f t="shared" si="8"/>
        <v>0</v>
      </c>
      <c r="L35" s="1127"/>
      <c r="M35" s="1127"/>
      <c r="N35" s="1691">
        <f t="shared" si="3"/>
        <v>0</v>
      </c>
      <c r="O35" s="634">
        <f t="shared" si="4"/>
        <v>0</v>
      </c>
      <c r="P35" s="144"/>
      <c r="Q35" s="144"/>
      <c r="R35" s="144"/>
      <c r="S35" s="144"/>
    </row>
    <row r="36" spans="1:19" ht="14.25" customHeight="1">
      <c r="A36" s="630"/>
      <c r="B36" s="631"/>
      <c r="C36" s="1127"/>
      <c r="D36" s="632"/>
      <c r="E36" s="1127"/>
      <c r="F36" s="633">
        <f t="shared" si="5"/>
        <v>0</v>
      </c>
      <c r="G36" s="632"/>
      <c r="H36" s="1127"/>
      <c r="I36" s="633">
        <f t="shared" si="6"/>
        <v>0</v>
      </c>
      <c r="J36" s="633">
        <f t="shared" si="7"/>
        <v>0</v>
      </c>
      <c r="K36" s="633">
        <f t="shared" si="8"/>
        <v>0</v>
      </c>
      <c r="L36" s="1127"/>
      <c r="M36" s="1127"/>
      <c r="N36" s="1691">
        <f t="shared" si="3"/>
        <v>0</v>
      </c>
      <c r="O36" s="634">
        <f t="shared" si="4"/>
        <v>0</v>
      </c>
      <c r="P36" s="144"/>
      <c r="Q36" s="144"/>
      <c r="R36" s="144"/>
      <c r="S36" s="144"/>
    </row>
    <row r="37" spans="1:19" ht="14.25" customHeight="1">
      <c r="A37" s="630"/>
      <c r="B37" s="631"/>
      <c r="C37" s="1127"/>
      <c r="D37" s="632"/>
      <c r="E37" s="1127"/>
      <c r="F37" s="633">
        <f t="shared" si="5"/>
        <v>0</v>
      </c>
      <c r="G37" s="632"/>
      <c r="H37" s="1127"/>
      <c r="I37" s="633">
        <f t="shared" si="6"/>
        <v>0</v>
      </c>
      <c r="J37" s="633">
        <f t="shared" si="7"/>
        <v>0</v>
      </c>
      <c r="K37" s="633">
        <f t="shared" si="8"/>
        <v>0</v>
      </c>
      <c r="L37" s="1127"/>
      <c r="M37" s="1127"/>
      <c r="N37" s="1691">
        <f t="shared" si="3"/>
        <v>0</v>
      </c>
      <c r="O37" s="634">
        <f t="shared" si="4"/>
        <v>0</v>
      </c>
      <c r="P37" s="144"/>
      <c r="Q37" s="144"/>
      <c r="R37" s="144"/>
      <c r="S37" s="144"/>
    </row>
    <row r="38" spans="1:19" ht="14.25" customHeight="1">
      <c r="A38" s="630"/>
      <c r="B38" s="631"/>
      <c r="C38" s="1127"/>
      <c r="D38" s="632"/>
      <c r="E38" s="1127"/>
      <c r="F38" s="633">
        <f t="shared" si="5"/>
        <v>0</v>
      </c>
      <c r="G38" s="632"/>
      <c r="H38" s="1127"/>
      <c r="I38" s="633">
        <f t="shared" si="6"/>
        <v>0</v>
      </c>
      <c r="J38" s="633">
        <f t="shared" si="7"/>
        <v>0</v>
      </c>
      <c r="K38" s="633">
        <f t="shared" si="8"/>
        <v>0</v>
      </c>
      <c r="L38" s="1127"/>
      <c r="M38" s="1127"/>
      <c r="N38" s="1691">
        <f t="shared" si="3"/>
        <v>0</v>
      </c>
      <c r="O38" s="634">
        <f t="shared" si="4"/>
        <v>0</v>
      </c>
      <c r="P38" s="144"/>
      <c r="Q38" s="144"/>
      <c r="R38" s="144"/>
      <c r="S38" s="144"/>
    </row>
    <row r="39" spans="1:19" ht="14.25" customHeight="1">
      <c r="A39" s="630"/>
      <c r="B39" s="631"/>
      <c r="C39" s="1127"/>
      <c r="D39" s="632"/>
      <c r="E39" s="1127"/>
      <c r="F39" s="633">
        <f t="shared" si="5"/>
        <v>0</v>
      </c>
      <c r="G39" s="632"/>
      <c r="H39" s="1127"/>
      <c r="I39" s="633">
        <f t="shared" si="6"/>
        <v>0</v>
      </c>
      <c r="J39" s="633">
        <f t="shared" si="7"/>
        <v>0</v>
      </c>
      <c r="K39" s="633">
        <f t="shared" si="8"/>
        <v>0</v>
      </c>
      <c r="L39" s="1127"/>
      <c r="M39" s="1127"/>
      <c r="N39" s="1691">
        <f t="shared" si="3"/>
        <v>0</v>
      </c>
      <c r="O39" s="634">
        <f t="shared" si="4"/>
        <v>0</v>
      </c>
      <c r="P39" s="144"/>
      <c r="Q39" s="144"/>
      <c r="R39" s="144"/>
      <c r="S39" s="144"/>
    </row>
    <row r="40" spans="1:19" ht="14.25" customHeight="1">
      <c r="A40" s="630"/>
      <c r="B40" s="631"/>
      <c r="C40" s="1127"/>
      <c r="D40" s="632"/>
      <c r="E40" s="1127"/>
      <c r="F40" s="633">
        <f t="shared" si="5"/>
        <v>0</v>
      </c>
      <c r="G40" s="632"/>
      <c r="H40" s="1127"/>
      <c r="I40" s="633">
        <f t="shared" si="6"/>
        <v>0</v>
      </c>
      <c r="J40" s="633">
        <f t="shared" si="7"/>
        <v>0</v>
      </c>
      <c r="K40" s="633">
        <f t="shared" si="8"/>
        <v>0</v>
      </c>
      <c r="L40" s="1127"/>
      <c r="M40" s="1127"/>
      <c r="N40" s="1691">
        <f t="shared" si="3"/>
        <v>0</v>
      </c>
      <c r="O40" s="634">
        <f t="shared" si="4"/>
        <v>0</v>
      </c>
      <c r="P40" s="144"/>
      <c r="Q40" s="144"/>
      <c r="R40" s="144"/>
      <c r="S40" s="144"/>
    </row>
    <row r="41" spans="1:19" ht="14.25" customHeight="1">
      <c r="A41" s="630"/>
      <c r="B41" s="631"/>
      <c r="C41" s="1127"/>
      <c r="D41" s="632"/>
      <c r="E41" s="1127"/>
      <c r="F41" s="633">
        <f t="shared" si="5"/>
        <v>0</v>
      </c>
      <c r="G41" s="632"/>
      <c r="H41" s="1127"/>
      <c r="I41" s="633">
        <f t="shared" si="6"/>
        <v>0</v>
      </c>
      <c r="J41" s="633">
        <f t="shared" si="7"/>
        <v>0</v>
      </c>
      <c r="K41" s="633">
        <f t="shared" si="8"/>
        <v>0</v>
      </c>
      <c r="L41" s="1127"/>
      <c r="M41" s="1127"/>
      <c r="N41" s="1691">
        <f t="shared" si="3"/>
        <v>0</v>
      </c>
      <c r="O41" s="634">
        <f t="shared" si="4"/>
        <v>0</v>
      </c>
      <c r="P41" s="144"/>
      <c r="Q41" s="144"/>
      <c r="R41" s="144"/>
      <c r="S41" s="144"/>
    </row>
    <row r="42" spans="1:19" ht="14.25" customHeight="1">
      <c r="A42" s="630"/>
      <c r="B42" s="631"/>
      <c r="C42" s="1127"/>
      <c r="D42" s="632"/>
      <c r="E42" s="1127"/>
      <c r="F42" s="633">
        <f t="shared" si="5"/>
        <v>0</v>
      </c>
      <c r="G42" s="632"/>
      <c r="H42" s="1127"/>
      <c r="I42" s="633">
        <f t="shared" si="6"/>
        <v>0</v>
      </c>
      <c r="J42" s="633">
        <f t="shared" si="7"/>
        <v>0</v>
      </c>
      <c r="K42" s="633">
        <f t="shared" si="8"/>
        <v>0</v>
      </c>
      <c r="L42" s="1127"/>
      <c r="M42" s="1127"/>
      <c r="N42" s="1691">
        <f t="shared" si="3"/>
        <v>0</v>
      </c>
      <c r="O42" s="634">
        <f t="shared" si="4"/>
        <v>0</v>
      </c>
      <c r="P42" s="144"/>
      <c r="Q42" s="144"/>
      <c r="R42" s="144"/>
      <c r="S42" s="144"/>
    </row>
    <row r="43" spans="1:19" ht="14.25" customHeight="1">
      <c r="A43" s="630"/>
      <c r="B43" s="631"/>
      <c r="C43" s="1127"/>
      <c r="D43" s="632"/>
      <c r="E43" s="1127"/>
      <c r="F43" s="633">
        <f t="shared" si="5"/>
        <v>0</v>
      </c>
      <c r="G43" s="632"/>
      <c r="H43" s="1127"/>
      <c r="I43" s="633">
        <f t="shared" si="6"/>
        <v>0</v>
      </c>
      <c r="J43" s="633">
        <f t="shared" si="7"/>
        <v>0</v>
      </c>
      <c r="K43" s="633">
        <f t="shared" si="8"/>
        <v>0</v>
      </c>
      <c r="L43" s="1127"/>
      <c r="M43" s="1127"/>
      <c r="N43" s="1691">
        <f t="shared" si="3"/>
        <v>0</v>
      </c>
      <c r="O43" s="634">
        <f t="shared" si="4"/>
        <v>0</v>
      </c>
      <c r="P43" s="144"/>
      <c r="Q43" s="144"/>
      <c r="R43" s="144"/>
      <c r="S43" s="144"/>
    </row>
    <row r="44" spans="1:19" ht="14.25" customHeight="1">
      <c r="A44" s="630"/>
      <c r="B44" s="631"/>
      <c r="C44" s="1127"/>
      <c r="D44" s="632"/>
      <c r="E44" s="1127"/>
      <c r="F44" s="633">
        <f t="shared" si="5"/>
        <v>0</v>
      </c>
      <c r="G44" s="632"/>
      <c r="H44" s="1127"/>
      <c r="I44" s="633">
        <f t="shared" si="6"/>
        <v>0</v>
      </c>
      <c r="J44" s="633">
        <f t="shared" si="7"/>
        <v>0</v>
      </c>
      <c r="K44" s="633">
        <f t="shared" si="8"/>
        <v>0</v>
      </c>
      <c r="L44" s="1127"/>
      <c r="M44" s="1127"/>
      <c r="N44" s="1691">
        <f t="shared" si="3"/>
        <v>0</v>
      </c>
      <c r="O44" s="634">
        <f t="shared" si="4"/>
        <v>0</v>
      </c>
      <c r="P44" s="144"/>
      <c r="Q44" s="144"/>
      <c r="R44" s="144"/>
      <c r="S44" s="144"/>
    </row>
    <row r="45" spans="1:19" ht="14.25" customHeight="1">
      <c r="A45" s="630"/>
      <c r="B45" s="631"/>
      <c r="C45" s="1127"/>
      <c r="D45" s="632"/>
      <c r="E45" s="1127"/>
      <c r="F45" s="633">
        <f t="shared" si="5"/>
        <v>0</v>
      </c>
      <c r="G45" s="632"/>
      <c r="H45" s="1127"/>
      <c r="I45" s="633">
        <f t="shared" si="6"/>
        <v>0</v>
      </c>
      <c r="J45" s="633">
        <f t="shared" si="7"/>
        <v>0</v>
      </c>
      <c r="K45" s="633">
        <f t="shared" si="8"/>
        <v>0</v>
      </c>
      <c r="L45" s="1127"/>
      <c r="M45" s="1127"/>
      <c r="N45" s="1691">
        <f t="shared" si="3"/>
        <v>0</v>
      </c>
      <c r="O45" s="634">
        <f t="shared" si="4"/>
        <v>0</v>
      </c>
      <c r="P45" s="144"/>
      <c r="Q45" s="144"/>
      <c r="R45" s="144"/>
      <c r="S45" s="144"/>
    </row>
    <row r="46" spans="1:19" ht="14.25" customHeight="1">
      <c r="A46" s="630"/>
      <c r="B46" s="631"/>
      <c r="C46" s="1127"/>
      <c r="D46" s="632"/>
      <c r="E46" s="1127"/>
      <c r="F46" s="633">
        <f t="shared" si="5"/>
        <v>0</v>
      </c>
      <c r="G46" s="632"/>
      <c r="H46" s="1127"/>
      <c r="I46" s="633">
        <f t="shared" si="6"/>
        <v>0</v>
      </c>
      <c r="J46" s="633">
        <f t="shared" si="7"/>
        <v>0</v>
      </c>
      <c r="K46" s="633">
        <f t="shared" si="8"/>
        <v>0</v>
      </c>
      <c r="L46" s="1127"/>
      <c r="M46" s="1127"/>
      <c r="N46" s="1691">
        <f t="shared" si="3"/>
        <v>0</v>
      </c>
      <c r="O46" s="634">
        <f t="shared" si="4"/>
        <v>0</v>
      </c>
      <c r="P46" s="144"/>
      <c r="Q46" s="144"/>
      <c r="R46" s="144"/>
      <c r="S46" s="144"/>
    </row>
    <row r="47" spans="1:19" ht="14.25" customHeight="1">
      <c r="A47" s="630"/>
      <c r="B47" s="631"/>
      <c r="C47" s="1127"/>
      <c r="D47" s="632"/>
      <c r="E47" s="1127"/>
      <c r="F47" s="633">
        <f t="shared" si="5"/>
        <v>0</v>
      </c>
      <c r="G47" s="632"/>
      <c r="H47" s="1127"/>
      <c r="I47" s="633">
        <f t="shared" si="6"/>
        <v>0</v>
      </c>
      <c r="J47" s="633">
        <f t="shared" si="7"/>
        <v>0</v>
      </c>
      <c r="K47" s="633">
        <f t="shared" si="8"/>
        <v>0</v>
      </c>
      <c r="L47" s="1127"/>
      <c r="M47" s="1127"/>
      <c r="N47" s="1691">
        <f t="shared" si="3"/>
        <v>0</v>
      </c>
      <c r="O47" s="634">
        <f t="shared" si="4"/>
        <v>0</v>
      </c>
      <c r="P47" s="144"/>
      <c r="Q47" s="144"/>
      <c r="R47" s="144"/>
      <c r="S47" s="144"/>
    </row>
    <row r="48" spans="1:19" ht="14.25" customHeight="1">
      <c r="A48" s="630"/>
      <c r="B48" s="631"/>
      <c r="C48" s="1127"/>
      <c r="D48" s="632"/>
      <c r="E48" s="1127"/>
      <c r="F48" s="633">
        <f t="shared" si="5"/>
        <v>0</v>
      </c>
      <c r="G48" s="632"/>
      <c r="H48" s="1127"/>
      <c r="I48" s="633">
        <f t="shared" si="6"/>
        <v>0</v>
      </c>
      <c r="J48" s="633">
        <f t="shared" si="7"/>
        <v>0</v>
      </c>
      <c r="K48" s="633">
        <f t="shared" si="8"/>
        <v>0</v>
      </c>
      <c r="L48" s="1127"/>
      <c r="M48" s="1127"/>
      <c r="N48" s="1691">
        <f t="shared" si="3"/>
        <v>0</v>
      </c>
      <c r="O48" s="634">
        <f t="shared" si="4"/>
        <v>0</v>
      </c>
      <c r="P48" s="144"/>
      <c r="Q48" s="144"/>
      <c r="R48" s="144"/>
      <c r="S48" s="144"/>
    </row>
    <row r="49" spans="1:19" ht="14.25" customHeight="1">
      <c r="A49" s="630"/>
      <c r="B49" s="631"/>
      <c r="C49" s="1127"/>
      <c r="D49" s="632"/>
      <c r="E49" s="1127"/>
      <c r="F49" s="633">
        <f t="shared" si="5"/>
        <v>0</v>
      </c>
      <c r="G49" s="632"/>
      <c r="H49" s="1127"/>
      <c r="I49" s="633">
        <f t="shared" si="6"/>
        <v>0</v>
      </c>
      <c r="J49" s="633">
        <f t="shared" si="7"/>
        <v>0</v>
      </c>
      <c r="K49" s="633">
        <f t="shared" si="8"/>
        <v>0</v>
      </c>
      <c r="L49" s="1127"/>
      <c r="M49" s="1127"/>
      <c r="N49" s="1691">
        <f t="shared" si="3"/>
        <v>0</v>
      </c>
      <c r="O49" s="634">
        <f t="shared" si="4"/>
        <v>0</v>
      </c>
      <c r="P49" s="144"/>
      <c r="Q49" s="144"/>
      <c r="R49" s="144"/>
      <c r="S49" s="144"/>
    </row>
    <row r="50" spans="1:19" ht="14.25" customHeight="1">
      <c r="A50" s="630"/>
      <c r="B50" s="631"/>
      <c r="C50" s="1127"/>
      <c r="D50" s="632"/>
      <c r="E50" s="1127"/>
      <c r="F50" s="633">
        <f t="shared" si="5"/>
        <v>0</v>
      </c>
      <c r="G50" s="632"/>
      <c r="H50" s="1127"/>
      <c r="I50" s="633">
        <f t="shared" si="6"/>
        <v>0</v>
      </c>
      <c r="J50" s="633">
        <f t="shared" si="7"/>
        <v>0</v>
      </c>
      <c r="K50" s="633">
        <f t="shared" si="8"/>
        <v>0</v>
      </c>
      <c r="L50" s="1127"/>
      <c r="M50" s="1127"/>
      <c r="N50" s="1691">
        <f t="shared" si="3"/>
        <v>0</v>
      </c>
      <c r="O50" s="634">
        <f t="shared" si="4"/>
        <v>0</v>
      </c>
      <c r="P50" s="144"/>
      <c r="Q50" s="144"/>
      <c r="R50" s="144"/>
      <c r="S50" s="144"/>
    </row>
    <row r="51" spans="1:19" ht="14.25" customHeight="1">
      <c r="A51" s="630"/>
      <c r="B51" s="631"/>
      <c r="C51" s="1127"/>
      <c r="D51" s="632"/>
      <c r="E51" s="1127"/>
      <c r="F51" s="633">
        <f t="shared" si="5"/>
        <v>0</v>
      </c>
      <c r="G51" s="632"/>
      <c r="H51" s="1127"/>
      <c r="I51" s="633">
        <f t="shared" si="6"/>
        <v>0</v>
      </c>
      <c r="J51" s="633">
        <f t="shared" si="7"/>
        <v>0</v>
      </c>
      <c r="K51" s="633">
        <f t="shared" si="8"/>
        <v>0</v>
      </c>
      <c r="L51" s="1127"/>
      <c r="M51" s="1127"/>
      <c r="N51" s="1691">
        <f t="shared" si="3"/>
        <v>0</v>
      </c>
      <c r="O51" s="634">
        <f t="shared" si="4"/>
        <v>0</v>
      </c>
      <c r="P51" s="144"/>
      <c r="Q51" s="144"/>
      <c r="R51" s="144"/>
      <c r="S51" s="144"/>
    </row>
    <row r="52" spans="1:19" ht="14.25" customHeight="1">
      <c r="A52" s="630"/>
      <c r="B52" s="631"/>
      <c r="C52" s="1127"/>
      <c r="D52" s="632"/>
      <c r="E52" s="1127"/>
      <c r="F52" s="633">
        <f t="shared" si="5"/>
        <v>0</v>
      </c>
      <c r="G52" s="632"/>
      <c r="H52" s="1127"/>
      <c r="I52" s="633">
        <f t="shared" si="6"/>
        <v>0</v>
      </c>
      <c r="J52" s="633">
        <f t="shared" si="7"/>
        <v>0</v>
      </c>
      <c r="K52" s="633">
        <f t="shared" si="8"/>
        <v>0</v>
      </c>
      <c r="L52" s="1127"/>
      <c r="M52" s="1127"/>
      <c r="N52" s="1691">
        <f t="shared" si="3"/>
        <v>0</v>
      </c>
      <c r="O52" s="634">
        <f t="shared" si="4"/>
        <v>0</v>
      </c>
      <c r="P52" s="144"/>
      <c r="Q52" s="144"/>
      <c r="R52" s="144"/>
      <c r="S52" s="144"/>
    </row>
    <row r="53" spans="1:19" ht="14.25" customHeight="1">
      <c r="A53" s="630"/>
      <c r="B53" s="631"/>
      <c r="C53" s="1127"/>
      <c r="D53" s="632"/>
      <c r="E53" s="1127"/>
      <c r="F53" s="633">
        <f t="shared" si="5"/>
        <v>0</v>
      </c>
      <c r="G53" s="632"/>
      <c r="H53" s="1127"/>
      <c r="I53" s="633">
        <f t="shared" si="6"/>
        <v>0</v>
      </c>
      <c r="J53" s="633">
        <f t="shared" si="7"/>
        <v>0</v>
      </c>
      <c r="K53" s="633">
        <f t="shared" si="8"/>
        <v>0</v>
      </c>
      <c r="L53" s="1127"/>
      <c r="M53" s="1127"/>
      <c r="N53" s="1691">
        <f t="shared" si="3"/>
        <v>0</v>
      </c>
      <c r="O53" s="634">
        <f t="shared" si="4"/>
        <v>0</v>
      </c>
      <c r="P53" s="144"/>
      <c r="Q53" s="144"/>
      <c r="R53" s="144"/>
      <c r="S53" s="144"/>
    </row>
    <row r="54" spans="1:19" ht="14.25" customHeight="1">
      <c r="A54" s="630"/>
      <c r="B54" s="631"/>
      <c r="C54" s="1127"/>
      <c r="D54" s="632"/>
      <c r="E54" s="1127"/>
      <c r="F54" s="633">
        <f t="shared" si="5"/>
        <v>0</v>
      </c>
      <c r="G54" s="632"/>
      <c r="H54" s="1127"/>
      <c r="I54" s="633">
        <f t="shared" si="6"/>
        <v>0</v>
      </c>
      <c r="J54" s="633">
        <f t="shared" si="7"/>
        <v>0</v>
      </c>
      <c r="K54" s="633">
        <f t="shared" si="8"/>
        <v>0</v>
      </c>
      <c r="L54" s="1127"/>
      <c r="M54" s="1127"/>
      <c r="N54" s="1691">
        <f t="shared" si="3"/>
        <v>0</v>
      </c>
      <c r="O54" s="634">
        <f t="shared" si="4"/>
        <v>0</v>
      </c>
      <c r="P54" s="144"/>
      <c r="Q54" s="144"/>
      <c r="R54" s="144"/>
      <c r="S54" s="144"/>
    </row>
    <row r="55" spans="1:19" ht="14.25" customHeight="1">
      <c r="A55" s="630"/>
      <c r="B55" s="631"/>
      <c r="C55" s="1127"/>
      <c r="D55" s="632"/>
      <c r="E55" s="1127"/>
      <c r="F55" s="633">
        <f t="shared" si="5"/>
        <v>0</v>
      </c>
      <c r="G55" s="632"/>
      <c r="H55" s="1127"/>
      <c r="I55" s="633">
        <f t="shared" si="6"/>
        <v>0</v>
      </c>
      <c r="J55" s="633">
        <f t="shared" si="7"/>
        <v>0</v>
      </c>
      <c r="K55" s="633">
        <f t="shared" si="8"/>
        <v>0</v>
      </c>
      <c r="L55" s="1127"/>
      <c r="M55" s="1127"/>
      <c r="N55" s="1691">
        <f t="shared" si="3"/>
        <v>0</v>
      </c>
      <c r="O55" s="634">
        <f t="shared" si="4"/>
        <v>0</v>
      </c>
      <c r="P55" s="144"/>
      <c r="Q55" s="144"/>
      <c r="R55" s="144"/>
      <c r="S55" s="144"/>
    </row>
    <row r="56" spans="1:19" ht="14.25" customHeight="1">
      <c r="A56" s="630"/>
      <c r="B56" s="631"/>
      <c r="C56" s="1127"/>
      <c r="D56" s="632"/>
      <c r="E56" s="1127"/>
      <c r="F56" s="633">
        <f t="shared" si="5"/>
        <v>0</v>
      </c>
      <c r="G56" s="632"/>
      <c r="H56" s="1127"/>
      <c r="I56" s="633">
        <f t="shared" si="6"/>
        <v>0</v>
      </c>
      <c r="J56" s="633">
        <f t="shared" si="7"/>
        <v>0</v>
      </c>
      <c r="K56" s="633">
        <f t="shared" si="8"/>
        <v>0</v>
      </c>
      <c r="L56" s="1127"/>
      <c r="M56" s="1127"/>
      <c r="N56" s="1691">
        <f t="shared" si="3"/>
        <v>0</v>
      </c>
      <c r="O56" s="634">
        <f t="shared" si="4"/>
        <v>0</v>
      </c>
      <c r="P56" s="144"/>
      <c r="Q56" s="144"/>
      <c r="R56" s="144"/>
      <c r="S56" s="144"/>
    </row>
    <row r="57" spans="1:19" ht="14.25" customHeight="1">
      <c r="A57" s="630"/>
      <c r="B57" s="631"/>
      <c r="C57" s="1127"/>
      <c r="D57" s="632"/>
      <c r="E57" s="1127"/>
      <c r="F57" s="633">
        <f t="shared" si="5"/>
        <v>0</v>
      </c>
      <c r="G57" s="632"/>
      <c r="H57" s="1127"/>
      <c r="I57" s="633">
        <f t="shared" si="6"/>
        <v>0</v>
      </c>
      <c r="J57" s="633">
        <f t="shared" si="7"/>
        <v>0</v>
      </c>
      <c r="K57" s="633">
        <f t="shared" si="8"/>
        <v>0</v>
      </c>
      <c r="L57" s="1127"/>
      <c r="M57" s="1127"/>
      <c r="N57" s="1691">
        <f t="shared" si="3"/>
        <v>0</v>
      </c>
      <c r="O57" s="634">
        <f t="shared" si="4"/>
        <v>0</v>
      </c>
      <c r="P57" s="144"/>
      <c r="Q57" s="144"/>
      <c r="R57" s="144"/>
      <c r="S57" s="144"/>
    </row>
    <row r="58" spans="1:19" ht="14.25" customHeight="1">
      <c r="A58" s="630"/>
      <c r="B58" s="631"/>
      <c r="C58" s="1127"/>
      <c r="D58" s="632"/>
      <c r="E58" s="1127"/>
      <c r="F58" s="633">
        <f t="shared" si="5"/>
        <v>0</v>
      </c>
      <c r="G58" s="632"/>
      <c r="H58" s="1127"/>
      <c r="I58" s="633">
        <f t="shared" si="6"/>
        <v>0</v>
      </c>
      <c r="J58" s="633">
        <f t="shared" si="7"/>
        <v>0</v>
      </c>
      <c r="K58" s="633">
        <f t="shared" si="8"/>
        <v>0</v>
      </c>
      <c r="L58" s="1127"/>
      <c r="M58" s="1127"/>
      <c r="N58" s="1691">
        <f t="shared" si="3"/>
        <v>0</v>
      </c>
      <c r="O58" s="634">
        <f t="shared" si="4"/>
        <v>0</v>
      </c>
      <c r="P58" s="144"/>
      <c r="Q58" s="144"/>
      <c r="R58" s="144"/>
      <c r="S58" s="144"/>
    </row>
    <row r="59" spans="1:19" ht="14.25" customHeight="1">
      <c r="A59" s="630"/>
      <c r="B59" s="631"/>
      <c r="C59" s="1127"/>
      <c r="D59" s="632"/>
      <c r="E59" s="1127"/>
      <c r="F59" s="633">
        <f t="shared" si="5"/>
        <v>0</v>
      </c>
      <c r="G59" s="632"/>
      <c r="H59" s="1127"/>
      <c r="I59" s="633">
        <f t="shared" si="6"/>
        <v>0</v>
      </c>
      <c r="J59" s="633">
        <f t="shared" si="7"/>
        <v>0</v>
      </c>
      <c r="K59" s="633">
        <f t="shared" si="8"/>
        <v>0</v>
      </c>
      <c r="L59" s="1127"/>
      <c r="M59" s="1127"/>
      <c r="N59" s="1691">
        <f t="shared" si="3"/>
        <v>0</v>
      </c>
      <c r="O59" s="634">
        <f t="shared" si="4"/>
        <v>0</v>
      </c>
      <c r="P59" s="144"/>
      <c r="Q59" s="144"/>
      <c r="R59" s="144"/>
      <c r="S59" s="144"/>
    </row>
    <row r="60" spans="1:19" ht="14.25" customHeight="1">
      <c r="A60" s="630"/>
      <c r="B60" s="631"/>
      <c r="C60" s="1127"/>
      <c r="D60" s="632"/>
      <c r="E60" s="1127"/>
      <c r="F60" s="633">
        <f t="shared" si="5"/>
        <v>0</v>
      </c>
      <c r="G60" s="632"/>
      <c r="H60" s="1127"/>
      <c r="I60" s="633">
        <f t="shared" si="6"/>
        <v>0</v>
      </c>
      <c r="J60" s="633">
        <f t="shared" si="7"/>
        <v>0</v>
      </c>
      <c r="K60" s="633">
        <f t="shared" si="8"/>
        <v>0</v>
      </c>
      <c r="L60" s="1127"/>
      <c r="M60" s="1127"/>
      <c r="N60" s="1691">
        <f t="shared" si="3"/>
        <v>0</v>
      </c>
      <c r="O60" s="634">
        <f t="shared" si="4"/>
        <v>0</v>
      </c>
      <c r="P60" s="144"/>
      <c r="Q60" s="144"/>
      <c r="R60" s="144"/>
      <c r="S60" s="144"/>
    </row>
    <row r="61" spans="1:19" ht="14.25" customHeight="1">
      <c r="A61" s="630"/>
      <c r="B61" s="631"/>
      <c r="C61" s="1127"/>
      <c r="D61" s="632"/>
      <c r="E61" s="1127"/>
      <c r="F61" s="633">
        <f t="shared" si="5"/>
        <v>0</v>
      </c>
      <c r="G61" s="632"/>
      <c r="H61" s="1127"/>
      <c r="I61" s="633">
        <f t="shared" si="6"/>
        <v>0</v>
      </c>
      <c r="J61" s="633">
        <f t="shared" si="7"/>
        <v>0</v>
      </c>
      <c r="K61" s="633">
        <f t="shared" si="8"/>
        <v>0</v>
      </c>
      <c r="L61" s="1127"/>
      <c r="M61" s="1127"/>
      <c r="N61" s="1691">
        <f t="shared" si="3"/>
        <v>0</v>
      </c>
      <c r="O61" s="634">
        <f t="shared" si="4"/>
        <v>0</v>
      </c>
      <c r="P61" s="144"/>
      <c r="Q61" s="144"/>
      <c r="R61" s="144"/>
      <c r="S61" s="144"/>
    </row>
    <row r="62" spans="1:19" ht="14.25" customHeight="1">
      <c r="A62" s="630"/>
      <c r="B62" s="631"/>
      <c r="C62" s="1127"/>
      <c r="D62" s="632"/>
      <c r="E62" s="1127"/>
      <c r="F62" s="633">
        <f t="shared" si="5"/>
        <v>0</v>
      </c>
      <c r="G62" s="632"/>
      <c r="H62" s="1127"/>
      <c r="I62" s="633">
        <f t="shared" si="6"/>
        <v>0</v>
      </c>
      <c r="J62" s="633">
        <f t="shared" si="7"/>
        <v>0</v>
      </c>
      <c r="K62" s="633">
        <f t="shared" si="8"/>
        <v>0</v>
      </c>
      <c r="L62" s="1127"/>
      <c r="M62" s="1127"/>
      <c r="N62" s="1691">
        <f t="shared" si="3"/>
        <v>0</v>
      </c>
      <c r="O62" s="634">
        <f t="shared" si="4"/>
        <v>0</v>
      </c>
      <c r="P62" s="144"/>
      <c r="Q62" s="144"/>
      <c r="R62" s="144"/>
      <c r="S62" s="144"/>
    </row>
    <row r="63" spans="1:19" ht="14.25" customHeight="1">
      <c r="A63" s="630"/>
      <c r="B63" s="631"/>
      <c r="C63" s="1127"/>
      <c r="D63" s="632"/>
      <c r="E63" s="1127"/>
      <c r="F63" s="633">
        <f t="shared" si="5"/>
        <v>0</v>
      </c>
      <c r="G63" s="632"/>
      <c r="H63" s="1127"/>
      <c r="I63" s="633">
        <f t="shared" si="6"/>
        <v>0</v>
      </c>
      <c r="J63" s="633">
        <f t="shared" si="7"/>
        <v>0</v>
      </c>
      <c r="K63" s="633">
        <f t="shared" si="8"/>
        <v>0</v>
      </c>
      <c r="L63" s="1127"/>
      <c r="M63" s="1127"/>
      <c r="N63" s="1691">
        <f t="shared" si="3"/>
        <v>0</v>
      </c>
      <c r="O63" s="634">
        <f t="shared" si="4"/>
        <v>0</v>
      </c>
      <c r="P63" s="144"/>
      <c r="Q63" s="144"/>
      <c r="R63" s="144"/>
      <c r="S63" s="144"/>
    </row>
    <row r="64" spans="1:19" ht="14.25" customHeight="1">
      <c r="A64" s="630"/>
      <c r="B64" s="631"/>
      <c r="C64" s="1127"/>
      <c r="D64" s="632"/>
      <c r="E64" s="1127"/>
      <c r="F64" s="633">
        <f t="shared" si="5"/>
        <v>0</v>
      </c>
      <c r="G64" s="632"/>
      <c r="H64" s="1127"/>
      <c r="I64" s="633">
        <f t="shared" si="6"/>
        <v>0</v>
      </c>
      <c r="J64" s="633">
        <f t="shared" si="7"/>
        <v>0</v>
      </c>
      <c r="K64" s="633">
        <f t="shared" si="8"/>
        <v>0</v>
      </c>
      <c r="L64" s="1127"/>
      <c r="M64" s="1127"/>
      <c r="N64" s="1691">
        <f t="shared" si="3"/>
        <v>0</v>
      </c>
      <c r="O64" s="634">
        <f t="shared" si="4"/>
        <v>0</v>
      </c>
      <c r="P64" s="144"/>
      <c r="Q64" s="144"/>
      <c r="R64" s="144"/>
      <c r="S64" s="144"/>
    </row>
    <row r="65" spans="1:19" ht="14.25" customHeight="1">
      <c r="A65" s="630"/>
      <c r="B65" s="631"/>
      <c r="C65" s="1127"/>
      <c r="D65" s="632"/>
      <c r="E65" s="1127"/>
      <c r="F65" s="633">
        <f t="shared" si="5"/>
        <v>0</v>
      </c>
      <c r="G65" s="632"/>
      <c r="H65" s="1127"/>
      <c r="I65" s="633">
        <f t="shared" si="6"/>
        <v>0</v>
      </c>
      <c r="J65" s="633">
        <f t="shared" si="7"/>
        <v>0</v>
      </c>
      <c r="K65" s="633">
        <f t="shared" si="8"/>
        <v>0</v>
      </c>
      <c r="L65" s="1127"/>
      <c r="M65" s="1127"/>
      <c r="N65" s="1691">
        <f t="shared" si="3"/>
        <v>0</v>
      </c>
      <c r="O65" s="634">
        <f t="shared" si="4"/>
        <v>0</v>
      </c>
      <c r="P65" s="144"/>
      <c r="Q65" s="144"/>
      <c r="R65" s="144"/>
      <c r="S65" s="144"/>
    </row>
    <row r="66" spans="1:19" ht="14.25" customHeight="1">
      <c r="A66" s="630"/>
      <c r="B66" s="631"/>
      <c r="C66" s="1127"/>
      <c r="D66" s="632"/>
      <c r="E66" s="1127"/>
      <c r="F66" s="633">
        <f t="shared" si="5"/>
        <v>0</v>
      </c>
      <c r="G66" s="632"/>
      <c r="H66" s="1127"/>
      <c r="I66" s="633">
        <f t="shared" si="6"/>
        <v>0</v>
      </c>
      <c r="J66" s="633">
        <f t="shared" si="7"/>
        <v>0</v>
      </c>
      <c r="K66" s="633">
        <f t="shared" si="8"/>
        <v>0</v>
      </c>
      <c r="L66" s="1127"/>
      <c r="M66" s="1127"/>
      <c r="N66" s="1691">
        <f t="shared" si="3"/>
        <v>0</v>
      </c>
      <c r="O66" s="634">
        <f t="shared" si="4"/>
        <v>0</v>
      </c>
      <c r="P66" s="144"/>
      <c r="Q66" s="144"/>
      <c r="R66" s="144"/>
      <c r="S66" s="144"/>
    </row>
    <row r="67" spans="1:19" ht="14.25" customHeight="1">
      <c r="A67" s="630"/>
      <c r="B67" s="631"/>
      <c r="C67" s="1127"/>
      <c r="D67" s="632"/>
      <c r="E67" s="1127"/>
      <c r="F67" s="633">
        <f t="shared" si="5"/>
        <v>0</v>
      </c>
      <c r="G67" s="632"/>
      <c r="H67" s="1127"/>
      <c r="I67" s="633">
        <f t="shared" si="6"/>
        <v>0</v>
      </c>
      <c r="J67" s="633">
        <f t="shared" si="7"/>
        <v>0</v>
      </c>
      <c r="K67" s="633">
        <f t="shared" si="8"/>
        <v>0</v>
      </c>
      <c r="L67" s="1127"/>
      <c r="M67" s="1127"/>
      <c r="N67" s="1691">
        <f t="shared" si="3"/>
        <v>0</v>
      </c>
      <c r="O67" s="634">
        <f t="shared" si="4"/>
        <v>0</v>
      </c>
      <c r="P67" s="144"/>
      <c r="Q67" s="144"/>
      <c r="R67" s="144"/>
      <c r="S67" s="144"/>
    </row>
    <row r="68" spans="1:19" ht="14.25" customHeight="1">
      <c r="A68" s="630"/>
      <c r="B68" s="631"/>
      <c r="C68" s="1127"/>
      <c r="D68" s="632"/>
      <c r="E68" s="1127"/>
      <c r="F68" s="633">
        <f t="shared" si="5"/>
        <v>0</v>
      </c>
      <c r="G68" s="632"/>
      <c r="H68" s="1127"/>
      <c r="I68" s="633">
        <f t="shared" si="6"/>
        <v>0</v>
      </c>
      <c r="J68" s="633">
        <f t="shared" si="7"/>
        <v>0</v>
      </c>
      <c r="K68" s="633">
        <f t="shared" si="8"/>
        <v>0</v>
      </c>
      <c r="L68" s="1127"/>
      <c r="M68" s="1127"/>
      <c r="N68" s="1691">
        <f t="shared" si="3"/>
        <v>0</v>
      </c>
      <c r="O68" s="634">
        <f t="shared" si="4"/>
        <v>0</v>
      </c>
      <c r="P68" s="144"/>
      <c r="Q68" s="144"/>
      <c r="R68" s="144"/>
      <c r="S68" s="144"/>
    </row>
    <row r="69" spans="1:19" ht="14.25" customHeight="1">
      <c r="A69" s="630"/>
      <c r="B69" s="631"/>
      <c r="C69" s="1127"/>
      <c r="D69" s="632"/>
      <c r="E69" s="1127"/>
      <c r="F69" s="633">
        <f t="shared" si="5"/>
        <v>0</v>
      </c>
      <c r="G69" s="632"/>
      <c r="H69" s="1127"/>
      <c r="I69" s="633">
        <f t="shared" si="6"/>
        <v>0</v>
      </c>
      <c r="J69" s="633">
        <f t="shared" si="7"/>
        <v>0</v>
      </c>
      <c r="K69" s="633">
        <f t="shared" si="8"/>
        <v>0</v>
      </c>
      <c r="L69" s="1127"/>
      <c r="M69" s="1127"/>
      <c r="N69" s="1691">
        <f t="shared" si="3"/>
        <v>0</v>
      </c>
      <c r="O69" s="634">
        <f t="shared" si="4"/>
        <v>0</v>
      </c>
      <c r="P69" s="144"/>
      <c r="Q69" s="144"/>
      <c r="R69" s="144"/>
      <c r="S69" s="144"/>
    </row>
    <row r="70" spans="1:19" ht="14.25" customHeight="1">
      <c r="A70" s="630"/>
      <c r="B70" s="631"/>
      <c r="C70" s="1127"/>
      <c r="D70" s="632"/>
      <c r="E70" s="1127"/>
      <c r="F70" s="633">
        <f t="shared" si="5"/>
        <v>0</v>
      </c>
      <c r="G70" s="632"/>
      <c r="H70" s="1127"/>
      <c r="I70" s="633">
        <f t="shared" si="6"/>
        <v>0</v>
      </c>
      <c r="J70" s="633">
        <f t="shared" si="7"/>
        <v>0</v>
      </c>
      <c r="K70" s="633">
        <f t="shared" si="8"/>
        <v>0</v>
      </c>
      <c r="L70" s="1127"/>
      <c r="M70" s="1127"/>
      <c r="N70" s="1691">
        <f t="shared" si="3"/>
        <v>0</v>
      </c>
      <c r="O70" s="634">
        <f t="shared" si="4"/>
        <v>0</v>
      </c>
      <c r="P70" s="144"/>
      <c r="Q70" s="144"/>
      <c r="R70" s="144"/>
      <c r="S70" s="144"/>
    </row>
    <row r="71" spans="1:19" ht="14.25" customHeight="1">
      <c r="A71" s="630"/>
      <c r="B71" s="631"/>
      <c r="C71" s="1127"/>
      <c r="D71" s="632"/>
      <c r="E71" s="1127"/>
      <c r="F71" s="633">
        <f t="shared" si="5"/>
        <v>0</v>
      </c>
      <c r="G71" s="632"/>
      <c r="H71" s="1127"/>
      <c r="I71" s="633">
        <f t="shared" si="6"/>
        <v>0</v>
      </c>
      <c r="J71" s="633">
        <f t="shared" si="7"/>
        <v>0</v>
      </c>
      <c r="K71" s="633">
        <f t="shared" si="8"/>
        <v>0</v>
      </c>
      <c r="L71" s="1127"/>
      <c r="M71" s="1127"/>
      <c r="N71" s="1691">
        <f t="shared" si="3"/>
        <v>0</v>
      </c>
      <c r="O71" s="634">
        <f t="shared" si="4"/>
        <v>0</v>
      </c>
      <c r="P71" s="144"/>
      <c r="Q71" s="144"/>
      <c r="R71" s="144"/>
      <c r="S71" s="144"/>
    </row>
    <row r="72" spans="1:19" ht="14.25" customHeight="1">
      <c r="A72" s="630"/>
      <c r="B72" s="631"/>
      <c r="C72" s="1127"/>
      <c r="D72" s="632"/>
      <c r="E72" s="1127"/>
      <c r="F72" s="633">
        <f t="shared" si="5"/>
        <v>0</v>
      </c>
      <c r="G72" s="632"/>
      <c r="H72" s="1127"/>
      <c r="I72" s="633">
        <f t="shared" si="6"/>
        <v>0</v>
      </c>
      <c r="J72" s="633">
        <f t="shared" si="7"/>
        <v>0</v>
      </c>
      <c r="K72" s="633">
        <f t="shared" si="8"/>
        <v>0</v>
      </c>
      <c r="L72" s="1127"/>
      <c r="M72" s="1127"/>
      <c r="N72" s="1691">
        <f t="shared" si="3"/>
        <v>0</v>
      </c>
      <c r="O72" s="634">
        <f t="shared" si="4"/>
        <v>0</v>
      </c>
      <c r="P72" s="144"/>
      <c r="Q72" s="144"/>
      <c r="R72" s="144"/>
      <c r="S72" s="144"/>
    </row>
    <row r="73" spans="1:19" ht="14.25" customHeight="1">
      <c r="A73" s="630"/>
      <c r="B73" s="631"/>
      <c r="C73" s="1127"/>
      <c r="D73" s="632"/>
      <c r="E73" s="1127"/>
      <c r="F73" s="633">
        <f t="shared" si="5"/>
        <v>0</v>
      </c>
      <c r="G73" s="632"/>
      <c r="H73" s="1127"/>
      <c r="I73" s="633">
        <f t="shared" si="6"/>
        <v>0</v>
      </c>
      <c r="J73" s="633">
        <f t="shared" si="7"/>
        <v>0</v>
      </c>
      <c r="K73" s="633">
        <f t="shared" si="8"/>
        <v>0</v>
      </c>
      <c r="L73" s="1127"/>
      <c r="M73" s="1127"/>
      <c r="N73" s="1691">
        <f t="shared" si="3"/>
        <v>0</v>
      </c>
      <c r="O73" s="634">
        <f t="shared" si="4"/>
        <v>0</v>
      </c>
      <c r="P73" s="144"/>
      <c r="Q73" s="144"/>
      <c r="R73" s="144"/>
      <c r="S73" s="144"/>
    </row>
    <row r="74" spans="1:19" ht="14.25" customHeight="1">
      <c r="A74" s="630"/>
      <c r="B74" s="631"/>
      <c r="C74" s="1127"/>
      <c r="D74" s="632"/>
      <c r="E74" s="1127"/>
      <c r="F74" s="633">
        <f t="shared" si="5"/>
        <v>0</v>
      </c>
      <c r="G74" s="632"/>
      <c r="H74" s="1127"/>
      <c r="I74" s="633">
        <f t="shared" si="6"/>
        <v>0</v>
      </c>
      <c r="J74" s="633">
        <f t="shared" si="7"/>
        <v>0</v>
      </c>
      <c r="K74" s="633">
        <f t="shared" si="8"/>
        <v>0</v>
      </c>
      <c r="L74" s="1127"/>
      <c r="M74" s="1127"/>
      <c r="N74" s="1691">
        <f t="shared" ref="N74:N137" si="9">IF(M74&lt;&gt;0,ROUND(B74*K74,2)+M74,IF(ABS(ROUND(K74*B74,2)-L74)&lt;3,L74,MIN(ROUND(K74*B74,2),L74)))</f>
        <v>0</v>
      </c>
      <c r="O74" s="634">
        <f t="shared" ref="O74:O137" si="10">IF(ISERROR(L74-N74),"",IF(ABS(L74-N74)&lt;3,0,L74-N74))</f>
        <v>0</v>
      </c>
      <c r="P74" s="144"/>
      <c r="Q74" s="144"/>
      <c r="R74" s="144"/>
      <c r="S74" s="144"/>
    </row>
    <row r="75" spans="1:19" ht="14.25" customHeight="1">
      <c r="A75" s="630"/>
      <c r="B75" s="631"/>
      <c r="C75" s="1127"/>
      <c r="D75" s="632"/>
      <c r="E75" s="1127"/>
      <c r="F75" s="633">
        <f t="shared" ref="F75:F138" si="11">E75*(12-MONTH(D75))/12</f>
        <v>0</v>
      </c>
      <c r="G75" s="632"/>
      <c r="H75" s="1127"/>
      <c r="I75" s="633">
        <f t="shared" ref="I75:I138" si="12">H75*(12-MONTH(G75))/12</f>
        <v>0</v>
      </c>
      <c r="J75" s="633">
        <f t="shared" ref="J75:J138" si="13">C75+E75-H75</f>
        <v>0</v>
      </c>
      <c r="K75" s="633">
        <f t="shared" ref="K75:K138" si="14">C75+F75-I75</f>
        <v>0</v>
      </c>
      <c r="L75" s="1127"/>
      <c r="M75" s="1127"/>
      <c r="N75" s="1691">
        <f t="shared" si="9"/>
        <v>0</v>
      </c>
      <c r="O75" s="634">
        <f t="shared" si="10"/>
        <v>0</v>
      </c>
      <c r="P75" s="144"/>
      <c r="Q75" s="144"/>
      <c r="R75" s="144"/>
      <c r="S75" s="144"/>
    </row>
    <row r="76" spans="1:19" ht="14.25" customHeight="1">
      <c r="A76" s="630"/>
      <c r="B76" s="631"/>
      <c r="C76" s="1127"/>
      <c r="D76" s="632"/>
      <c r="E76" s="1127"/>
      <c r="F76" s="633">
        <f t="shared" si="11"/>
        <v>0</v>
      </c>
      <c r="G76" s="632"/>
      <c r="H76" s="1127"/>
      <c r="I76" s="633">
        <f t="shared" si="12"/>
        <v>0</v>
      </c>
      <c r="J76" s="633">
        <f t="shared" si="13"/>
        <v>0</v>
      </c>
      <c r="K76" s="633">
        <f t="shared" si="14"/>
        <v>0</v>
      </c>
      <c r="L76" s="1127"/>
      <c r="M76" s="1127"/>
      <c r="N76" s="1691">
        <f t="shared" si="9"/>
        <v>0</v>
      </c>
      <c r="O76" s="634">
        <f t="shared" si="10"/>
        <v>0</v>
      </c>
      <c r="P76" s="144"/>
      <c r="Q76" s="144"/>
      <c r="R76" s="144"/>
      <c r="S76" s="144"/>
    </row>
    <row r="77" spans="1:19" ht="14.25" customHeight="1">
      <c r="A77" s="630"/>
      <c r="B77" s="631"/>
      <c r="C77" s="1127"/>
      <c r="D77" s="632"/>
      <c r="E77" s="1127"/>
      <c r="F77" s="633">
        <f t="shared" si="11"/>
        <v>0</v>
      </c>
      <c r="G77" s="632"/>
      <c r="H77" s="1127"/>
      <c r="I77" s="633">
        <f t="shared" si="12"/>
        <v>0</v>
      </c>
      <c r="J77" s="633">
        <f t="shared" si="13"/>
        <v>0</v>
      </c>
      <c r="K77" s="633">
        <f t="shared" si="14"/>
        <v>0</v>
      </c>
      <c r="L77" s="1127"/>
      <c r="M77" s="1127"/>
      <c r="N77" s="1691">
        <f t="shared" si="9"/>
        <v>0</v>
      </c>
      <c r="O77" s="634">
        <f t="shared" si="10"/>
        <v>0</v>
      </c>
      <c r="P77" s="144"/>
      <c r="Q77" s="144"/>
      <c r="R77" s="144"/>
      <c r="S77" s="144"/>
    </row>
    <row r="78" spans="1:19" ht="14.25" customHeight="1">
      <c r="A78" s="630"/>
      <c r="B78" s="631"/>
      <c r="C78" s="1127"/>
      <c r="D78" s="632"/>
      <c r="E78" s="1127"/>
      <c r="F78" s="633">
        <f t="shared" si="11"/>
        <v>0</v>
      </c>
      <c r="G78" s="632"/>
      <c r="H78" s="1127"/>
      <c r="I78" s="633">
        <f t="shared" si="12"/>
        <v>0</v>
      </c>
      <c r="J78" s="633">
        <f t="shared" si="13"/>
        <v>0</v>
      </c>
      <c r="K78" s="633">
        <f t="shared" si="14"/>
        <v>0</v>
      </c>
      <c r="L78" s="1127"/>
      <c r="M78" s="1127"/>
      <c r="N78" s="1691">
        <f t="shared" si="9"/>
        <v>0</v>
      </c>
      <c r="O78" s="634">
        <f t="shared" si="10"/>
        <v>0</v>
      </c>
      <c r="P78" s="144"/>
      <c r="Q78" s="144"/>
      <c r="R78" s="144"/>
      <c r="S78" s="144"/>
    </row>
    <row r="79" spans="1:19" ht="14.25" customHeight="1">
      <c r="A79" s="630"/>
      <c r="B79" s="631"/>
      <c r="C79" s="1127"/>
      <c r="D79" s="632"/>
      <c r="E79" s="1127"/>
      <c r="F79" s="633">
        <f t="shared" si="11"/>
        <v>0</v>
      </c>
      <c r="G79" s="632"/>
      <c r="H79" s="1127"/>
      <c r="I79" s="633">
        <f t="shared" si="12"/>
        <v>0</v>
      </c>
      <c r="J79" s="633">
        <f t="shared" si="13"/>
        <v>0</v>
      </c>
      <c r="K79" s="633">
        <f t="shared" si="14"/>
        <v>0</v>
      </c>
      <c r="L79" s="1127"/>
      <c r="M79" s="1127"/>
      <c r="N79" s="1691">
        <f t="shared" si="9"/>
        <v>0</v>
      </c>
      <c r="O79" s="634">
        <f t="shared" si="10"/>
        <v>0</v>
      </c>
      <c r="P79" s="144"/>
      <c r="Q79" s="144"/>
      <c r="R79" s="144"/>
      <c r="S79" s="144"/>
    </row>
    <row r="80" spans="1:19" ht="14.25" customHeight="1">
      <c r="A80" s="630"/>
      <c r="B80" s="631"/>
      <c r="C80" s="1127"/>
      <c r="D80" s="632"/>
      <c r="E80" s="1127"/>
      <c r="F80" s="633">
        <f t="shared" si="11"/>
        <v>0</v>
      </c>
      <c r="G80" s="632"/>
      <c r="H80" s="1127"/>
      <c r="I80" s="633">
        <f t="shared" si="12"/>
        <v>0</v>
      </c>
      <c r="J80" s="633">
        <f t="shared" si="13"/>
        <v>0</v>
      </c>
      <c r="K80" s="633">
        <f t="shared" si="14"/>
        <v>0</v>
      </c>
      <c r="L80" s="1127"/>
      <c r="M80" s="1127"/>
      <c r="N80" s="1691">
        <f t="shared" si="9"/>
        <v>0</v>
      </c>
      <c r="O80" s="634">
        <f t="shared" si="10"/>
        <v>0</v>
      </c>
      <c r="P80" s="144"/>
      <c r="Q80" s="144"/>
      <c r="R80" s="144"/>
      <c r="S80" s="144"/>
    </row>
    <row r="81" spans="1:19" ht="14.25" customHeight="1">
      <c r="A81" s="630"/>
      <c r="B81" s="631"/>
      <c r="C81" s="1127"/>
      <c r="D81" s="632"/>
      <c r="E81" s="1127"/>
      <c r="F81" s="633">
        <f t="shared" si="11"/>
        <v>0</v>
      </c>
      <c r="G81" s="632"/>
      <c r="H81" s="1127"/>
      <c r="I81" s="633">
        <f t="shared" si="12"/>
        <v>0</v>
      </c>
      <c r="J81" s="633">
        <f t="shared" si="13"/>
        <v>0</v>
      </c>
      <c r="K81" s="633">
        <f t="shared" si="14"/>
        <v>0</v>
      </c>
      <c r="L81" s="1127"/>
      <c r="M81" s="1127"/>
      <c r="N81" s="1691">
        <f t="shared" si="9"/>
        <v>0</v>
      </c>
      <c r="O81" s="634">
        <f t="shared" si="10"/>
        <v>0</v>
      </c>
      <c r="P81" s="144"/>
      <c r="Q81" s="144"/>
      <c r="R81" s="144"/>
      <c r="S81" s="144"/>
    </row>
    <row r="82" spans="1:19" ht="14.25" customHeight="1">
      <c r="A82" s="630"/>
      <c r="B82" s="631"/>
      <c r="C82" s="1127"/>
      <c r="D82" s="632"/>
      <c r="E82" s="1127"/>
      <c r="F82" s="633">
        <f t="shared" si="11"/>
        <v>0</v>
      </c>
      <c r="G82" s="632"/>
      <c r="H82" s="1127"/>
      <c r="I82" s="633">
        <f t="shared" si="12"/>
        <v>0</v>
      </c>
      <c r="J82" s="633">
        <f t="shared" si="13"/>
        <v>0</v>
      </c>
      <c r="K82" s="633">
        <f t="shared" si="14"/>
        <v>0</v>
      </c>
      <c r="L82" s="1127"/>
      <c r="M82" s="1127"/>
      <c r="N82" s="1691">
        <f t="shared" si="9"/>
        <v>0</v>
      </c>
      <c r="O82" s="634">
        <f t="shared" si="10"/>
        <v>0</v>
      </c>
      <c r="P82" s="144"/>
      <c r="Q82" s="144"/>
      <c r="R82" s="144"/>
      <c r="S82" s="144"/>
    </row>
    <row r="83" spans="1:19" ht="14.25" customHeight="1">
      <c r="A83" s="630"/>
      <c r="B83" s="631"/>
      <c r="C83" s="1127"/>
      <c r="D83" s="632"/>
      <c r="E83" s="1127"/>
      <c r="F83" s="633">
        <f t="shared" si="11"/>
        <v>0</v>
      </c>
      <c r="G83" s="632"/>
      <c r="H83" s="1127"/>
      <c r="I83" s="633">
        <f t="shared" si="12"/>
        <v>0</v>
      </c>
      <c r="J83" s="633">
        <f t="shared" si="13"/>
        <v>0</v>
      </c>
      <c r="K83" s="633">
        <f t="shared" si="14"/>
        <v>0</v>
      </c>
      <c r="L83" s="1127"/>
      <c r="M83" s="1127"/>
      <c r="N83" s="1691">
        <f t="shared" si="9"/>
        <v>0</v>
      </c>
      <c r="O83" s="634">
        <f t="shared" si="10"/>
        <v>0</v>
      </c>
      <c r="P83" s="144"/>
      <c r="Q83" s="144"/>
      <c r="R83" s="144"/>
      <c r="S83" s="144"/>
    </row>
    <row r="84" spans="1:19" ht="14.25" customHeight="1">
      <c r="A84" s="630"/>
      <c r="B84" s="631"/>
      <c r="C84" s="1127"/>
      <c r="D84" s="632"/>
      <c r="E84" s="1127"/>
      <c r="F84" s="633">
        <f t="shared" si="11"/>
        <v>0</v>
      </c>
      <c r="G84" s="632"/>
      <c r="H84" s="1127"/>
      <c r="I84" s="633">
        <f t="shared" si="12"/>
        <v>0</v>
      </c>
      <c r="J84" s="633">
        <f t="shared" si="13"/>
        <v>0</v>
      </c>
      <c r="K84" s="633">
        <f t="shared" si="14"/>
        <v>0</v>
      </c>
      <c r="L84" s="1127"/>
      <c r="M84" s="1127"/>
      <c r="N84" s="1691">
        <f t="shared" si="9"/>
        <v>0</v>
      </c>
      <c r="O84" s="634">
        <f t="shared" si="10"/>
        <v>0</v>
      </c>
      <c r="P84" s="144"/>
      <c r="Q84" s="144"/>
      <c r="R84" s="144"/>
      <c r="S84" s="144"/>
    </row>
    <row r="85" spans="1:19" ht="14.25" customHeight="1">
      <c r="A85" s="630"/>
      <c r="B85" s="631"/>
      <c r="C85" s="1127"/>
      <c r="D85" s="632"/>
      <c r="E85" s="1127"/>
      <c r="F85" s="633">
        <f t="shared" si="11"/>
        <v>0</v>
      </c>
      <c r="G85" s="632"/>
      <c r="H85" s="1127"/>
      <c r="I85" s="633">
        <f t="shared" si="12"/>
        <v>0</v>
      </c>
      <c r="J85" s="633">
        <f t="shared" si="13"/>
        <v>0</v>
      </c>
      <c r="K85" s="633">
        <f t="shared" si="14"/>
        <v>0</v>
      </c>
      <c r="L85" s="1127"/>
      <c r="M85" s="1127"/>
      <c r="N85" s="1691">
        <f t="shared" si="9"/>
        <v>0</v>
      </c>
      <c r="O85" s="634">
        <f t="shared" si="10"/>
        <v>0</v>
      </c>
      <c r="P85" s="144"/>
      <c r="Q85" s="144"/>
      <c r="R85" s="144"/>
      <c r="S85" s="144"/>
    </row>
    <row r="86" spans="1:19" ht="14.25" customHeight="1">
      <c r="A86" s="630"/>
      <c r="B86" s="631"/>
      <c r="C86" s="1127"/>
      <c r="D86" s="632"/>
      <c r="E86" s="1127"/>
      <c r="F86" s="633">
        <f t="shared" si="11"/>
        <v>0</v>
      </c>
      <c r="G86" s="632"/>
      <c r="H86" s="1127"/>
      <c r="I86" s="633">
        <f t="shared" si="12"/>
        <v>0</v>
      </c>
      <c r="J86" s="633">
        <f t="shared" si="13"/>
        <v>0</v>
      </c>
      <c r="K86" s="633">
        <f t="shared" si="14"/>
        <v>0</v>
      </c>
      <c r="L86" s="1127"/>
      <c r="M86" s="1127"/>
      <c r="N86" s="1691">
        <f t="shared" si="9"/>
        <v>0</v>
      </c>
      <c r="O86" s="634">
        <f t="shared" si="10"/>
        <v>0</v>
      </c>
      <c r="P86" s="144"/>
      <c r="Q86" s="144"/>
      <c r="R86" s="144"/>
      <c r="S86" s="144"/>
    </row>
    <row r="87" spans="1:19" ht="14.25" customHeight="1">
      <c r="A87" s="630"/>
      <c r="B87" s="631"/>
      <c r="C87" s="1127"/>
      <c r="D87" s="632"/>
      <c r="E87" s="1127"/>
      <c r="F87" s="633">
        <f t="shared" si="11"/>
        <v>0</v>
      </c>
      <c r="G87" s="632"/>
      <c r="H87" s="1127"/>
      <c r="I87" s="633">
        <f t="shared" si="12"/>
        <v>0</v>
      </c>
      <c r="J87" s="633">
        <f t="shared" si="13"/>
        <v>0</v>
      </c>
      <c r="K87" s="633">
        <f t="shared" si="14"/>
        <v>0</v>
      </c>
      <c r="L87" s="1127"/>
      <c r="M87" s="1127"/>
      <c r="N87" s="1691">
        <f t="shared" si="9"/>
        <v>0</v>
      </c>
      <c r="O87" s="634">
        <f t="shared" si="10"/>
        <v>0</v>
      </c>
      <c r="P87" s="144"/>
      <c r="Q87" s="144"/>
      <c r="R87" s="144"/>
      <c r="S87" s="144"/>
    </row>
    <row r="88" spans="1:19" ht="14.25" customHeight="1">
      <c r="A88" s="630"/>
      <c r="B88" s="631"/>
      <c r="C88" s="1127"/>
      <c r="D88" s="632"/>
      <c r="E88" s="1127"/>
      <c r="F88" s="633">
        <f t="shared" si="11"/>
        <v>0</v>
      </c>
      <c r="G88" s="632"/>
      <c r="H88" s="1127"/>
      <c r="I88" s="633">
        <f t="shared" si="12"/>
        <v>0</v>
      </c>
      <c r="J88" s="633">
        <f t="shared" si="13"/>
        <v>0</v>
      </c>
      <c r="K88" s="633">
        <f t="shared" si="14"/>
        <v>0</v>
      </c>
      <c r="L88" s="1127"/>
      <c r="M88" s="1127"/>
      <c r="N88" s="1691">
        <f t="shared" si="9"/>
        <v>0</v>
      </c>
      <c r="O88" s="634">
        <f t="shared" si="10"/>
        <v>0</v>
      </c>
      <c r="P88" s="144"/>
      <c r="Q88" s="144"/>
      <c r="R88" s="144"/>
      <c r="S88" s="144"/>
    </row>
    <row r="89" spans="1:19" ht="14.25" customHeight="1">
      <c r="A89" s="630"/>
      <c r="B89" s="631"/>
      <c r="C89" s="1127"/>
      <c r="D89" s="632"/>
      <c r="E89" s="1127"/>
      <c r="F89" s="633">
        <f t="shared" si="11"/>
        <v>0</v>
      </c>
      <c r="G89" s="632"/>
      <c r="H89" s="1127"/>
      <c r="I89" s="633">
        <f t="shared" si="12"/>
        <v>0</v>
      </c>
      <c r="J89" s="633">
        <f t="shared" si="13"/>
        <v>0</v>
      </c>
      <c r="K89" s="633">
        <f t="shared" si="14"/>
        <v>0</v>
      </c>
      <c r="L89" s="1127"/>
      <c r="M89" s="1127"/>
      <c r="N89" s="1691">
        <f t="shared" si="9"/>
        <v>0</v>
      </c>
      <c r="O89" s="634">
        <f t="shared" si="10"/>
        <v>0</v>
      </c>
      <c r="P89" s="144"/>
      <c r="Q89" s="144"/>
      <c r="R89" s="144"/>
      <c r="S89" s="144"/>
    </row>
    <row r="90" spans="1:19" ht="14.25" customHeight="1">
      <c r="A90" s="630"/>
      <c r="B90" s="631"/>
      <c r="C90" s="1127"/>
      <c r="D90" s="632"/>
      <c r="E90" s="1127"/>
      <c r="F90" s="633">
        <f t="shared" si="11"/>
        <v>0</v>
      </c>
      <c r="G90" s="632"/>
      <c r="H90" s="1127"/>
      <c r="I90" s="633">
        <f t="shared" si="12"/>
        <v>0</v>
      </c>
      <c r="J90" s="633">
        <f t="shared" si="13"/>
        <v>0</v>
      </c>
      <c r="K90" s="633">
        <f t="shared" si="14"/>
        <v>0</v>
      </c>
      <c r="L90" s="1127"/>
      <c r="M90" s="1127"/>
      <c r="N90" s="1691">
        <f t="shared" si="9"/>
        <v>0</v>
      </c>
      <c r="O90" s="634">
        <f t="shared" si="10"/>
        <v>0</v>
      </c>
      <c r="P90" s="144"/>
      <c r="Q90" s="144"/>
      <c r="R90" s="144"/>
      <c r="S90" s="144"/>
    </row>
    <row r="91" spans="1:19" ht="14.25" customHeight="1">
      <c r="A91" s="630"/>
      <c r="B91" s="631"/>
      <c r="C91" s="1127"/>
      <c r="D91" s="632"/>
      <c r="E91" s="1127"/>
      <c r="F91" s="633">
        <f t="shared" si="11"/>
        <v>0</v>
      </c>
      <c r="G91" s="632"/>
      <c r="H91" s="1127"/>
      <c r="I91" s="633">
        <f t="shared" si="12"/>
        <v>0</v>
      </c>
      <c r="J91" s="633">
        <f t="shared" si="13"/>
        <v>0</v>
      </c>
      <c r="K91" s="633">
        <f t="shared" si="14"/>
        <v>0</v>
      </c>
      <c r="L91" s="1127"/>
      <c r="M91" s="1127"/>
      <c r="N91" s="1691">
        <f t="shared" si="9"/>
        <v>0</v>
      </c>
      <c r="O91" s="634">
        <f t="shared" si="10"/>
        <v>0</v>
      </c>
      <c r="P91" s="144"/>
      <c r="Q91" s="144"/>
      <c r="R91" s="144"/>
      <c r="S91" s="144"/>
    </row>
    <row r="92" spans="1:19" ht="14.25" customHeight="1">
      <c r="A92" s="630"/>
      <c r="B92" s="631"/>
      <c r="C92" s="1127"/>
      <c r="D92" s="632"/>
      <c r="E92" s="1127"/>
      <c r="F92" s="633">
        <f t="shared" si="11"/>
        <v>0</v>
      </c>
      <c r="G92" s="632"/>
      <c r="H92" s="1127"/>
      <c r="I92" s="633">
        <f t="shared" si="12"/>
        <v>0</v>
      </c>
      <c r="J92" s="633">
        <f t="shared" si="13"/>
        <v>0</v>
      </c>
      <c r="K92" s="633">
        <f t="shared" si="14"/>
        <v>0</v>
      </c>
      <c r="L92" s="1127"/>
      <c r="M92" s="1127"/>
      <c r="N92" s="1691">
        <f t="shared" si="9"/>
        <v>0</v>
      </c>
      <c r="O92" s="634">
        <f t="shared" si="10"/>
        <v>0</v>
      </c>
      <c r="P92" s="144"/>
      <c r="Q92" s="144"/>
      <c r="R92" s="144"/>
      <c r="S92" s="144"/>
    </row>
    <row r="93" spans="1:19" ht="14.25" customHeight="1">
      <c r="A93" s="630"/>
      <c r="B93" s="631"/>
      <c r="C93" s="1127"/>
      <c r="D93" s="632"/>
      <c r="E93" s="1127"/>
      <c r="F93" s="633">
        <f t="shared" si="11"/>
        <v>0</v>
      </c>
      <c r="G93" s="632"/>
      <c r="H93" s="1127"/>
      <c r="I93" s="633">
        <f t="shared" si="12"/>
        <v>0</v>
      </c>
      <c r="J93" s="633">
        <f t="shared" si="13"/>
        <v>0</v>
      </c>
      <c r="K93" s="633">
        <f t="shared" si="14"/>
        <v>0</v>
      </c>
      <c r="L93" s="1127"/>
      <c r="M93" s="1127"/>
      <c r="N93" s="1691">
        <f t="shared" si="9"/>
        <v>0</v>
      </c>
      <c r="O93" s="634">
        <f t="shared" si="10"/>
        <v>0</v>
      </c>
      <c r="P93" s="144"/>
      <c r="Q93" s="144"/>
      <c r="R93" s="144"/>
      <c r="S93" s="144"/>
    </row>
    <row r="94" spans="1:19" ht="14.25" customHeight="1">
      <c r="A94" s="630"/>
      <c r="B94" s="631"/>
      <c r="C94" s="1127"/>
      <c r="D94" s="632"/>
      <c r="E94" s="1127"/>
      <c r="F94" s="633">
        <f t="shared" si="11"/>
        <v>0</v>
      </c>
      <c r="G94" s="632"/>
      <c r="H94" s="1127"/>
      <c r="I94" s="633">
        <f t="shared" si="12"/>
        <v>0</v>
      </c>
      <c r="J94" s="633">
        <f t="shared" si="13"/>
        <v>0</v>
      </c>
      <c r="K94" s="633">
        <f t="shared" si="14"/>
        <v>0</v>
      </c>
      <c r="L94" s="1127"/>
      <c r="M94" s="1127"/>
      <c r="N94" s="1691">
        <f t="shared" si="9"/>
        <v>0</v>
      </c>
      <c r="O94" s="634">
        <f t="shared" si="10"/>
        <v>0</v>
      </c>
      <c r="P94" s="144"/>
      <c r="Q94" s="144"/>
      <c r="R94" s="144"/>
      <c r="S94" s="144"/>
    </row>
    <row r="95" spans="1:19" ht="14.25" customHeight="1">
      <c r="A95" s="630"/>
      <c r="B95" s="631"/>
      <c r="C95" s="1127"/>
      <c r="D95" s="632"/>
      <c r="E95" s="1127"/>
      <c r="F95" s="633">
        <f t="shared" si="11"/>
        <v>0</v>
      </c>
      <c r="G95" s="632"/>
      <c r="H95" s="1127"/>
      <c r="I95" s="633">
        <f t="shared" si="12"/>
        <v>0</v>
      </c>
      <c r="J95" s="633">
        <f t="shared" si="13"/>
        <v>0</v>
      </c>
      <c r="K95" s="633">
        <f t="shared" si="14"/>
        <v>0</v>
      </c>
      <c r="L95" s="1127"/>
      <c r="M95" s="1127"/>
      <c r="N95" s="1691">
        <f t="shared" si="9"/>
        <v>0</v>
      </c>
      <c r="O95" s="634">
        <f t="shared" si="10"/>
        <v>0</v>
      </c>
      <c r="P95" s="144"/>
      <c r="Q95" s="144"/>
      <c r="R95" s="144"/>
      <c r="S95" s="144"/>
    </row>
    <row r="96" spans="1:19" ht="14.25" customHeight="1">
      <c r="A96" s="630"/>
      <c r="B96" s="631"/>
      <c r="C96" s="1127"/>
      <c r="D96" s="632"/>
      <c r="E96" s="1127"/>
      <c r="F96" s="633">
        <f t="shared" si="11"/>
        <v>0</v>
      </c>
      <c r="G96" s="632"/>
      <c r="H96" s="1127"/>
      <c r="I96" s="633">
        <f t="shared" si="12"/>
        <v>0</v>
      </c>
      <c r="J96" s="633">
        <f t="shared" si="13"/>
        <v>0</v>
      </c>
      <c r="K96" s="633">
        <f t="shared" si="14"/>
        <v>0</v>
      </c>
      <c r="L96" s="1127"/>
      <c r="M96" s="1127"/>
      <c r="N96" s="1691">
        <f t="shared" si="9"/>
        <v>0</v>
      </c>
      <c r="O96" s="634">
        <f t="shared" si="10"/>
        <v>0</v>
      </c>
      <c r="P96" s="144"/>
      <c r="Q96" s="144"/>
      <c r="R96" s="144"/>
      <c r="S96" s="144"/>
    </row>
    <row r="97" spans="1:19" ht="14.25" customHeight="1">
      <c r="A97" s="630"/>
      <c r="B97" s="631"/>
      <c r="C97" s="1127"/>
      <c r="D97" s="632"/>
      <c r="E97" s="1127"/>
      <c r="F97" s="633">
        <f t="shared" si="11"/>
        <v>0</v>
      </c>
      <c r="G97" s="632"/>
      <c r="H97" s="1127"/>
      <c r="I97" s="633">
        <f t="shared" si="12"/>
        <v>0</v>
      </c>
      <c r="J97" s="633">
        <f t="shared" si="13"/>
        <v>0</v>
      </c>
      <c r="K97" s="633">
        <f t="shared" si="14"/>
        <v>0</v>
      </c>
      <c r="L97" s="1127"/>
      <c r="M97" s="1127"/>
      <c r="N97" s="1691">
        <f t="shared" si="9"/>
        <v>0</v>
      </c>
      <c r="O97" s="634">
        <f t="shared" si="10"/>
        <v>0</v>
      </c>
      <c r="P97" s="144"/>
      <c r="Q97" s="144"/>
      <c r="R97" s="144"/>
      <c r="S97" s="144"/>
    </row>
    <row r="98" spans="1:19" ht="14.25" customHeight="1">
      <c r="A98" s="630"/>
      <c r="B98" s="631"/>
      <c r="C98" s="1127"/>
      <c r="D98" s="632"/>
      <c r="E98" s="1127"/>
      <c r="F98" s="633">
        <f t="shared" si="11"/>
        <v>0</v>
      </c>
      <c r="G98" s="632"/>
      <c r="H98" s="1127"/>
      <c r="I98" s="633">
        <f t="shared" si="12"/>
        <v>0</v>
      </c>
      <c r="J98" s="633">
        <f t="shared" si="13"/>
        <v>0</v>
      </c>
      <c r="K98" s="633">
        <f t="shared" si="14"/>
        <v>0</v>
      </c>
      <c r="L98" s="1127"/>
      <c r="M98" s="1127"/>
      <c r="N98" s="1691">
        <f t="shared" si="9"/>
        <v>0</v>
      </c>
      <c r="O98" s="634">
        <f t="shared" si="10"/>
        <v>0</v>
      </c>
      <c r="P98" s="144"/>
      <c r="Q98" s="144"/>
      <c r="R98" s="144"/>
      <c r="S98" s="144"/>
    </row>
    <row r="99" spans="1:19" ht="14.25" customHeight="1">
      <c r="A99" s="630"/>
      <c r="B99" s="631"/>
      <c r="C99" s="1127"/>
      <c r="D99" s="632"/>
      <c r="E99" s="1127"/>
      <c r="F99" s="633">
        <f t="shared" si="11"/>
        <v>0</v>
      </c>
      <c r="G99" s="632"/>
      <c r="H99" s="1127"/>
      <c r="I99" s="633">
        <f t="shared" si="12"/>
        <v>0</v>
      </c>
      <c r="J99" s="633">
        <f t="shared" si="13"/>
        <v>0</v>
      </c>
      <c r="K99" s="633">
        <f t="shared" si="14"/>
        <v>0</v>
      </c>
      <c r="L99" s="1127"/>
      <c r="M99" s="1127"/>
      <c r="N99" s="1691">
        <f t="shared" si="9"/>
        <v>0</v>
      </c>
      <c r="O99" s="634">
        <f t="shared" si="10"/>
        <v>0</v>
      </c>
      <c r="P99" s="144"/>
      <c r="Q99" s="144"/>
      <c r="R99" s="144"/>
      <c r="S99" s="144"/>
    </row>
    <row r="100" spans="1:19" ht="14.25" customHeight="1">
      <c r="A100" s="630"/>
      <c r="B100" s="631"/>
      <c r="C100" s="1127"/>
      <c r="D100" s="632"/>
      <c r="E100" s="1127"/>
      <c r="F100" s="633">
        <f t="shared" si="11"/>
        <v>0</v>
      </c>
      <c r="G100" s="632"/>
      <c r="H100" s="1127"/>
      <c r="I100" s="633">
        <f t="shared" si="12"/>
        <v>0</v>
      </c>
      <c r="J100" s="633">
        <f t="shared" si="13"/>
        <v>0</v>
      </c>
      <c r="K100" s="633">
        <f t="shared" si="14"/>
        <v>0</v>
      </c>
      <c r="L100" s="1127"/>
      <c r="M100" s="1127"/>
      <c r="N100" s="1691">
        <f t="shared" si="9"/>
        <v>0</v>
      </c>
      <c r="O100" s="634">
        <f t="shared" si="10"/>
        <v>0</v>
      </c>
      <c r="P100" s="144"/>
      <c r="Q100" s="144"/>
      <c r="R100" s="144"/>
      <c r="S100" s="144"/>
    </row>
    <row r="101" spans="1:19" ht="14.25" customHeight="1">
      <c r="A101" s="630"/>
      <c r="B101" s="631"/>
      <c r="C101" s="1127"/>
      <c r="D101" s="632"/>
      <c r="E101" s="1127"/>
      <c r="F101" s="633">
        <f t="shared" si="11"/>
        <v>0</v>
      </c>
      <c r="G101" s="632"/>
      <c r="H101" s="1127"/>
      <c r="I101" s="633">
        <f t="shared" si="12"/>
        <v>0</v>
      </c>
      <c r="J101" s="633">
        <f t="shared" si="13"/>
        <v>0</v>
      </c>
      <c r="K101" s="633">
        <f t="shared" si="14"/>
        <v>0</v>
      </c>
      <c r="L101" s="1127"/>
      <c r="M101" s="1127"/>
      <c r="N101" s="1691">
        <f t="shared" si="9"/>
        <v>0</v>
      </c>
      <c r="O101" s="634">
        <f t="shared" si="10"/>
        <v>0</v>
      </c>
      <c r="P101" s="144"/>
      <c r="Q101" s="144"/>
      <c r="R101" s="144"/>
      <c r="S101" s="144"/>
    </row>
    <row r="102" spans="1:19" ht="14.25" customHeight="1">
      <c r="A102" s="630"/>
      <c r="B102" s="631"/>
      <c r="C102" s="1127"/>
      <c r="D102" s="632"/>
      <c r="E102" s="1127"/>
      <c r="F102" s="633">
        <f t="shared" si="11"/>
        <v>0</v>
      </c>
      <c r="G102" s="632"/>
      <c r="H102" s="1127"/>
      <c r="I102" s="633">
        <f t="shared" si="12"/>
        <v>0</v>
      </c>
      <c r="J102" s="633">
        <f t="shared" si="13"/>
        <v>0</v>
      </c>
      <c r="K102" s="633">
        <f t="shared" si="14"/>
        <v>0</v>
      </c>
      <c r="L102" s="1127"/>
      <c r="M102" s="1127"/>
      <c r="N102" s="1691">
        <f t="shared" si="9"/>
        <v>0</v>
      </c>
      <c r="O102" s="634">
        <f t="shared" si="10"/>
        <v>0</v>
      </c>
      <c r="P102" s="144"/>
      <c r="Q102" s="144"/>
      <c r="R102" s="144"/>
      <c r="S102" s="144"/>
    </row>
    <row r="103" spans="1:19" ht="14.25" customHeight="1">
      <c r="A103" s="630"/>
      <c r="B103" s="631"/>
      <c r="C103" s="1127"/>
      <c r="D103" s="632"/>
      <c r="E103" s="1127"/>
      <c r="F103" s="633">
        <f t="shared" si="11"/>
        <v>0</v>
      </c>
      <c r="G103" s="632"/>
      <c r="H103" s="1127"/>
      <c r="I103" s="633">
        <f t="shared" si="12"/>
        <v>0</v>
      </c>
      <c r="J103" s="633">
        <f t="shared" si="13"/>
        <v>0</v>
      </c>
      <c r="K103" s="633">
        <f t="shared" si="14"/>
        <v>0</v>
      </c>
      <c r="L103" s="1127"/>
      <c r="M103" s="1127"/>
      <c r="N103" s="1691">
        <f t="shared" si="9"/>
        <v>0</v>
      </c>
      <c r="O103" s="634">
        <f t="shared" si="10"/>
        <v>0</v>
      </c>
      <c r="P103" s="144"/>
      <c r="Q103" s="144"/>
      <c r="R103" s="144"/>
      <c r="S103" s="144"/>
    </row>
    <row r="104" spans="1:19" ht="14.25" customHeight="1">
      <c r="A104" s="630"/>
      <c r="B104" s="631"/>
      <c r="C104" s="1127"/>
      <c r="D104" s="632"/>
      <c r="E104" s="1127"/>
      <c r="F104" s="633">
        <f t="shared" si="11"/>
        <v>0</v>
      </c>
      <c r="G104" s="632"/>
      <c r="H104" s="1127"/>
      <c r="I104" s="633">
        <f t="shared" si="12"/>
        <v>0</v>
      </c>
      <c r="J104" s="633">
        <f t="shared" si="13"/>
        <v>0</v>
      </c>
      <c r="K104" s="633">
        <f t="shared" si="14"/>
        <v>0</v>
      </c>
      <c r="L104" s="1127"/>
      <c r="M104" s="1127"/>
      <c r="N104" s="1691">
        <f t="shared" si="9"/>
        <v>0</v>
      </c>
      <c r="O104" s="634">
        <f t="shared" si="10"/>
        <v>0</v>
      </c>
      <c r="P104" s="144"/>
      <c r="Q104" s="144"/>
      <c r="R104" s="144"/>
      <c r="S104" s="144"/>
    </row>
    <row r="105" spans="1:19" ht="14.25" customHeight="1">
      <c r="A105" s="630"/>
      <c r="B105" s="631"/>
      <c r="C105" s="1127"/>
      <c r="D105" s="632"/>
      <c r="E105" s="1127"/>
      <c r="F105" s="633">
        <f t="shared" si="11"/>
        <v>0</v>
      </c>
      <c r="G105" s="632"/>
      <c r="H105" s="1127"/>
      <c r="I105" s="633">
        <f t="shared" si="12"/>
        <v>0</v>
      </c>
      <c r="J105" s="633">
        <f t="shared" si="13"/>
        <v>0</v>
      </c>
      <c r="K105" s="633">
        <f t="shared" si="14"/>
        <v>0</v>
      </c>
      <c r="L105" s="1127"/>
      <c r="M105" s="1127"/>
      <c r="N105" s="1691">
        <f t="shared" si="9"/>
        <v>0</v>
      </c>
      <c r="O105" s="634">
        <f t="shared" si="10"/>
        <v>0</v>
      </c>
      <c r="P105" s="144"/>
      <c r="Q105" s="144"/>
      <c r="R105" s="144"/>
      <c r="S105" s="144"/>
    </row>
    <row r="106" spans="1:19" ht="14.25" customHeight="1">
      <c r="A106" s="630"/>
      <c r="B106" s="631"/>
      <c r="C106" s="1127"/>
      <c r="D106" s="632"/>
      <c r="E106" s="1127"/>
      <c r="F106" s="633">
        <f t="shared" si="11"/>
        <v>0</v>
      </c>
      <c r="G106" s="632"/>
      <c r="H106" s="1127"/>
      <c r="I106" s="633">
        <f t="shared" si="12"/>
        <v>0</v>
      </c>
      <c r="J106" s="633">
        <f t="shared" si="13"/>
        <v>0</v>
      </c>
      <c r="K106" s="633">
        <f t="shared" si="14"/>
        <v>0</v>
      </c>
      <c r="L106" s="1127"/>
      <c r="M106" s="1127"/>
      <c r="N106" s="1691">
        <f t="shared" si="9"/>
        <v>0</v>
      </c>
      <c r="O106" s="634">
        <f t="shared" si="10"/>
        <v>0</v>
      </c>
      <c r="P106" s="144"/>
      <c r="Q106" s="144"/>
      <c r="R106" s="144"/>
      <c r="S106" s="144"/>
    </row>
    <row r="107" spans="1:19" ht="14.25" customHeight="1">
      <c r="A107" s="630"/>
      <c r="B107" s="631"/>
      <c r="C107" s="1127"/>
      <c r="D107" s="632"/>
      <c r="E107" s="1127"/>
      <c r="F107" s="633">
        <f t="shared" si="11"/>
        <v>0</v>
      </c>
      <c r="G107" s="632"/>
      <c r="H107" s="1127"/>
      <c r="I107" s="633">
        <f t="shared" si="12"/>
        <v>0</v>
      </c>
      <c r="J107" s="633">
        <f t="shared" si="13"/>
        <v>0</v>
      </c>
      <c r="K107" s="633">
        <f t="shared" si="14"/>
        <v>0</v>
      </c>
      <c r="L107" s="1127"/>
      <c r="M107" s="1127"/>
      <c r="N107" s="1691">
        <f t="shared" si="9"/>
        <v>0</v>
      </c>
      <c r="O107" s="634">
        <f t="shared" si="10"/>
        <v>0</v>
      </c>
      <c r="P107" s="144"/>
      <c r="Q107" s="144"/>
      <c r="R107" s="144"/>
      <c r="S107" s="144"/>
    </row>
    <row r="108" spans="1:19" ht="14.25" customHeight="1">
      <c r="A108" s="630"/>
      <c r="B108" s="631"/>
      <c r="C108" s="1127"/>
      <c r="D108" s="632"/>
      <c r="E108" s="1127"/>
      <c r="F108" s="633">
        <f t="shared" si="11"/>
        <v>0</v>
      </c>
      <c r="G108" s="632"/>
      <c r="H108" s="1127"/>
      <c r="I108" s="633">
        <f t="shared" si="12"/>
        <v>0</v>
      </c>
      <c r="J108" s="633">
        <f t="shared" si="13"/>
        <v>0</v>
      </c>
      <c r="K108" s="633">
        <f t="shared" si="14"/>
        <v>0</v>
      </c>
      <c r="L108" s="1127"/>
      <c r="M108" s="1127"/>
      <c r="N108" s="1691">
        <f t="shared" si="9"/>
        <v>0</v>
      </c>
      <c r="O108" s="634">
        <f t="shared" si="10"/>
        <v>0</v>
      </c>
      <c r="P108" s="144"/>
      <c r="Q108" s="144"/>
      <c r="R108" s="144"/>
      <c r="S108" s="144"/>
    </row>
    <row r="109" spans="1:19" ht="14.25" customHeight="1">
      <c r="A109" s="630"/>
      <c r="B109" s="631"/>
      <c r="C109" s="1127"/>
      <c r="D109" s="632"/>
      <c r="E109" s="1127"/>
      <c r="F109" s="633">
        <f t="shared" si="11"/>
        <v>0</v>
      </c>
      <c r="G109" s="632"/>
      <c r="H109" s="1127"/>
      <c r="I109" s="633">
        <f t="shared" si="12"/>
        <v>0</v>
      </c>
      <c r="J109" s="633">
        <f t="shared" si="13"/>
        <v>0</v>
      </c>
      <c r="K109" s="633">
        <f t="shared" si="14"/>
        <v>0</v>
      </c>
      <c r="L109" s="1127"/>
      <c r="M109" s="1127"/>
      <c r="N109" s="1691">
        <f t="shared" si="9"/>
        <v>0</v>
      </c>
      <c r="O109" s="634">
        <f t="shared" si="10"/>
        <v>0</v>
      </c>
      <c r="P109" s="144"/>
      <c r="Q109" s="144"/>
      <c r="R109" s="144"/>
      <c r="S109" s="144"/>
    </row>
    <row r="110" spans="1:19" ht="14.25" customHeight="1">
      <c r="A110" s="630"/>
      <c r="B110" s="631"/>
      <c r="C110" s="1127"/>
      <c r="D110" s="632"/>
      <c r="E110" s="1127"/>
      <c r="F110" s="633">
        <f t="shared" si="11"/>
        <v>0</v>
      </c>
      <c r="G110" s="632"/>
      <c r="H110" s="1127"/>
      <c r="I110" s="633">
        <f t="shared" si="12"/>
        <v>0</v>
      </c>
      <c r="J110" s="633">
        <f t="shared" si="13"/>
        <v>0</v>
      </c>
      <c r="K110" s="633">
        <f t="shared" si="14"/>
        <v>0</v>
      </c>
      <c r="L110" s="1127"/>
      <c r="M110" s="1127"/>
      <c r="N110" s="1691">
        <f t="shared" si="9"/>
        <v>0</v>
      </c>
      <c r="O110" s="634">
        <f t="shared" si="10"/>
        <v>0</v>
      </c>
      <c r="P110" s="144"/>
      <c r="Q110" s="144"/>
      <c r="R110" s="144"/>
      <c r="S110" s="144"/>
    </row>
    <row r="111" spans="1:19" ht="14.25" customHeight="1">
      <c r="A111" s="630"/>
      <c r="B111" s="631"/>
      <c r="C111" s="1127"/>
      <c r="D111" s="632"/>
      <c r="E111" s="1127"/>
      <c r="F111" s="633">
        <f t="shared" si="11"/>
        <v>0</v>
      </c>
      <c r="G111" s="632"/>
      <c r="H111" s="1127"/>
      <c r="I111" s="633">
        <f t="shared" si="12"/>
        <v>0</v>
      </c>
      <c r="J111" s="633">
        <f t="shared" si="13"/>
        <v>0</v>
      </c>
      <c r="K111" s="633">
        <f t="shared" si="14"/>
        <v>0</v>
      </c>
      <c r="L111" s="1127"/>
      <c r="M111" s="1127"/>
      <c r="N111" s="1691">
        <f t="shared" si="9"/>
        <v>0</v>
      </c>
      <c r="O111" s="634">
        <f t="shared" si="10"/>
        <v>0</v>
      </c>
      <c r="P111" s="144"/>
      <c r="Q111" s="144"/>
      <c r="R111" s="144"/>
      <c r="S111" s="144"/>
    </row>
    <row r="112" spans="1:19" ht="14.25" customHeight="1">
      <c r="A112" s="630"/>
      <c r="B112" s="631"/>
      <c r="C112" s="1127"/>
      <c r="D112" s="632"/>
      <c r="E112" s="1127"/>
      <c r="F112" s="633">
        <f t="shared" si="11"/>
        <v>0</v>
      </c>
      <c r="G112" s="632"/>
      <c r="H112" s="1127"/>
      <c r="I112" s="633">
        <f t="shared" si="12"/>
        <v>0</v>
      </c>
      <c r="J112" s="633">
        <f t="shared" si="13"/>
        <v>0</v>
      </c>
      <c r="K112" s="633">
        <f t="shared" si="14"/>
        <v>0</v>
      </c>
      <c r="L112" s="1127"/>
      <c r="M112" s="1127"/>
      <c r="N112" s="1691">
        <f t="shared" si="9"/>
        <v>0</v>
      </c>
      <c r="O112" s="634">
        <f t="shared" si="10"/>
        <v>0</v>
      </c>
      <c r="P112" s="144"/>
      <c r="Q112" s="144"/>
      <c r="R112" s="144"/>
      <c r="S112" s="144"/>
    </row>
    <row r="113" spans="1:19" ht="14.25" customHeight="1">
      <c r="A113" s="630"/>
      <c r="B113" s="631"/>
      <c r="C113" s="1127"/>
      <c r="D113" s="632"/>
      <c r="E113" s="1127"/>
      <c r="F113" s="633">
        <f t="shared" si="11"/>
        <v>0</v>
      </c>
      <c r="G113" s="632"/>
      <c r="H113" s="1127"/>
      <c r="I113" s="633">
        <f t="shared" si="12"/>
        <v>0</v>
      </c>
      <c r="J113" s="633">
        <f t="shared" si="13"/>
        <v>0</v>
      </c>
      <c r="K113" s="633">
        <f t="shared" si="14"/>
        <v>0</v>
      </c>
      <c r="L113" s="1127"/>
      <c r="M113" s="1127"/>
      <c r="N113" s="1691">
        <f t="shared" si="9"/>
        <v>0</v>
      </c>
      <c r="O113" s="634">
        <f t="shared" si="10"/>
        <v>0</v>
      </c>
      <c r="P113" s="144"/>
      <c r="Q113" s="144"/>
      <c r="R113" s="144"/>
      <c r="S113" s="144"/>
    </row>
    <row r="114" spans="1:19" ht="14.25" customHeight="1">
      <c r="A114" s="630"/>
      <c r="B114" s="631"/>
      <c r="C114" s="1127"/>
      <c r="D114" s="632"/>
      <c r="E114" s="1127"/>
      <c r="F114" s="633">
        <f t="shared" si="11"/>
        <v>0</v>
      </c>
      <c r="G114" s="632"/>
      <c r="H114" s="1127"/>
      <c r="I114" s="633">
        <f t="shared" si="12"/>
        <v>0</v>
      </c>
      <c r="J114" s="633">
        <f t="shared" si="13"/>
        <v>0</v>
      </c>
      <c r="K114" s="633">
        <f t="shared" si="14"/>
        <v>0</v>
      </c>
      <c r="L114" s="1127"/>
      <c r="M114" s="1127"/>
      <c r="N114" s="1691">
        <f t="shared" si="9"/>
        <v>0</v>
      </c>
      <c r="O114" s="634">
        <f t="shared" si="10"/>
        <v>0</v>
      </c>
      <c r="P114" s="144"/>
      <c r="Q114" s="144"/>
      <c r="R114" s="144"/>
      <c r="S114" s="144"/>
    </row>
    <row r="115" spans="1:19" ht="14.25" customHeight="1">
      <c r="A115" s="630"/>
      <c r="B115" s="631"/>
      <c r="C115" s="1127"/>
      <c r="D115" s="632"/>
      <c r="E115" s="1127"/>
      <c r="F115" s="633">
        <f t="shared" si="11"/>
        <v>0</v>
      </c>
      <c r="G115" s="632"/>
      <c r="H115" s="1127"/>
      <c r="I115" s="633">
        <f t="shared" si="12"/>
        <v>0</v>
      </c>
      <c r="J115" s="633">
        <f t="shared" si="13"/>
        <v>0</v>
      </c>
      <c r="K115" s="633">
        <f t="shared" si="14"/>
        <v>0</v>
      </c>
      <c r="L115" s="1127"/>
      <c r="M115" s="1127"/>
      <c r="N115" s="1691">
        <f t="shared" si="9"/>
        <v>0</v>
      </c>
      <c r="O115" s="634">
        <f t="shared" si="10"/>
        <v>0</v>
      </c>
      <c r="P115" s="144"/>
      <c r="Q115" s="144"/>
      <c r="R115" s="144"/>
      <c r="S115" s="144"/>
    </row>
    <row r="116" spans="1:19" ht="14.25" customHeight="1">
      <c r="A116" s="630"/>
      <c r="B116" s="631"/>
      <c r="C116" s="1127"/>
      <c r="D116" s="632"/>
      <c r="E116" s="1127"/>
      <c r="F116" s="633">
        <f t="shared" si="11"/>
        <v>0</v>
      </c>
      <c r="G116" s="632"/>
      <c r="H116" s="1127"/>
      <c r="I116" s="633">
        <f t="shared" si="12"/>
        <v>0</v>
      </c>
      <c r="J116" s="633">
        <f t="shared" si="13"/>
        <v>0</v>
      </c>
      <c r="K116" s="633">
        <f t="shared" si="14"/>
        <v>0</v>
      </c>
      <c r="L116" s="1127"/>
      <c r="M116" s="1127"/>
      <c r="N116" s="1691">
        <f t="shared" si="9"/>
        <v>0</v>
      </c>
      <c r="O116" s="634">
        <f t="shared" si="10"/>
        <v>0</v>
      </c>
      <c r="P116" s="144"/>
      <c r="Q116" s="144"/>
      <c r="R116" s="144"/>
      <c r="S116" s="144"/>
    </row>
    <row r="117" spans="1:19" ht="14.25" customHeight="1">
      <c r="A117" s="630"/>
      <c r="B117" s="631"/>
      <c r="C117" s="1127"/>
      <c r="D117" s="632"/>
      <c r="E117" s="1127"/>
      <c r="F117" s="633">
        <f t="shared" si="11"/>
        <v>0</v>
      </c>
      <c r="G117" s="632"/>
      <c r="H117" s="1127"/>
      <c r="I117" s="633">
        <f t="shared" si="12"/>
        <v>0</v>
      </c>
      <c r="J117" s="633">
        <f t="shared" si="13"/>
        <v>0</v>
      </c>
      <c r="K117" s="633">
        <f t="shared" si="14"/>
        <v>0</v>
      </c>
      <c r="L117" s="1127"/>
      <c r="M117" s="1127"/>
      <c r="N117" s="1691">
        <f t="shared" si="9"/>
        <v>0</v>
      </c>
      <c r="O117" s="634">
        <f t="shared" si="10"/>
        <v>0</v>
      </c>
      <c r="P117" s="144"/>
      <c r="Q117" s="144"/>
      <c r="R117" s="144"/>
      <c r="S117" s="144"/>
    </row>
    <row r="118" spans="1:19" ht="14.25" customHeight="1">
      <c r="A118" s="630"/>
      <c r="B118" s="631"/>
      <c r="C118" s="1127"/>
      <c r="D118" s="632"/>
      <c r="E118" s="1127"/>
      <c r="F118" s="633">
        <f t="shared" si="11"/>
        <v>0</v>
      </c>
      <c r="G118" s="632"/>
      <c r="H118" s="1127"/>
      <c r="I118" s="633">
        <f t="shared" si="12"/>
        <v>0</v>
      </c>
      <c r="J118" s="633">
        <f t="shared" si="13"/>
        <v>0</v>
      </c>
      <c r="K118" s="633">
        <f t="shared" si="14"/>
        <v>0</v>
      </c>
      <c r="L118" s="1127"/>
      <c r="M118" s="1127"/>
      <c r="N118" s="1691">
        <f t="shared" si="9"/>
        <v>0</v>
      </c>
      <c r="O118" s="634">
        <f t="shared" si="10"/>
        <v>0</v>
      </c>
      <c r="P118" s="144"/>
      <c r="Q118" s="144"/>
      <c r="R118" s="144"/>
      <c r="S118" s="144"/>
    </row>
    <row r="119" spans="1:19" ht="14.25" customHeight="1">
      <c r="A119" s="630"/>
      <c r="B119" s="631"/>
      <c r="C119" s="1127"/>
      <c r="D119" s="632"/>
      <c r="E119" s="1127"/>
      <c r="F119" s="633">
        <f t="shared" si="11"/>
        <v>0</v>
      </c>
      <c r="G119" s="632"/>
      <c r="H119" s="1127"/>
      <c r="I119" s="633">
        <f t="shared" si="12"/>
        <v>0</v>
      </c>
      <c r="J119" s="633">
        <f t="shared" si="13"/>
        <v>0</v>
      </c>
      <c r="K119" s="633">
        <f t="shared" si="14"/>
        <v>0</v>
      </c>
      <c r="L119" s="1127"/>
      <c r="M119" s="1127"/>
      <c r="N119" s="1691">
        <f t="shared" si="9"/>
        <v>0</v>
      </c>
      <c r="O119" s="634">
        <f t="shared" si="10"/>
        <v>0</v>
      </c>
      <c r="P119" s="144"/>
      <c r="Q119" s="144"/>
      <c r="R119" s="144"/>
      <c r="S119" s="144"/>
    </row>
    <row r="120" spans="1:19" ht="14.25" customHeight="1">
      <c r="A120" s="630"/>
      <c r="B120" s="631"/>
      <c r="C120" s="1127"/>
      <c r="D120" s="632"/>
      <c r="E120" s="1127"/>
      <c r="F120" s="633">
        <f t="shared" si="11"/>
        <v>0</v>
      </c>
      <c r="G120" s="632"/>
      <c r="H120" s="1127"/>
      <c r="I120" s="633">
        <f t="shared" si="12"/>
        <v>0</v>
      </c>
      <c r="J120" s="633">
        <f t="shared" si="13"/>
        <v>0</v>
      </c>
      <c r="K120" s="633">
        <f t="shared" si="14"/>
        <v>0</v>
      </c>
      <c r="L120" s="1127"/>
      <c r="M120" s="1127"/>
      <c r="N120" s="1691">
        <f t="shared" si="9"/>
        <v>0</v>
      </c>
      <c r="O120" s="634">
        <f t="shared" si="10"/>
        <v>0</v>
      </c>
      <c r="P120" s="144"/>
      <c r="Q120" s="144"/>
      <c r="R120" s="144"/>
      <c r="S120" s="144"/>
    </row>
    <row r="121" spans="1:19" ht="14.25" customHeight="1">
      <c r="A121" s="630"/>
      <c r="B121" s="631"/>
      <c r="C121" s="1127"/>
      <c r="D121" s="632"/>
      <c r="E121" s="1127"/>
      <c r="F121" s="633">
        <f t="shared" si="11"/>
        <v>0</v>
      </c>
      <c r="G121" s="632"/>
      <c r="H121" s="1127"/>
      <c r="I121" s="633">
        <f t="shared" si="12"/>
        <v>0</v>
      </c>
      <c r="J121" s="633">
        <f t="shared" si="13"/>
        <v>0</v>
      </c>
      <c r="K121" s="633">
        <f t="shared" si="14"/>
        <v>0</v>
      </c>
      <c r="L121" s="1127"/>
      <c r="M121" s="1127"/>
      <c r="N121" s="1691">
        <f t="shared" si="9"/>
        <v>0</v>
      </c>
      <c r="O121" s="634">
        <f t="shared" si="10"/>
        <v>0</v>
      </c>
      <c r="P121" s="144"/>
      <c r="Q121" s="144"/>
      <c r="R121" s="144"/>
      <c r="S121" s="144"/>
    </row>
    <row r="122" spans="1:19" ht="14.25" customHeight="1">
      <c r="A122" s="630"/>
      <c r="B122" s="631"/>
      <c r="C122" s="1127"/>
      <c r="D122" s="632"/>
      <c r="E122" s="1127"/>
      <c r="F122" s="633">
        <f t="shared" si="11"/>
        <v>0</v>
      </c>
      <c r="G122" s="632"/>
      <c r="H122" s="1127"/>
      <c r="I122" s="633">
        <f t="shared" si="12"/>
        <v>0</v>
      </c>
      <c r="J122" s="633">
        <f t="shared" si="13"/>
        <v>0</v>
      </c>
      <c r="K122" s="633">
        <f t="shared" si="14"/>
        <v>0</v>
      </c>
      <c r="L122" s="1127"/>
      <c r="M122" s="1127"/>
      <c r="N122" s="1691">
        <f t="shared" si="9"/>
        <v>0</v>
      </c>
      <c r="O122" s="634">
        <f t="shared" si="10"/>
        <v>0</v>
      </c>
      <c r="P122" s="144"/>
      <c r="Q122" s="144"/>
      <c r="R122" s="144"/>
      <c r="S122" s="144"/>
    </row>
    <row r="123" spans="1:19" ht="14.25" customHeight="1">
      <c r="A123" s="630"/>
      <c r="B123" s="631"/>
      <c r="C123" s="1127"/>
      <c r="D123" s="632"/>
      <c r="E123" s="1127"/>
      <c r="F123" s="633">
        <f t="shared" si="11"/>
        <v>0</v>
      </c>
      <c r="G123" s="632"/>
      <c r="H123" s="1127"/>
      <c r="I123" s="633">
        <f t="shared" si="12"/>
        <v>0</v>
      </c>
      <c r="J123" s="633">
        <f t="shared" si="13"/>
        <v>0</v>
      </c>
      <c r="K123" s="633">
        <f t="shared" si="14"/>
        <v>0</v>
      </c>
      <c r="L123" s="1127"/>
      <c r="M123" s="1127"/>
      <c r="N123" s="1691">
        <f t="shared" si="9"/>
        <v>0</v>
      </c>
      <c r="O123" s="634">
        <f t="shared" si="10"/>
        <v>0</v>
      </c>
      <c r="P123" s="144"/>
      <c r="Q123" s="144"/>
      <c r="R123" s="144"/>
      <c r="S123" s="144"/>
    </row>
    <row r="124" spans="1:19" ht="14.25" customHeight="1">
      <c r="A124" s="630"/>
      <c r="B124" s="631"/>
      <c r="C124" s="1127"/>
      <c r="D124" s="632"/>
      <c r="E124" s="1127"/>
      <c r="F124" s="633">
        <f t="shared" si="11"/>
        <v>0</v>
      </c>
      <c r="G124" s="632"/>
      <c r="H124" s="1127"/>
      <c r="I124" s="633">
        <f t="shared" si="12"/>
        <v>0</v>
      </c>
      <c r="J124" s="633">
        <f t="shared" si="13"/>
        <v>0</v>
      </c>
      <c r="K124" s="633">
        <f t="shared" si="14"/>
        <v>0</v>
      </c>
      <c r="L124" s="1127"/>
      <c r="M124" s="1127"/>
      <c r="N124" s="1691">
        <f t="shared" si="9"/>
        <v>0</v>
      </c>
      <c r="O124" s="634">
        <f t="shared" si="10"/>
        <v>0</v>
      </c>
      <c r="P124" s="144"/>
      <c r="Q124" s="144"/>
      <c r="R124" s="144"/>
      <c r="S124" s="144"/>
    </row>
    <row r="125" spans="1:19" ht="14.25" customHeight="1">
      <c r="A125" s="630"/>
      <c r="B125" s="631"/>
      <c r="C125" s="1127"/>
      <c r="D125" s="632"/>
      <c r="E125" s="1127"/>
      <c r="F125" s="633">
        <f t="shared" si="11"/>
        <v>0</v>
      </c>
      <c r="G125" s="632"/>
      <c r="H125" s="1127"/>
      <c r="I125" s="633">
        <f t="shared" si="12"/>
        <v>0</v>
      </c>
      <c r="J125" s="633">
        <f t="shared" si="13"/>
        <v>0</v>
      </c>
      <c r="K125" s="633">
        <f t="shared" si="14"/>
        <v>0</v>
      </c>
      <c r="L125" s="1127"/>
      <c r="M125" s="1127"/>
      <c r="N125" s="1691">
        <f t="shared" si="9"/>
        <v>0</v>
      </c>
      <c r="O125" s="634">
        <f t="shared" si="10"/>
        <v>0</v>
      </c>
      <c r="P125" s="144"/>
      <c r="Q125" s="144"/>
      <c r="R125" s="144"/>
      <c r="S125" s="144"/>
    </row>
    <row r="126" spans="1:19" ht="14.25" customHeight="1">
      <c r="A126" s="630"/>
      <c r="B126" s="631"/>
      <c r="C126" s="1127"/>
      <c r="D126" s="632"/>
      <c r="E126" s="1127"/>
      <c r="F126" s="633">
        <f t="shared" si="11"/>
        <v>0</v>
      </c>
      <c r="G126" s="632"/>
      <c r="H126" s="1127"/>
      <c r="I126" s="633">
        <f t="shared" si="12"/>
        <v>0</v>
      </c>
      <c r="J126" s="633">
        <f t="shared" si="13"/>
        <v>0</v>
      </c>
      <c r="K126" s="633">
        <f t="shared" si="14"/>
        <v>0</v>
      </c>
      <c r="L126" s="1127"/>
      <c r="M126" s="1127"/>
      <c r="N126" s="1691">
        <f t="shared" si="9"/>
        <v>0</v>
      </c>
      <c r="O126" s="634">
        <f t="shared" si="10"/>
        <v>0</v>
      </c>
      <c r="P126" s="144"/>
      <c r="Q126" s="144"/>
      <c r="R126" s="144"/>
      <c r="S126" s="144"/>
    </row>
    <row r="127" spans="1:19" ht="14.25" customHeight="1">
      <c r="A127" s="630"/>
      <c r="B127" s="631"/>
      <c r="C127" s="1127"/>
      <c r="D127" s="632"/>
      <c r="E127" s="1127"/>
      <c r="F127" s="633">
        <f t="shared" si="11"/>
        <v>0</v>
      </c>
      <c r="G127" s="632"/>
      <c r="H127" s="1127"/>
      <c r="I127" s="633">
        <f t="shared" si="12"/>
        <v>0</v>
      </c>
      <c r="J127" s="633">
        <f t="shared" si="13"/>
        <v>0</v>
      </c>
      <c r="K127" s="633">
        <f t="shared" si="14"/>
        <v>0</v>
      </c>
      <c r="L127" s="1127"/>
      <c r="M127" s="1127"/>
      <c r="N127" s="1691">
        <f t="shared" si="9"/>
        <v>0</v>
      </c>
      <c r="O127" s="634">
        <f t="shared" si="10"/>
        <v>0</v>
      </c>
      <c r="P127" s="144"/>
      <c r="Q127" s="144"/>
      <c r="R127" s="144"/>
      <c r="S127" s="144"/>
    </row>
    <row r="128" spans="1:19" ht="14.25" customHeight="1">
      <c r="A128" s="630"/>
      <c r="B128" s="631"/>
      <c r="C128" s="1127"/>
      <c r="D128" s="632"/>
      <c r="E128" s="1127"/>
      <c r="F128" s="633">
        <f t="shared" si="11"/>
        <v>0</v>
      </c>
      <c r="G128" s="632"/>
      <c r="H128" s="1127"/>
      <c r="I128" s="633">
        <f t="shared" si="12"/>
        <v>0</v>
      </c>
      <c r="J128" s="633">
        <f t="shared" si="13"/>
        <v>0</v>
      </c>
      <c r="K128" s="633">
        <f t="shared" si="14"/>
        <v>0</v>
      </c>
      <c r="L128" s="1127"/>
      <c r="M128" s="1127"/>
      <c r="N128" s="1691">
        <f t="shared" si="9"/>
        <v>0</v>
      </c>
      <c r="O128" s="634">
        <f t="shared" si="10"/>
        <v>0</v>
      </c>
      <c r="P128" s="144"/>
      <c r="Q128" s="144"/>
      <c r="R128" s="144"/>
      <c r="S128" s="144"/>
    </row>
    <row r="129" spans="1:19" ht="14.25" customHeight="1">
      <c r="A129" s="630"/>
      <c r="B129" s="631"/>
      <c r="C129" s="1127"/>
      <c r="D129" s="632"/>
      <c r="E129" s="1127"/>
      <c r="F129" s="633">
        <f t="shared" si="11"/>
        <v>0</v>
      </c>
      <c r="G129" s="632"/>
      <c r="H129" s="1127"/>
      <c r="I129" s="633">
        <f t="shared" si="12"/>
        <v>0</v>
      </c>
      <c r="J129" s="633">
        <f t="shared" si="13"/>
        <v>0</v>
      </c>
      <c r="K129" s="633">
        <f t="shared" si="14"/>
        <v>0</v>
      </c>
      <c r="L129" s="1127"/>
      <c r="M129" s="1127"/>
      <c r="N129" s="1691">
        <f t="shared" si="9"/>
        <v>0</v>
      </c>
      <c r="O129" s="634">
        <f t="shared" si="10"/>
        <v>0</v>
      </c>
      <c r="P129" s="144"/>
      <c r="Q129" s="144"/>
      <c r="R129" s="144"/>
      <c r="S129" s="144"/>
    </row>
    <row r="130" spans="1:19" ht="14.25" customHeight="1">
      <c r="A130" s="630"/>
      <c r="B130" s="631"/>
      <c r="C130" s="1127"/>
      <c r="D130" s="632"/>
      <c r="E130" s="1127"/>
      <c r="F130" s="633">
        <f t="shared" si="11"/>
        <v>0</v>
      </c>
      <c r="G130" s="632"/>
      <c r="H130" s="1127"/>
      <c r="I130" s="633">
        <f t="shared" si="12"/>
        <v>0</v>
      </c>
      <c r="J130" s="633">
        <f t="shared" si="13"/>
        <v>0</v>
      </c>
      <c r="K130" s="633">
        <f t="shared" si="14"/>
        <v>0</v>
      </c>
      <c r="L130" s="1127"/>
      <c r="M130" s="1127"/>
      <c r="N130" s="1691">
        <f t="shared" si="9"/>
        <v>0</v>
      </c>
      <c r="O130" s="634">
        <f t="shared" si="10"/>
        <v>0</v>
      </c>
      <c r="P130" s="144"/>
      <c r="Q130" s="144"/>
      <c r="R130" s="144"/>
      <c r="S130" s="144"/>
    </row>
    <row r="131" spans="1:19" ht="14.25" customHeight="1">
      <c r="A131" s="630"/>
      <c r="B131" s="631"/>
      <c r="C131" s="1127"/>
      <c r="D131" s="632"/>
      <c r="E131" s="1127"/>
      <c r="F131" s="633">
        <f t="shared" si="11"/>
        <v>0</v>
      </c>
      <c r="G131" s="632"/>
      <c r="H131" s="1127"/>
      <c r="I131" s="633">
        <f t="shared" si="12"/>
        <v>0</v>
      </c>
      <c r="J131" s="633">
        <f t="shared" si="13"/>
        <v>0</v>
      </c>
      <c r="K131" s="633">
        <f t="shared" si="14"/>
        <v>0</v>
      </c>
      <c r="L131" s="1127"/>
      <c r="M131" s="1127"/>
      <c r="N131" s="1691">
        <f t="shared" si="9"/>
        <v>0</v>
      </c>
      <c r="O131" s="634">
        <f t="shared" si="10"/>
        <v>0</v>
      </c>
      <c r="P131" s="144"/>
      <c r="Q131" s="144"/>
      <c r="R131" s="144"/>
      <c r="S131" s="144"/>
    </row>
    <row r="132" spans="1:19" ht="14.25" customHeight="1">
      <c r="A132" s="630"/>
      <c r="B132" s="631"/>
      <c r="C132" s="1127"/>
      <c r="D132" s="632"/>
      <c r="E132" s="1127"/>
      <c r="F132" s="633">
        <f t="shared" si="11"/>
        <v>0</v>
      </c>
      <c r="G132" s="632"/>
      <c r="H132" s="1127"/>
      <c r="I132" s="633">
        <f t="shared" si="12"/>
        <v>0</v>
      </c>
      <c r="J132" s="633">
        <f t="shared" si="13"/>
        <v>0</v>
      </c>
      <c r="K132" s="633">
        <f t="shared" si="14"/>
        <v>0</v>
      </c>
      <c r="L132" s="1127"/>
      <c r="M132" s="1127"/>
      <c r="N132" s="1691">
        <f t="shared" si="9"/>
        <v>0</v>
      </c>
      <c r="O132" s="634">
        <f t="shared" si="10"/>
        <v>0</v>
      </c>
      <c r="P132" s="144"/>
      <c r="Q132" s="144"/>
      <c r="R132" s="144"/>
      <c r="S132" s="144"/>
    </row>
    <row r="133" spans="1:19" ht="14.25" customHeight="1">
      <c r="A133" s="630"/>
      <c r="B133" s="631"/>
      <c r="C133" s="1127"/>
      <c r="D133" s="632"/>
      <c r="E133" s="1127"/>
      <c r="F133" s="633">
        <f t="shared" si="11"/>
        <v>0</v>
      </c>
      <c r="G133" s="632"/>
      <c r="H133" s="1127"/>
      <c r="I133" s="633">
        <f t="shared" si="12"/>
        <v>0</v>
      </c>
      <c r="J133" s="633">
        <f t="shared" si="13"/>
        <v>0</v>
      </c>
      <c r="K133" s="633">
        <f t="shared" si="14"/>
        <v>0</v>
      </c>
      <c r="L133" s="1127"/>
      <c r="M133" s="1127"/>
      <c r="N133" s="1691">
        <f t="shared" si="9"/>
        <v>0</v>
      </c>
      <c r="O133" s="634">
        <f t="shared" si="10"/>
        <v>0</v>
      </c>
      <c r="P133" s="144"/>
      <c r="Q133" s="144"/>
      <c r="R133" s="144"/>
      <c r="S133" s="144"/>
    </row>
    <row r="134" spans="1:19" ht="14.25" customHeight="1">
      <c r="A134" s="630"/>
      <c r="B134" s="631"/>
      <c r="C134" s="1127"/>
      <c r="D134" s="632"/>
      <c r="E134" s="1127"/>
      <c r="F134" s="633">
        <f t="shared" si="11"/>
        <v>0</v>
      </c>
      <c r="G134" s="632"/>
      <c r="H134" s="1127"/>
      <c r="I134" s="633">
        <f t="shared" si="12"/>
        <v>0</v>
      </c>
      <c r="J134" s="633">
        <f t="shared" si="13"/>
        <v>0</v>
      </c>
      <c r="K134" s="633">
        <f t="shared" si="14"/>
        <v>0</v>
      </c>
      <c r="L134" s="1127"/>
      <c r="M134" s="1127"/>
      <c r="N134" s="1691">
        <f t="shared" si="9"/>
        <v>0</v>
      </c>
      <c r="O134" s="634">
        <f t="shared" si="10"/>
        <v>0</v>
      </c>
      <c r="P134" s="144"/>
      <c r="Q134" s="144"/>
      <c r="R134" s="144"/>
      <c r="S134" s="144"/>
    </row>
    <row r="135" spans="1:19" ht="14.25" customHeight="1">
      <c r="A135" s="630"/>
      <c r="B135" s="631"/>
      <c r="C135" s="1127"/>
      <c r="D135" s="632"/>
      <c r="E135" s="1127"/>
      <c r="F135" s="633">
        <f t="shared" si="11"/>
        <v>0</v>
      </c>
      <c r="G135" s="632"/>
      <c r="H135" s="1127"/>
      <c r="I135" s="633">
        <f t="shared" si="12"/>
        <v>0</v>
      </c>
      <c r="J135" s="633">
        <f t="shared" si="13"/>
        <v>0</v>
      </c>
      <c r="K135" s="633">
        <f t="shared" si="14"/>
        <v>0</v>
      </c>
      <c r="L135" s="1127"/>
      <c r="M135" s="1127"/>
      <c r="N135" s="1691">
        <f t="shared" si="9"/>
        <v>0</v>
      </c>
      <c r="O135" s="634">
        <f t="shared" si="10"/>
        <v>0</v>
      </c>
      <c r="P135" s="144"/>
      <c r="Q135" s="144"/>
      <c r="R135" s="144"/>
      <c r="S135" s="144"/>
    </row>
    <row r="136" spans="1:19" ht="14.25" customHeight="1">
      <c r="A136" s="630"/>
      <c r="B136" s="631"/>
      <c r="C136" s="1127"/>
      <c r="D136" s="632"/>
      <c r="E136" s="1127"/>
      <c r="F136" s="633">
        <f t="shared" si="11"/>
        <v>0</v>
      </c>
      <c r="G136" s="632"/>
      <c r="H136" s="1127"/>
      <c r="I136" s="633">
        <f t="shared" si="12"/>
        <v>0</v>
      </c>
      <c r="J136" s="633">
        <f t="shared" si="13"/>
        <v>0</v>
      </c>
      <c r="K136" s="633">
        <f t="shared" si="14"/>
        <v>0</v>
      </c>
      <c r="L136" s="1127"/>
      <c r="M136" s="1127"/>
      <c r="N136" s="1691">
        <f t="shared" si="9"/>
        <v>0</v>
      </c>
      <c r="O136" s="634">
        <f t="shared" si="10"/>
        <v>0</v>
      </c>
      <c r="P136" s="144"/>
      <c r="Q136" s="144"/>
      <c r="R136" s="144"/>
      <c r="S136" s="144"/>
    </row>
    <row r="137" spans="1:19" ht="14.25" customHeight="1">
      <c r="A137" s="630"/>
      <c r="B137" s="631"/>
      <c r="C137" s="1127"/>
      <c r="D137" s="632"/>
      <c r="E137" s="1127"/>
      <c r="F137" s="633">
        <f t="shared" si="11"/>
        <v>0</v>
      </c>
      <c r="G137" s="632"/>
      <c r="H137" s="1127"/>
      <c r="I137" s="633">
        <f t="shared" si="12"/>
        <v>0</v>
      </c>
      <c r="J137" s="633">
        <f t="shared" si="13"/>
        <v>0</v>
      </c>
      <c r="K137" s="633">
        <f t="shared" si="14"/>
        <v>0</v>
      </c>
      <c r="L137" s="1127"/>
      <c r="M137" s="1127"/>
      <c r="N137" s="1691">
        <f t="shared" si="9"/>
        <v>0</v>
      </c>
      <c r="O137" s="634">
        <f t="shared" si="10"/>
        <v>0</v>
      </c>
      <c r="P137" s="144"/>
      <c r="Q137" s="144"/>
      <c r="R137" s="144"/>
      <c r="S137" s="144"/>
    </row>
    <row r="138" spans="1:19" ht="14.25" customHeight="1">
      <c r="A138" s="630"/>
      <c r="B138" s="631"/>
      <c r="C138" s="1127"/>
      <c r="D138" s="632"/>
      <c r="E138" s="1127"/>
      <c r="F138" s="633">
        <f t="shared" si="11"/>
        <v>0</v>
      </c>
      <c r="G138" s="632"/>
      <c r="H138" s="1127"/>
      <c r="I138" s="633">
        <f t="shared" si="12"/>
        <v>0</v>
      </c>
      <c r="J138" s="633">
        <f t="shared" si="13"/>
        <v>0</v>
      </c>
      <c r="K138" s="633">
        <f t="shared" si="14"/>
        <v>0</v>
      </c>
      <c r="L138" s="1127"/>
      <c r="M138" s="1127"/>
      <c r="N138" s="1691">
        <f t="shared" ref="N138:N201" si="15">IF(M138&lt;&gt;0,ROUND(B138*K138,2)+M138,IF(ABS(ROUND(K138*B138,2)-L138)&lt;3,L138,MIN(ROUND(K138*B138,2),L138)))</f>
        <v>0</v>
      </c>
      <c r="O138" s="634">
        <f t="shared" ref="O138:O201" si="16">IF(ISERROR(L138-N138),"",IF(ABS(L138-N138)&lt;3,0,L138-N138))</f>
        <v>0</v>
      </c>
      <c r="P138" s="144"/>
      <c r="Q138" s="144"/>
      <c r="R138" s="144"/>
      <c r="S138" s="144"/>
    </row>
    <row r="139" spans="1:19" ht="14.25" customHeight="1">
      <c r="A139" s="630"/>
      <c r="B139" s="631"/>
      <c r="C139" s="1127"/>
      <c r="D139" s="632"/>
      <c r="E139" s="1127"/>
      <c r="F139" s="633">
        <f t="shared" ref="F139:F202" si="17">E139*(12-MONTH(D139))/12</f>
        <v>0</v>
      </c>
      <c r="G139" s="632"/>
      <c r="H139" s="1127"/>
      <c r="I139" s="633">
        <f t="shared" ref="I139:I202" si="18">H139*(12-MONTH(G139))/12</f>
        <v>0</v>
      </c>
      <c r="J139" s="633">
        <f t="shared" ref="J139:J202" si="19">C139+E139-H139</f>
        <v>0</v>
      </c>
      <c r="K139" s="633">
        <f t="shared" ref="K139:K202" si="20">C139+F139-I139</f>
        <v>0</v>
      </c>
      <c r="L139" s="1127"/>
      <c r="M139" s="1127"/>
      <c r="N139" s="1691">
        <f t="shared" si="15"/>
        <v>0</v>
      </c>
      <c r="O139" s="634">
        <f t="shared" si="16"/>
        <v>0</v>
      </c>
      <c r="P139" s="144"/>
      <c r="Q139" s="144"/>
      <c r="R139" s="144"/>
      <c r="S139" s="144"/>
    </row>
    <row r="140" spans="1:19" ht="14.25" customHeight="1">
      <c r="A140" s="630"/>
      <c r="B140" s="631"/>
      <c r="C140" s="1127"/>
      <c r="D140" s="632"/>
      <c r="E140" s="1127"/>
      <c r="F140" s="633">
        <f t="shared" si="17"/>
        <v>0</v>
      </c>
      <c r="G140" s="632"/>
      <c r="H140" s="1127"/>
      <c r="I140" s="633">
        <f t="shared" si="18"/>
        <v>0</v>
      </c>
      <c r="J140" s="633">
        <f t="shared" si="19"/>
        <v>0</v>
      </c>
      <c r="K140" s="633">
        <f t="shared" si="20"/>
        <v>0</v>
      </c>
      <c r="L140" s="1127"/>
      <c r="M140" s="1127"/>
      <c r="N140" s="1691">
        <f t="shared" si="15"/>
        <v>0</v>
      </c>
      <c r="O140" s="634">
        <f t="shared" si="16"/>
        <v>0</v>
      </c>
      <c r="P140" s="144"/>
      <c r="Q140" s="144"/>
      <c r="R140" s="144"/>
      <c r="S140" s="144"/>
    </row>
    <row r="141" spans="1:19" ht="14.25" customHeight="1">
      <c r="A141" s="630"/>
      <c r="B141" s="631"/>
      <c r="C141" s="1127"/>
      <c r="D141" s="632"/>
      <c r="E141" s="1127"/>
      <c r="F141" s="633">
        <f t="shared" si="17"/>
        <v>0</v>
      </c>
      <c r="G141" s="632"/>
      <c r="H141" s="1127"/>
      <c r="I141" s="633">
        <f t="shared" si="18"/>
        <v>0</v>
      </c>
      <c r="J141" s="633">
        <f t="shared" si="19"/>
        <v>0</v>
      </c>
      <c r="K141" s="633">
        <f t="shared" si="20"/>
        <v>0</v>
      </c>
      <c r="L141" s="1127"/>
      <c r="M141" s="1127"/>
      <c r="N141" s="1691">
        <f t="shared" si="15"/>
        <v>0</v>
      </c>
      <c r="O141" s="634">
        <f t="shared" si="16"/>
        <v>0</v>
      </c>
      <c r="P141" s="144"/>
      <c r="Q141" s="144"/>
      <c r="R141" s="144"/>
      <c r="S141" s="144"/>
    </row>
    <row r="142" spans="1:19" ht="14.25" customHeight="1">
      <c r="A142" s="630"/>
      <c r="B142" s="631"/>
      <c r="C142" s="1127"/>
      <c r="D142" s="632"/>
      <c r="E142" s="1127"/>
      <c r="F142" s="633">
        <f t="shared" si="17"/>
        <v>0</v>
      </c>
      <c r="G142" s="632"/>
      <c r="H142" s="1127"/>
      <c r="I142" s="633">
        <f t="shared" si="18"/>
        <v>0</v>
      </c>
      <c r="J142" s="633">
        <f t="shared" si="19"/>
        <v>0</v>
      </c>
      <c r="K142" s="633">
        <f t="shared" si="20"/>
        <v>0</v>
      </c>
      <c r="L142" s="1127"/>
      <c r="M142" s="1127"/>
      <c r="N142" s="1691">
        <f t="shared" si="15"/>
        <v>0</v>
      </c>
      <c r="O142" s="634">
        <f t="shared" si="16"/>
        <v>0</v>
      </c>
      <c r="P142" s="144"/>
      <c r="Q142" s="144"/>
      <c r="R142" s="144"/>
      <c r="S142" s="144"/>
    </row>
    <row r="143" spans="1:19" ht="14.25" customHeight="1">
      <c r="A143" s="630"/>
      <c r="B143" s="631"/>
      <c r="C143" s="1127"/>
      <c r="D143" s="632"/>
      <c r="E143" s="1127"/>
      <c r="F143" s="633">
        <f t="shared" si="17"/>
        <v>0</v>
      </c>
      <c r="G143" s="632"/>
      <c r="H143" s="1127"/>
      <c r="I143" s="633">
        <f t="shared" si="18"/>
        <v>0</v>
      </c>
      <c r="J143" s="633">
        <f t="shared" si="19"/>
        <v>0</v>
      </c>
      <c r="K143" s="633">
        <f t="shared" si="20"/>
        <v>0</v>
      </c>
      <c r="L143" s="1127"/>
      <c r="M143" s="1127"/>
      <c r="N143" s="1691">
        <f t="shared" si="15"/>
        <v>0</v>
      </c>
      <c r="O143" s="634">
        <f t="shared" si="16"/>
        <v>0</v>
      </c>
      <c r="P143" s="144"/>
      <c r="Q143" s="144"/>
      <c r="R143" s="144"/>
      <c r="S143" s="144"/>
    </row>
    <row r="144" spans="1:19" ht="14.25" customHeight="1">
      <c r="A144" s="630"/>
      <c r="B144" s="631"/>
      <c r="C144" s="1127"/>
      <c r="D144" s="632"/>
      <c r="E144" s="1127"/>
      <c r="F144" s="633">
        <f t="shared" si="17"/>
        <v>0</v>
      </c>
      <c r="G144" s="632"/>
      <c r="H144" s="1127"/>
      <c r="I144" s="633">
        <f t="shared" si="18"/>
        <v>0</v>
      </c>
      <c r="J144" s="633">
        <f t="shared" si="19"/>
        <v>0</v>
      </c>
      <c r="K144" s="633">
        <f t="shared" si="20"/>
        <v>0</v>
      </c>
      <c r="L144" s="1127"/>
      <c r="M144" s="1127"/>
      <c r="N144" s="1691">
        <f t="shared" si="15"/>
        <v>0</v>
      </c>
      <c r="O144" s="634">
        <f t="shared" si="16"/>
        <v>0</v>
      </c>
      <c r="P144" s="144"/>
      <c r="Q144" s="144"/>
      <c r="R144" s="144"/>
      <c r="S144" s="144"/>
    </row>
    <row r="145" spans="1:19" ht="14.25" customHeight="1">
      <c r="A145" s="630"/>
      <c r="B145" s="631"/>
      <c r="C145" s="1127"/>
      <c r="D145" s="632"/>
      <c r="E145" s="1127"/>
      <c r="F145" s="633">
        <f t="shared" si="17"/>
        <v>0</v>
      </c>
      <c r="G145" s="632"/>
      <c r="H145" s="1127"/>
      <c r="I145" s="633">
        <f t="shared" si="18"/>
        <v>0</v>
      </c>
      <c r="J145" s="633">
        <f t="shared" si="19"/>
        <v>0</v>
      </c>
      <c r="K145" s="633">
        <f t="shared" si="20"/>
        <v>0</v>
      </c>
      <c r="L145" s="1127"/>
      <c r="M145" s="1127"/>
      <c r="N145" s="1691">
        <f t="shared" si="15"/>
        <v>0</v>
      </c>
      <c r="O145" s="634">
        <f t="shared" si="16"/>
        <v>0</v>
      </c>
      <c r="P145" s="144"/>
      <c r="Q145" s="144"/>
      <c r="R145" s="144"/>
      <c r="S145" s="144"/>
    </row>
    <row r="146" spans="1:19" ht="14.25" customHeight="1">
      <c r="A146" s="630"/>
      <c r="B146" s="631"/>
      <c r="C146" s="1127"/>
      <c r="D146" s="632"/>
      <c r="E146" s="1127"/>
      <c r="F146" s="633">
        <f t="shared" si="17"/>
        <v>0</v>
      </c>
      <c r="G146" s="632"/>
      <c r="H146" s="1127"/>
      <c r="I146" s="633">
        <f t="shared" si="18"/>
        <v>0</v>
      </c>
      <c r="J146" s="633">
        <f t="shared" si="19"/>
        <v>0</v>
      </c>
      <c r="K146" s="633">
        <f t="shared" si="20"/>
        <v>0</v>
      </c>
      <c r="L146" s="1127"/>
      <c r="M146" s="1127"/>
      <c r="N146" s="1691">
        <f t="shared" si="15"/>
        <v>0</v>
      </c>
      <c r="O146" s="634">
        <f t="shared" si="16"/>
        <v>0</v>
      </c>
      <c r="P146" s="144"/>
      <c r="Q146" s="144"/>
      <c r="R146" s="144"/>
      <c r="S146" s="144"/>
    </row>
    <row r="147" spans="1:19" ht="14.25" customHeight="1">
      <c r="A147" s="630"/>
      <c r="B147" s="631"/>
      <c r="C147" s="1127"/>
      <c r="D147" s="632"/>
      <c r="E147" s="1127"/>
      <c r="F147" s="633">
        <f t="shared" si="17"/>
        <v>0</v>
      </c>
      <c r="G147" s="632"/>
      <c r="H147" s="1127"/>
      <c r="I147" s="633">
        <f t="shared" si="18"/>
        <v>0</v>
      </c>
      <c r="J147" s="633">
        <f t="shared" si="19"/>
        <v>0</v>
      </c>
      <c r="K147" s="633">
        <f t="shared" si="20"/>
        <v>0</v>
      </c>
      <c r="L147" s="1127"/>
      <c r="M147" s="1127"/>
      <c r="N147" s="1691">
        <f t="shared" si="15"/>
        <v>0</v>
      </c>
      <c r="O147" s="634">
        <f t="shared" si="16"/>
        <v>0</v>
      </c>
      <c r="P147" s="144"/>
      <c r="Q147" s="144"/>
      <c r="R147" s="144"/>
      <c r="S147" s="144"/>
    </row>
    <row r="148" spans="1:19" ht="14.25" customHeight="1">
      <c r="A148" s="630"/>
      <c r="B148" s="631"/>
      <c r="C148" s="1127"/>
      <c r="D148" s="632"/>
      <c r="E148" s="1127"/>
      <c r="F148" s="633">
        <f t="shared" si="17"/>
        <v>0</v>
      </c>
      <c r="G148" s="632"/>
      <c r="H148" s="1127"/>
      <c r="I148" s="633">
        <f t="shared" si="18"/>
        <v>0</v>
      </c>
      <c r="J148" s="633">
        <f t="shared" si="19"/>
        <v>0</v>
      </c>
      <c r="K148" s="633">
        <f t="shared" si="20"/>
        <v>0</v>
      </c>
      <c r="L148" s="1127"/>
      <c r="M148" s="1127"/>
      <c r="N148" s="1691">
        <f t="shared" si="15"/>
        <v>0</v>
      </c>
      <c r="O148" s="634">
        <f t="shared" si="16"/>
        <v>0</v>
      </c>
      <c r="P148" s="144"/>
      <c r="Q148" s="144"/>
      <c r="R148" s="144"/>
      <c r="S148" s="144"/>
    </row>
    <row r="149" spans="1:19" ht="14.25" customHeight="1">
      <c r="A149" s="630"/>
      <c r="B149" s="631"/>
      <c r="C149" s="1127"/>
      <c r="D149" s="632"/>
      <c r="E149" s="1127"/>
      <c r="F149" s="633">
        <f t="shared" si="17"/>
        <v>0</v>
      </c>
      <c r="G149" s="632"/>
      <c r="H149" s="1127"/>
      <c r="I149" s="633">
        <f t="shared" si="18"/>
        <v>0</v>
      </c>
      <c r="J149" s="633">
        <f t="shared" si="19"/>
        <v>0</v>
      </c>
      <c r="K149" s="633">
        <f t="shared" si="20"/>
        <v>0</v>
      </c>
      <c r="L149" s="1127"/>
      <c r="M149" s="1127"/>
      <c r="N149" s="1691">
        <f t="shared" si="15"/>
        <v>0</v>
      </c>
      <c r="O149" s="634">
        <f t="shared" si="16"/>
        <v>0</v>
      </c>
      <c r="P149" s="144"/>
      <c r="Q149" s="144"/>
      <c r="R149" s="144"/>
      <c r="S149" s="144"/>
    </row>
    <row r="150" spans="1:19" ht="14.25" customHeight="1">
      <c r="A150" s="630"/>
      <c r="B150" s="631"/>
      <c r="C150" s="1127"/>
      <c r="D150" s="632"/>
      <c r="E150" s="1127"/>
      <c r="F150" s="633">
        <f t="shared" si="17"/>
        <v>0</v>
      </c>
      <c r="G150" s="632"/>
      <c r="H150" s="1127"/>
      <c r="I150" s="633">
        <f t="shared" si="18"/>
        <v>0</v>
      </c>
      <c r="J150" s="633">
        <f t="shared" si="19"/>
        <v>0</v>
      </c>
      <c r="K150" s="633">
        <f t="shared" si="20"/>
        <v>0</v>
      </c>
      <c r="L150" s="1127"/>
      <c r="M150" s="1127"/>
      <c r="N150" s="1691">
        <f t="shared" si="15"/>
        <v>0</v>
      </c>
      <c r="O150" s="634">
        <f t="shared" si="16"/>
        <v>0</v>
      </c>
      <c r="P150" s="144"/>
      <c r="Q150" s="144"/>
      <c r="R150" s="144"/>
      <c r="S150" s="144"/>
    </row>
    <row r="151" spans="1:19" ht="14.25" customHeight="1">
      <c r="A151" s="630"/>
      <c r="B151" s="631"/>
      <c r="C151" s="1127"/>
      <c r="D151" s="632"/>
      <c r="E151" s="1127"/>
      <c r="F151" s="633">
        <f t="shared" si="17"/>
        <v>0</v>
      </c>
      <c r="G151" s="632"/>
      <c r="H151" s="1127"/>
      <c r="I151" s="633">
        <f t="shared" si="18"/>
        <v>0</v>
      </c>
      <c r="J151" s="633">
        <f t="shared" si="19"/>
        <v>0</v>
      </c>
      <c r="K151" s="633">
        <f t="shared" si="20"/>
        <v>0</v>
      </c>
      <c r="L151" s="1127"/>
      <c r="M151" s="1127"/>
      <c r="N151" s="1691">
        <f t="shared" si="15"/>
        <v>0</v>
      </c>
      <c r="O151" s="634">
        <f t="shared" si="16"/>
        <v>0</v>
      </c>
      <c r="P151" s="144"/>
      <c r="Q151" s="144"/>
      <c r="R151" s="144"/>
      <c r="S151" s="144"/>
    </row>
    <row r="152" spans="1:19" ht="14.25" customHeight="1">
      <c r="A152" s="630"/>
      <c r="B152" s="631"/>
      <c r="C152" s="1127"/>
      <c r="D152" s="632"/>
      <c r="E152" s="1127"/>
      <c r="F152" s="633">
        <f t="shared" si="17"/>
        <v>0</v>
      </c>
      <c r="G152" s="632"/>
      <c r="H152" s="1127"/>
      <c r="I152" s="633">
        <f t="shared" si="18"/>
        <v>0</v>
      </c>
      <c r="J152" s="633">
        <f t="shared" si="19"/>
        <v>0</v>
      </c>
      <c r="K152" s="633">
        <f t="shared" si="20"/>
        <v>0</v>
      </c>
      <c r="L152" s="1127"/>
      <c r="M152" s="1127"/>
      <c r="N152" s="1691">
        <f t="shared" si="15"/>
        <v>0</v>
      </c>
      <c r="O152" s="634">
        <f t="shared" si="16"/>
        <v>0</v>
      </c>
      <c r="P152" s="144"/>
      <c r="Q152" s="144"/>
      <c r="R152" s="144"/>
      <c r="S152" s="144"/>
    </row>
    <row r="153" spans="1:19" ht="14.25" customHeight="1">
      <c r="A153" s="630"/>
      <c r="B153" s="631"/>
      <c r="C153" s="1127"/>
      <c r="D153" s="632"/>
      <c r="E153" s="1127"/>
      <c r="F153" s="633">
        <f t="shared" si="17"/>
        <v>0</v>
      </c>
      <c r="G153" s="632"/>
      <c r="H153" s="1127"/>
      <c r="I153" s="633">
        <f t="shared" si="18"/>
        <v>0</v>
      </c>
      <c r="J153" s="633">
        <f t="shared" si="19"/>
        <v>0</v>
      </c>
      <c r="K153" s="633">
        <f t="shared" si="20"/>
        <v>0</v>
      </c>
      <c r="L153" s="1127"/>
      <c r="M153" s="1127"/>
      <c r="N153" s="1691">
        <f t="shared" si="15"/>
        <v>0</v>
      </c>
      <c r="O153" s="634">
        <f t="shared" si="16"/>
        <v>0</v>
      </c>
      <c r="P153" s="144"/>
      <c r="Q153" s="144"/>
      <c r="R153" s="144"/>
      <c r="S153" s="144"/>
    </row>
    <row r="154" spans="1:19" ht="14.25" customHeight="1">
      <c r="A154" s="630"/>
      <c r="B154" s="631"/>
      <c r="C154" s="1127"/>
      <c r="D154" s="632"/>
      <c r="E154" s="1127"/>
      <c r="F154" s="633">
        <f t="shared" si="17"/>
        <v>0</v>
      </c>
      <c r="G154" s="632"/>
      <c r="H154" s="1127"/>
      <c r="I154" s="633">
        <f t="shared" si="18"/>
        <v>0</v>
      </c>
      <c r="J154" s="633">
        <f t="shared" si="19"/>
        <v>0</v>
      </c>
      <c r="K154" s="633">
        <f t="shared" si="20"/>
        <v>0</v>
      </c>
      <c r="L154" s="1127"/>
      <c r="M154" s="1127"/>
      <c r="N154" s="1691">
        <f t="shared" si="15"/>
        <v>0</v>
      </c>
      <c r="O154" s="634">
        <f t="shared" si="16"/>
        <v>0</v>
      </c>
      <c r="P154" s="144"/>
      <c r="Q154" s="144"/>
      <c r="R154" s="144"/>
      <c r="S154" s="144"/>
    </row>
    <row r="155" spans="1:19" ht="14.25" customHeight="1">
      <c r="A155" s="630"/>
      <c r="B155" s="631"/>
      <c r="C155" s="1127"/>
      <c r="D155" s="632"/>
      <c r="E155" s="1127"/>
      <c r="F155" s="633">
        <f t="shared" si="17"/>
        <v>0</v>
      </c>
      <c r="G155" s="632"/>
      <c r="H155" s="1127"/>
      <c r="I155" s="633">
        <f t="shared" si="18"/>
        <v>0</v>
      </c>
      <c r="J155" s="633">
        <f t="shared" si="19"/>
        <v>0</v>
      </c>
      <c r="K155" s="633">
        <f t="shared" si="20"/>
        <v>0</v>
      </c>
      <c r="L155" s="1127"/>
      <c r="M155" s="1127"/>
      <c r="N155" s="1691">
        <f t="shared" si="15"/>
        <v>0</v>
      </c>
      <c r="O155" s="634">
        <f t="shared" si="16"/>
        <v>0</v>
      </c>
      <c r="P155" s="144"/>
      <c r="Q155" s="144"/>
      <c r="R155" s="144"/>
      <c r="S155" s="144"/>
    </row>
    <row r="156" spans="1:19" ht="14.25" customHeight="1">
      <c r="A156" s="630"/>
      <c r="B156" s="631"/>
      <c r="C156" s="1127"/>
      <c r="D156" s="632"/>
      <c r="E156" s="1127"/>
      <c r="F156" s="633">
        <f t="shared" si="17"/>
        <v>0</v>
      </c>
      <c r="G156" s="632"/>
      <c r="H156" s="1127"/>
      <c r="I156" s="633">
        <f t="shared" si="18"/>
        <v>0</v>
      </c>
      <c r="J156" s="633">
        <f t="shared" si="19"/>
        <v>0</v>
      </c>
      <c r="K156" s="633">
        <f t="shared" si="20"/>
        <v>0</v>
      </c>
      <c r="L156" s="1127"/>
      <c r="M156" s="1127"/>
      <c r="N156" s="1691">
        <f t="shared" si="15"/>
        <v>0</v>
      </c>
      <c r="O156" s="634">
        <f t="shared" si="16"/>
        <v>0</v>
      </c>
      <c r="P156" s="144"/>
      <c r="Q156" s="144"/>
      <c r="R156" s="144"/>
      <c r="S156" s="144"/>
    </row>
    <row r="157" spans="1:19" ht="14.25" customHeight="1">
      <c r="A157" s="630"/>
      <c r="B157" s="631"/>
      <c r="C157" s="1127"/>
      <c r="D157" s="632"/>
      <c r="E157" s="1127"/>
      <c r="F157" s="633">
        <f t="shared" si="17"/>
        <v>0</v>
      </c>
      <c r="G157" s="632"/>
      <c r="H157" s="1127"/>
      <c r="I157" s="633">
        <f t="shared" si="18"/>
        <v>0</v>
      </c>
      <c r="J157" s="633">
        <f t="shared" si="19"/>
        <v>0</v>
      </c>
      <c r="K157" s="633">
        <f t="shared" si="20"/>
        <v>0</v>
      </c>
      <c r="L157" s="1127"/>
      <c r="M157" s="1127"/>
      <c r="N157" s="1691">
        <f t="shared" si="15"/>
        <v>0</v>
      </c>
      <c r="O157" s="634">
        <f t="shared" si="16"/>
        <v>0</v>
      </c>
      <c r="P157" s="144"/>
      <c r="Q157" s="144"/>
      <c r="R157" s="144"/>
      <c r="S157" s="144"/>
    </row>
    <row r="158" spans="1:19" ht="14.25" customHeight="1">
      <c r="A158" s="630"/>
      <c r="B158" s="631"/>
      <c r="C158" s="1127"/>
      <c r="D158" s="632"/>
      <c r="E158" s="1127"/>
      <c r="F158" s="633">
        <f t="shared" si="17"/>
        <v>0</v>
      </c>
      <c r="G158" s="632"/>
      <c r="H158" s="1127"/>
      <c r="I158" s="633">
        <f t="shared" si="18"/>
        <v>0</v>
      </c>
      <c r="J158" s="633">
        <f t="shared" si="19"/>
        <v>0</v>
      </c>
      <c r="K158" s="633">
        <f t="shared" si="20"/>
        <v>0</v>
      </c>
      <c r="L158" s="1127"/>
      <c r="M158" s="1127"/>
      <c r="N158" s="1691">
        <f t="shared" si="15"/>
        <v>0</v>
      </c>
      <c r="O158" s="634">
        <f t="shared" si="16"/>
        <v>0</v>
      </c>
      <c r="P158" s="144"/>
      <c r="Q158" s="144"/>
      <c r="R158" s="144"/>
      <c r="S158" s="144"/>
    </row>
    <row r="159" spans="1:19" ht="14.25" customHeight="1">
      <c r="A159" s="630"/>
      <c r="B159" s="631"/>
      <c r="C159" s="1127"/>
      <c r="D159" s="632"/>
      <c r="E159" s="1127"/>
      <c r="F159" s="633">
        <f t="shared" si="17"/>
        <v>0</v>
      </c>
      <c r="G159" s="632"/>
      <c r="H159" s="1127"/>
      <c r="I159" s="633">
        <f t="shared" si="18"/>
        <v>0</v>
      </c>
      <c r="J159" s="633">
        <f t="shared" si="19"/>
        <v>0</v>
      </c>
      <c r="K159" s="633">
        <f t="shared" si="20"/>
        <v>0</v>
      </c>
      <c r="L159" s="1127"/>
      <c r="M159" s="1127"/>
      <c r="N159" s="1691">
        <f t="shared" si="15"/>
        <v>0</v>
      </c>
      <c r="O159" s="634">
        <f t="shared" si="16"/>
        <v>0</v>
      </c>
      <c r="P159" s="144"/>
      <c r="Q159" s="144"/>
      <c r="R159" s="144"/>
      <c r="S159" s="144"/>
    </row>
    <row r="160" spans="1:19" ht="14.25" customHeight="1">
      <c r="A160" s="630"/>
      <c r="B160" s="631"/>
      <c r="C160" s="1127"/>
      <c r="D160" s="632"/>
      <c r="E160" s="1127"/>
      <c r="F160" s="633">
        <f t="shared" si="17"/>
        <v>0</v>
      </c>
      <c r="G160" s="632"/>
      <c r="H160" s="1127"/>
      <c r="I160" s="633">
        <f t="shared" si="18"/>
        <v>0</v>
      </c>
      <c r="J160" s="633">
        <f t="shared" si="19"/>
        <v>0</v>
      </c>
      <c r="K160" s="633">
        <f t="shared" si="20"/>
        <v>0</v>
      </c>
      <c r="L160" s="1127"/>
      <c r="M160" s="1127"/>
      <c r="N160" s="1691">
        <f t="shared" si="15"/>
        <v>0</v>
      </c>
      <c r="O160" s="634">
        <f t="shared" si="16"/>
        <v>0</v>
      </c>
      <c r="P160" s="144"/>
      <c r="Q160" s="144"/>
      <c r="R160" s="144"/>
      <c r="S160" s="144"/>
    </row>
    <row r="161" spans="1:19" ht="14.25" customHeight="1">
      <c r="A161" s="630"/>
      <c r="B161" s="631"/>
      <c r="C161" s="1127"/>
      <c r="D161" s="632"/>
      <c r="E161" s="1127"/>
      <c r="F161" s="633">
        <f t="shared" si="17"/>
        <v>0</v>
      </c>
      <c r="G161" s="632"/>
      <c r="H161" s="1127"/>
      <c r="I161" s="633">
        <f t="shared" si="18"/>
        <v>0</v>
      </c>
      <c r="J161" s="633">
        <f t="shared" si="19"/>
        <v>0</v>
      </c>
      <c r="K161" s="633">
        <f t="shared" si="20"/>
        <v>0</v>
      </c>
      <c r="L161" s="1127"/>
      <c r="M161" s="1127"/>
      <c r="N161" s="1691">
        <f t="shared" si="15"/>
        <v>0</v>
      </c>
      <c r="O161" s="634">
        <f t="shared" si="16"/>
        <v>0</v>
      </c>
      <c r="P161" s="144"/>
      <c r="Q161" s="144"/>
      <c r="R161" s="144"/>
      <c r="S161" s="144"/>
    </row>
    <row r="162" spans="1:19" ht="14.25" customHeight="1">
      <c r="A162" s="630"/>
      <c r="B162" s="631"/>
      <c r="C162" s="1127"/>
      <c r="D162" s="632"/>
      <c r="E162" s="1127"/>
      <c r="F162" s="633">
        <f t="shared" si="17"/>
        <v>0</v>
      </c>
      <c r="G162" s="632"/>
      <c r="H162" s="1127"/>
      <c r="I162" s="633">
        <f t="shared" si="18"/>
        <v>0</v>
      </c>
      <c r="J162" s="633">
        <f t="shared" si="19"/>
        <v>0</v>
      </c>
      <c r="K162" s="633">
        <f t="shared" si="20"/>
        <v>0</v>
      </c>
      <c r="L162" s="1127"/>
      <c r="M162" s="1127"/>
      <c r="N162" s="1691">
        <f t="shared" si="15"/>
        <v>0</v>
      </c>
      <c r="O162" s="634">
        <f t="shared" si="16"/>
        <v>0</v>
      </c>
      <c r="P162" s="144"/>
      <c r="Q162" s="144"/>
      <c r="R162" s="144"/>
      <c r="S162" s="144"/>
    </row>
    <row r="163" spans="1:19" ht="14.25" customHeight="1">
      <c r="A163" s="630"/>
      <c r="B163" s="631"/>
      <c r="C163" s="1127"/>
      <c r="D163" s="632"/>
      <c r="E163" s="1127"/>
      <c r="F163" s="633">
        <f t="shared" si="17"/>
        <v>0</v>
      </c>
      <c r="G163" s="632"/>
      <c r="H163" s="1127"/>
      <c r="I163" s="633">
        <f t="shared" si="18"/>
        <v>0</v>
      </c>
      <c r="J163" s="633">
        <f t="shared" si="19"/>
        <v>0</v>
      </c>
      <c r="K163" s="633">
        <f t="shared" si="20"/>
        <v>0</v>
      </c>
      <c r="L163" s="1127"/>
      <c r="M163" s="1127"/>
      <c r="N163" s="1691">
        <f t="shared" si="15"/>
        <v>0</v>
      </c>
      <c r="O163" s="634">
        <f t="shared" si="16"/>
        <v>0</v>
      </c>
      <c r="P163" s="144"/>
      <c r="Q163" s="144"/>
      <c r="R163" s="144"/>
      <c r="S163" s="144"/>
    </row>
    <row r="164" spans="1:19" ht="14.25" customHeight="1">
      <c r="A164" s="630"/>
      <c r="B164" s="631"/>
      <c r="C164" s="1127"/>
      <c r="D164" s="632"/>
      <c r="E164" s="1127"/>
      <c r="F164" s="633">
        <f t="shared" si="17"/>
        <v>0</v>
      </c>
      <c r="G164" s="632"/>
      <c r="H164" s="1127"/>
      <c r="I164" s="633">
        <f t="shared" si="18"/>
        <v>0</v>
      </c>
      <c r="J164" s="633">
        <f t="shared" si="19"/>
        <v>0</v>
      </c>
      <c r="K164" s="633">
        <f t="shared" si="20"/>
        <v>0</v>
      </c>
      <c r="L164" s="1127"/>
      <c r="M164" s="1127"/>
      <c r="N164" s="1691">
        <f t="shared" si="15"/>
        <v>0</v>
      </c>
      <c r="O164" s="634">
        <f t="shared" si="16"/>
        <v>0</v>
      </c>
      <c r="P164" s="144"/>
      <c r="Q164" s="144"/>
      <c r="R164" s="144"/>
      <c r="S164" s="144"/>
    </row>
    <row r="165" spans="1:19" ht="14.25" customHeight="1">
      <c r="A165" s="630"/>
      <c r="B165" s="631"/>
      <c r="C165" s="1127"/>
      <c r="D165" s="632"/>
      <c r="E165" s="1127"/>
      <c r="F165" s="633">
        <f t="shared" si="17"/>
        <v>0</v>
      </c>
      <c r="G165" s="632"/>
      <c r="H165" s="1127"/>
      <c r="I165" s="633">
        <f t="shared" si="18"/>
        <v>0</v>
      </c>
      <c r="J165" s="633">
        <f t="shared" si="19"/>
        <v>0</v>
      </c>
      <c r="K165" s="633">
        <f t="shared" si="20"/>
        <v>0</v>
      </c>
      <c r="L165" s="1127"/>
      <c r="M165" s="1127"/>
      <c r="N165" s="1691">
        <f t="shared" si="15"/>
        <v>0</v>
      </c>
      <c r="O165" s="634">
        <f t="shared" si="16"/>
        <v>0</v>
      </c>
      <c r="P165" s="144"/>
      <c r="Q165" s="144"/>
      <c r="R165" s="144"/>
      <c r="S165" s="144"/>
    </row>
    <row r="166" spans="1:19" ht="14.25" customHeight="1">
      <c r="A166" s="630"/>
      <c r="B166" s="631"/>
      <c r="C166" s="1127"/>
      <c r="D166" s="632"/>
      <c r="E166" s="1127"/>
      <c r="F166" s="633">
        <f t="shared" si="17"/>
        <v>0</v>
      </c>
      <c r="G166" s="632"/>
      <c r="H166" s="1127"/>
      <c r="I166" s="633">
        <f t="shared" si="18"/>
        <v>0</v>
      </c>
      <c r="J166" s="633">
        <f t="shared" si="19"/>
        <v>0</v>
      </c>
      <c r="K166" s="633">
        <f t="shared" si="20"/>
        <v>0</v>
      </c>
      <c r="L166" s="1127"/>
      <c r="M166" s="1127"/>
      <c r="N166" s="1691">
        <f t="shared" si="15"/>
        <v>0</v>
      </c>
      <c r="O166" s="634">
        <f t="shared" si="16"/>
        <v>0</v>
      </c>
      <c r="P166" s="144"/>
      <c r="Q166" s="144"/>
      <c r="R166" s="144"/>
      <c r="S166" s="144"/>
    </row>
    <row r="167" spans="1:19" ht="14.25" customHeight="1">
      <c r="A167" s="630"/>
      <c r="B167" s="631"/>
      <c r="C167" s="1127"/>
      <c r="D167" s="632"/>
      <c r="E167" s="1127"/>
      <c r="F167" s="633">
        <f t="shared" si="17"/>
        <v>0</v>
      </c>
      <c r="G167" s="632"/>
      <c r="H167" s="1127"/>
      <c r="I167" s="633">
        <f t="shared" si="18"/>
        <v>0</v>
      </c>
      <c r="J167" s="633">
        <f t="shared" si="19"/>
        <v>0</v>
      </c>
      <c r="K167" s="633">
        <f t="shared" si="20"/>
        <v>0</v>
      </c>
      <c r="L167" s="1127"/>
      <c r="M167" s="1127"/>
      <c r="N167" s="1691">
        <f t="shared" si="15"/>
        <v>0</v>
      </c>
      <c r="O167" s="634">
        <f t="shared" si="16"/>
        <v>0</v>
      </c>
      <c r="P167" s="144"/>
      <c r="Q167" s="144"/>
      <c r="R167" s="144"/>
      <c r="S167" s="144"/>
    </row>
    <row r="168" spans="1:19" ht="14.25" customHeight="1">
      <c r="A168" s="630"/>
      <c r="B168" s="631"/>
      <c r="C168" s="1127"/>
      <c r="D168" s="632"/>
      <c r="E168" s="1127"/>
      <c r="F168" s="633">
        <f t="shared" si="17"/>
        <v>0</v>
      </c>
      <c r="G168" s="632"/>
      <c r="H168" s="1127"/>
      <c r="I168" s="633">
        <f t="shared" si="18"/>
        <v>0</v>
      </c>
      <c r="J168" s="633">
        <f t="shared" si="19"/>
        <v>0</v>
      </c>
      <c r="K168" s="633">
        <f t="shared" si="20"/>
        <v>0</v>
      </c>
      <c r="L168" s="1127"/>
      <c r="M168" s="1127"/>
      <c r="N168" s="1691">
        <f t="shared" si="15"/>
        <v>0</v>
      </c>
      <c r="O168" s="634">
        <f t="shared" si="16"/>
        <v>0</v>
      </c>
      <c r="P168" s="144"/>
      <c r="Q168" s="144"/>
      <c r="R168" s="144"/>
      <c r="S168" s="144"/>
    </row>
    <row r="169" spans="1:19" ht="14.25" customHeight="1">
      <c r="A169" s="630"/>
      <c r="B169" s="631"/>
      <c r="C169" s="1127"/>
      <c r="D169" s="632"/>
      <c r="E169" s="1127"/>
      <c r="F169" s="633">
        <f t="shared" si="17"/>
        <v>0</v>
      </c>
      <c r="G169" s="632"/>
      <c r="H169" s="1127"/>
      <c r="I169" s="633">
        <f t="shared" si="18"/>
        <v>0</v>
      </c>
      <c r="J169" s="633">
        <f t="shared" si="19"/>
        <v>0</v>
      </c>
      <c r="K169" s="633">
        <f t="shared" si="20"/>
        <v>0</v>
      </c>
      <c r="L169" s="1127"/>
      <c r="M169" s="1127"/>
      <c r="N169" s="1691">
        <f t="shared" si="15"/>
        <v>0</v>
      </c>
      <c r="O169" s="634">
        <f t="shared" si="16"/>
        <v>0</v>
      </c>
      <c r="P169" s="144"/>
      <c r="Q169" s="144"/>
      <c r="R169" s="144"/>
      <c r="S169" s="144"/>
    </row>
    <row r="170" spans="1:19" ht="14.25" customHeight="1">
      <c r="A170" s="630"/>
      <c r="B170" s="631"/>
      <c r="C170" s="1127"/>
      <c r="D170" s="632"/>
      <c r="E170" s="1127"/>
      <c r="F170" s="633">
        <f t="shared" si="17"/>
        <v>0</v>
      </c>
      <c r="G170" s="632"/>
      <c r="H170" s="1127"/>
      <c r="I170" s="633">
        <f t="shared" si="18"/>
        <v>0</v>
      </c>
      <c r="J170" s="633">
        <f t="shared" si="19"/>
        <v>0</v>
      </c>
      <c r="K170" s="633">
        <f t="shared" si="20"/>
        <v>0</v>
      </c>
      <c r="L170" s="1127"/>
      <c r="M170" s="1127"/>
      <c r="N170" s="1691">
        <f t="shared" si="15"/>
        <v>0</v>
      </c>
      <c r="O170" s="634">
        <f t="shared" si="16"/>
        <v>0</v>
      </c>
      <c r="P170" s="144"/>
      <c r="Q170" s="144"/>
      <c r="R170" s="144"/>
      <c r="S170" s="144"/>
    </row>
    <row r="171" spans="1:19" ht="14.25" customHeight="1">
      <c r="A171" s="630"/>
      <c r="B171" s="631"/>
      <c r="C171" s="1127"/>
      <c r="D171" s="632"/>
      <c r="E171" s="1127"/>
      <c r="F171" s="633">
        <f t="shared" si="17"/>
        <v>0</v>
      </c>
      <c r="G171" s="632"/>
      <c r="H171" s="1127"/>
      <c r="I171" s="633">
        <f t="shared" si="18"/>
        <v>0</v>
      </c>
      <c r="J171" s="633">
        <f t="shared" si="19"/>
        <v>0</v>
      </c>
      <c r="K171" s="633">
        <f t="shared" si="20"/>
        <v>0</v>
      </c>
      <c r="L171" s="1127"/>
      <c r="M171" s="1127"/>
      <c r="N171" s="1691">
        <f t="shared" si="15"/>
        <v>0</v>
      </c>
      <c r="O171" s="634">
        <f t="shared" si="16"/>
        <v>0</v>
      </c>
      <c r="P171" s="144"/>
      <c r="Q171" s="144"/>
      <c r="R171" s="144"/>
      <c r="S171" s="144"/>
    </row>
    <row r="172" spans="1:19" ht="14.25" customHeight="1">
      <c r="A172" s="630"/>
      <c r="B172" s="631"/>
      <c r="C172" s="1127"/>
      <c r="D172" s="632"/>
      <c r="E172" s="1127"/>
      <c r="F172" s="633">
        <f t="shared" si="17"/>
        <v>0</v>
      </c>
      <c r="G172" s="632"/>
      <c r="H172" s="1127"/>
      <c r="I172" s="633">
        <f t="shared" si="18"/>
        <v>0</v>
      </c>
      <c r="J172" s="633">
        <f t="shared" si="19"/>
        <v>0</v>
      </c>
      <c r="K172" s="633">
        <f t="shared" si="20"/>
        <v>0</v>
      </c>
      <c r="L172" s="1127"/>
      <c r="M172" s="1127"/>
      <c r="N172" s="1691">
        <f t="shared" si="15"/>
        <v>0</v>
      </c>
      <c r="O172" s="634">
        <f t="shared" si="16"/>
        <v>0</v>
      </c>
      <c r="P172" s="144"/>
      <c r="Q172" s="144"/>
      <c r="R172" s="144"/>
      <c r="S172" s="144"/>
    </row>
    <row r="173" spans="1:19" ht="14.25" customHeight="1">
      <c r="A173" s="630"/>
      <c r="B173" s="631"/>
      <c r="C173" s="1127"/>
      <c r="D173" s="632"/>
      <c r="E173" s="1127"/>
      <c r="F173" s="633">
        <f t="shared" si="17"/>
        <v>0</v>
      </c>
      <c r="G173" s="632"/>
      <c r="H173" s="1127"/>
      <c r="I173" s="633">
        <f t="shared" si="18"/>
        <v>0</v>
      </c>
      <c r="J173" s="633">
        <f t="shared" si="19"/>
        <v>0</v>
      </c>
      <c r="K173" s="633">
        <f t="shared" si="20"/>
        <v>0</v>
      </c>
      <c r="L173" s="1127"/>
      <c r="M173" s="1127"/>
      <c r="N173" s="1691">
        <f t="shared" si="15"/>
        <v>0</v>
      </c>
      <c r="O173" s="634">
        <f t="shared" si="16"/>
        <v>0</v>
      </c>
      <c r="P173" s="144"/>
      <c r="Q173" s="144"/>
      <c r="R173" s="144"/>
      <c r="S173" s="144"/>
    </row>
    <row r="174" spans="1:19" ht="14.25" customHeight="1">
      <c r="A174" s="630"/>
      <c r="B174" s="631"/>
      <c r="C174" s="1127"/>
      <c r="D174" s="632"/>
      <c r="E174" s="1127"/>
      <c r="F174" s="633">
        <f t="shared" si="17"/>
        <v>0</v>
      </c>
      <c r="G174" s="632"/>
      <c r="H174" s="1127"/>
      <c r="I174" s="633">
        <f t="shared" si="18"/>
        <v>0</v>
      </c>
      <c r="J174" s="633">
        <f t="shared" si="19"/>
        <v>0</v>
      </c>
      <c r="K174" s="633">
        <f t="shared" si="20"/>
        <v>0</v>
      </c>
      <c r="L174" s="1127"/>
      <c r="M174" s="1127"/>
      <c r="N174" s="1691">
        <f t="shared" si="15"/>
        <v>0</v>
      </c>
      <c r="O174" s="634">
        <f t="shared" si="16"/>
        <v>0</v>
      </c>
      <c r="P174" s="144"/>
      <c r="Q174" s="144"/>
      <c r="R174" s="144"/>
      <c r="S174" s="144"/>
    </row>
    <row r="175" spans="1:19" ht="14.25" customHeight="1">
      <c r="A175" s="630"/>
      <c r="B175" s="631"/>
      <c r="C175" s="1127"/>
      <c r="D175" s="632"/>
      <c r="E175" s="1127"/>
      <c r="F175" s="633">
        <f t="shared" si="17"/>
        <v>0</v>
      </c>
      <c r="G175" s="632"/>
      <c r="H175" s="1127"/>
      <c r="I175" s="633">
        <f t="shared" si="18"/>
        <v>0</v>
      </c>
      <c r="J175" s="633">
        <f t="shared" si="19"/>
        <v>0</v>
      </c>
      <c r="K175" s="633">
        <f t="shared" si="20"/>
        <v>0</v>
      </c>
      <c r="L175" s="1127"/>
      <c r="M175" s="1127"/>
      <c r="N175" s="1691">
        <f t="shared" si="15"/>
        <v>0</v>
      </c>
      <c r="O175" s="634">
        <f t="shared" si="16"/>
        <v>0</v>
      </c>
      <c r="P175" s="144"/>
      <c r="Q175" s="144"/>
      <c r="R175" s="144"/>
      <c r="S175" s="144"/>
    </row>
    <row r="176" spans="1:19" ht="14.25" customHeight="1">
      <c r="A176" s="630"/>
      <c r="B176" s="631"/>
      <c r="C176" s="1127"/>
      <c r="D176" s="632"/>
      <c r="E176" s="1127"/>
      <c r="F176" s="633">
        <f t="shared" si="17"/>
        <v>0</v>
      </c>
      <c r="G176" s="632"/>
      <c r="H176" s="1127"/>
      <c r="I176" s="633">
        <f t="shared" si="18"/>
        <v>0</v>
      </c>
      <c r="J176" s="633">
        <f t="shared" si="19"/>
        <v>0</v>
      </c>
      <c r="K176" s="633">
        <f t="shared" si="20"/>
        <v>0</v>
      </c>
      <c r="L176" s="1127"/>
      <c r="M176" s="1127"/>
      <c r="N176" s="1691">
        <f t="shared" si="15"/>
        <v>0</v>
      </c>
      <c r="O176" s="634">
        <f t="shared" si="16"/>
        <v>0</v>
      </c>
      <c r="P176" s="144"/>
      <c r="Q176" s="144"/>
      <c r="R176" s="144"/>
      <c r="S176" s="144"/>
    </row>
    <row r="177" spans="1:19" ht="14.25" customHeight="1">
      <c r="A177" s="630"/>
      <c r="B177" s="631"/>
      <c r="C177" s="1127"/>
      <c r="D177" s="632"/>
      <c r="E177" s="1127"/>
      <c r="F177" s="633">
        <f t="shared" si="17"/>
        <v>0</v>
      </c>
      <c r="G177" s="632"/>
      <c r="H177" s="1127"/>
      <c r="I177" s="633">
        <f t="shared" si="18"/>
        <v>0</v>
      </c>
      <c r="J177" s="633">
        <f t="shared" si="19"/>
        <v>0</v>
      </c>
      <c r="K177" s="633">
        <f t="shared" si="20"/>
        <v>0</v>
      </c>
      <c r="L177" s="1127"/>
      <c r="M177" s="1127"/>
      <c r="N177" s="1691">
        <f t="shared" si="15"/>
        <v>0</v>
      </c>
      <c r="O177" s="634">
        <f t="shared" si="16"/>
        <v>0</v>
      </c>
      <c r="P177" s="144"/>
      <c r="Q177" s="144"/>
      <c r="R177" s="144"/>
      <c r="S177" s="144"/>
    </row>
    <row r="178" spans="1:19" ht="14.25" customHeight="1">
      <c r="A178" s="630"/>
      <c r="B178" s="631"/>
      <c r="C178" s="1127"/>
      <c r="D178" s="632"/>
      <c r="E178" s="1127"/>
      <c r="F178" s="633">
        <f t="shared" si="17"/>
        <v>0</v>
      </c>
      <c r="G178" s="632"/>
      <c r="H178" s="1127"/>
      <c r="I178" s="633">
        <f t="shared" si="18"/>
        <v>0</v>
      </c>
      <c r="J178" s="633">
        <f t="shared" si="19"/>
        <v>0</v>
      </c>
      <c r="K178" s="633">
        <f t="shared" si="20"/>
        <v>0</v>
      </c>
      <c r="L178" s="1127"/>
      <c r="M178" s="1127"/>
      <c r="N178" s="1691">
        <f t="shared" si="15"/>
        <v>0</v>
      </c>
      <c r="O178" s="634">
        <f t="shared" si="16"/>
        <v>0</v>
      </c>
      <c r="P178" s="144"/>
      <c r="Q178" s="144"/>
      <c r="R178" s="144"/>
      <c r="S178" s="144"/>
    </row>
    <row r="179" spans="1:19" ht="14.25" customHeight="1">
      <c r="A179" s="630"/>
      <c r="B179" s="631"/>
      <c r="C179" s="1127"/>
      <c r="D179" s="632"/>
      <c r="E179" s="1127"/>
      <c r="F179" s="633">
        <f t="shared" si="17"/>
        <v>0</v>
      </c>
      <c r="G179" s="632"/>
      <c r="H179" s="1127"/>
      <c r="I179" s="633">
        <f t="shared" si="18"/>
        <v>0</v>
      </c>
      <c r="J179" s="633">
        <f t="shared" si="19"/>
        <v>0</v>
      </c>
      <c r="K179" s="633">
        <f t="shared" si="20"/>
        <v>0</v>
      </c>
      <c r="L179" s="1127"/>
      <c r="M179" s="1127"/>
      <c r="N179" s="1691">
        <f t="shared" si="15"/>
        <v>0</v>
      </c>
      <c r="O179" s="634">
        <f t="shared" si="16"/>
        <v>0</v>
      </c>
      <c r="P179" s="144"/>
      <c r="Q179" s="144"/>
      <c r="R179" s="144"/>
      <c r="S179" s="144"/>
    </row>
    <row r="180" spans="1:19" ht="14.25" customHeight="1">
      <c r="A180" s="630"/>
      <c r="B180" s="631"/>
      <c r="C180" s="1127"/>
      <c r="D180" s="632"/>
      <c r="E180" s="1127"/>
      <c r="F180" s="633">
        <f t="shared" si="17"/>
        <v>0</v>
      </c>
      <c r="G180" s="632"/>
      <c r="H180" s="1127"/>
      <c r="I180" s="633">
        <f t="shared" si="18"/>
        <v>0</v>
      </c>
      <c r="J180" s="633">
        <f t="shared" si="19"/>
        <v>0</v>
      </c>
      <c r="K180" s="633">
        <f t="shared" si="20"/>
        <v>0</v>
      </c>
      <c r="L180" s="1127"/>
      <c r="M180" s="1127"/>
      <c r="N180" s="1691">
        <f t="shared" si="15"/>
        <v>0</v>
      </c>
      <c r="O180" s="634">
        <f t="shared" si="16"/>
        <v>0</v>
      </c>
      <c r="P180" s="144"/>
      <c r="Q180" s="144"/>
      <c r="R180" s="144"/>
      <c r="S180" s="144"/>
    </row>
    <row r="181" spans="1:19" ht="14.25" customHeight="1">
      <c r="A181" s="630"/>
      <c r="B181" s="631"/>
      <c r="C181" s="1127"/>
      <c r="D181" s="632"/>
      <c r="E181" s="1127"/>
      <c r="F181" s="633">
        <f t="shared" si="17"/>
        <v>0</v>
      </c>
      <c r="G181" s="632"/>
      <c r="H181" s="1127"/>
      <c r="I181" s="633">
        <f t="shared" si="18"/>
        <v>0</v>
      </c>
      <c r="J181" s="633">
        <f t="shared" si="19"/>
        <v>0</v>
      </c>
      <c r="K181" s="633">
        <f t="shared" si="20"/>
        <v>0</v>
      </c>
      <c r="L181" s="1127"/>
      <c r="M181" s="1127"/>
      <c r="N181" s="1691">
        <f t="shared" si="15"/>
        <v>0</v>
      </c>
      <c r="O181" s="634">
        <f t="shared" si="16"/>
        <v>0</v>
      </c>
      <c r="P181" s="144"/>
      <c r="Q181" s="144"/>
      <c r="R181" s="144"/>
      <c r="S181" s="144"/>
    </row>
    <row r="182" spans="1:19" ht="14.25" customHeight="1">
      <c r="A182" s="630"/>
      <c r="B182" s="631"/>
      <c r="C182" s="1127"/>
      <c r="D182" s="632"/>
      <c r="E182" s="1127"/>
      <c r="F182" s="633">
        <f t="shared" si="17"/>
        <v>0</v>
      </c>
      <c r="G182" s="632"/>
      <c r="H182" s="1127"/>
      <c r="I182" s="633">
        <f t="shared" si="18"/>
        <v>0</v>
      </c>
      <c r="J182" s="633">
        <f t="shared" si="19"/>
        <v>0</v>
      </c>
      <c r="K182" s="633">
        <f t="shared" si="20"/>
        <v>0</v>
      </c>
      <c r="L182" s="1127"/>
      <c r="M182" s="1127"/>
      <c r="N182" s="1691">
        <f t="shared" si="15"/>
        <v>0</v>
      </c>
      <c r="O182" s="634">
        <f t="shared" si="16"/>
        <v>0</v>
      </c>
      <c r="P182" s="144"/>
      <c r="Q182" s="144"/>
      <c r="R182" s="144"/>
      <c r="S182" s="144"/>
    </row>
    <row r="183" spans="1:19" ht="14.25" customHeight="1">
      <c r="A183" s="630"/>
      <c r="B183" s="631"/>
      <c r="C183" s="1127"/>
      <c r="D183" s="632"/>
      <c r="E183" s="1127"/>
      <c r="F183" s="633">
        <f t="shared" si="17"/>
        <v>0</v>
      </c>
      <c r="G183" s="632"/>
      <c r="H183" s="1127"/>
      <c r="I183" s="633">
        <f t="shared" si="18"/>
        <v>0</v>
      </c>
      <c r="J183" s="633">
        <f t="shared" si="19"/>
        <v>0</v>
      </c>
      <c r="K183" s="633">
        <f t="shared" si="20"/>
        <v>0</v>
      </c>
      <c r="L183" s="1127"/>
      <c r="M183" s="1127"/>
      <c r="N183" s="1691">
        <f t="shared" si="15"/>
        <v>0</v>
      </c>
      <c r="O183" s="634">
        <f t="shared" si="16"/>
        <v>0</v>
      </c>
      <c r="P183" s="144"/>
      <c r="Q183" s="144"/>
      <c r="R183" s="144"/>
      <c r="S183" s="144"/>
    </row>
    <row r="184" spans="1:19" ht="14.25" customHeight="1">
      <c r="A184" s="630"/>
      <c r="B184" s="631"/>
      <c r="C184" s="1127"/>
      <c r="D184" s="632"/>
      <c r="E184" s="1127"/>
      <c r="F184" s="633">
        <f t="shared" si="17"/>
        <v>0</v>
      </c>
      <c r="G184" s="632"/>
      <c r="H184" s="1127"/>
      <c r="I184" s="633">
        <f t="shared" si="18"/>
        <v>0</v>
      </c>
      <c r="J184" s="633">
        <f t="shared" si="19"/>
        <v>0</v>
      </c>
      <c r="K184" s="633">
        <f t="shared" si="20"/>
        <v>0</v>
      </c>
      <c r="L184" s="1127"/>
      <c r="M184" s="1127"/>
      <c r="N184" s="1691">
        <f t="shared" si="15"/>
        <v>0</v>
      </c>
      <c r="O184" s="634">
        <f t="shared" si="16"/>
        <v>0</v>
      </c>
      <c r="P184" s="144"/>
      <c r="Q184" s="144"/>
      <c r="R184" s="144"/>
      <c r="S184" s="144"/>
    </row>
    <row r="185" spans="1:19" ht="14.25" customHeight="1">
      <c r="A185" s="630"/>
      <c r="B185" s="631"/>
      <c r="C185" s="1127"/>
      <c r="D185" s="632"/>
      <c r="E185" s="1127"/>
      <c r="F185" s="633">
        <f t="shared" si="17"/>
        <v>0</v>
      </c>
      <c r="G185" s="632"/>
      <c r="H185" s="1127"/>
      <c r="I185" s="633">
        <f t="shared" si="18"/>
        <v>0</v>
      </c>
      <c r="J185" s="633">
        <f t="shared" si="19"/>
        <v>0</v>
      </c>
      <c r="K185" s="633">
        <f t="shared" si="20"/>
        <v>0</v>
      </c>
      <c r="L185" s="1127"/>
      <c r="M185" s="1127"/>
      <c r="N185" s="1691">
        <f t="shared" si="15"/>
        <v>0</v>
      </c>
      <c r="O185" s="634">
        <f t="shared" si="16"/>
        <v>0</v>
      </c>
      <c r="P185" s="144"/>
      <c r="Q185" s="144"/>
      <c r="R185" s="144"/>
      <c r="S185" s="144"/>
    </row>
    <row r="186" spans="1:19" ht="14.25" customHeight="1">
      <c r="A186" s="630"/>
      <c r="B186" s="631"/>
      <c r="C186" s="1127"/>
      <c r="D186" s="632"/>
      <c r="E186" s="1127"/>
      <c r="F186" s="633">
        <f t="shared" si="17"/>
        <v>0</v>
      </c>
      <c r="G186" s="632"/>
      <c r="H186" s="1127"/>
      <c r="I186" s="633">
        <f t="shared" si="18"/>
        <v>0</v>
      </c>
      <c r="J186" s="633">
        <f t="shared" si="19"/>
        <v>0</v>
      </c>
      <c r="K186" s="633">
        <f t="shared" si="20"/>
        <v>0</v>
      </c>
      <c r="L186" s="1127"/>
      <c r="M186" s="1127"/>
      <c r="N186" s="1691">
        <f t="shared" si="15"/>
        <v>0</v>
      </c>
      <c r="O186" s="634">
        <f t="shared" si="16"/>
        <v>0</v>
      </c>
      <c r="P186" s="144"/>
      <c r="Q186" s="144"/>
      <c r="R186" s="144"/>
      <c r="S186" s="144"/>
    </row>
    <row r="187" spans="1:19" ht="14.25" customHeight="1">
      <c r="A187" s="630"/>
      <c r="B187" s="631"/>
      <c r="C187" s="1127"/>
      <c r="D187" s="632"/>
      <c r="E187" s="1127"/>
      <c r="F187" s="633">
        <f t="shared" si="17"/>
        <v>0</v>
      </c>
      <c r="G187" s="632"/>
      <c r="H187" s="1127"/>
      <c r="I187" s="633">
        <f t="shared" si="18"/>
        <v>0</v>
      </c>
      <c r="J187" s="633">
        <f t="shared" si="19"/>
        <v>0</v>
      </c>
      <c r="K187" s="633">
        <f t="shared" si="20"/>
        <v>0</v>
      </c>
      <c r="L187" s="1127"/>
      <c r="M187" s="1127"/>
      <c r="N187" s="1691">
        <f t="shared" si="15"/>
        <v>0</v>
      </c>
      <c r="O187" s="634">
        <f t="shared" si="16"/>
        <v>0</v>
      </c>
      <c r="P187" s="144"/>
      <c r="Q187" s="144"/>
      <c r="R187" s="144"/>
      <c r="S187" s="144"/>
    </row>
    <row r="188" spans="1:19" ht="14.25" customHeight="1">
      <c r="A188" s="630"/>
      <c r="B188" s="631"/>
      <c r="C188" s="1127"/>
      <c r="D188" s="632"/>
      <c r="E188" s="1127"/>
      <c r="F188" s="633">
        <f t="shared" si="17"/>
        <v>0</v>
      </c>
      <c r="G188" s="632"/>
      <c r="H188" s="1127"/>
      <c r="I188" s="633">
        <f t="shared" si="18"/>
        <v>0</v>
      </c>
      <c r="J188" s="633">
        <f t="shared" si="19"/>
        <v>0</v>
      </c>
      <c r="K188" s="633">
        <f t="shared" si="20"/>
        <v>0</v>
      </c>
      <c r="L188" s="1127"/>
      <c r="M188" s="1127"/>
      <c r="N188" s="1691">
        <f t="shared" si="15"/>
        <v>0</v>
      </c>
      <c r="O188" s="634">
        <f t="shared" si="16"/>
        <v>0</v>
      </c>
      <c r="P188" s="144"/>
      <c r="Q188" s="144"/>
      <c r="R188" s="144"/>
      <c r="S188" s="144"/>
    </row>
    <row r="189" spans="1:19" ht="14.25" customHeight="1">
      <c r="A189" s="630"/>
      <c r="B189" s="631"/>
      <c r="C189" s="1127"/>
      <c r="D189" s="632"/>
      <c r="E189" s="1127"/>
      <c r="F189" s="633">
        <f t="shared" si="17"/>
        <v>0</v>
      </c>
      <c r="G189" s="632"/>
      <c r="H189" s="1127"/>
      <c r="I189" s="633">
        <f t="shared" si="18"/>
        <v>0</v>
      </c>
      <c r="J189" s="633">
        <f t="shared" si="19"/>
        <v>0</v>
      </c>
      <c r="K189" s="633">
        <f t="shared" si="20"/>
        <v>0</v>
      </c>
      <c r="L189" s="1127"/>
      <c r="M189" s="1127"/>
      <c r="N189" s="1691">
        <f t="shared" si="15"/>
        <v>0</v>
      </c>
      <c r="O189" s="634">
        <f t="shared" si="16"/>
        <v>0</v>
      </c>
      <c r="P189" s="144"/>
      <c r="Q189" s="144"/>
      <c r="R189" s="144"/>
      <c r="S189" s="144"/>
    </row>
    <row r="190" spans="1:19" ht="14.25" customHeight="1">
      <c r="A190" s="630"/>
      <c r="B190" s="631"/>
      <c r="C190" s="1127"/>
      <c r="D190" s="632"/>
      <c r="E190" s="1127"/>
      <c r="F190" s="633">
        <f t="shared" si="17"/>
        <v>0</v>
      </c>
      <c r="G190" s="632"/>
      <c r="H190" s="1127"/>
      <c r="I190" s="633">
        <f t="shared" si="18"/>
        <v>0</v>
      </c>
      <c r="J190" s="633">
        <f t="shared" si="19"/>
        <v>0</v>
      </c>
      <c r="K190" s="633">
        <f t="shared" si="20"/>
        <v>0</v>
      </c>
      <c r="L190" s="1127"/>
      <c r="M190" s="1127"/>
      <c r="N190" s="1691">
        <f t="shared" si="15"/>
        <v>0</v>
      </c>
      <c r="O190" s="634">
        <f t="shared" si="16"/>
        <v>0</v>
      </c>
      <c r="P190" s="144"/>
      <c r="Q190" s="144"/>
      <c r="R190" s="144"/>
      <c r="S190" s="144"/>
    </row>
    <row r="191" spans="1:19" ht="14.25" customHeight="1">
      <c r="A191" s="630"/>
      <c r="B191" s="631"/>
      <c r="C191" s="1127"/>
      <c r="D191" s="632"/>
      <c r="E191" s="1127"/>
      <c r="F191" s="633">
        <f t="shared" si="17"/>
        <v>0</v>
      </c>
      <c r="G191" s="632"/>
      <c r="H191" s="1127"/>
      <c r="I191" s="633">
        <f t="shared" si="18"/>
        <v>0</v>
      </c>
      <c r="J191" s="633">
        <f t="shared" si="19"/>
        <v>0</v>
      </c>
      <c r="K191" s="633">
        <f t="shared" si="20"/>
        <v>0</v>
      </c>
      <c r="L191" s="1127"/>
      <c r="M191" s="1127"/>
      <c r="N191" s="1691">
        <f t="shared" si="15"/>
        <v>0</v>
      </c>
      <c r="O191" s="634">
        <f t="shared" si="16"/>
        <v>0</v>
      </c>
      <c r="P191" s="144"/>
      <c r="Q191" s="144"/>
      <c r="R191" s="144"/>
      <c r="S191" s="144"/>
    </row>
    <row r="192" spans="1:19" ht="14.25" customHeight="1">
      <c r="A192" s="630"/>
      <c r="B192" s="631"/>
      <c r="C192" s="1127"/>
      <c r="D192" s="632"/>
      <c r="E192" s="1127"/>
      <c r="F192" s="633">
        <f t="shared" si="17"/>
        <v>0</v>
      </c>
      <c r="G192" s="632"/>
      <c r="H192" s="1127"/>
      <c r="I192" s="633">
        <f t="shared" si="18"/>
        <v>0</v>
      </c>
      <c r="J192" s="633">
        <f t="shared" si="19"/>
        <v>0</v>
      </c>
      <c r="K192" s="633">
        <f t="shared" si="20"/>
        <v>0</v>
      </c>
      <c r="L192" s="1127"/>
      <c r="M192" s="1127"/>
      <c r="N192" s="1691">
        <f t="shared" si="15"/>
        <v>0</v>
      </c>
      <c r="O192" s="634">
        <f t="shared" si="16"/>
        <v>0</v>
      </c>
      <c r="P192" s="144"/>
      <c r="Q192" s="144"/>
      <c r="R192" s="144"/>
      <c r="S192" s="144"/>
    </row>
    <row r="193" spans="1:19" ht="14.25" customHeight="1">
      <c r="A193" s="630"/>
      <c r="B193" s="631"/>
      <c r="C193" s="1127"/>
      <c r="D193" s="632"/>
      <c r="E193" s="1127"/>
      <c r="F193" s="633">
        <f t="shared" si="17"/>
        <v>0</v>
      </c>
      <c r="G193" s="632"/>
      <c r="H193" s="1127"/>
      <c r="I193" s="633">
        <f t="shared" si="18"/>
        <v>0</v>
      </c>
      <c r="J193" s="633">
        <f t="shared" si="19"/>
        <v>0</v>
      </c>
      <c r="K193" s="633">
        <f t="shared" si="20"/>
        <v>0</v>
      </c>
      <c r="L193" s="1127"/>
      <c r="M193" s="1127"/>
      <c r="N193" s="1691">
        <f t="shared" si="15"/>
        <v>0</v>
      </c>
      <c r="O193" s="634">
        <f t="shared" si="16"/>
        <v>0</v>
      </c>
      <c r="P193" s="144"/>
      <c r="Q193" s="144"/>
      <c r="R193" s="144"/>
      <c r="S193" s="144"/>
    </row>
    <row r="194" spans="1:19" ht="14.25" customHeight="1">
      <c r="A194" s="630"/>
      <c r="B194" s="631"/>
      <c r="C194" s="1127"/>
      <c r="D194" s="632"/>
      <c r="E194" s="1127"/>
      <c r="F194" s="633">
        <f t="shared" si="17"/>
        <v>0</v>
      </c>
      <c r="G194" s="632"/>
      <c r="H194" s="1127"/>
      <c r="I194" s="633">
        <f t="shared" si="18"/>
        <v>0</v>
      </c>
      <c r="J194" s="633">
        <f t="shared" si="19"/>
        <v>0</v>
      </c>
      <c r="K194" s="633">
        <f t="shared" si="20"/>
        <v>0</v>
      </c>
      <c r="L194" s="1127"/>
      <c r="M194" s="1127"/>
      <c r="N194" s="1691">
        <f t="shared" si="15"/>
        <v>0</v>
      </c>
      <c r="O194" s="634">
        <f t="shared" si="16"/>
        <v>0</v>
      </c>
      <c r="P194" s="144"/>
      <c r="Q194" s="144"/>
      <c r="R194" s="144"/>
      <c r="S194" s="144"/>
    </row>
    <row r="195" spans="1:19" ht="14.25" customHeight="1">
      <c r="A195" s="630"/>
      <c r="B195" s="631"/>
      <c r="C195" s="1127"/>
      <c r="D195" s="632"/>
      <c r="E195" s="1127"/>
      <c r="F195" s="633">
        <f t="shared" si="17"/>
        <v>0</v>
      </c>
      <c r="G195" s="632"/>
      <c r="H195" s="1127"/>
      <c r="I195" s="633">
        <f t="shared" si="18"/>
        <v>0</v>
      </c>
      <c r="J195" s="633">
        <f t="shared" si="19"/>
        <v>0</v>
      </c>
      <c r="K195" s="633">
        <f t="shared" si="20"/>
        <v>0</v>
      </c>
      <c r="L195" s="1127"/>
      <c r="M195" s="1127"/>
      <c r="N195" s="1691">
        <f t="shared" si="15"/>
        <v>0</v>
      </c>
      <c r="O195" s="634">
        <f t="shared" si="16"/>
        <v>0</v>
      </c>
      <c r="P195" s="144"/>
      <c r="Q195" s="144"/>
      <c r="R195" s="144"/>
      <c r="S195" s="144"/>
    </row>
    <row r="196" spans="1:19" ht="14.25" customHeight="1">
      <c r="A196" s="630"/>
      <c r="B196" s="631"/>
      <c r="C196" s="1127"/>
      <c r="D196" s="632"/>
      <c r="E196" s="1127"/>
      <c r="F196" s="633">
        <f t="shared" si="17"/>
        <v>0</v>
      </c>
      <c r="G196" s="632"/>
      <c r="H196" s="1127"/>
      <c r="I196" s="633">
        <f t="shared" si="18"/>
        <v>0</v>
      </c>
      <c r="J196" s="633">
        <f t="shared" si="19"/>
        <v>0</v>
      </c>
      <c r="K196" s="633">
        <f t="shared" si="20"/>
        <v>0</v>
      </c>
      <c r="L196" s="1127"/>
      <c r="M196" s="1127"/>
      <c r="N196" s="1691">
        <f t="shared" si="15"/>
        <v>0</v>
      </c>
      <c r="O196" s="634">
        <f t="shared" si="16"/>
        <v>0</v>
      </c>
      <c r="P196" s="144"/>
      <c r="Q196" s="144"/>
      <c r="R196" s="144"/>
      <c r="S196" s="144"/>
    </row>
    <row r="197" spans="1:19" ht="14.25" customHeight="1">
      <c r="A197" s="630"/>
      <c r="B197" s="631"/>
      <c r="C197" s="1127"/>
      <c r="D197" s="632"/>
      <c r="E197" s="1127"/>
      <c r="F197" s="633">
        <f t="shared" si="17"/>
        <v>0</v>
      </c>
      <c r="G197" s="632"/>
      <c r="H197" s="1127"/>
      <c r="I197" s="633">
        <f t="shared" si="18"/>
        <v>0</v>
      </c>
      <c r="J197" s="633">
        <f t="shared" si="19"/>
        <v>0</v>
      </c>
      <c r="K197" s="633">
        <f t="shared" si="20"/>
        <v>0</v>
      </c>
      <c r="L197" s="1127"/>
      <c r="M197" s="1127"/>
      <c r="N197" s="1691">
        <f t="shared" si="15"/>
        <v>0</v>
      </c>
      <c r="O197" s="634">
        <f t="shared" si="16"/>
        <v>0</v>
      </c>
      <c r="P197" s="144"/>
      <c r="Q197" s="144"/>
      <c r="R197" s="144"/>
      <c r="S197" s="144"/>
    </row>
    <row r="198" spans="1:19" ht="14.25" customHeight="1">
      <c r="A198" s="630"/>
      <c r="B198" s="631"/>
      <c r="C198" s="1127"/>
      <c r="D198" s="632"/>
      <c r="E198" s="1127"/>
      <c r="F198" s="633">
        <f t="shared" si="17"/>
        <v>0</v>
      </c>
      <c r="G198" s="632"/>
      <c r="H198" s="1127"/>
      <c r="I198" s="633">
        <f t="shared" si="18"/>
        <v>0</v>
      </c>
      <c r="J198" s="633">
        <f t="shared" si="19"/>
        <v>0</v>
      </c>
      <c r="K198" s="633">
        <f t="shared" si="20"/>
        <v>0</v>
      </c>
      <c r="L198" s="1127"/>
      <c r="M198" s="1127"/>
      <c r="N198" s="1691">
        <f t="shared" si="15"/>
        <v>0</v>
      </c>
      <c r="O198" s="634">
        <f t="shared" si="16"/>
        <v>0</v>
      </c>
      <c r="P198" s="144"/>
      <c r="Q198" s="144"/>
      <c r="R198" s="144"/>
      <c r="S198" s="144"/>
    </row>
    <row r="199" spans="1:19" ht="14.25" customHeight="1">
      <c r="A199" s="630"/>
      <c r="B199" s="631"/>
      <c r="C199" s="1127"/>
      <c r="D199" s="632"/>
      <c r="E199" s="1127"/>
      <c r="F199" s="633">
        <f t="shared" si="17"/>
        <v>0</v>
      </c>
      <c r="G199" s="632"/>
      <c r="H199" s="1127"/>
      <c r="I199" s="633">
        <f t="shared" si="18"/>
        <v>0</v>
      </c>
      <c r="J199" s="633">
        <f t="shared" si="19"/>
        <v>0</v>
      </c>
      <c r="K199" s="633">
        <f t="shared" si="20"/>
        <v>0</v>
      </c>
      <c r="L199" s="1127"/>
      <c r="M199" s="1127"/>
      <c r="N199" s="1691">
        <f t="shared" si="15"/>
        <v>0</v>
      </c>
      <c r="O199" s="634">
        <f t="shared" si="16"/>
        <v>0</v>
      </c>
      <c r="P199" s="144"/>
      <c r="Q199" s="144"/>
      <c r="R199" s="144"/>
      <c r="S199" s="144"/>
    </row>
    <row r="200" spans="1:19" ht="14.25" customHeight="1">
      <c r="A200" s="630"/>
      <c r="B200" s="631"/>
      <c r="C200" s="1127"/>
      <c r="D200" s="632"/>
      <c r="E200" s="1127"/>
      <c r="F200" s="633">
        <f t="shared" si="17"/>
        <v>0</v>
      </c>
      <c r="G200" s="632"/>
      <c r="H200" s="1127"/>
      <c r="I200" s="633">
        <f t="shared" si="18"/>
        <v>0</v>
      </c>
      <c r="J200" s="633">
        <f t="shared" si="19"/>
        <v>0</v>
      </c>
      <c r="K200" s="633">
        <f t="shared" si="20"/>
        <v>0</v>
      </c>
      <c r="L200" s="1127"/>
      <c r="M200" s="1127"/>
      <c r="N200" s="1691">
        <f t="shared" si="15"/>
        <v>0</v>
      </c>
      <c r="O200" s="634">
        <f t="shared" si="16"/>
        <v>0</v>
      </c>
      <c r="P200" s="144"/>
      <c r="Q200" s="144"/>
      <c r="R200" s="144"/>
      <c r="S200" s="144"/>
    </row>
    <row r="201" spans="1:19" ht="14.25" customHeight="1">
      <c r="A201" s="630"/>
      <c r="B201" s="631"/>
      <c r="C201" s="1127"/>
      <c r="D201" s="632"/>
      <c r="E201" s="1127"/>
      <c r="F201" s="633">
        <f t="shared" si="17"/>
        <v>0</v>
      </c>
      <c r="G201" s="632"/>
      <c r="H201" s="1127"/>
      <c r="I201" s="633">
        <f t="shared" si="18"/>
        <v>0</v>
      </c>
      <c r="J201" s="633">
        <f t="shared" si="19"/>
        <v>0</v>
      </c>
      <c r="K201" s="633">
        <f t="shared" si="20"/>
        <v>0</v>
      </c>
      <c r="L201" s="1127"/>
      <c r="M201" s="1127"/>
      <c r="N201" s="1691">
        <f t="shared" si="15"/>
        <v>0</v>
      </c>
      <c r="O201" s="634">
        <f t="shared" si="16"/>
        <v>0</v>
      </c>
      <c r="P201" s="144"/>
      <c r="Q201" s="144"/>
      <c r="R201" s="144"/>
      <c r="S201" s="144"/>
    </row>
    <row r="202" spans="1:19" ht="14.25" customHeight="1">
      <c r="A202" s="630"/>
      <c r="B202" s="631"/>
      <c r="C202" s="1127"/>
      <c r="D202" s="632"/>
      <c r="E202" s="1127"/>
      <c r="F202" s="633">
        <f t="shared" si="17"/>
        <v>0</v>
      </c>
      <c r="G202" s="632"/>
      <c r="H202" s="1127"/>
      <c r="I202" s="633">
        <f t="shared" si="18"/>
        <v>0</v>
      </c>
      <c r="J202" s="633">
        <f t="shared" si="19"/>
        <v>0</v>
      </c>
      <c r="K202" s="633">
        <f t="shared" si="20"/>
        <v>0</v>
      </c>
      <c r="L202" s="1127"/>
      <c r="M202" s="1127"/>
      <c r="N202" s="1691">
        <f t="shared" ref="N202:N265" si="21">IF(M202&lt;&gt;0,ROUND(B202*K202,2)+M202,IF(ABS(ROUND(K202*B202,2)-L202)&lt;3,L202,MIN(ROUND(K202*B202,2),L202)))</f>
        <v>0</v>
      </c>
      <c r="O202" s="634">
        <f t="shared" ref="O202:O265" si="22">IF(ISERROR(L202-N202),"",IF(ABS(L202-N202)&lt;3,0,L202-N202))</f>
        <v>0</v>
      </c>
      <c r="P202" s="144"/>
      <c r="Q202" s="144"/>
      <c r="R202" s="144"/>
      <c r="S202" s="144"/>
    </row>
    <row r="203" spans="1:19" ht="14.25" customHeight="1">
      <c r="A203" s="630"/>
      <c r="B203" s="631"/>
      <c r="C203" s="1127"/>
      <c r="D203" s="632"/>
      <c r="E203" s="1127"/>
      <c r="F203" s="633">
        <f t="shared" ref="F203:F266" si="23">E203*(12-MONTH(D203))/12</f>
        <v>0</v>
      </c>
      <c r="G203" s="632"/>
      <c r="H203" s="1127"/>
      <c r="I203" s="633">
        <f t="shared" ref="I203:I266" si="24">H203*(12-MONTH(G203))/12</f>
        <v>0</v>
      </c>
      <c r="J203" s="633">
        <f t="shared" ref="J203:J266" si="25">C203+E203-H203</f>
        <v>0</v>
      </c>
      <c r="K203" s="633">
        <f t="shared" ref="K203:K266" si="26">C203+F203-I203</f>
        <v>0</v>
      </c>
      <c r="L203" s="1127"/>
      <c r="M203" s="1127"/>
      <c r="N203" s="1691">
        <f t="shared" si="21"/>
        <v>0</v>
      </c>
      <c r="O203" s="634">
        <f t="shared" si="22"/>
        <v>0</v>
      </c>
      <c r="P203" s="144"/>
      <c r="Q203" s="144"/>
      <c r="R203" s="144"/>
      <c r="S203" s="144"/>
    </row>
    <row r="204" spans="1:19" ht="14.25" customHeight="1">
      <c r="A204" s="630"/>
      <c r="B204" s="631"/>
      <c r="C204" s="1127"/>
      <c r="D204" s="632"/>
      <c r="E204" s="1127"/>
      <c r="F204" s="633">
        <f t="shared" si="23"/>
        <v>0</v>
      </c>
      <c r="G204" s="632"/>
      <c r="H204" s="1127"/>
      <c r="I204" s="633">
        <f t="shared" si="24"/>
        <v>0</v>
      </c>
      <c r="J204" s="633">
        <f t="shared" si="25"/>
        <v>0</v>
      </c>
      <c r="K204" s="633">
        <f t="shared" si="26"/>
        <v>0</v>
      </c>
      <c r="L204" s="1127"/>
      <c r="M204" s="1127"/>
      <c r="N204" s="1691">
        <f t="shared" si="21"/>
        <v>0</v>
      </c>
      <c r="O204" s="634">
        <f t="shared" si="22"/>
        <v>0</v>
      </c>
      <c r="P204" s="144"/>
      <c r="Q204" s="144"/>
      <c r="R204" s="144"/>
      <c r="S204" s="144"/>
    </row>
    <row r="205" spans="1:19" ht="14.25" customHeight="1">
      <c r="A205" s="630"/>
      <c r="B205" s="631"/>
      <c r="C205" s="1127"/>
      <c r="D205" s="632"/>
      <c r="E205" s="1127"/>
      <c r="F205" s="633">
        <f t="shared" si="23"/>
        <v>0</v>
      </c>
      <c r="G205" s="632"/>
      <c r="H205" s="1127"/>
      <c r="I205" s="633">
        <f t="shared" si="24"/>
        <v>0</v>
      </c>
      <c r="J205" s="633">
        <f t="shared" si="25"/>
        <v>0</v>
      </c>
      <c r="K205" s="633">
        <f t="shared" si="26"/>
        <v>0</v>
      </c>
      <c r="L205" s="1127"/>
      <c r="M205" s="1127"/>
      <c r="N205" s="1691">
        <f t="shared" si="21"/>
        <v>0</v>
      </c>
      <c r="O205" s="634">
        <f t="shared" si="22"/>
        <v>0</v>
      </c>
      <c r="P205" s="144"/>
      <c r="Q205" s="144"/>
      <c r="R205" s="144"/>
      <c r="S205" s="144"/>
    </row>
    <row r="206" spans="1:19" ht="14.25" customHeight="1">
      <c r="A206" s="630"/>
      <c r="B206" s="631"/>
      <c r="C206" s="1127"/>
      <c r="D206" s="632"/>
      <c r="E206" s="1127"/>
      <c r="F206" s="633">
        <f t="shared" si="23"/>
        <v>0</v>
      </c>
      <c r="G206" s="632"/>
      <c r="H206" s="1127"/>
      <c r="I206" s="633">
        <f t="shared" si="24"/>
        <v>0</v>
      </c>
      <c r="J206" s="633">
        <f t="shared" si="25"/>
        <v>0</v>
      </c>
      <c r="K206" s="633">
        <f t="shared" si="26"/>
        <v>0</v>
      </c>
      <c r="L206" s="1127"/>
      <c r="M206" s="1127"/>
      <c r="N206" s="1691">
        <f t="shared" si="21"/>
        <v>0</v>
      </c>
      <c r="O206" s="634">
        <f t="shared" si="22"/>
        <v>0</v>
      </c>
      <c r="P206" s="144"/>
      <c r="Q206" s="144"/>
      <c r="R206" s="144"/>
      <c r="S206" s="144"/>
    </row>
    <row r="207" spans="1:19" ht="14.25" customHeight="1">
      <c r="A207" s="630"/>
      <c r="B207" s="631"/>
      <c r="C207" s="1127"/>
      <c r="D207" s="632"/>
      <c r="E207" s="1127"/>
      <c r="F207" s="633">
        <f t="shared" si="23"/>
        <v>0</v>
      </c>
      <c r="G207" s="632"/>
      <c r="H207" s="1127"/>
      <c r="I207" s="633">
        <f t="shared" si="24"/>
        <v>0</v>
      </c>
      <c r="J207" s="633">
        <f t="shared" si="25"/>
        <v>0</v>
      </c>
      <c r="K207" s="633">
        <f t="shared" si="26"/>
        <v>0</v>
      </c>
      <c r="L207" s="1127"/>
      <c r="M207" s="1127"/>
      <c r="N207" s="1691">
        <f t="shared" si="21"/>
        <v>0</v>
      </c>
      <c r="O207" s="634">
        <f t="shared" si="22"/>
        <v>0</v>
      </c>
      <c r="P207" s="144"/>
      <c r="Q207" s="144"/>
      <c r="R207" s="144"/>
      <c r="S207" s="144"/>
    </row>
    <row r="208" spans="1:19" ht="14.25" customHeight="1">
      <c r="A208" s="630"/>
      <c r="B208" s="631"/>
      <c r="C208" s="1127"/>
      <c r="D208" s="632"/>
      <c r="E208" s="1127"/>
      <c r="F208" s="633">
        <f t="shared" si="23"/>
        <v>0</v>
      </c>
      <c r="G208" s="632"/>
      <c r="H208" s="1127"/>
      <c r="I208" s="633">
        <f t="shared" si="24"/>
        <v>0</v>
      </c>
      <c r="J208" s="633">
        <f t="shared" si="25"/>
        <v>0</v>
      </c>
      <c r="K208" s="633">
        <f t="shared" si="26"/>
        <v>0</v>
      </c>
      <c r="L208" s="1127"/>
      <c r="M208" s="1127"/>
      <c r="N208" s="1691">
        <f t="shared" si="21"/>
        <v>0</v>
      </c>
      <c r="O208" s="634">
        <f t="shared" si="22"/>
        <v>0</v>
      </c>
      <c r="P208" s="144"/>
      <c r="Q208" s="144"/>
      <c r="R208" s="144"/>
      <c r="S208" s="144"/>
    </row>
    <row r="209" spans="1:19" ht="14.25" customHeight="1">
      <c r="A209" s="630"/>
      <c r="B209" s="631"/>
      <c r="C209" s="1127"/>
      <c r="D209" s="632"/>
      <c r="E209" s="1127"/>
      <c r="F209" s="633">
        <f t="shared" si="23"/>
        <v>0</v>
      </c>
      <c r="G209" s="632"/>
      <c r="H209" s="1127"/>
      <c r="I209" s="633">
        <f t="shared" si="24"/>
        <v>0</v>
      </c>
      <c r="J209" s="633">
        <f t="shared" si="25"/>
        <v>0</v>
      </c>
      <c r="K209" s="633">
        <f t="shared" si="26"/>
        <v>0</v>
      </c>
      <c r="L209" s="1127"/>
      <c r="M209" s="1127"/>
      <c r="N209" s="1691">
        <f t="shared" si="21"/>
        <v>0</v>
      </c>
      <c r="O209" s="634">
        <f t="shared" si="22"/>
        <v>0</v>
      </c>
      <c r="P209" s="144"/>
      <c r="Q209" s="144"/>
      <c r="R209" s="144"/>
      <c r="S209" s="144"/>
    </row>
    <row r="210" spans="1:19" ht="14.25" customHeight="1">
      <c r="A210" s="630"/>
      <c r="B210" s="631"/>
      <c r="C210" s="1127"/>
      <c r="D210" s="632"/>
      <c r="E210" s="1127"/>
      <c r="F210" s="633">
        <f t="shared" si="23"/>
        <v>0</v>
      </c>
      <c r="G210" s="632"/>
      <c r="H210" s="1127"/>
      <c r="I210" s="633">
        <f t="shared" si="24"/>
        <v>0</v>
      </c>
      <c r="J210" s="633">
        <f t="shared" si="25"/>
        <v>0</v>
      </c>
      <c r="K210" s="633">
        <f t="shared" si="26"/>
        <v>0</v>
      </c>
      <c r="L210" s="1127"/>
      <c r="M210" s="1127"/>
      <c r="N210" s="1691">
        <f t="shared" si="21"/>
        <v>0</v>
      </c>
      <c r="O210" s="634">
        <f t="shared" si="22"/>
        <v>0</v>
      </c>
      <c r="P210" s="144"/>
      <c r="Q210" s="144"/>
      <c r="R210" s="144"/>
      <c r="S210" s="144"/>
    </row>
    <row r="211" spans="1:19" ht="14.25" customHeight="1">
      <c r="A211" s="630"/>
      <c r="B211" s="631"/>
      <c r="C211" s="1127"/>
      <c r="D211" s="632"/>
      <c r="E211" s="1127"/>
      <c r="F211" s="633">
        <f t="shared" si="23"/>
        <v>0</v>
      </c>
      <c r="G211" s="632"/>
      <c r="H211" s="1127"/>
      <c r="I211" s="633">
        <f t="shared" si="24"/>
        <v>0</v>
      </c>
      <c r="J211" s="633">
        <f t="shared" si="25"/>
        <v>0</v>
      </c>
      <c r="K211" s="633">
        <f t="shared" si="26"/>
        <v>0</v>
      </c>
      <c r="L211" s="1127"/>
      <c r="M211" s="1127"/>
      <c r="N211" s="1691">
        <f t="shared" si="21"/>
        <v>0</v>
      </c>
      <c r="O211" s="634">
        <f t="shared" si="22"/>
        <v>0</v>
      </c>
      <c r="P211" s="144"/>
      <c r="Q211" s="144"/>
      <c r="R211" s="144"/>
      <c r="S211" s="144"/>
    </row>
    <row r="212" spans="1:19" ht="14.25" customHeight="1">
      <c r="A212" s="630"/>
      <c r="B212" s="631"/>
      <c r="C212" s="1127"/>
      <c r="D212" s="632"/>
      <c r="E212" s="1127"/>
      <c r="F212" s="633">
        <f t="shared" si="23"/>
        <v>0</v>
      </c>
      <c r="G212" s="632"/>
      <c r="H212" s="1127"/>
      <c r="I212" s="633">
        <f t="shared" si="24"/>
        <v>0</v>
      </c>
      <c r="J212" s="633">
        <f t="shared" si="25"/>
        <v>0</v>
      </c>
      <c r="K212" s="633">
        <f t="shared" si="26"/>
        <v>0</v>
      </c>
      <c r="L212" s="1127"/>
      <c r="M212" s="1127"/>
      <c r="N212" s="1691">
        <f t="shared" si="21"/>
        <v>0</v>
      </c>
      <c r="O212" s="634">
        <f t="shared" si="22"/>
        <v>0</v>
      </c>
      <c r="P212" s="144"/>
      <c r="Q212" s="144"/>
      <c r="R212" s="144"/>
      <c r="S212" s="144"/>
    </row>
    <row r="213" spans="1:19" ht="14.25" customHeight="1">
      <c r="A213" s="630"/>
      <c r="B213" s="631"/>
      <c r="C213" s="1127"/>
      <c r="D213" s="632"/>
      <c r="E213" s="1127"/>
      <c r="F213" s="633">
        <f t="shared" si="23"/>
        <v>0</v>
      </c>
      <c r="G213" s="632"/>
      <c r="H213" s="1127"/>
      <c r="I213" s="633">
        <f t="shared" si="24"/>
        <v>0</v>
      </c>
      <c r="J213" s="633">
        <f t="shared" si="25"/>
        <v>0</v>
      </c>
      <c r="K213" s="633">
        <f t="shared" si="26"/>
        <v>0</v>
      </c>
      <c r="L213" s="1127"/>
      <c r="M213" s="1127"/>
      <c r="N213" s="1691">
        <f t="shared" si="21"/>
        <v>0</v>
      </c>
      <c r="O213" s="634">
        <f t="shared" si="22"/>
        <v>0</v>
      </c>
      <c r="P213" s="144"/>
      <c r="Q213" s="144"/>
      <c r="R213" s="144"/>
      <c r="S213" s="144"/>
    </row>
    <row r="214" spans="1:19" ht="14.25" customHeight="1">
      <c r="A214" s="630"/>
      <c r="B214" s="631"/>
      <c r="C214" s="1127"/>
      <c r="D214" s="632"/>
      <c r="E214" s="1127"/>
      <c r="F214" s="633">
        <f t="shared" si="23"/>
        <v>0</v>
      </c>
      <c r="G214" s="632"/>
      <c r="H214" s="1127"/>
      <c r="I214" s="633">
        <f t="shared" si="24"/>
        <v>0</v>
      </c>
      <c r="J214" s="633">
        <f t="shared" si="25"/>
        <v>0</v>
      </c>
      <c r="K214" s="633">
        <f t="shared" si="26"/>
        <v>0</v>
      </c>
      <c r="L214" s="1127"/>
      <c r="M214" s="1127"/>
      <c r="N214" s="1691">
        <f t="shared" si="21"/>
        <v>0</v>
      </c>
      <c r="O214" s="634">
        <f t="shared" si="22"/>
        <v>0</v>
      </c>
      <c r="P214" s="144"/>
      <c r="Q214" s="144"/>
      <c r="R214" s="144"/>
      <c r="S214" s="144"/>
    </row>
    <row r="215" spans="1:19" ht="14.25" customHeight="1">
      <c r="A215" s="630"/>
      <c r="B215" s="631"/>
      <c r="C215" s="1127"/>
      <c r="D215" s="632"/>
      <c r="E215" s="1127"/>
      <c r="F215" s="633">
        <f t="shared" si="23"/>
        <v>0</v>
      </c>
      <c r="G215" s="632"/>
      <c r="H215" s="1127"/>
      <c r="I215" s="633">
        <f t="shared" si="24"/>
        <v>0</v>
      </c>
      <c r="J215" s="633">
        <f t="shared" si="25"/>
        <v>0</v>
      </c>
      <c r="K215" s="633">
        <f t="shared" si="26"/>
        <v>0</v>
      </c>
      <c r="L215" s="1127"/>
      <c r="M215" s="1127"/>
      <c r="N215" s="1691">
        <f t="shared" si="21"/>
        <v>0</v>
      </c>
      <c r="O215" s="634">
        <f t="shared" si="22"/>
        <v>0</v>
      </c>
      <c r="P215" s="144"/>
      <c r="Q215" s="144"/>
      <c r="R215" s="144"/>
      <c r="S215" s="144"/>
    </row>
    <row r="216" spans="1:19" ht="14.25" customHeight="1">
      <c r="A216" s="630"/>
      <c r="B216" s="631"/>
      <c r="C216" s="1127"/>
      <c r="D216" s="632"/>
      <c r="E216" s="1127"/>
      <c r="F216" s="633">
        <f t="shared" si="23"/>
        <v>0</v>
      </c>
      <c r="G216" s="632"/>
      <c r="H216" s="1127"/>
      <c r="I216" s="633">
        <f t="shared" si="24"/>
        <v>0</v>
      </c>
      <c r="J216" s="633">
        <f t="shared" si="25"/>
        <v>0</v>
      </c>
      <c r="K216" s="633">
        <f t="shared" si="26"/>
        <v>0</v>
      </c>
      <c r="L216" s="1127"/>
      <c r="M216" s="1127"/>
      <c r="N216" s="1691">
        <f t="shared" si="21"/>
        <v>0</v>
      </c>
      <c r="O216" s="634">
        <f t="shared" si="22"/>
        <v>0</v>
      </c>
      <c r="P216" s="144"/>
      <c r="Q216" s="144"/>
      <c r="R216" s="144"/>
      <c r="S216" s="144"/>
    </row>
    <row r="217" spans="1:19" ht="14.25" customHeight="1">
      <c r="A217" s="630"/>
      <c r="B217" s="631"/>
      <c r="C217" s="1127"/>
      <c r="D217" s="632"/>
      <c r="E217" s="1127"/>
      <c r="F217" s="633">
        <f t="shared" si="23"/>
        <v>0</v>
      </c>
      <c r="G217" s="632"/>
      <c r="H217" s="1127"/>
      <c r="I217" s="633">
        <f t="shared" si="24"/>
        <v>0</v>
      </c>
      <c r="J217" s="633">
        <f t="shared" si="25"/>
        <v>0</v>
      </c>
      <c r="K217" s="633">
        <f t="shared" si="26"/>
        <v>0</v>
      </c>
      <c r="L217" s="1127"/>
      <c r="M217" s="1127"/>
      <c r="N217" s="1691">
        <f t="shared" si="21"/>
        <v>0</v>
      </c>
      <c r="O217" s="634">
        <f t="shared" si="22"/>
        <v>0</v>
      </c>
      <c r="P217" s="144"/>
      <c r="Q217" s="144"/>
      <c r="R217" s="144"/>
      <c r="S217" s="144"/>
    </row>
    <row r="218" spans="1:19" ht="14.25" customHeight="1">
      <c r="A218" s="630"/>
      <c r="B218" s="631"/>
      <c r="C218" s="1127"/>
      <c r="D218" s="632"/>
      <c r="E218" s="1127"/>
      <c r="F218" s="633">
        <f t="shared" si="23"/>
        <v>0</v>
      </c>
      <c r="G218" s="632"/>
      <c r="H218" s="1127"/>
      <c r="I218" s="633">
        <f t="shared" si="24"/>
        <v>0</v>
      </c>
      <c r="J218" s="633">
        <f t="shared" si="25"/>
        <v>0</v>
      </c>
      <c r="K218" s="633">
        <f t="shared" si="26"/>
        <v>0</v>
      </c>
      <c r="L218" s="1127"/>
      <c r="M218" s="1127"/>
      <c r="N218" s="1691">
        <f t="shared" si="21"/>
        <v>0</v>
      </c>
      <c r="O218" s="634">
        <f t="shared" si="22"/>
        <v>0</v>
      </c>
      <c r="P218" s="144"/>
      <c r="Q218" s="144"/>
      <c r="R218" s="144"/>
      <c r="S218" s="144"/>
    </row>
    <row r="219" spans="1:19" ht="14.25" customHeight="1">
      <c r="A219" s="630"/>
      <c r="B219" s="631"/>
      <c r="C219" s="1127"/>
      <c r="D219" s="632"/>
      <c r="E219" s="1127"/>
      <c r="F219" s="633">
        <f t="shared" si="23"/>
        <v>0</v>
      </c>
      <c r="G219" s="632"/>
      <c r="H219" s="1127"/>
      <c r="I219" s="633">
        <f t="shared" si="24"/>
        <v>0</v>
      </c>
      <c r="J219" s="633">
        <f t="shared" si="25"/>
        <v>0</v>
      </c>
      <c r="K219" s="633">
        <f t="shared" si="26"/>
        <v>0</v>
      </c>
      <c r="L219" s="1127"/>
      <c r="M219" s="1127"/>
      <c r="N219" s="1691">
        <f t="shared" si="21"/>
        <v>0</v>
      </c>
      <c r="O219" s="634">
        <f t="shared" si="22"/>
        <v>0</v>
      </c>
      <c r="P219" s="144"/>
      <c r="Q219" s="144"/>
      <c r="R219" s="144"/>
      <c r="S219" s="144"/>
    </row>
    <row r="220" spans="1:19" ht="14.25" customHeight="1">
      <c r="A220" s="630"/>
      <c r="B220" s="631"/>
      <c r="C220" s="1127"/>
      <c r="D220" s="632"/>
      <c r="E220" s="1127"/>
      <c r="F220" s="633">
        <f t="shared" si="23"/>
        <v>0</v>
      </c>
      <c r="G220" s="632"/>
      <c r="H220" s="1127"/>
      <c r="I220" s="633">
        <f t="shared" si="24"/>
        <v>0</v>
      </c>
      <c r="J220" s="633">
        <f t="shared" si="25"/>
        <v>0</v>
      </c>
      <c r="K220" s="633">
        <f t="shared" si="26"/>
        <v>0</v>
      </c>
      <c r="L220" s="1127"/>
      <c r="M220" s="1127"/>
      <c r="N220" s="1691">
        <f t="shared" si="21"/>
        <v>0</v>
      </c>
      <c r="O220" s="634">
        <f t="shared" si="22"/>
        <v>0</v>
      </c>
      <c r="P220" s="144"/>
      <c r="Q220" s="144"/>
      <c r="R220" s="144"/>
      <c r="S220" s="144"/>
    </row>
    <row r="221" spans="1:19" ht="14.25" customHeight="1">
      <c r="A221" s="630"/>
      <c r="B221" s="631"/>
      <c r="C221" s="1127"/>
      <c r="D221" s="632"/>
      <c r="E221" s="1127"/>
      <c r="F221" s="633">
        <f t="shared" si="23"/>
        <v>0</v>
      </c>
      <c r="G221" s="632"/>
      <c r="H221" s="1127"/>
      <c r="I221" s="633">
        <f t="shared" si="24"/>
        <v>0</v>
      </c>
      <c r="J221" s="633">
        <f t="shared" si="25"/>
        <v>0</v>
      </c>
      <c r="K221" s="633">
        <f t="shared" si="26"/>
        <v>0</v>
      </c>
      <c r="L221" s="1127"/>
      <c r="M221" s="1127"/>
      <c r="N221" s="1691">
        <f t="shared" si="21"/>
        <v>0</v>
      </c>
      <c r="O221" s="634">
        <f t="shared" si="22"/>
        <v>0</v>
      </c>
      <c r="P221" s="144"/>
      <c r="Q221" s="144"/>
      <c r="R221" s="144"/>
      <c r="S221" s="144"/>
    </row>
    <row r="222" spans="1:19" ht="14.25" customHeight="1">
      <c r="A222" s="630"/>
      <c r="B222" s="631"/>
      <c r="C222" s="1127"/>
      <c r="D222" s="632"/>
      <c r="E222" s="1127"/>
      <c r="F222" s="633">
        <f t="shared" si="23"/>
        <v>0</v>
      </c>
      <c r="G222" s="632"/>
      <c r="H222" s="1127"/>
      <c r="I222" s="633">
        <f t="shared" si="24"/>
        <v>0</v>
      </c>
      <c r="J222" s="633">
        <f t="shared" si="25"/>
        <v>0</v>
      </c>
      <c r="K222" s="633">
        <f t="shared" si="26"/>
        <v>0</v>
      </c>
      <c r="L222" s="1127"/>
      <c r="M222" s="1127"/>
      <c r="N222" s="1691">
        <f t="shared" si="21"/>
        <v>0</v>
      </c>
      <c r="O222" s="634">
        <f t="shared" si="22"/>
        <v>0</v>
      </c>
      <c r="P222" s="144"/>
      <c r="Q222" s="144"/>
      <c r="R222" s="144"/>
      <c r="S222" s="144"/>
    </row>
    <row r="223" spans="1:19" ht="14.25" customHeight="1">
      <c r="A223" s="630"/>
      <c r="B223" s="631"/>
      <c r="C223" s="1127"/>
      <c r="D223" s="632"/>
      <c r="E223" s="1127"/>
      <c r="F223" s="633">
        <f t="shared" si="23"/>
        <v>0</v>
      </c>
      <c r="G223" s="632"/>
      <c r="H223" s="1127"/>
      <c r="I223" s="633">
        <f t="shared" si="24"/>
        <v>0</v>
      </c>
      <c r="J223" s="633">
        <f t="shared" si="25"/>
        <v>0</v>
      </c>
      <c r="K223" s="633">
        <f t="shared" si="26"/>
        <v>0</v>
      </c>
      <c r="L223" s="1127"/>
      <c r="M223" s="1127"/>
      <c r="N223" s="1691">
        <f t="shared" si="21"/>
        <v>0</v>
      </c>
      <c r="O223" s="634">
        <f t="shared" si="22"/>
        <v>0</v>
      </c>
      <c r="P223" s="144"/>
      <c r="Q223" s="144"/>
      <c r="R223" s="144"/>
      <c r="S223" s="144"/>
    </row>
    <row r="224" spans="1:19" ht="14.25" customHeight="1">
      <c r="A224" s="630"/>
      <c r="B224" s="631"/>
      <c r="C224" s="1127"/>
      <c r="D224" s="632"/>
      <c r="E224" s="1127"/>
      <c r="F224" s="633">
        <f t="shared" si="23"/>
        <v>0</v>
      </c>
      <c r="G224" s="632"/>
      <c r="H224" s="1127"/>
      <c r="I224" s="633">
        <f t="shared" si="24"/>
        <v>0</v>
      </c>
      <c r="J224" s="633">
        <f t="shared" si="25"/>
        <v>0</v>
      </c>
      <c r="K224" s="633">
        <f t="shared" si="26"/>
        <v>0</v>
      </c>
      <c r="L224" s="1127"/>
      <c r="M224" s="1127"/>
      <c r="N224" s="1691">
        <f t="shared" si="21"/>
        <v>0</v>
      </c>
      <c r="O224" s="634">
        <f t="shared" si="22"/>
        <v>0</v>
      </c>
      <c r="P224" s="144"/>
      <c r="Q224" s="144"/>
      <c r="R224" s="144"/>
      <c r="S224" s="144"/>
    </row>
    <row r="225" spans="1:19" ht="14.25" customHeight="1">
      <c r="A225" s="630"/>
      <c r="B225" s="631"/>
      <c r="C225" s="1127"/>
      <c r="D225" s="632"/>
      <c r="E225" s="1127"/>
      <c r="F225" s="633">
        <f t="shared" si="23"/>
        <v>0</v>
      </c>
      <c r="G225" s="632"/>
      <c r="H225" s="1127"/>
      <c r="I225" s="633">
        <f t="shared" si="24"/>
        <v>0</v>
      </c>
      <c r="J225" s="633">
        <f t="shared" si="25"/>
        <v>0</v>
      </c>
      <c r="K225" s="633">
        <f t="shared" si="26"/>
        <v>0</v>
      </c>
      <c r="L225" s="1127"/>
      <c r="M225" s="1127"/>
      <c r="N225" s="1691">
        <f t="shared" si="21"/>
        <v>0</v>
      </c>
      <c r="O225" s="634">
        <f t="shared" si="22"/>
        <v>0</v>
      </c>
      <c r="P225" s="144"/>
      <c r="Q225" s="144"/>
      <c r="R225" s="144"/>
      <c r="S225" s="144"/>
    </row>
    <row r="226" spans="1:19" ht="14.25" customHeight="1">
      <c r="A226" s="630"/>
      <c r="B226" s="631"/>
      <c r="C226" s="1127"/>
      <c r="D226" s="632"/>
      <c r="E226" s="1127"/>
      <c r="F226" s="633">
        <f t="shared" si="23"/>
        <v>0</v>
      </c>
      <c r="G226" s="632"/>
      <c r="H226" s="1127"/>
      <c r="I226" s="633">
        <f t="shared" si="24"/>
        <v>0</v>
      </c>
      <c r="J226" s="633">
        <f t="shared" si="25"/>
        <v>0</v>
      </c>
      <c r="K226" s="633">
        <f t="shared" si="26"/>
        <v>0</v>
      </c>
      <c r="L226" s="1127"/>
      <c r="M226" s="1127"/>
      <c r="N226" s="1691">
        <f t="shared" si="21"/>
        <v>0</v>
      </c>
      <c r="O226" s="634">
        <f t="shared" si="22"/>
        <v>0</v>
      </c>
      <c r="P226" s="144"/>
      <c r="Q226" s="144"/>
      <c r="R226" s="144"/>
      <c r="S226" s="144"/>
    </row>
    <row r="227" spans="1:19" ht="14.25" customHeight="1">
      <c r="A227" s="630"/>
      <c r="B227" s="631"/>
      <c r="C227" s="1127"/>
      <c r="D227" s="632"/>
      <c r="E227" s="1127"/>
      <c r="F227" s="633">
        <f t="shared" si="23"/>
        <v>0</v>
      </c>
      <c r="G227" s="632"/>
      <c r="H227" s="1127"/>
      <c r="I227" s="633">
        <f t="shared" si="24"/>
        <v>0</v>
      </c>
      <c r="J227" s="633">
        <f t="shared" si="25"/>
        <v>0</v>
      </c>
      <c r="K227" s="633">
        <f t="shared" si="26"/>
        <v>0</v>
      </c>
      <c r="L227" s="1127"/>
      <c r="M227" s="1127"/>
      <c r="N227" s="1691">
        <f t="shared" si="21"/>
        <v>0</v>
      </c>
      <c r="O227" s="634">
        <f t="shared" si="22"/>
        <v>0</v>
      </c>
      <c r="P227" s="144"/>
      <c r="Q227" s="144"/>
      <c r="R227" s="144"/>
      <c r="S227" s="144"/>
    </row>
    <row r="228" spans="1:19" ht="14.25" customHeight="1">
      <c r="A228" s="630"/>
      <c r="B228" s="631"/>
      <c r="C228" s="1127"/>
      <c r="D228" s="632"/>
      <c r="E228" s="1127"/>
      <c r="F228" s="633">
        <f t="shared" si="23"/>
        <v>0</v>
      </c>
      <c r="G228" s="632"/>
      <c r="H228" s="1127"/>
      <c r="I228" s="633">
        <f t="shared" si="24"/>
        <v>0</v>
      </c>
      <c r="J228" s="633">
        <f t="shared" si="25"/>
        <v>0</v>
      </c>
      <c r="K228" s="633">
        <f t="shared" si="26"/>
        <v>0</v>
      </c>
      <c r="L228" s="1127"/>
      <c r="M228" s="1127"/>
      <c r="N228" s="1691">
        <f t="shared" si="21"/>
        <v>0</v>
      </c>
      <c r="O228" s="634">
        <f t="shared" si="22"/>
        <v>0</v>
      </c>
      <c r="P228" s="144"/>
      <c r="Q228" s="144"/>
      <c r="R228" s="144"/>
      <c r="S228" s="144"/>
    </row>
    <row r="229" spans="1:19" ht="14.25" customHeight="1">
      <c r="A229" s="630"/>
      <c r="B229" s="631"/>
      <c r="C229" s="1127"/>
      <c r="D229" s="632"/>
      <c r="E229" s="1127"/>
      <c r="F229" s="633">
        <f t="shared" si="23"/>
        <v>0</v>
      </c>
      <c r="G229" s="632"/>
      <c r="H229" s="1127"/>
      <c r="I229" s="633">
        <f t="shared" si="24"/>
        <v>0</v>
      </c>
      <c r="J229" s="633">
        <f t="shared" si="25"/>
        <v>0</v>
      </c>
      <c r="K229" s="633">
        <f t="shared" si="26"/>
        <v>0</v>
      </c>
      <c r="L229" s="1127"/>
      <c r="M229" s="1127"/>
      <c r="N229" s="1691">
        <f t="shared" si="21"/>
        <v>0</v>
      </c>
      <c r="O229" s="634">
        <f t="shared" si="22"/>
        <v>0</v>
      </c>
      <c r="P229" s="144"/>
      <c r="Q229" s="144"/>
      <c r="R229" s="144"/>
      <c r="S229" s="144"/>
    </row>
    <row r="230" spans="1:19" ht="14.25" customHeight="1">
      <c r="A230" s="630"/>
      <c r="B230" s="631"/>
      <c r="C230" s="1127"/>
      <c r="D230" s="632"/>
      <c r="E230" s="1127"/>
      <c r="F230" s="633">
        <f t="shared" si="23"/>
        <v>0</v>
      </c>
      <c r="G230" s="632"/>
      <c r="H230" s="1127"/>
      <c r="I230" s="633">
        <f t="shared" si="24"/>
        <v>0</v>
      </c>
      <c r="J230" s="633">
        <f t="shared" si="25"/>
        <v>0</v>
      </c>
      <c r="K230" s="633">
        <f t="shared" si="26"/>
        <v>0</v>
      </c>
      <c r="L230" s="1127"/>
      <c r="M230" s="1127"/>
      <c r="N230" s="1691">
        <f t="shared" si="21"/>
        <v>0</v>
      </c>
      <c r="O230" s="634">
        <f t="shared" si="22"/>
        <v>0</v>
      </c>
      <c r="P230" s="144"/>
      <c r="Q230" s="144"/>
      <c r="R230" s="144"/>
      <c r="S230" s="144"/>
    </row>
    <row r="231" spans="1:19" ht="14.25" customHeight="1">
      <c r="A231" s="630"/>
      <c r="B231" s="631"/>
      <c r="C231" s="1127"/>
      <c r="D231" s="632"/>
      <c r="E231" s="1127"/>
      <c r="F231" s="633">
        <f t="shared" si="23"/>
        <v>0</v>
      </c>
      <c r="G231" s="632"/>
      <c r="H231" s="1127"/>
      <c r="I231" s="633">
        <f t="shared" si="24"/>
        <v>0</v>
      </c>
      <c r="J231" s="633">
        <f t="shared" si="25"/>
        <v>0</v>
      </c>
      <c r="K231" s="633">
        <f t="shared" si="26"/>
        <v>0</v>
      </c>
      <c r="L231" s="1127"/>
      <c r="M231" s="1127"/>
      <c r="N231" s="1691">
        <f t="shared" si="21"/>
        <v>0</v>
      </c>
      <c r="O231" s="634">
        <f t="shared" si="22"/>
        <v>0</v>
      </c>
      <c r="P231" s="144"/>
      <c r="Q231" s="144"/>
      <c r="R231" s="144"/>
      <c r="S231" s="144"/>
    </row>
    <row r="232" spans="1:19" ht="14.25" customHeight="1">
      <c r="A232" s="630"/>
      <c r="B232" s="631"/>
      <c r="C232" s="1127"/>
      <c r="D232" s="632"/>
      <c r="E232" s="1127"/>
      <c r="F232" s="633">
        <f t="shared" si="23"/>
        <v>0</v>
      </c>
      <c r="G232" s="632"/>
      <c r="H232" s="1127"/>
      <c r="I232" s="633">
        <f t="shared" si="24"/>
        <v>0</v>
      </c>
      <c r="J232" s="633">
        <f t="shared" si="25"/>
        <v>0</v>
      </c>
      <c r="K232" s="633">
        <f t="shared" si="26"/>
        <v>0</v>
      </c>
      <c r="L232" s="1127"/>
      <c r="M232" s="1127"/>
      <c r="N232" s="1691">
        <f t="shared" si="21"/>
        <v>0</v>
      </c>
      <c r="O232" s="634">
        <f t="shared" si="22"/>
        <v>0</v>
      </c>
      <c r="P232" s="144"/>
      <c r="Q232" s="144"/>
      <c r="R232" s="144"/>
      <c r="S232" s="144"/>
    </row>
    <row r="233" spans="1:19" ht="14.25" customHeight="1">
      <c r="A233" s="630"/>
      <c r="B233" s="631"/>
      <c r="C233" s="1127"/>
      <c r="D233" s="632"/>
      <c r="E233" s="1127"/>
      <c r="F233" s="633">
        <f t="shared" si="23"/>
        <v>0</v>
      </c>
      <c r="G233" s="632"/>
      <c r="H233" s="1127"/>
      <c r="I233" s="633">
        <f t="shared" si="24"/>
        <v>0</v>
      </c>
      <c r="J233" s="633">
        <f t="shared" si="25"/>
        <v>0</v>
      </c>
      <c r="K233" s="633">
        <f t="shared" si="26"/>
        <v>0</v>
      </c>
      <c r="L233" s="1127"/>
      <c r="M233" s="1127"/>
      <c r="N233" s="1691">
        <f t="shared" si="21"/>
        <v>0</v>
      </c>
      <c r="O233" s="634">
        <f t="shared" si="22"/>
        <v>0</v>
      </c>
      <c r="P233" s="144"/>
      <c r="Q233" s="144"/>
      <c r="R233" s="144"/>
      <c r="S233" s="144"/>
    </row>
    <row r="234" spans="1:19" ht="14.25" customHeight="1">
      <c r="A234" s="630"/>
      <c r="B234" s="631"/>
      <c r="C234" s="1127"/>
      <c r="D234" s="632"/>
      <c r="E234" s="1127"/>
      <c r="F234" s="633">
        <f t="shared" si="23"/>
        <v>0</v>
      </c>
      <c r="G234" s="632"/>
      <c r="H234" s="1127"/>
      <c r="I234" s="633">
        <f t="shared" si="24"/>
        <v>0</v>
      </c>
      <c r="J234" s="633">
        <f t="shared" si="25"/>
        <v>0</v>
      </c>
      <c r="K234" s="633">
        <f t="shared" si="26"/>
        <v>0</v>
      </c>
      <c r="L234" s="1127"/>
      <c r="M234" s="1127"/>
      <c r="N234" s="1691">
        <f t="shared" si="21"/>
        <v>0</v>
      </c>
      <c r="O234" s="634">
        <f t="shared" si="22"/>
        <v>0</v>
      </c>
      <c r="P234" s="144"/>
      <c r="Q234" s="144"/>
      <c r="R234" s="144"/>
      <c r="S234" s="144"/>
    </row>
    <row r="235" spans="1:19" ht="14.25" customHeight="1">
      <c r="A235" s="630"/>
      <c r="B235" s="631"/>
      <c r="C235" s="1127"/>
      <c r="D235" s="632"/>
      <c r="E235" s="1127"/>
      <c r="F235" s="633">
        <f t="shared" si="23"/>
        <v>0</v>
      </c>
      <c r="G235" s="632"/>
      <c r="H235" s="1127"/>
      <c r="I235" s="633">
        <f t="shared" si="24"/>
        <v>0</v>
      </c>
      <c r="J235" s="633">
        <f t="shared" si="25"/>
        <v>0</v>
      </c>
      <c r="K235" s="633">
        <f t="shared" si="26"/>
        <v>0</v>
      </c>
      <c r="L235" s="1127"/>
      <c r="M235" s="1127"/>
      <c r="N235" s="1691">
        <f t="shared" si="21"/>
        <v>0</v>
      </c>
      <c r="O235" s="634">
        <f t="shared" si="22"/>
        <v>0</v>
      </c>
      <c r="P235" s="144"/>
      <c r="Q235" s="144"/>
      <c r="R235" s="144"/>
      <c r="S235" s="144"/>
    </row>
    <row r="236" spans="1:19" ht="14.25" customHeight="1">
      <c r="A236" s="630"/>
      <c r="B236" s="631"/>
      <c r="C236" s="1127"/>
      <c r="D236" s="632"/>
      <c r="E236" s="1127"/>
      <c r="F236" s="633">
        <f t="shared" si="23"/>
        <v>0</v>
      </c>
      <c r="G236" s="632"/>
      <c r="H236" s="1127"/>
      <c r="I236" s="633">
        <f t="shared" si="24"/>
        <v>0</v>
      </c>
      <c r="J236" s="633">
        <f t="shared" si="25"/>
        <v>0</v>
      </c>
      <c r="K236" s="633">
        <f t="shared" si="26"/>
        <v>0</v>
      </c>
      <c r="L236" s="1127"/>
      <c r="M236" s="1127"/>
      <c r="N236" s="1691">
        <f t="shared" si="21"/>
        <v>0</v>
      </c>
      <c r="O236" s="634">
        <f t="shared" si="22"/>
        <v>0</v>
      </c>
      <c r="P236" s="144"/>
      <c r="Q236" s="144"/>
      <c r="R236" s="144"/>
      <c r="S236" s="144"/>
    </row>
    <row r="237" spans="1:19" ht="14.25" customHeight="1">
      <c r="A237" s="630"/>
      <c r="B237" s="631"/>
      <c r="C237" s="1127"/>
      <c r="D237" s="632"/>
      <c r="E237" s="1127"/>
      <c r="F237" s="633">
        <f t="shared" si="23"/>
        <v>0</v>
      </c>
      <c r="G237" s="632"/>
      <c r="H237" s="1127"/>
      <c r="I237" s="633">
        <f t="shared" si="24"/>
        <v>0</v>
      </c>
      <c r="J237" s="633">
        <f t="shared" si="25"/>
        <v>0</v>
      </c>
      <c r="K237" s="633">
        <f t="shared" si="26"/>
        <v>0</v>
      </c>
      <c r="L237" s="1127"/>
      <c r="M237" s="1127"/>
      <c r="N237" s="1691">
        <f t="shared" si="21"/>
        <v>0</v>
      </c>
      <c r="O237" s="634">
        <f t="shared" si="22"/>
        <v>0</v>
      </c>
      <c r="P237" s="144"/>
      <c r="Q237" s="144"/>
      <c r="R237" s="144"/>
      <c r="S237" s="144"/>
    </row>
    <row r="238" spans="1:19" ht="14.25" customHeight="1">
      <c r="A238" s="630"/>
      <c r="B238" s="631"/>
      <c r="C238" s="1127"/>
      <c r="D238" s="632"/>
      <c r="E238" s="1127"/>
      <c r="F238" s="633">
        <f t="shared" si="23"/>
        <v>0</v>
      </c>
      <c r="G238" s="632"/>
      <c r="H238" s="1127"/>
      <c r="I238" s="633">
        <f t="shared" si="24"/>
        <v>0</v>
      </c>
      <c r="J238" s="633">
        <f t="shared" si="25"/>
        <v>0</v>
      </c>
      <c r="K238" s="633">
        <f t="shared" si="26"/>
        <v>0</v>
      </c>
      <c r="L238" s="1127"/>
      <c r="M238" s="1127"/>
      <c r="N238" s="1691">
        <f t="shared" si="21"/>
        <v>0</v>
      </c>
      <c r="O238" s="634">
        <f t="shared" si="22"/>
        <v>0</v>
      </c>
      <c r="P238" s="144"/>
      <c r="Q238" s="144"/>
      <c r="R238" s="144"/>
      <c r="S238" s="144"/>
    </row>
    <row r="239" spans="1:19" ht="14.25" customHeight="1">
      <c r="A239" s="630"/>
      <c r="B239" s="631"/>
      <c r="C239" s="1127"/>
      <c r="D239" s="632"/>
      <c r="E239" s="1127"/>
      <c r="F239" s="633">
        <f t="shared" si="23"/>
        <v>0</v>
      </c>
      <c r="G239" s="632"/>
      <c r="H239" s="1127"/>
      <c r="I239" s="633">
        <f t="shared" si="24"/>
        <v>0</v>
      </c>
      <c r="J239" s="633">
        <f t="shared" si="25"/>
        <v>0</v>
      </c>
      <c r="K239" s="633">
        <f t="shared" si="26"/>
        <v>0</v>
      </c>
      <c r="L239" s="1127"/>
      <c r="M239" s="1127"/>
      <c r="N239" s="1691">
        <f t="shared" si="21"/>
        <v>0</v>
      </c>
      <c r="O239" s="634">
        <f t="shared" si="22"/>
        <v>0</v>
      </c>
      <c r="P239" s="144"/>
      <c r="Q239" s="144"/>
      <c r="R239" s="144"/>
      <c r="S239" s="144"/>
    </row>
    <row r="240" spans="1:19" ht="14.25" customHeight="1">
      <c r="A240" s="630"/>
      <c r="B240" s="631"/>
      <c r="C240" s="1127"/>
      <c r="D240" s="632"/>
      <c r="E240" s="1127"/>
      <c r="F240" s="633">
        <f t="shared" si="23"/>
        <v>0</v>
      </c>
      <c r="G240" s="632"/>
      <c r="H240" s="1127"/>
      <c r="I240" s="633">
        <f t="shared" si="24"/>
        <v>0</v>
      </c>
      <c r="J240" s="633">
        <f t="shared" si="25"/>
        <v>0</v>
      </c>
      <c r="K240" s="633">
        <f t="shared" si="26"/>
        <v>0</v>
      </c>
      <c r="L240" s="1127"/>
      <c r="M240" s="1127"/>
      <c r="N240" s="1691">
        <f t="shared" si="21"/>
        <v>0</v>
      </c>
      <c r="O240" s="634">
        <f t="shared" si="22"/>
        <v>0</v>
      </c>
      <c r="P240" s="144"/>
      <c r="Q240" s="144"/>
      <c r="R240" s="144"/>
      <c r="S240" s="144"/>
    </row>
    <row r="241" spans="1:19" ht="14.25" customHeight="1">
      <c r="A241" s="630"/>
      <c r="B241" s="631"/>
      <c r="C241" s="1127"/>
      <c r="D241" s="632"/>
      <c r="E241" s="1127"/>
      <c r="F241" s="633">
        <f t="shared" si="23"/>
        <v>0</v>
      </c>
      <c r="G241" s="632"/>
      <c r="H241" s="1127"/>
      <c r="I241" s="633">
        <f t="shared" si="24"/>
        <v>0</v>
      </c>
      <c r="J241" s="633">
        <f t="shared" si="25"/>
        <v>0</v>
      </c>
      <c r="K241" s="633">
        <f t="shared" si="26"/>
        <v>0</v>
      </c>
      <c r="L241" s="1127"/>
      <c r="M241" s="1127"/>
      <c r="N241" s="1691">
        <f t="shared" si="21"/>
        <v>0</v>
      </c>
      <c r="O241" s="634">
        <f t="shared" si="22"/>
        <v>0</v>
      </c>
      <c r="P241" s="144"/>
      <c r="Q241" s="144"/>
      <c r="R241" s="144"/>
      <c r="S241" s="144"/>
    </row>
    <row r="242" spans="1:19" ht="14.25" customHeight="1">
      <c r="A242" s="630"/>
      <c r="B242" s="631"/>
      <c r="C242" s="1127"/>
      <c r="D242" s="632"/>
      <c r="E242" s="1127"/>
      <c r="F242" s="633">
        <f t="shared" si="23"/>
        <v>0</v>
      </c>
      <c r="G242" s="632"/>
      <c r="H242" s="1127"/>
      <c r="I242" s="633">
        <f t="shared" si="24"/>
        <v>0</v>
      </c>
      <c r="J242" s="633">
        <f t="shared" si="25"/>
        <v>0</v>
      </c>
      <c r="K242" s="633">
        <f t="shared" si="26"/>
        <v>0</v>
      </c>
      <c r="L242" s="1127"/>
      <c r="M242" s="1127"/>
      <c r="N242" s="1691">
        <f t="shared" si="21"/>
        <v>0</v>
      </c>
      <c r="O242" s="634">
        <f t="shared" si="22"/>
        <v>0</v>
      </c>
      <c r="P242" s="144"/>
      <c r="Q242" s="144"/>
      <c r="R242" s="144"/>
      <c r="S242" s="144"/>
    </row>
    <row r="243" spans="1:19" ht="14.25" customHeight="1">
      <c r="A243" s="630"/>
      <c r="B243" s="631"/>
      <c r="C243" s="1127"/>
      <c r="D243" s="632"/>
      <c r="E243" s="1127"/>
      <c r="F243" s="633">
        <f t="shared" si="23"/>
        <v>0</v>
      </c>
      <c r="G243" s="632"/>
      <c r="H243" s="1127"/>
      <c r="I243" s="633">
        <f t="shared" si="24"/>
        <v>0</v>
      </c>
      <c r="J243" s="633">
        <f t="shared" si="25"/>
        <v>0</v>
      </c>
      <c r="K243" s="633">
        <f t="shared" si="26"/>
        <v>0</v>
      </c>
      <c r="L243" s="1127"/>
      <c r="M243" s="1127"/>
      <c r="N243" s="1691">
        <f t="shared" si="21"/>
        <v>0</v>
      </c>
      <c r="O243" s="634">
        <f t="shared" si="22"/>
        <v>0</v>
      </c>
      <c r="P243" s="144"/>
      <c r="Q243" s="144"/>
      <c r="R243" s="144"/>
      <c r="S243" s="144"/>
    </row>
    <row r="244" spans="1:19" ht="14.25" customHeight="1">
      <c r="A244" s="630"/>
      <c r="B244" s="631"/>
      <c r="C244" s="1127"/>
      <c r="D244" s="632"/>
      <c r="E244" s="1127"/>
      <c r="F244" s="633">
        <f t="shared" si="23"/>
        <v>0</v>
      </c>
      <c r="G244" s="632"/>
      <c r="H244" s="1127"/>
      <c r="I244" s="633">
        <f t="shared" si="24"/>
        <v>0</v>
      </c>
      <c r="J244" s="633">
        <f t="shared" si="25"/>
        <v>0</v>
      </c>
      <c r="K244" s="633">
        <f t="shared" si="26"/>
        <v>0</v>
      </c>
      <c r="L244" s="1127"/>
      <c r="M244" s="1127"/>
      <c r="N244" s="1691">
        <f t="shared" si="21"/>
        <v>0</v>
      </c>
      <c r="O244" s="634">
        <f t="shared" si="22"/>
        <v>0</v>
      </c>
      <c r="P244" s="144"/>
      <c r="Q244" s="144"/>
      <c r="R244" s="144"/>
      <c r="S244" s="144"/>
    </row>
    <row r="245" spans="1:19" ht="14.25" customHeight="1">
      <c r="A245" s="630"/>
      <c r="B245" s="631"/>
      <c r="C245" s="1127"/>
      <c r="D245" s="632"/>
      <c r="E245" s="1127"/>
      <c r="F245" s="633">
        <f t="shared" si="23"/>
        <v>0</v>
      </c>
      <c r="G245" s="632"/>
      <c r="H245" s="1127"/>
      <c r="I245" s="633">
        <f t="shared" si="24"/>
        <v>0</v>
      </c>
      <c r="J245" s="633">
        <f t="shared" si="25"/>
        <v>0</v>
      </c>
      <c r="K245" s="633">
        <f t="shared" si="26"/>
        <v>0</v>
      </c>
      <c r="L245" s="1127"/>
      <c r="M245" s="1127"/>
      <c r="N245" s="1691">
        <f t="shared" si="21"/>
        <v>0</v>
      </c>
      <c r="O245" s="634">
        <f t="shared" si="22"/>
        <v>0</v>
      </c>
      <c r="P245" s="144"/>
      <c r="Q245" s="144"/>
      <c r="R245" s="144"/>
      <c r="S245" s="144"/>
    </row>
    <row r="246" spans="1:19" ht="14.25" customHeight="1">
      <c r="A246" s="630"/>
      <c r="B246" s="631"/>
      <c r="C246" s="1127"/>
      <c r="D246" s="632"/>
      <c r="E246" s="1127"/>
      <c r="F246" s="633">
        <f t="shared" si="23"/>
        <v>0</v>
      </c>
      <c r="G246" s="632"/>
      <c r="H246" s="1127"/>
      <c r="I246" s="633">
        <f t="shared" si="24"/>
        <v>0</v>
      </c>
      <c r="J246" s="633">
        <f t="shared" si="25"/>
        <v>0</v>
      </c>
      <c r="K246" s="633">
        <f t="shared" si="26"/>
        <v>0</v>
      </c>
      <c r="L246" s="1127"/>
      <c r="M246" s="1127"/>
      <c r="N246" s="1691">
        <f t="shared" si="21"/>
        <v>0</v>
      </c>
      <c r="O246" s="634">
        <f t="shared" si="22"/>
        <v>0</v>
      </c>
      <c r="P246" s="144"/>
      <c r="Q246" s="144"/>
      <c r="R246" s="144"/>
      <c r="S246" s="144"/>
    </row>
    <row r="247" spans="1:19" ht="14.25" customHeight="1">
      <c r="A247" s="630"/>
      <c r="B247" s="631"/>
      <c r="C247" s="1127"/>
      <c r="D247" s="632"/>
      <c r="E247" s="1127"/>
      <c r="F247" s="633">
        <f t="shared" si="23"/>
        <v>0</v>
      </c>
      <c r="G247" s="632"/>
      <c r="H247" s="1127"/>
      <c r="I247" s="633">
        <f t="shared" si="24"/>
        <v>0</v>
      </c>
      <c r="J247" s="633">
        <f t="shared" si="25"/>
        <v>0</v>
      </c>
      <c r="K247" s="633">
        <f t="shared" si="26"/>
        <v>0</v>
      </c>
      <c r="L247" s="1127"/>
      <c r="M247" s="1127"/>
      <c r="N247" s="1691">
        <f t="shared" si="21"/>
        <v>0</v>
      </c>
      <c r="O247" s="634">
        <f t="shared" si="22"/>
        <v>0</v>
      </c>
      <c r="P247" s="144"/>
      <c r="Q247" s="144"/>
      <c r="R247" s="144"/>
      <c r="S247" s="144"/>
    </row>
    <row r="248" spans="1:19" ht="14.25" customHeight="1">
      <c r="A248" s="630"/>
      <c r="B248" s="631"/>
      <c r="C248" s="1127"/>
      <c r="D248" s="632"/>
      <c r="E248" s="1127"/>
      <c r="F248" s="633">
        <f t="shared" si="23"/>
        <v>0</v>
      </c>
      <c r="G248" s="632"/>
      <c r="H248" s="1127"/>
      <c r="I248" s="633">
        <f t="shared" si="24"/>
        <v>0</v>
      </c>
      <c r="J248" s="633">
        <f t="shared" si="25"/>
        <v>0</v>
      </c>
      <c r="K248" s="633">
        <f t="shared" si="26"/>
        <v>0</v>
      </c>
      <c r="L248" s="1127"/>
      <c r="M248" s="1127"/>
      <c r="N248" s="1691">
        <f t="shared" si="21"/>
        <v>0</v>
      </c>
      <c r="O248" s="634">
        <f t="shared" si="22"/>
        <v>0</v>
      </c>
      <c r="P248" s="144"/>
      <c r="Q248" s="144"/>
      <c r="R248" s="144"/>
      <c r="S248" s="144"/>
    </row>
    <row r="249" spans="1:19" ht="14.25" customHeight="1">
      <c r="A249" s="630"/>
      <c r="B249" s="631"/>
      <c r="C249" s="1127"/>
      <c r="D249" s="632"/>
      <c r="E249" s="1127"/>
      <c r="F249" s="633">
        <f t="shared" si="23"/>
        <v>0</v>
      </c>
      <c r="G249" s="632"/>
      <c r="H249" s="1127"/>
      <c r="I249" s="633">
        <f t="shared" si="24"/>
        <v>0</v>
      </c>
      <c r="J249" s="633">
        <f t="shared" si="25"/>
        <v>0</v>
      </c>
      <c r="K249" s="633">
        <f t="shared" si="26"/>
        <v>0</v>
      </c>
      <c r="L249" s="1127"/>
      <c r="M249" s="1127"/>
      <c r="N249" s="1691">
        <f t="shared" si="21"/>
        <v>0</v>
      </c>
      <c r="O249" s="634">
        <f t="shared" si="22"/>
        <v>0</v>
      </c>
      <c r="P249" s="144"/>
      <c r="Q249" s="144"/>
      <c r="R249" s="144"/>
      <c r="S249" s="144"/>
    </row>
    <row r="250" spans="1:19" ht="14.25" customHeight="1">
      <c r="A250" s="630"/>
      <c r="B250" s="631"/>
      <c r="C250" s="1127"/>
      <c r="D250" s="632"/>
      <c r="E250" s="1127"/>
      <c r="F250" s="633">
        <f t="shared" si="23"/>
        <v>0</v>
      </c>
      <c r="G250" s="632"/>
      <c r="H250" s="1127"/>
      <c r="I250" s="633">
        <f t="shared" si="24"/>
        <v>0</v>
      </c>
      <c r="J250" s="633">
        <f t="shared" si="25"/>
        <v>0</v>
      </c>
      <c r="K250" s="633">
        <f t="shared" si="26"/>
        <v>0</v>
      </c>
      <c r="L250" s="1127"/>
      <c r="M250" s="1127"/>
      <c r="N250" s="1691">
        <f t="shared" si="21"/>
        <v>0</v>
      </c>
      <c r="O250" s="634">
        <f t="shared" si="22"/>
        <v>0</v>
      </c>
      <c r="P250" s="144"/>
      <c r="Q250" s="144"/>
      <c r="R250" s="144"/>
      <c r="S250" s="144"/>
    </row>
    <row r="251" spans="1:19" ht="14.25" customHeight="1">
      <c r="A251" s="630"/>
      <c r="B251" s="631"/>
      <c r="C251" s="1127"/>
      <c r="D251" s="632"/>
      <c r="E251" s="1127"/>
      <c r="F251" s="633">
        <f t="shared" si="23"/>
        <v>0</v>
      </c>
      <c r="G251" s="632"/>
      <c r="H251" s="1127"/>
      <c r="I251" s="633">
        <f t="shared" si="24"/>
        <v>0</v>
      </c>
      <c r="J251" s="633">
        <f t="shared" si="25"/>
        <v>0</v>
      </c>
      <c r="K251" s="633">
        <f t="shared" si="26"/>
        <v>0</v>
      </c>
      <c r="L251" s="1127"/>
      <c r="M251" s="1127"/>
      <c r="N251" s="1691">
        <f t="shared" si="21"/>
        <v>0</v>
      </c>
      <c r="O251" s="634">
        <f t="shared" si="22"/>
        <v>0</v>
      </c>
      <c r="P251" s="144"/>
      <c r="Q251" s="144"/>
      <c r="R251" s="144"/>
      <c r="S251" s="144"/>
    </row>
    <row r="252" spans="1:19" ht="14.25" customHeight="1">
      <c r="A252" s="630"/>
      <c r="B252" s="631"/>
      <c r="C252" s="1127"/>
      <c r="D252" s="632"/>
      <c r="E252" s="1127"/>
      <c r="F252" s="633">
        <f t="shared" si="23"/>
        <v>0</v>
      </c>
      <c r="G252" s="632"/>
      <c r="H252" s="1127"/>
      <c r="I252" s="633">
        <f t="shared" si="24"/>
        <v>0</v>
      </c>
      <c r="J252" s="633">
        <f t="shared" si="25"/>
        <v>0</v>
      </c>
      <c r="K252" s="633">
        <f t="shared" si="26"/>
        <v>0</v>
      </c>
      <c r="L252" s="1127"/>
      <c r="M252" s="1127"/>
      <c r="N252" s="1691">
        <f t="shared" si="21"/>
        <v>0</v>
      </c>
      <c r="O252" s="634">
        <f t="shared" si="22"/>
        <v>0</v>
      </c>
      <c r="P252" s="144"/>
      <c r="Q252" s="144"/>
      <c r="R252" s="144"/>
      <c r="S252" s="144"/>
    </row>
    <row r="253" spans="1:19" ht="14.25" customHeight="1">
      <c r="A253" s="630"/>
      <c r="B253" s="631"/>
      <c r="C253" s="1127"/>
      <c r="D253" s="632"/>
      <c r="E253" s="1127"/>
      <c r="F253" s="633">
        <f t="shared" si="23"/>
        <v>0</v>
      </c>
      <c r="G253" s="632"/>
      <c r="H253" s="1127"/>
      <c r="I253" s="633">
        <f t="shared" si="24"/>
        <v>0</v>
      </c>
      <c r="J253" s="633">
        <f t="shared" si="25"/>
        <v>0</v>
      </c>
      <c r="K253" s="633">
        <f t="shared" si="26"/>
        <v>0</v>
      </c>
      <c r="L253" s="1127"/>
      <c r="M253" s="1127"/>
      <c r="N253" s="1691">
        <f t="shared" si="21"/>
        <v>0</v>
      </c>
      <c r="O253" s="634">
        <f t="shared" si="22"/>
        <v>0</v>
      </c>
      <c r="P253" s="144"/>
      <c r="Q253" s="144"/>
      <c r="R253" s="144"/>
      <c r="S253" s="144"/>
    </row>
    <row r="254" spans="1:19" ht="14.25" customHeight="1">
      <c r="A254" s="630"/>
      <c r="B254" s="631"/>
      <c r="C254" s="1127"/>
      <c r="D254" s="632"/>
      <c r="E254" s="1127"/>
      <c r="F254" s="633">
        <f t="shared" si="23"/>
        <v>0</v>
      </c>
      <c r="G254" s="632"/>
      <c r="H254" s="1127"/>
      <c r="I254" s="633">
        <f t="shared" si="24"/>
        <v>0</v>
      </c>
      <c r="J254" s="633">
        <f t="shared" si="25"/>
        <v>0</v>
      </c>
      <c r="K254" s="633">
        <f t="shared" si="26"/>
        <v>0</v>
      </c>
      <c r="L254" s="1127"/>
      <c r="M254" s="1127"/>
      <c r="N254" s="1691">
        <f t="shared" si="21"/>
        <v>0</v>
      </c>
      <c r="O254" s="634">
        <f t="shared" si="22"/>
        <v>0</v>
      </c>
      <c r="P254" s="144"/>
      <c r="Q254" s="144"/>
      <c r="R254" s="144"/>
      <c r="S254" s="144"/>
    </row>
    <row r="255" spans="1:19" ht="14.25" customHeight="1">
      <c r="A255" s="630"/>
      <c r="B255" s="631"/>
      <c r="C255" s="1127"/>
      <c r="D255" s="632"/>
      <c r="E255" s="1127"/>
      <c r="F255" s="633">
        <f t="shared" si="23"/>
        <v>0</v>
      </c>
      <c r="G255" s="632"/>
      <c r="H255" s="1127"/>
      <c r="I255" s="633">
        <f t="shared" si="24"/>
        <v>0</v>
      </c>
      <c r="J255" s="633">
        <f t="shared" si="25"/>
        <v>0</v>
      </c>
      <c r="K255" s="633">
        <f t="shared" si="26"/>
        <v>0</v>
      </c>
      <c r="L255" s="1127"/>
      <c r="M255" s="1127"/>
      <c r="N255" s="1691">
        <f t="shared" si="21"/>
        <v>0</v>
      </c>
      <c r="O255" s="634">
        <f t="shared" si="22"/>
        <v>0</v>
      </c>
      <c r="P255" s="144"/>
      <c r="Q255" s="144"/>
      <c r="R255" s="144"/>
      <c r="S255" s="144"/>
    </row>
    <row r="256" spans="1:19" ht="14.25" customHeight="1">
      <c r="A256" s="630"/>
      <c r="B256" s="631"/>
      <c r="C256" s="1127"/>
      <c r="D256" s="632"/>
      <c r="E256" s="1127"/>
      <c r="F256" s="633">
        <f t="shared" si="23"/>
        <v>0</v>
      </c>
      <c r="G256" s="632"/>
      <c r="H256" s="1127"/>
      <c r="I256" s="633">
        <f t="shared" si="24"/>
        <v>0</v>
      </c>
      <c r="J256" s="633">
        <f t="shared" si="25"/>
        <v>0</v>
      </c>
      <c r="K256" s="633">
        <f t="shared" si="26"/>
        <v>0</v>
      </c>
      <c r="L256" s="1127"/>
      <c r="M256" s="1127"/>
      <c r="N256" s="1691">
        <f t="shared" si="21"/>
        <v>0</v>
      </c>
      <c r="O256" s="634">
        <f t="shared" si="22"/>
        <v>0</v>
      </c>
      <c r="P256" s="144"/>
      <c r="Q256" s="144"/>
      <c r="R256" s="144"/>
      <c r="S256" s="144"/>
    </row>
    <row r="257" spans="1:19" ht="14.25" customHeight="1">
      <c r="A257" s="630"/>
      <c r="B257" s="631"/>
      <c r="C257" s="1127"/>
      <c r="D257" s="632"/>
      <c r="E257" s="1127"/>
      <c r="F257" s="633">
        <f t="shared" si="23"/>
        <v>0</v>
      </c>
      <c r="G257" s="632"/>
      <c r="H257" s="1127"/>
      <c r="I257" s="633">
        <f t="shared" si="24"/>
        <v>0</v>
      </c>
      <c r="J257" s="633">
        <f t="shared" si="25"/>
        <v>0</v>
      </c>
      <c r="K257" s="633">
        <f t="shared" si="26"/>
        <v>0</v>
      </c>
      <c r="L257" s="1127"/>
      <c r="M257" s="1127"/>
      <c r="N257" s="1691">
        <f t="shared" si="21"/>
        <v>0</v>
      </c>
      <c r="O257" s="634">
        <f t="shared" si="22"/>
        <v>0</v>
      </c>
      <c r="P257" s="144"/>
      <c r="Q257" s="144"/>
      <c r="R257" s="144"/>
      <c r="S257" s="144"/>
    </row>
    <row r="258" spans="1:19" ht="14.25" customHeight="1">
      <c r="A258" s="630"/>
      <c r="B258" s="631"/>
      <c r="C258" s="1127"/>
      <c r="D258" s="632"/>
      <c r="E258" s="1127"/>
      <c r="F258" s="633">
        <f t="shared" si="23"/>
        <v>0</v>
      </c>
      <c r="G258" s="632"/>
      <c r="H258" s="1127"/>
      <c r="I258" s="633">
        <f t="shared" si="24"/>
        <v>0</v>
      </c>
      <c r="J258" s="633">
        <f t="shared" si="25"/>
        <v>0</v>
      </c>
      <c r="K258" s="633">
        <f t="shared" si="26"/>
        <v>0</v>
      </c>
      <c r="L258" s="1127"/>
      <c r="M258" s="1127"/>
      <c r="N258" s="1691">
        <f t="shared" si="21"/>
        <v>0</v>
      </c>
      <c r="O258" s="634">
        <f t="shared" si="22"/>
        <v>0</v>
      </c>
      <c r="P258" s="144"/>
      <c r="Q258" s="144"/>
      <c r="R258" s="144"/>
      <c r="S258" s="144"/>
    </row>
    <row r="259" spans="1:19" ht="14.25" customHeight="1">
      <c r="A259" s="630"/>
      <c r="B259" s="631"/>
      <c r="C259" s="1127"/>
      <c r="D259" s="632"/>
      <c r="E259" s="1127"/>
      <c r="F259" s="633">
        <f t="shared" si="23"/>
        <v>0</v>
      </c>
      <c r="G259" s="632"/>
      <c r="H259" s="1127"/>
      <c r="I259" s="633">
        <f t="shared" si="24"/>
        <v>0</v>
      </c>
      <c r="J259" s="633">
        <f t="shared" si="25"/>
        <v>0</v>
      </c>
      <c r="K259" s="633">
        <f t="shared" si="26"/>
        <v>0</v>
      </c>
      <c r="L259" s="1127"/>
      <c r="M259" s="1127"/>
      <c r="N259" s="1691">
        <f t="shared" si="21"/>
        <v>0</v>
      </c>
      <c r="O259" s="634">
        <f t="shared" si="22"/>
        <v>0</v>
      </c>
      <c r="P259" s="144"/>
      <c r="Q259" s="144"/>
      <c r="R259" s="144"/>
      <c r="S259" s="144"/>
    </row>
    <row r="260" spans="1:19" ht="14.25" customHeight="1">
      <c r="A260" s="630"/>
      <c r="B260" s="631"/>
      <c r="C260" s="1127"/>
      <c r="D260" s="632"/>
      <c r="E260" s="1127"/>
      <c r="F260" s="633">
        <f t="shared" si="23"/>
        <v>0</v>
      </c>
      <c r="G260" s="632"/>
      <c r="H260" s="1127"/>
      <c r="I260" s="633">
        <f t="shared" si="24"/>
        <v>0</v>
      </c>
      <c r="J260" s="633">
        <f t="shared" si="25"/>
        <v>0</v>
      </c>
      <c r="K260" s="633">
        <f t="shared" si="26"/>
        <v>0</v>
      </c>
      <c r="L260" s="1127"/>
      <c r="M260" s="1127"/>
      <c r="N260" s="1691">
        <f t="shared" si="21"/>
        <v>0</v>
      </c>
      <c r="O260" s="634">
        <f t="shared" si="22"/>
        <v>0</v>
      </c>
      <c r="P260" s="144"/>
      <c r="Q260" s="144"/>
      <c r="R260" s="144"/>
      <c r="S260" s="144"/>
    </row>
    <row r="261" spans="1:19" ht="14.25" customHeight="1">
      <c r="A261" s="630"/>
      <c r="B261" s="631"/>
      <c r="C261" s="1127"/>
      <c r="D261" s="632"/>
      <c r="E261" s="1127"/>
      <c r="F261" s="633">
        <f t="shared" si="23"/>
        <v>0</v>
      </c>
      <c r="G261" s="632"/>
      <c r="H261" s="1127"/>
      <c r="I261" s="633">
        <f t="shared" si="24"/>
        <v>0</v>
      </c>
      <c r="J261" s="633">
        <f t="shared" si="25"/>
        <v>0</v>
      </c>
      <c r="K261" s="633">
        <f t="shared" si="26"/>
        <v>0</v>
      </c>
      <c r="L261" s="1127"/>
      <c r="M261" s="1127"/>
      <c r="N261" s="1691">
        <f t="shared" si="21"/>
        <v>0</v>
      </c>
      <c r="O261" s="634">
        <f t="shared" si="22"/>
        <v>0</v>
      </c>
      <c r="P261" s="144"/>
      <c r="Q261" s="144"/>
      <c r="R261" s="144"/>
      <c r="S261" s="144"/>
    </row>
    <row r="262" spans="1:19" ht="14.25" customHeight="1">
      <c r="A262" s="630"/>
      <c r="B262" s="631"/>
      <c r="C262" s="1127"/>
      <c r="D262" s="632"/>
      <c r="E262" s="1127"/>
      <c r="F262" s="633">
        <f t="shared" si="23"/>
        <v>0</v>
      </c>
      <c r="G262" s="632"/>
      <c r="H262" s="1127"/>
      <c r="I262" s="633">
        <f t="shared" si="24"/>
        <v>0</v>
      </c>
      <c r="J262" s="633">
        <f t="shared" si="25"/>
        <v>0</v>
      </c>
      <c r="K262" s="633">
        <f t="shared" si="26"/>
        <v>0</v>
      </c>
      <c r="L262" s="1127"/>
      <c r="M262" s="1127"/>
      <c r="N262" s="1691">
        <f t="shared" si="21"/>
        <v>0</v>
      </c>
      <c r="O262" s="634">
        <f t="shared" si="22"/>
        <v>0</v>
      </c>
      <c r="P262" s="144"/>
      <c r="Q262" s="144"/>
      <c r="R262" s="144"/>
      <c r="S262" s="144"/>
    </row>
    <row r="263" spans="1:19" ht="14.25" customHeight="1">
      <c r="A263" s="630"/>
      <c r="B263" s="631"/>
      <c r="C263" s="1127"/>
      <c r="D263" s="632"/>
      <c r="E263" s="1127"/>
      <c r="F263" s="633">
        <f t="shared" si="23"/>
        <v>0</v>
      </c>
      <c r="G263" s="632"/>
      <c r="H263" s="1127"/>
      <c r="I263" s="633">
        <f t="shared" si="24"/>
        <v>0</v>
      </c>
      <c r="J263" s="633">
        <f t="shared" si="25"/>
        <v>0</v>
      </c>
      <c r="K263" s="633">
        <f t="shared" si="26"/>
        <v>0</v>
      </c>
      <c r="L263" s="1127"/>
      <c r="M263" s="1127"/>
      <c r="N263" s="1691">
        <f t="shared" si="21"/>
        <v>0</v>
      </c>
      <c r="O263" s="634">
        <f t="shared" si="22"/>
        <v>0</v>
      </c>
      <c r="P263" s="144"/>
      <c r="Q263" s="144"/>
      <c r="R263" s="144"/>
      <c r="S263" s="144"/>
    </row>
    <row r="264" spans="1:19" ht="14.25" customHeight="1">
      <c r="A264" s="630"/>
      <c r="B264" s="631"/>
      <c r="C264" s="1127"/>
      <c r="D264" s="632"/>
      <c r="E264" s="1127"/>
      <c r="F264" s="633">
        <f t="shared" si="23"/>
        <v>0</v>
      </c>
      <c r="G264" s="632"/>
      <c r="H264" s="1127"/>
      <c r="I264" s="633">
        <f t="shared" si="24"/>
        <v>0</v>
      </c>
      <c r="J264" s="633">
        <f t="shared" si="25"/>
        <v>0</v>
      </c>
      <c r="K264" s="633">
        <f t="shared" si="26"/>
        <v>0</v>
      </c>
      <c r="L264" s="1127"/>
      <c r="M264" s="1127"/>
      <c r="N264" s="1691">
        <f t="shared" si="21"/>
        <v>0</v>
      </c>
      <c r="O264" s="634">
        <f t="shared" si="22"/>
        <v>0</v>
      </c>
      <c r="P264" s="144"/>
      <c r="Q264" s="144"/>
      <c r="R264" s="144"/>
      <c r="S264" s="144"/>
    </row>
    <row r="265" spans="1:19" ht="14.25" customHeight="1">
      <c r="A265" s="630"/>
      <c r="B265" s="631"/>
      <c r="C265" s="1127"/>
      <c r="D265" s="632"/>
      <c r="E265" s="1127"/>
      <c r="F265" s="633">
        <f t="shared" si="23"/>
        <v>0</v>
      </c>
      <c r="G265" s="632"/>
      <c r="H265" s="1127"/>
      <c r="I265" s="633">
        <f t="shared" si="24"/>
        <v>0</v>
      </c>
      <c r="J265" s="633">
        <f t="shared" si="25"/>
        <v>0</v>
      </c>
      <c r="K265" s="633">
        <f t="shared" si="26"/>
        <v>0</v>
      </c>
      <c r="L265" s="1127"/>
      <c r="M265" s="1127"/>
      <c r="N265" s="1691">
        <f t="shared" si="21"/>
        <v>0</v>
      </c>
      <c r="O265" s="634">
        <f t="shared" si="22"/>
        <v>0</v>
      </c>
      <c r="P265" s="144"/>
      <c r="Q265" s="144"/>
      <c r="R265" s="144"/>
      <c r="S265" s="144"/>
    </row>
    <row r="266" spans="1:19" ht="14.25" customHeight="1">
      <c r="A266" s="630"/>
      <c r="B266" s="631"/>
      <c r="C266" s="1127"/>
      <c r="D266" s="632"/>
      <c r="E266" s="1127"/>
      <c r="F266" s="633">
        <f t="shared" si="23"/>
        <v>0</v>
      </c>
      <c r="G266" s="632"/>
      <c r="H266" s="1127"/>
      <c r="I266" s="633">
        <f t="shared" si="24"/>
        <v>0</v>
      </c>
      <c r="J266" s="633">
        <f t="shared" si="25"/>
        <v>0</v>
      </c>
      <c r="K266" s="633">
        <f t="shared" si="26"/>
        <v>0</v>
      </c>
      <c r="L266" s="1127"/>
      <c r="M266" s="1127"/>
      <c r="N266" s="1691">
        <f t="shared" ref="N266:N329" si="27">IF(M266&lt;&gt;0,ROUND(B266*K266,2)+M266,IF(ABS(ROUND(K266*B266,2)-L266)&lt;3,L266,MIN(ROUND(K266*B266,2),L266)))</f>
        <v>0</v>
      </c>
      <c r="O266" s="634">
        <f t="shared" ref="O266:O329" si="28">IF(ISERROR(L266-N266),"",IF(ABS(L266-N266)&lt;3,0,L266-N266))</f>
        <v>0</v>
      </c>
      <c r="P266" s="144"/>
      <c r="Q266" s="144"/>
      <c r="R266" s="144"/>
      <c r="S266" s="144"/>
    </row>
    <row r="267" spans="1:19" ht="14.25" customHeight="1">
      <c r="A267" s="630"/>
      <c r="B267" s="631"/>
      <c r="C267" s="1127"/>
      <c r="D267" s="632"/>
      <c r="E267" s="1127"/>
      <c r="F267" s="633">
        <f t="shared" ref="F267:F330" si="29">E267*(12-MONTH(D267))/12</f>
        <v>0</v>
      </c>
      <c r="G267" s="632"/>
      <c r="H267" s="1127"/>
      <c r="I267" s="633">
        <f t="shared" ref="I267:I330" si="30">H267*(12-MONTH(G267))/12</f>
        <v>0</v>
      </c>
      <c r="J267" s="633">
        <f t="shared" ref="J267:J330" si="31">C267+E267-H267</f>
        <v>0</v>
      </c>
      <c r="K267" s="633">
        <f t="shared" ref="K267:K330" si="32">C267+F267-I267</f>
        <v>0</v>
      </c>
      <c r="L267" s="1127"/>
      <c r="M267" s="1127"/>
      <c r="N267" s="1691">
        <f t="shared" si="27"/>
        <v>0</v>
      </c>
      <c r="O267" s="634">
        <f t="shared" si="28"/>
        <v>0</v>
      </c>
      <c r="P267" s="144"/>
      <c r="Q267" s="144"/>
      <c r="R267" s="144"/>
      <c r="S267" s="144"/>
    </row>
    <row r="268" spans="1:19" ht="14.25" customHeight="1">
      <c r="A268" s="630"/>
      <c r="B268" s="631"/>
      <c r="C268" s="1127"/>
      <c r="D268" s="632"/>
      <c r="E268" s="1127"/>
      <c r="F268" s="633">
        <f t="shared" si="29"/>
        <v>0</v>
      </c>
      <c r="G268" s="632"/>
      <c r="H268" s="1127"/>
      <c r="I268" s="633">
        <f t="shared" si="30"/>
        <v>0</v>
      </c>
      <c r="J268" s="633">
        <f t="shared" si="31"/>
        <v>0</v>
      </c>
      <c r="K268" s="633">
        <f t="shared" si="32"/>
        <v>0</v>
      </c>
      <c r="L268" s="1127"/>
      <c r="M268" s="1127"/>
      <c r="N268" s="1691">
        <f t="shared" si="27"/>
        <v>0</v>
      </c>
      <c r="O268" s="634">
        <f t="shared" si="28"/>
        <v>0</v>
      </c>
      <c r="P268" s="144"/>
      <c r="Q268" s="144"/>
      <c r="R268" s="144"/>
      <c r="S268" s="144"/>
    </row>
    <row r="269" spans="1:19" ht="14.25" customHeight="1">
      <c r="A269" s="630"/>
      <c r="B269" s="631"/>
      <c r="C269" s="1127"/>
      <c r="D269" s="632"/>
      <c r="E269" s="1127"/>
      <c r="F269" s="633">
        <f t="shared" si="29"/>
        <v>0</v>
      </c>
      <c r="G269" s="632"/>
      <c r="H269" s="1127"/>
      <c r="I269" s="633">
        <f t="shared" si="30"/>
        <v>0</v>
      </c>
      <c r="J269" s="633">
        <f t="shared" si="31"/>
        <v>0</v>
      </c>
      <c r="K269" s="633">
        <f t="shared" si="32"/>
        <v>0</v>
      </c>
      <c r="L269" s="1127"/>
      <c r="M269" s="1127"/>
      <c r="N269" s="1691">
        <f t="shared" si="27"/>
        <v>0</v>
      </c>
      <c r="O269" s="634">
        <f t="shared" si="28"/>
        <v>0</v>
      </c>
      <c r="P269" s="144"/>
      <c r="Q269" s="144"/>
      <c r="R269" s="144"/>
      <c r="S269" s="144"/>
    </row>
    <row r="270" spans="1:19" ht="14.25" customHeight="1">
      <c r="A270" s="630"/>
      <c r="B270" s="631"/>
      <c r="C270" s="1127"/>
      <c r="D270" s="632"/>
      <c r="E270" s="1127"/>
      <c r="F270" s="633">
        <f t="shared" si="29"/>
        <v>0</v>
      </c>
      <c r="G270" s="632"/>
      <c r="H270" s="1127"/>
      <c r="I270" s="633">
        <f t="shared" si="30"/>
        <v>0</v>
      </c>
      <c r="J270" s="633">
        <f t="shared" si="31"/>
        <v>0</v>
      </c>
      <c r="K270" s="633">
        <f t="shared" si="32"/>
        <v>0</v>
      </c>
      <c r="L270" s="1127"/>
      <c r="M270" s="1127"/>
      <c r="N270" s="1691">
        <f t="shared" si="27"/>
        <v>0</v>
      </c>
      <c r="O270" s="634">
        <f t="shared" si="28"/>
        <v>0</v>
      </c>
      <c r="P270" s="144"/>
      <c r="Q270" s="144"/>
      <c r="R270" s="144"/>
      <c r="S270" s="144"/>
    </row>
    <row r="271" spans="1:19" ht="14.25" customHeight="1">
      <c r="A271" s="630"/>
      <c r="B271" s="631"/>
      <c r="C271" s="1127"/>
      <c r="D271" s="632"/>
      <c r="E271" s="1127"/>
      <c r="F271" s="633">
        <f t="shared" si="29"/>
        <v>0</v>
      </c>
      <c r="G271" s="632"/>
      <c r="H271" s="1127"/>
      <c r="I271" s="633">
        <f t="shared" si="30"/>
        <v>0</v>
      </c>
      <c r="J271" s="633">
        <f t="shared" si="31"/>
        <v>0</v>
      </c>
      <c r="K271" s="633">
        <f t="shared" si="32"/>
        <v>0</v>
      </c>
      <c r="L271" s="1127"/>
      <c r="M271" s="1127"/>
      <c r="N271" s="1691">
        <f t="shared" si="27"/>
        <v>0</v>
      </c>
      <c r="O271" s="634">
        <f t="shared" si="28"/>
        <v>0</v>
      </c>
      <c r="P271" s="144"/>
      <c r="Q271" s="144"/>
      <c r="R271" s="144"/>
      <c r="S271" s="144"/>
    </row>
    <row r="272" spans="1:19" ht="14.25" customHeight="1">
      <c r="A272" s="630"/>
      <c r="B272" s="631"/>
      <c r="C272" s="1127"/>
      <c r="D272" s="632"/>
      <c r="E272" s="1127"/>
      <c r="F272" s="633">
        <f t="shared" si="29"/>
        <v>0</v>
      </c>
      <c r="G272" s="632"/>
      <c r="H272" s="1127"/>
      <c r="I272" s="633">
        <f t="shared" si="30"/>
        <v>0</v>
      </c>
      <c r="J272" s="633">
        <f t="shared" si="31"/>
        <v>0</v>
      </c>
      <c r="K272" s="633">
        <f t="shared" si="32"/>
        <v>0</v>
      </c>
      <c r="L272" s="1127"/>
      <c r="M272" s="1127"/>
      <c r="N272" s="1691">
        <f t="shared" si="27"/>
        <v>0</v>
      </c>
      <c r="O272" s="634">
        <f t="shared" si="28"/>
        <v>0</v>
      </c>
      <c r="P272" s="144"/>
      <c r="Q272" s="144"/>
      <c r="R272" s="144"/>
      <c r="S272" s="144"/>
    </row>
    <row r="273" spans="1:19" ht="14.25" customHeight="1">
      <c r="A273" s="630"/>
      <c r="B273" s="631"/>
      <c r="C273" s="1127"/>
      <c r="D273" s="632"/>
      <c r="E273" s="1127"/>
      <c r="F273" s="633">
        <f t="shared" si="29"/>
        <v>0</v>
      </c>
      <c r="G273" s="632"/>
      <c r="H273" s="1127"/>
      <c r="I273" s="633">
        <f t="shared" si="30"/>
        <v>0</v>
      </c>
      <c r="J273" s="633">
        <f t="shared" si="31"/>
        <v>0</v>
      </c>
      <c r="K273" s="633">
        <f t="shared" si="32"/>
        <v>0</v>
      </c>
      <c r="L273" s="1127"/>
      <c r="M273" s="1127"/>
      <c r="N273" s="1691">
        <f t="shared" si="27"/>
        <v>0</v>
      </c>
      <c r="O273" s="634">
        <f t="shared" si="28"/>
        <v>0</v>
      </c>
      <c r="P273" s="144"/>
      <c r="Q273" s="144"/>
      <c r="R273" s="144"/>
      <c r="S273" s="144"/>
    </row>
    <row r="274" spans="1:19" ht="14.25" customHeight="1">
      <c r="A274" s="630"/>
      <c r="B274" s="631"/>
      <c r="C274" s="1127"/>
      <c r="D274" s="632"/>
      <c r="E274" s="1127"/>
      <c r="F274" s="633">
        <f t="shared" si="29"/>
        <v>0</v>
      </c>
      <c r="G274" s="632"/>
      <c r="H274" s="1127"/>
      <c r="I274" s="633">
        <f t="shared" si="30"/>
        <v>0</v>
      </c>
      <c r="J274" s="633">
        <f t="shared" si="31"/>
        <v>0</v>
      </c>
      <c r="K274" s="633">
        <f t="shared" si="32"/>
        <v>0</v>
      </c>
      <c r="L274" s="1127"/>
      <c r="M274" s="1127"/>
      <c r="N274" s="1691">
        <f t="shared" si="27"/>
        <v>0</v>
      </c>
      <c r="O274" s="634">
        <f t="shared" si="28"/>
        <v>0</v>
      </c>
      <c r="P274" s="144"/>
      <c r="Q274" s="144"/>
      <c r="R274" s="144"/>
      <c r="S274" s="144"/>
    </row>
    <row r="275" spans="1:19" ht="14.25" customHeight="1">
      <c r="A275" s="630"/>
      <c r="B275" s="631"/>
      <c r="C275" s="1127"/>
      <c r="D275" s="632"/>
      <c r="E275" s="1127"/>
      <c r="F275" s="633">
        <f t="shared" si="29"/>
        <v>0</v>
      </c>
      <c r="G275" s="632"/>
      <c r="H275" s="1127"/>
      <c r="I275" s="633">
        <f t="shared" si="30"/>
        <v>0</v>
      </c>
      <c r="J275" s="633">
        <f t="shared" si="31"/>
        <v>0</v>
      </c>
      <c r="K275" s="633">
        <f t="shared" si="32"/>
        <v>0</v>
      </c>
      <c r="L275" s="1127"/>
      <c r="M275" s="1127"/>
      <c r="N275" s="1691">
        <f t="shared" si="27"/>
        <v>0</v>
      </c>
      <c r="O275" s="634">
        <f t="shared" si="28"/>
        <v>0</v>
      </c>
      <c r="P275" s="144"/>
      <c r="Q275" s="144"/>
      <c r="R275" s="144"/>
      <c r="S275" s="144"/>
    </row>
    <row r="276" spans="1:19" ht="14.25" customHeight="1">
      <c r="A276" s="630"/>
      <c r="B276" s="631"/>
      <c r="C276" s="1127"/>
      <c r="D276" s="632"/>
      <c r="E276" s="1127"/>
      <c r="F276" s="633">
        <f t="shared" si="29"/>
        <v>0</v>
      </c>
      <c r="G276" s="632"/>
      <c r="H276" s="1127"/>
      <c r="I276" s="633">
        <f t="shared" si="30"/>
        <v>0</v>
      </c>
      <c r="J276" s="633">
        <f t="shared" si="31"/>
        <v>0</v>
      </c>
      <c r="K276" s="633">
        <f t="shared" si="32"/>
        <v>0</v>
      </c>
      <c r="L276" s="1127"/>
      <c r="M276" s="1127"/>
      <c r="N276" s="1691">
        <f t="shared" si="27"/>
        <v>0</v>
      </c>
      <c r="O276" s="634">
        <f t="shared" si="28"/>
        <v>0</v>
      </c>
      <c r="P276" s="144"/>
      <c r="Q276" s="144"/>
      <c r="R276" s="144"/>
      <c r="S276" s="144"/>
    </row>
    <row r="277" spans="1:19" ht="14.25" customHeight="1">
      <c r="A277" s="630"/>
      <c r="B277" s="631"/>
      <c r="C277" s="1127"/>
      <c r="D277" s="632"/>
      <c r="E277" s="1127"/>
      <c r="F277" s="633">
        <f t="shared" si="29"/>
        <v>0</v>
      </c>
      <c r="G277" s="632"/>
      <c r="H277" s="1127"/>
      <c r="I277" s="633">
        <f t="shared" si="30"/>
        <v>0</v>
      </c>
      <c r="J277" s="633">
        <f t="shared" si="31"/>
        <v>0</v>
      </c>
      <c r="K277" s="633">
        <f t="shared" si="32"/>
        <v>0</v>
      </c>
      <c r="L277" s="1127"/>
      <c r="M277" s="1127"/>
      <c r="N277" s="1691">
        <f t="shared" si="27"/>
        <v>0</v>
      </c>
      <c r="O277" s="634">
        <f t="shared" si="28"/>
        <v>0</v>
      </c>
      <c r="P277" s="144"/>
      <c r="Q277" s="144"/>
      <c r="R277" s="144"/>
      <c r="S277" s="144"/>
    </row>
    <row r="278" spans="1:19" ht="14.25" customHeight="1">
      <c r="A278" s="630"/>
      <c r="B278" s="631"/>
      <c r="C278" s="1127"/>
      <c r="D278" s="632"/>
      <c r="E278" s="1127"/>
      <c r="F278" s="633">
        <f t="shared" si="29"/>
        <v>0</v>
      </c>
      <c r="G278" s="632"/>
      <c r="H278" s="1127"/>
      <c r="I278" s="633">
        <f t="shared" si="30"/>
        <v>0</v>
      </c>
      <c r="J278" s="633">
        <f t="shared" si="31"/>
        <v>0</v>
      </c>
      <c r="K278" s="633">
        <f t="shared" si="32"/>
        <v>0</v>
      </c>
      <c r="L278" s="1127"/>
      <c r="M278" s="1127"/>
      <c r="N278" s="1691">
        <f t="shared" si="27"/>
        <v>0</v>
      </c>
      <c r="O278" s="634">
        <f t="shared" si="28"/>
        <v>0</v>
      </c>
      <c r="P278" s="144"/>
      <c r="Q278" s="144"/>
      <c r="R278" s="144"/>
      <c r="S278" s="144"/>
    </row>
    <row r="279" spans="1:19" ht="14.25" customHeight="1">
      <c r="A279" s="630"/>
      <c r="B279" s="631"/>
      <c r="C279" s="1127"/>
      <c r="D279" s="632"/>
      <c r="E279" s="1127"/>
      <c r="F279" s="633">
        <f t="shared" si="29"/>
        <v>0</v>
      </c>
      <c r="G279" s="632"/>
      <c r="H279" s="1127"/>
      <c r="I279" s="633">
        <f t="shared" si="30"/>
        <v>0</v>
      </c>
      <c r="J279" s="633">
        <f t="shared" si="31"/>
        <v>0</v>
      </c>
      <c r="K279" s="633">
        <f t="shared" si="32"/>
        <v>0</v>
      </c>
      <c r="L279" s="1127"/>
      <c r="M279" s="1127"/>
      <c r="N279" s="1691">
        <f t="shared" si="27"/>
        <v>0</v>
      </c>
      <c r="O279" s="634">
        <f t="shared" si="28"/>
        <v>0</v>
      </c>
      <c r="P279" s="144"/>
      <c r="Q279" s="144"/>
      <c r="R279" s="144"/>
      <c r="S279" s="144"/>
    </row>
    <row r="280" spans="1:19" ht="14.25" customHeight="1">
      <c r="A280" s="630"/>
      <c r="B280" s="631"/>
      <c r="C280" s="1127"/>
      <c r="D280" s="632"/>
      <c r="E280" s="1127"/>
      <c r="F280" s="633">
        <f t="shared" si="29"/>
        <v>0</v>
      </c>
      <c r="G280" s="632"/>
      <c r="H280" s="1127"/>
      <c r="I280" s="633">
        <f t="shared" si="30"/>
        <v>0</v>
      </c>
      <c r="J280" s="633">
        <f t="shared" si="31"/>
        <v>0</v>
      </c>
      <c r="K280" s="633">
        <f t="shared" si="32"/>
        <v>0</v>
      </c>
      <c r="L280" s="1127"/>
      <c r="M280" s="1127"/>
      <c r="N280" s="1691">
        <f t="shared" si="27"/>
        <v>0</v>
      </c>
      <c r="O280" s="634">
        <f t="shared" si="28"/>
        <v>0</v>
      </c>
      <c r="P280" s="144"/>
      <c r="Q280" s="144"/>
      <c r="R280" s="144"/>
      <c r="S280" s="144"/>
    </row>
    <row r="281" spans="1:19" ht="14.25" customHeight="1">
      <c r="A281" s="630"/>
      <c r="B281" s="631"/>
      <c r="C281" s="1127"/>
      <c r="D281" s="632"/>
      <c r="E281" s="1127"/>
      <c r="F281" s="633">
        <f t="shared" si="29"/>
        <v>0</v>
      </c>
      <c r="G281" s="632"/>
      <c r="H281" s="1127"/>
      <c r="I281" s="633">
        <f t="shared" si="30"/>
        <v>0</v>
      </c>
      <c r="J281" s="633">
        <f t="shared" si="31"/>
        <v>0</v>
      </c>
      <c r="K281" s="633">
        <f t="shared" si="32"/>
        <v>0</v>
      </c>
      <c r="L281" s="1127"/>
      <c r="M281" s="1127"/>
      <c r="N281" s="1691">
        <f t="shared" si="27"/>
        <v>0</v>
      </c>
      <c r="O281" s="634">
        <f t="shared" si="28"/>
        <v>0</v>
      </c>
      <c r="P281" s="144"/>
      <c r="Q281" s="144"/>
      <c r="R281" s="144"/>
      <c r="S281" s="144"/>
    </row>
    <row r="282" spans="1:19" ht="14.25" customHeight="1">
      <c r="A282" s="630"/>
      <c r="B282" s="631"/>
      <c r="C282" s="1127"/>
      <c r="D282" s="632"/>
      <c r="E282" s="1127"/>
      <c r="F282" s="633">
        <f t="shared" si="29"/>
        <v>0</v>
      </c>
      <c r="G282" s="632"/>
      <c r="H282" s="1127"/>
      <c r="I282" s="633">
        <f t="shared" si="30"/>
        <v>0</v>
      </c>
      <c r="J282" s="633">
        <f t="shared" si="31"/>
        <v>0</v>
      </c>
      <c r="K282" s="633">
        <f t="shared" si="32"/>
        <v>0</v>
      </c>
      <c r="L282" s="1127"/>
      <c r="M282" s="1127"/>
      <c r="N282" s="1691">
        <f t="shared" si="27"/>
        <v>0</v>
      </c>
      <c r="O282" s="634">
        <f t="shared" si="28"/>
        <v>0</v>
      </c>
      <c r="P282" s="144"/>
      <c r="Q282" s="144"/>
      <c r="R282" s="144"/>
      <c r="S282" s="144"/>
    </row>
    <row r="283" spans="1:19" ht="14.25" customHeight="1">
      <c r="A283" s="630"/>
      <c r="B283" s="631"/>
      <c r="C283" s="1127"/>
      <c r="D283" s="632"/>
      <c r="E283" s="1127"/>
      <c r="F283" s="633">
        <f t="shared" si="29"/>
        <v>0</v>
      </c>
      <c r="G283" s="632"/>
      <c r="H283" s="1127"/>
      <c r="I283" s="633">
        <f t="shared" si="30"/>
        <v>0</v>
      </c>
      <c r="J283" s="633">
        <f t="shared" si="31"/>
        <v>0</v>
      </c>
      <c r="K283" s="633">
        <f t="shared" si="32"/>
        <v>0</v>
      </c>
      <c r="L283" s="1127"/>
      <c r="M283" s="1127"/>
      <c r="N283" s="1691">
        <f t="shared" si="27"/>
        <v>0</v>
      </c>
      <c r="O283" s="634">
        <f t="shared" si="28"/>
        <v>0</v>
      </c>
      <c r="P283" s="144"/>
      <c r="Q283" s="144"/>
      <c r="R283" s="144"/>
      <c r="S283" s="144"/>
    </row>
    <row r="284" spans="1:19" ht="14.25" customHeight="1">
      <c r="A284" s="630"/>
      <c r="B284" s="631"/>
      <c r="C284" s="1127"/>
      <c r="D284" s="632"/>
      <c r="E284" s="1127"/>
      <c r="F284" s="633">
        <f t="shared" si="29"/>
        <v>0</v>
      </c>
      <c r="G284" s="632"/>
      <c r="H284" s="1127"/>
      <c r="I284" s="633">
        <f t="shared" si="30"/>
        <v>0</v>
      </c>
      <c r="J284" s="633">
        <f t="shared" si="31"/>
        <v>0</v>
      </c>
      <c r="K284" s="633">
        <f t="shared" si="32"/>
        <v>0</v>
      </c>
      <c r="L284" s="1127"/>
      <c r="M284" s="1127"/>
      <c r="N284" s="1691">
        <f t="shared" si="27"/>
        <v>0</v>
      </c>
      <c r="O284" s="634">
        <f t="shared" si="28"/>
        <v>0</v>
      </c>
      <c r="P284" s="144"/>
      <c r="Q284" s="144"/>
      <c r="R284" s="144"/>
      <c r="S284" s="144"/>
    </row>
    <row r="285" spans="1:19" ht="14.25" customHeight="1">
      <c r="A285" s="630"/>
      <c r="B285" s="631"/>
      <c r="C285" s="1127"/>
      <c r="D285" s="632"/>
      <c r="E285" s="1127"/>
      <c r="F285" s="633">
        <f t="shared" si="29"/>
        <v>0</v>
      </c>
      <c r="G285" s="632"/>
      <c r="H285" s="1127"/>
      <c r="I285" s="633">
        <f t="shared" si="30"/>
        <v>0</v>
      </c>
      <c r="J285" s="633">
        <f t="shared" si="31"/>
        <v>0</v>
      </c>
      <c r="K285" s="633">
        <f t="shared" si="32"/>
        <v>0</v>
      </c>
      <c r="L285" s="1127"/>
      <c r="M285" s="1127"/>
      <c r="N285" s="1691">
        <f t="shared" si="27"/>
        <v>0</v>
      </c>
      <c r="O285" s="634">
        <f t="shared" si="28"/>
        <v>0</v>
      </c>
      <c r="P285" s="144"/>
      <c r="Q285" s="144"/>
      <c r="R285" s="144"/>
      <c r="S285" s="144"/>
    </row>
    <row r="286" spans="1:19" ht="14.25" customHeight="1">
      <c r="A286" s="630"/>
      <c r="B286" s="631"/>
      <c r="C286" s="1127"/>
      <c r="D286" s="632"/>
      <c r="E286" s="1127"/>
      <c r="F286" s="633">
        <f t="shared" si="29"/>
        <v>0</v>
      </c>
      <c r="G286" s="632"/>
      <c r="H286" s="1127"/>
      <c r="I286" s="633">
        <f t="shared" si="30"/>
        <v>0</v>
      </c>
      <c r="J286" s="633">
        <f t="shared" si="31"/>
        <v>0</v>
      </c>
      <c r="K286" s="633">
        <f t="shared" si="32"/>
        <v>0</v>
      </c>
      <c r="L286" s="1127"/>
      <c r="M286" s="1127"/>
      <c r="N286" s="1691">
        <f t="shared" si="27"/>
        <v>0</v>
      </c>
      <c r="O286" s="634">
        <f t="shared" si="28"/>
        <v>0</v>
      </c>
      <c r="P286" s="144"/>
      <c r="Q286" s="144"/>
      <c r="R286" s="144"/>
      <c r="S286" s="144"/>
    </row>
    <row r="287" spans="1:19" ht="14.25" customHeight="1">
      <c r="A287" s="630"/>
      <c r="B287" s="631"/>
      <c r="C287" s="1127"/>
      <c r="D287" s="632"/>
      <c r="E287" s="1127"/>
      <c r="F287" s="633">
        <f t="shared" si="29"/>
        <v>0</v>
      </c>
      <c r="G287" s="632"/>
      <c r="H287" s="1127"/>
      <c r="I287" s="633">
        <f t="shared" si="30"/>
        <v>0</v>
      </c>
      <c r="J287" s="633">
        <f t="shared" si="31"/>
        <v>0</v>
      </c>
      <c r="K287" s="633">
        <f t="shared" si="32"/>
        <v>0</v>
      </c>
      <c r="L287" s="1127"/>
      <c r="M287" s="1127"/>
      <c r="N287" s="1691">
        <f t="shared" si="27"/>
        <v>0</v>
      </c>
      <c r="O287" s="634">
        <f t="shared" si="28"/>
        <v>0</v>
      </c>
      <c r="P287" s="144"/>
      <c r="Q287" s="144"/>
      <c r="R287" s="144"/>
      <c r="S287" s="144"/>
    </row>
    <row r="288" spans="1:19" ht="14.25" customHeight="1">
      <c r="A288" s="630"/>
      <c r="B288" s="631"/>
      <c r="C288" s="1127"/>
      <c r="D288" s="632"/>
      <c r="E288" s="1127"/>
      <c r="F288" s="633">
        <f t="shared" si="29"/>
        <v>0</v>
      </c>
      <c r="G288" s="632"/>
      <c r="H288" s="1127"/>
      <c r="I288" s="633">
        <f t="shared" si="30"/>
        <v>0</v>
      </c>
      <c r="J288" s="633">
        <f t="shared" si="31"/>
        <v>0</v>
      </c>
      <c r="K288" s="633">
        <f t="shared" si="32"/>
        <v>0</v>
      </c>
      <c r="L288" s="1127"/>
      <c r="M288" s="1127"/>
      <c r="N288" s="1691">
        <f t="shared" si="27"/>
        <v>0</v>
      </c>
      <c r="O288" s="634">
        <f t="shared" si="28"/>
        <v>0</v>
      </c>
      <c r="P288" s="144"/>
      <c r="Q288" s="144"/>
      <c r="R288" s="144"/>
      <c r="S288" s="144"/>
    </row>
    <row r="289" spans="1:19" ht="14.25" customHeight="1">
      <c r="A289" s="630"/>
      <c r="B289" s="631"/>
      <c r="C289" s="1127"/>
      <c r="D289" s="632"/>
      <c r="E289" s="1127"/>
      <c r="F289" s="633">
        <f t="shared" si="29"/>
        <v>0</v>
      </c>
      <c r="G289" s="632"/>
      <c r="H289" s="1127"/>
      <c r="I289" s="633">
        <f t="shared" si="30"/>
        <v>0</v>
      </c>
      <c r="J289" s="633">
        <f t="shared" si="31"/>
        <v>0</v>
      </c>
      <c r="K289" s="633">
        <f t="shared" si="32"/>
        <v>0</v>
      </c>
      <c r="L289" s="1127"/>
      <c r="M289" s="1127"/>
      <c r="N289" s="1691">
        <f t="shared" si="27"/>
        <v>0</v>
      </c>
      <c r="O289" s="634">
        <f t="shared" si="28"/>
        <v>0</v>
      </c>
      <c r="P289" s="144"/>
      <c r="Q289" s="144"/>
      <c r="R289" s="144"/>
      <c r="S289" s="144"/>
    </row>
    <row r="290" spans="1:19" ht="14.25" customHeight="1">
      <c r="A290" s="630"/>
      <c r="B290" s="631"/>
      <c r="C290" s="1127"/>
      <c r="D290" s="632"/>
      <c r="E290" s="1127"/>
      <c r="F290" s="633">
        <f t="shared" si="29"/>
        <v>0</v>
      </c>
      <c r="G290" s="632"/>
      <c r="H290" s="1127"/>
      <c r="I290" s="633">
        <f t="shared" si="30"/>
        <v>0</v>
      </c>
      <c r="J290" s="633">
        <f t="shared" si="31"/>
        <v>0</v>
      </c>
      <c r="K290" s="633">
        <f t="shared" si="32"/>
        <v>0</v>
      </c>
      <c r="L290" s="1127"/>
      <c r="M290" s="1127"/>
      <c r="N290" s="1691">
        <f t="shared" si="27"/>
        <v>0</v>
      </c>
      <c r="O290" s="634">
        <f t="shared" si="28"/>
        <v>0</v>
      </c>
      <c r="P290" s="144"/>
      <c r="Q290" s="144"/>
      <c r="R290" s="144"/>
      <c r="S290" s="144"/>
    </row>
    <row r="291" spans="1:19" ht="14.25" customHeight="1">
      <c r="A291" s="630"/>
      <c r="B291" s="631"/>
      <c r="C291" s="1127"/>
      <c r="D291" s="632"/>
      <c r="E291" s="1127"/>
      <c r="F291" s="633">
        <f t="shared" si="29"/>
        <v>0</v>
      </c>
      <c r="G291" s="632"/>
      <c r="H291" s="1127"/>
      <c r="I291" s="633">
        <f t="shared" si="30"/>
        <v>0</v>
      </c>
      <c r="J291" s="633">
        <f t="shared" si="31"/>
        <v>0</v>
      </c>
      <c r="K291" s="633">
        <f t="shared" si="32"/>
        <v>0</v>
      </c>
      <c r="L291" s="1127"/>
      <c r="M291" s="1127"/>
      <c r="N291" s="1691">
        <f t="shared" si="27"/>
        <v>0</v>
      </c>
      <c r="O291" s="634">
        <f t="shared" si="28"/>
        <v>0</v>
      </c>
      <c r="P291" s="144"/>
      <c r="Q291" s="144"/>
      <c r="R291" s="144"/>
      <c r="S291" s="144"/>
    </row>
    <row r="292" spans="1:19" ht="14.25" customHeight="1">
      <c r="A292" s="630"/>
      <c r="B292" s="631"/>
      <c r="C292" s="1127"/>
      <c r="D292" s="632"/>
      <c r="E292" s="1127"/>
      <c r="F292" s="633">
        <f t="shared" si="29"/>
        <v>0</v>
      </c>
      <c r="G292" s="632"/>
      <c r="H292" s="1127"/>
      <c r="I292" s="633">
        <f t="shared" si="30"/>
        <v>0</v>
      </c>
      <c r="J292" s="633">
        <f t="shared" si="31"/>
        <v>0</v>
      </c>
      <c r="K292" s="633">
        <f t="shared" si="32"/>
        <v>0</v>
      </c>
      <c r="L292" s="1127"/>
      <c r="M292" s="1127"/>
      <c r="N292" s="1691">
        <f t="shared" si="27"/>
        <v>0</v>
      </c>
      <c r="O292" s="634">
        <f t="shared" si="28"/>
        <v>0</v>
      </c>
      <c r="P292" s="144"/>
      <c r="Q292" s="144"/>
      <c r="R292" s="144"/>
      <c r="S292" s="144"/>
    </row>
    <row r="293" spans="1:19" ht="14.25" customHeight="1">
      <c r="A293" s="630"/>
      <c r="B293" s="631"/>
      <c r="C293" s="1127"/>
      <c r="D293" s="632"/>
      <c r="E293" s="1127"/>
      <c r="F293" s="633">
        <f t="shared" si="29"/>
        <v>0</v>
      </c>
      <c r="G293" s="632"/>
      <c r="H293" s="1127"/>
      <c r="I293" s="633">
        <f t="shared" si="30"/>
        <v>0</v>
      </c>
      <c r="J293" s="633">
        <f t="shared" si="31"/>
        <v>0</v>
      </c>
      <c r="K293" s="633">
        <f t="shared" si="32"/>
        <v>0</v>
      </c>
      <c r="L293" s="1127"/>
      <c r="M293" s="1127"/>
      <c r="N293" s="1691">
        <f t="shared" si="27"/>
        <v>0</v>
      </c>
      <c r="O293" s="634">
        <f t="shared" si="28"/>
        <v>0</v>
      </c>
      <c r="P293" s="144"/>
      <c r="Q293" s="144"/>
      <c r="R293" s="144"/>
      <c r="S293" s="144"/>
    </row>
    <row r="294" spans="1:19" ht="14.25" customHeight="1">
      <c r="A294" s="630"/>
      <c r="B294" s="631"/>
      <c r="C294" s="1127"/>
      <c r="D294" s="632"/>
      <c r="E294" s="1127"/>
      <c r="F294" s="633">
        <f t="shared" si="29"/>
        <v>0</v>
      </c>
      <c r="G294" s="632"/>
      <c r="H294" s="1127"/>
      <c r="I294" s="633">
        <f t="shared" si="30"/>
        <v>0</v>
      </c>
      <c r="J294" s="633">
        <f t="shared" si="31"/>
        <v>0</v>
      </c>
      <c r="K294" s="633">
        <f t="shared" si="32"/>
        <v>0</v>
      </c>
      <c r="L294" s="1127"/>
      <c r="M294" s="1127"/>
      <c r="N294" s="1691">
        <f t="shared" si="27"/>
        <v>0</v>
      </c>
      <c r="O294" s="634">
        <f t="shared" si="28"/>
        <v>0</v>
      </c>
      <c r="P294" s="144"/>
      <c r="Q294" s="144"/>
      <c r="R294" s="144"/>
      <c r="S294" s="144"/>
    </row>
    <row r="295" spans="1:19" ht="14.25" customHeight="1">
      <c r="A295" s="630"/>
      <c r="B295" s="631"/>
      <c r="C295" s="1127"/>
      <c r="D295" s="632"/>
      <c r="E295" s="1127"/>
      <c r="F295" s="633">
        <f t="shared" si="29"/>
        <v>0</v>
      </c>
      <c r="G295" s="632"/>
      <c r="H295" s="1127"/>
      <c r="I295" s="633">
        <f t="shared" si="30"/>
        <v>0</v>
      </c>
      <c r="J295" s="633">
        <f t="shared" si="31"/>
        <v>0</v>
      </c>
      <c r="K295" s="633">
        <f t="shared" si="32"/>
        <v>0</v>
      </c>
      <c r="L295" s="1127"/>
      <c r="M295" s="1127"/>
      <c r="N295" s="1691">
        <f t="shared" si="27"/>
        <v>0</v>
      </c>
      <c r="O295" s="634">
        <f t="shared" si="28"/>
        <v>0</v>
      </c>
      <c r="P295" s="144"/>
      <c r="Q295" s="144"/>
      <c r="R295" s="144"/>
      <c r="S295" s="144"/>
    </row>
    <row r="296" spans="1:19" ht="14.25" customHeight="1">
      <c r="A296" s="630"/>
      <c r="B296" s="631"/>
      <c r="C296" s="1127"/>
      <c r="D296" s="632"/>
      <c r="E296" s="1127"/>
      <c r="F296" s="633">
        <f t="shared" si="29"/>
        <v>0</v>
      </c>
      <c r="G296" s="632"/>
      <c r="H296" s="1127"/>
      <c r="I296" s="633">
        <f t="shared" si="30"/>
        <v>0</v>
      </c>
      <c r="J296" s="633">
        <f t="shared" si="31"/>
        <v>0</v>
      </c>
      <c r="K296" s="633">
        <f t="shared" si="32"/>
        <v>0</v>
      </c>
      <c r="L296" s="1127"/>
      <c r="M296" s="1127"/>
      <c r="N296" s="1691">
        <f t="shared" si="27"/>
        <v>0</v>
      </c>
      <c r="O296" s="634">
        <f t="shared" si="28"/>
        <v>0</v>
      </c>
      <c r="P296" s="144"/>
      <c r="Q296" s="144"/>
      <c r="R296" s="144"/>
      <c r="S296" s="144"/>
    </row>
    <row r="297" spans="1:19" ht="14.25" customHeight="1">
      <c r="A297" s="630"/>
      <c r="B297" s="631"/>
      <c r="C297" s="1127"/>
      <c r="D297" s="632"/>
      <c r="E297" s="1127"/>
      <c r="F297" s="633">
        <f t="shared" si="29"/>
        <v>0</v>
      </c>
      <c r="G297" s="632"/>
      <c r="H297" s="1127"/>
      <c r="I297" s="633">
        <f t="shared" si="30"/>
        <v>0</v>
      </c>
      <c r="J297" s="633">
        <f t="shared" si="31"/>
        <v>0</v>
      </c>
      <c r="K297" s="633">
        <f t="shared" si="32"/>
        <v>0</v>
      </c>
      <c r="L297" s="1127"/>
      <c r="M297" s="1127"/>
      <c r="N297" s="1691">
        <f t="shared" si="27"/>
        <v>0</v>
      </c>
      <c r="O297" s="634">
        <f t="shared" si="28"/>
        <v>0</v>
      </c>
      <c r="P297" s="144"/>
      <c r="Q297" s="144"/>
      <c r="R297" s="144"/>
      <c r="S297" s="144"/>
    </row>
    <row r="298" spans="1:19" ht="14.25" customHeight="1">
      <c r="A298" s="630"/>
      <c r="B298" s="631"/>
      <c r="C298" s="1127"/>
      <c r="D298" s="632"/>
      <c r="E298" s="1127"/>
      <c r="F298" s="633">
        <f t="shared" si="29"/>
        <v>0</v>
      </c>
      <c r="G298" s="632"/>
      <c r="H298" s="1127"/>
      <c r="I298" s="633">
        <f t="shared" si="30"/>
        <v>0</v>
      </c>
      <c r="J298" s="633">
        <f t="shared" si="31"/>
        <v>0</v>
      </c>
      <c r="K298" s="633">
        <f t="shared" si="32"/>
        <v>0</v>
      </c>
      <c r="L298" s="1127"/>
      <c r="M298" s="1127"/>
      <c r="N298" s="1691">
        <f t="shared" si="27"/>
        <v>0</v>
      </c>
      <c r="O298" s="634">
        <f t="shared" si="28"/>
        <v>0</v>
      </c>
      <c r="P298" s="144"/>
      <c r="Q298" s="144"/>
      <c r="R298" s="144"/>
      <c r="S298" s="144"/>
    </row>
    <row r="299" spans="1:19" ht="14.25" customHeight="1">
      <c r="A299" s="630"/>
      <c r="B299" s="631"/>
      <c r="C299" s="1127"/>
      <c r="D299" s="632"/>
      <c r="E299" s="1127"/>
      <c r="F299" s="633">
        <f t="shared" si="29"/>
        <v>0</v>
      </c>
      <c r="G299" s="632"/>
      <c r="H299" s="1127"/>
      <c r="I299" s="633">
        <f t="shared" si="30"/>
        <v>0</v>
      </c>
      <c r="J299" s="633">
        <f t="shared" si="31"/>
        <v>0</v>
      </c>
      <c r="K299" s="633">
        <f t="shared" si="32"/>
        <v>0</v>
      </c>
      <c r="L299" s="1127"/>
      <c r="M299" s="1127"/>
      <c r="N299" s="1691">
        <f t="shared" si="27"/>
        <v>0</v>
      </c>
      <c r="O299" s="634">
        <f t="shared" si="28"/>
        <v>0</v>
      </c>
      <c r="P299" s="144"/>
      <c r="Q299" s="144"/>
      <c r="R299" s="144"/>
      <c r="S299" s="144"/>
    </row>
    <row r="300" spans="1:19" ht="14.25" customHeight="1">
      <c r="A300" s="630"/>
      <c r="B300" s="631"/>
      <c r="C300" s="1127"/>
      <c r="D300" s="632"/>
      <c r="E300" s="1127"/>
      <c r="F300" s="633">
        <f t="shared" si="29"/>
        <v>0</v>
      </c>
      <c r="G300" s="632"/>
      <c r="H300" s="1127"/>
      <c r="I300" s="633">
        <f t="shared" si="30"/>
        <v>0</v>
      </c>
      <c r="J300" s="633">
        <f t="shared" si="31"/>
        <v>0</v>
      </c>
      <c r="K300" s="633">
        <f t="shared" si="32"/>
        <v>0</v>
      </c>
      <c r="L300" s="1127"/>
      <c r="M300" s="1127"/>
      <c r="N300" s="1691">
        <f t="shared" si="27"/>
        <v>0</v>
      </c>
      <c r="O300" s="634">
        <f t="shared" si="28"/>
        <v>0</v>
      </c>
      <c r="P300" s="144"/>
      <c r="Q300" s="144"/>
      <c r="R300" s="144"/>
      <c r="S300" s="144"/>
    </row>
    <row r="301" spans="1:19" ht="14.25" customHeight="1">
      <c r="A301" s="630"/>
      <c r="B301" s="631"/>
      <c r="C301" s="1127"/>
      <c r="D301" s="632"/>
      <c r="E301" s="1127"/>
      <c r="F301" s="633">
        <f t="shared" si="29"/>
        <v>0</v>
      </c>
      <c r="G301" s="632"/>
      <c r="H301" s="1127"/>
      <c r="I301" s="633">
        <f t="shared" si="30"/>
        <v>0</v>
      </c>
      <c r="J301" s="633">
        <f t="shared" si="31"/>
        <v>0</v>
      </c>
      <c r="K301" s="633">
        <f t="shared" si="32"/>
        <v>0</v>
      </c>
      <c r="L301" s="1127"/>
      <c r="M301" s="1127"/>
      <c r="N301" s="1691">
        <f t="shared" si="27"/>
        <v>0</v>
      </c>
      <c r="O301" s="634">
        <f t="shared" si="28"/>
        <v>0</v>
      </c>
      <c r="P301" s="144"/>
      <c r="Q301" s="144"/>
      <c r="R301" s="144"/>
      <c r="S301" s="144"/>
    </row>
    <row r="302" spans="1:19" ht="14.25" customHeight="1">
      <c r="A302" s="630"/>
      <c r="B302" s="631"/>
      <c r="C302" s="1127"/>
      <c r="D302" s="632"/>
      <c r="E302" s="1127"/>
      <c r="F302" s="633">
        <f t="shared" si="29"/>
        <v>0</v>
      </c>
      <c r="G302" s="632"/>
      <c r="H302" s="1127"/>
      <c r="I302" s="633">
        <f t="shared" si="30"/>
        <v>0</v>
      </c>
      <c r="J302" s="633">
        <f t="shared" si="31"/>
        <v>0</v>
      </c>
      <c r="K302" s="633">
        <f t="shared" si="32"/>
        <v>0</v>
      </c>
      <c r="L302" s="1127"/>
      <c r="M302" s="1127"/>
      <c r="N302" s="1691">
        <f t="shared" si="27"/>
        <v>0</v>
      </c>
      <c r="O302" s="634">
        <f t="shared" si="28"/>
        <v>0</v>
      </c>
      <c r="P302" s="144"/>
      <c r="Q302" s="144"/>
      <c r="R302" s="144"/>
      <c r="S302" s="144"/>
    </row>
    <row r="303" spans="1:19" ht="14.25" customHeight="1">
      <c r="A303" s="630"/>
      <c r="B303" s="631"/>
      <c r="C303" s="1127"/>
      <c r="D303" s="632"/>
      <c r="E303" s="1127"/>
      <c r="F303" s="633">
        <f t="shared" si="29"/>
        <v>0</v>
      </c>
      <c r="G303" s="632"/>
      <c r="H303" s="1127"/>
      <c r="I303" s="633">
        <f t="shared" si="30"/>
        <v>0</v>
      </c>
      <c r="J303" s="633">
        <f t="shared" si="31"/>
        <v>0</v>
      </c>
      <c r="K303" s="633">
        <f t="shared" si="32"/>
        <v>0</v>
      </c>
      <c r="L303" s="1127"/>
      <c r="M303" s="1127"/>
      <c r="N303" s="1691">
        <f t="shared" si="27"/>
        <v>0</v>
      </c>
      <c r="O303" s="634">
        <f t="shared" si="28"/>
        <v>0</v>
      </c>
      <c r="P303" s="144"/>
      <c r="Q303" s="144"/>
      <c r="R303" s="144"/>
      <c r="S303" s="144"/>
    </row>
    <row r="304" spans="1:19" ht="14.25" customHeight="1">
      <c r="A304" s="630"/>
      <c r="B304" s="631"/>
      <c r="C304" s="1127"/>
      <c r="D304" s="632"/>
      <c r="E304" s="1127"/>
      <c r="F304" s="633">
        <f t="shared" si="29"/>
        <v>0</v>
      </c>
      <c r="G304" s="632"/>
      <c r="H304" s="1127"/>
      <c r="I304" s="633">
        <f t="shared" si="30"/>
        <v>0</v>
      </c>
      <c r="J304" s="633">
        <f t="shared" si="31"/>
        <v>0</v>
      </c>
      <c r="K304" s="633">
        <f t="shared" si="32"/>
        <v>0</v>
      </c>
      <c r="L304" s="1127"/>
      <c r="M304" s="1127"/>
      <c r="N304" s="1691">
        <f t="shared" si="27"/>
        <v>0</v>
      </c>
      <c r="O304" s="634">
        <f t="shared" si="28"/>
        <v>0</v>
      </c>
      <c r="P304" s="144"/>
      <c r="Q304" s="144"/>
      <c r="R304" s="144"/>
      <c r="S304" s="144"/>
    </row>
    <row r="305" spans="1:19" ht="14.25" customHeight="1">
      <c r="A305" s="630"/>
      <c r="B305" s="631"/>
      <c r="C305" s="1127"/>
      <c r="D305" s="632"/>
      <c r="E305" s="1127"/>
      <c r="F305" s="633">
        <f t="shared" si="29"/>
        <v>0</v>
      </c>
      <c r="G305" s="632"/>
      <c r="H305" s="1127"/>
      <c r="I305" s="633">
        <f t="shared" si="30"/>
        <v>0</v>
      </c>
      <c r="J305" s="633">
        <f t="shared" si="31"/>
        <v>0</v>
      </c>
      <c r="K305" s="633">
        <f t="shared" si="32"/>
        <v>0</v>
      </c>
      <c r="L305" s="1127"/>
      <c r="M305" s="1127"/>
      <c r="N305" s="1691">
        <f t="shared" si="27"/>
        <v>0</v>
      </c>
      <c r="O305" s="634">
        <f t="shared" si="28"/>
        <v>0</v>
      </c>
      <c r="P305" s="144"/>
      <c r="Q305" s="144"/>
      <c r="R305" s="144"/>
      <c r="S305" s="144"/>
    </row>
    <row r="306" spans="1:19" ht="14.25" customHeight="1">
      <c r="A306" s="630"/>
      <c r="B306" s="631"/>
      <c r="C306" s="1127"/>
      <c r="D306" s="632"/>
      <c r="E306" s="1127"/>
      <c r="F306" s="633">
        <f t="shared" si="29"/>
        <v>0</v>
      </c>
      <c r="G306" s="632"/>
      <c r="H306" s="1127"/>
      <c r="I306" s="633">
        <f t="shared" si="30"/>
        <v>0</v>
      </c>
      <c r="J306" s="633">
        <f t="shared" si="31"/>
        <v>0</v>
      </c>
      <c r="K306" s="633">
        <f t="shared" si="32"/>
        <v>0</v>
      </c>
      <c r="L306" s="1127"/>
      <c r="M306" s="1127"/>
      <c r="N306" s="1691">
        <f t="shared" si="27"/>
        <v>0</v>
      </c>
      <c r="O306" s="634">
        <f t="shared" si="28"/>
        <v>0</v>
      </c>
      <c r="P306" s="144"/>
      <c r="Q306" s="144"/>
      <c r="R306" s="144"/>
      <c r="S306" s="144"/>
    </row>
    <row r="307" spans="1:19" ht="14.25" customHeight="1">
      <c r="A307" s="630"/>
      <c r="B307" s="631"/>
      <c r="C307" s="1127"/>
      <c r="D307" s="632"/>
      <c r="E307" s="1127"/>
      <c r="F307" s="633">
        <f t="shared" si="29"/>
        <v>0</v>
      </c>
      <c r="G307" s="632"/>
      <c r="H307" s="1127"/>
      <c r="I307" s="633">
        <f t="shared" si="30"/>
        <v>0</v>
      </c>
      <c r="J307" s="633">
        <f t="shared" si="31"/>
        <v>0</v>
      </c>
      <c r="K307" s="633">
        <f t="shared" si="32"/>
        <v>0</v>
      </c>
      <c r="L307" s="1127"/>
      <c r="M307" s="1127"/>
      <c r="N307" s="1691">
        <f t="shared" si="27"/>
        <v>0</v>
      </c>
      <c r="O307" s="634">
        <f t="shared" si="28"/>
        <v>0</v>
      </c>
      <c r="P307" s="144"/>
      <c r="Q307" s="144"/>
      <c r="R307" s="144"/>
      <c r="S307" s="144"/>
    </row>
    <row r="308" spans="1:19" ht="14.25" customHeight="1">
      <c r="A308" s="630"/>
      <c r="B308" s="631"/>
      <c r="C308" s="1127"/>
      <c r="D308" s="632"/>
      <c r="E308" s="1127"/>
      <c r="F308" s="633">
        <f t="shared" si="29"/>
        <v>0</v>
      </c>
      <c r="G308" s="632"/>
      <c r="H308" s="1127"/>
      <c r="I308" s="633">
        <f t="shared" si="30"/>
        <v>0</v>
      </c>
      <c r="J308" s="633">
        <f t="shared" si="31"/>
        <v>0</v>
      </c>
      <c r="K308" s="633">
        <f t="shared" si="32"/>
        <v>0</v>
      </c>
      <c r="L308" s="1127"/>
      <c r="M308" s="1127"/>
      <c r="N308" s="1691">
        <f t="shared" si="27"/>
        <v>0</v>
      </c>
      <c r="O308" s="634">
        <f t="shared" si="28"/>
        <v>0</v>
      </c>
      <c r="P308" s="144"/>
      <c r="Q308" s="144"/>
      <c r="R308" s="144"/>
      <c r="S308" s="144"/>
    </row>
    <row r="309" spans="1:19" ht="14.25" customHeight="1">
      <c r="A309" s="630"/>
      <c r="B309" s="631"/>
      <c r="C309" s="1127"/>
      <c r="D309" s="632"/>
      <c r="E309" s="1127"/>
      <c r="F309" s="633">
        <f t="shared" si="29"/>
        <v>0</v>
      </c>
      <c r="G309" s="632"/>
      <c r="H309" s="1127"/>
      <c r="I309" s="633">
        <f t="shared" si="30"/>
        <v>0</v>
      </c>
      <c r="J309" s="633">
        <f t="shared" si="31"/>
        <v>0</v>
      </c>
      <c r="K309" s="633">
        <f t="shared" si="32"/>
        <v>0</v>
      </c>
      <c r="L309" s="1127"/>
      <c r="M309" s="1127"/>
      <c r="N309" s="1691">
        <f t="shared" si="27"/>
        <v>0</v>
      </c>
      <c r="O309" s="634">
        <f t="shared" si="28"/>
        <v>0</v>
      </c>
      <c r="P309" s="144"/>
      <c r="Q309" s="144"/>
      <c r="R309" s="144"/>
      <c r="S309" s="144"/>
    </row>
    <row r="310" spans="1:19" ht="14.25" customHeight="1">
      <c r="A310" s="630"/>
      <c r="B310" s="631"/>
      <c r="C310" s="1127"/>
      <c r="D310" s="632"/>
      <c r="E310" s="1127"/>
      <c r="F310" s="633">
        <f t="shared" si="29"/>
        <v>0</v>
      </c>
      <c r="G310" s="632"/>
      <c r="H310" s="1127"/>
      <c r="I310" s="633">
        <f t="shared" si="30"/>
        <v>0</v>
      </c>
      <c r="J310" s="633">
        <f t="shared" si="31"/>
        <v>0</v>
      </c>
      <c r="K310" s="633">
        <f t="shared" si="32"/>
        <v>0</v>
      </c>
      <c r="L310" s="1127"/>
      <c r="M310" s="1127"/>
      <c r="N310" s="1691">
        <f t="shared" si="27"/>
        <v>0</v>
      </c>
      <c r="O310" s="634">
        <f t="shared" si="28"/>
        <v>0</v>
      </c>
      <c r="P310" s="144"/>
      <c r="Q310" s="144"/>
      <c r="R310" s="144"/>
      <c r="S310" s="144"/>
    </row>
    <row r="311" spans="1:19" ht="14.25" customHeight="1">
      <c r="A311" s="630"/>
      <c r="B311" s="631"/>
      <c r="C311" s="1127"/>
      <c r="D311" s="632"/>
      <c r="E311" s="1127"/>
      <c r="F311" s="633">
        <f t="shared" si="29"/>
        <v>0</v>
      </c>
      <c r="G311" s="632"/>
      <c r="H311" s="1127"/>
      <c r="I311" s="633">
        <f t="shared" si="30"/>
        <v>0</v>
      </c>
      <c r="J311" s="633">
        <f t="shared" si="31"/>
        <v>0</v>
      </c>
      <c r="K311" s="633">
        <f t="shared" si="32"/>
        <v>0</v>
      </c>
      <c r="L311" s="1127"/>
      <c r="M311" s="1127"/>
      <c r="N311" s="1691">
        <f t="shared" si="27"/>
        <v>0</v>
      </c>
      <c r="O311" s="634">
        <f t="shared" si="28"/>
        <v>0</v>
      </c>
      <c r="P311" s="144"/>
      <c r="Q311" s="144"/>
      <c r="R311" s="144"/>
      <c r="S311" s="144"/>
    </row>
    <row r="312" spans="1:19" ht="14.25" customHeight="1">
      <c r="A312" s="630"/>
      <c r="B312" s="631"/>
      <c r="C312" s="1127"/>
      <c r="D312" s="632"/>
      <c r="E312" s="1127"/>
      <c r="F312" s="633">
        <f t="shared" si="29"/>
        <v>0</v>
      </c>
      <c r="G312" s="632"/>
      <c r="H312" s="1127"/>
      <c r="I312" s="633">
        <f t="shared" si="30"/>
        <v>0</v>
      </c>
      <c r="J312" s="633">
        <f t="shared" si="31"/>
        <v>0</v>
      </c>
      <c r="K312" s="633">
        <f t="shared" si="32"/>
        <v>0</v>
      </c>
      <c r="L312" s="1127"/>
      <c r="M312" s="1127"/>
      <c r="N312" s="1691">
        <f t="shared" si="27"/>
        <v>0</v>
      </c>
      <c r="O312" s="634">
        <f t="shared" si="28"/>
        <v>0</v>
      </c>
      <c r="P312" s="144"/>
      <c r="Q312" s="144"/>
      <c r="R312" s="144"/>
      <c r="S312" s="144"/>
    </row>
    <row r="313" spans="1:19" ht="14.25" customHeight="1">
      <c r="A313" s="630"/>
      <c r="B313" s="631"/>
      <c r="C313" s="1127"/>
      <c r="D313" s="632"/>
      <c r="E313" s="1127"/>
      <c r="F313" s="633">
        <f t="shared" si="29"/>
        <v>0</v>
      </c>
      <c r="G313" s="632"/>
      <c r="H313" s="1127"/>
      <c r="I313" s="633">
        <f t="shared" si="30"/>
        <v>0</v>
      </c>
      <c r="J313" s="633">
        <f t="shared" si="31"/>
        <v>0</v>
      </c>
      <c r="K313" s="633">
        <f t="shared" si="32"/>
        <v>0</v>
      </c>
      <c r="L313" s="1127"/>
      <c r="M313" s="1127"/>
      <c r="N313" s="1691">
        <f t="shared" si="27"/>
        <v>0</v>
      </c>
      <c r="O313" s="634">
        <f t="shared" si="28"/>
        <v>0</v>
      </c>
      <c r="P313" s="144"/>
      <c r="Q313" s="144"/>
      <c r="R313" s="144"/>
      <c r="S313" s="144"/>
    </row>
    <row r="314" spans="1:19" ht="14.25" customHeight="1">
      <c r="A314" s="630"/>
      <c r="B314" s="631"/>
      <c r="C314" s="1127"/>
      <c r="D314" s="632"/>
      <c r="E314" s="1127"/>
      <c r="F314" s="633">
        <f t="shared" si="29"/>
        <v>0</v>
      </c>
      <c r="G314" s="632"/>
      <c r="H314" s="1127"/>
      <c r="I314" s="633">
        <f t="shared" si="30"/>
        <v>0</v>
      </c>
      <c r="J314" s="633">
        <f t="shared" si="31"/>
        <v>0</v>
      </c>
      <c r="K314" s="633">
        <f t="shared" si="32"/>
        <v>0</v>
      </c>
      <c r="L314" s="1127"/>
      <c r="M314" s="1127"/>
      <c r="N314" s="1691">
        <f t="shared" si="27"/>
        <v>0</v>
      </c>
      <c r="O314" s="634">
        <f t="shared" si="28"/>
        <v>0</v>
      </c>
      <c r="P314" s="144"/>
      <c r="Q314" s="144"/>
      <c r="R314" s="144"/>
      <c r="S314" s="144"/>
    </row>
    <row r="315" spans="1:19" ht="14.25" customHeight="1">
      <c r="A315" s="630"/>
      <c r="B315" s="631"/>
      <c r="C315" s="1127"/>
      <c r="D315" s="632"/>
      <c r="E315" s="1127"/>
      <c r="F315" s="633">
        <f t="shared" si="29"/>
        <v>0</v>
      </c>
      <c r="G315" s="632"/>
      <c r="H315" s="1127"/>
      <c r="I315" s="633">
        <f t="shared" si="30"/>
        <v>0</v>
      </c>
      <c r="J315" s="633">
        <f t="shared" si="31"/>
        <v>0</v>
      </c>
      <c r="K315" s="633">
        <f t="shared" si="32"/>
        <v>0</v>
      </c>
      <c r="L315" s="1127"/>
      <c r="M315" s="1127"/>
      <c r="N315" s="1691">
        <f t="shared" si="27"/>
        <v>0</v>
      </c>
      <c r="O315" s="634">
        <f t="shared" si="28"/>
        <v>0</v>
      </c>
      <c r="P315" s="144"/>
      <c r="Q315" s="144"/>
      <c r="R315" s="144"/>
      <c r="S315" s="144"/>
    </row>
    <row r="316" spans="1:19" ht="14.25" customHeight="1">
      <c r="A316" s="630"/>
      <c r="B316" s="631"/>
      <c r="C316" s="1127"/>
      <c r="D316" s="632"/>
      <c r="E316" s="1127"/>
      <c r="F316" s="633">
        <f t="shared" si="29"/>
        <v>0</v>
      </c>
      <c r="G316" s="632"/>
      <c r="H316" s="1127"/>
      <c r="I316" s="633">
        <f t="shared" si="30"/>
        <v>0</v>
      </c>
      <c r="J316" s="633">
        <f t="shared" si="31"/>
        <v>0</v>
      </c>
      <c r="K316" s="633">
        <f t="shared" si="32"/>
        <v>0</v>
      </c>
      <c r="L316" s="1127"/>
      <c r="M316" s="1127"/>
      <c r="N316" s="1691">
        <f t="shared" si="27"/>
        <v>0</v>
      </c>
      <c r="O316" s="634">
        <f t="shared" si="28"/>
        <v>0</v>
      </c>
      <c r="P316" s="144"/>
      <c r="Q316" s="144"/>
      <c r="R316" s="144"/>
      <c r="S316" s="144"/>
    </row>
    <row r="317" spans="1:19" ht="14.25" customHeight="1">
      <c r="A317" s="630"/>
      <c r="B317" s="631"/>
      <c r="C317" s="1127"/>
      <c r="D317" s="632"/>
      <c r="E317" s="1127"/>
      <c r="F317" s="633">
        <f t="shared" si="29"/>
        <v>0</v>
      </c>
      <c r="G317" s="632"/>
      <c r="H317" s="1127"/>
      <c r="I317" s="633">
        <f t="shared" si="30"/>
        <v>0</v>
      </c>
      <c r="J317" s="633">
        <f t="shared" si="31"/>
        <v>0</v>
      </c>
      <c r="K317" s="633">
        <f t="shared" si="32"/>
        <v>0</v>
      </c>
      <c r="L317" s="1127"/>
      <c r="M317" s="1127"/>
      <c r="N317" s="1691">
        <f t="shared" si="27"/>
        <v>0</v>
      </c>
      <c r="O317" s="634">
        <f t="shared" si="28"/>
        <v>0</v>
      </c>
      <c r="P317" s="144"/>
      <c r="Q317" s="144"/>
      <c r="R317" s="144"/>
      <c r="S317" s="144"/>
    </row>
    <row r="318" spans="1:19" ht="14.25" customHeight="1">
      <c r="A318" s="630"/>
      <c r="B318" s="631"/>
      <c r="C318" s="1127"/>
      <c r="D318" s="632"/>
      <c r="E318" s="1127"/>
      <c r="F318" s="633">
        <f t="shared" si="29"/>
        <v>0</v>
      </c>
      <c r="G318" s="632"/>
      <c r="H318" s="1127"/>
      <c r="I318" s="633">
        <f t="shared" si="30"/>
        <v>0</v>
      </c>
      <c r="J318" s="633">
        <f t="shared" si="31"/>
        <v>0</v>
      </c>
      <c r="K318" s="633">
        <f t="shared" si="32"/>
        <v>0</v>
      </c>
      <c r="L318" s="1127"/>
      <c r="M318" s="1127"/>
      <c r="N318" s="1691">
        <f t="shared" si="27"/>
        <v>0</v>
      </c>
      <c r="O318" s="634">
        <f t="shared" si="28"/>
        <v>0</v>
      </c>
      <c r="P318" s="144"/>
      <c r="Q318" s="144"/>
      <c r="R318" s="144"/>
      <c r="S318" s="144"/>
    </row>
    <row r="319" spans="1:19" ht="14.25" customHeight="1">
      <c r="A319" s="630"/>
      <c r="B319" s="631"/>
      <c r="C319" s="1127"/>
      <c r="D319" s="632"/>
      <c r="E319" s="1127"/>
      <c r="F319" s="633">
        <f t="shared" si="29"/>
        <v>0</v>
      </c>
      <c r="G319" s="632"/>
      <c r="H319" s="1127"/>
      <c r="I319" s="633">
        <f t="shared" si="30"/>
        <v>0</v>
      </c>
      <c r="J319" s="633">
        <f t="shared" si="31"/>
        <v>0</v>
      </c>
      <c r="K319" s="633">
        <f t="shared" si="32"/>
        <v>0</v>
      </c>
      <c r="L319" s="1127"/>
      <c r="M319" s="1127"/>
      <c r="N319" s="1691">
        <f t="shared" si="27"/>
        <v>0</v>
      </c>
      <c r="O319" s="634">
        <f t="shared" si="28"/>
        <v>0</v>
      </c>
      <c r="P319" s="144"/>
      <c r="Q319" s="144"/>
      <c r="R319" s="144"/>
      <c r="S319" s="144"/>
    </row>
    <row r="320" spans="1:19" ht="14.25" customHeight="1">
      <c r="A320" s="630"/>
      <c r="B320" s="631"/>
      <c r="C320" s="1127"/>
      <c r="D320" s="632"/>
      <c r="E320" s="1127"/>
      <c r="F320" s="633">
        <f t="shared" si="29"/>
        <v>0</v>
      </c>
      <c r="G320" s="632"/>
      <c r="H320" s="1127"/>
      <c r="I320" s="633">
        <f t="shared" si="30"/>
        <v>0</v>
      </c>
      <c r="J320" s="633">
        <f t="shared" si="31"/>
        <v>0</v>
      </c>
      <c r="K320" s="633">
        <f t="shared" si="32"/>
        <v>0</v>
      </c>
      <c r="L320" s="1127"/>
      <c r="M320" s="1127"/>
      <c r="N320" s="1691">
        <f t="shared" si="27"/>
        <v>0</v>
      </c>
      <c r="O320" s="634">
        <f t="shared" si="28"/>
        <v>0</v>
      </c>
      <c r="P320" s="144"/>
      <c r="Q320" s="144"/>
      <c r="R320" s="144"/>
      <c r="S320" s="144"/>
    </row>
    <row r="321" spans="1:19" ht="14.25" customHeight="1">
      <c r="A321" s="630"/>
      <c r="B321" s="631"/>
      <c r="C321" s="1127"/>
      <c r="D321" s="632"/>
      <c r="E321" s="1127"/>
      <c r="F321" s="633">
        <f t="shared" si="29"/>
        <v>0</v>
      </c>
      <c r="G321" s="632"/>
      <c r="H321" s="1127"/>
      <c r="I321" s="633">
        <f t="shared" si="30"/>
        <v>0</v>
      </c>
      <c r="J321" s="633">
        <f t="shared" si="31"/>
        <v>0</v>
      </c>
      <c r="K321" s="633">
        <f t="shared" si="32"/>
        <v>0</v>
      </c>
      <c r="L321" s="1127"/>
      <c r="M321" s="1127"/>
      <c r="N321" s="1691">
        <f t="shared" si="27"/>
        <v>0</v>
      </c>
      <c r="O321" s="634">
        <f t="shared" si="28"/>
        <v>0</v>
      </c>
      <c r="P321" s="144"/>
      <c r="Q321" s="144"/>
      <c r="R321" s="144"/>
      <c r="S321" s="144"/>
    </row>
    <row r="322" spans="1:19" ht="14.25" customHeight="1">
      <c r="A322" s="630"/>
      <c r="B322" s="631"/>
      <c r="C322" s="1127"/>
      <c r="D322" s="632"/>
      <c r="E322" s="1127"/>
      <c r="F322" s="633">
        <f t="shared" si="29"/>
        <v>0</v>
      </c>
      <c r="G322" s="632"/>
      <c r="H322" s="1127"/>
      <c r="I322" s="633">
        <f t="shared" si="30"/>
        <v>0</v>
      </c>
      <c r="J322" s="633">
        <f t="shared" si="31"/>
        <v>0</v>
      </c>
      <c r="K322" s="633">
        <f t="shared" si="32"/>
        <v>0</v>
      </c>
      <c r="L322" s="1127"/>
      <c r="M322" s="1127"/>
      <c r="N322" s="1691">
        <f t="shared" si="27"/>
        <v>0</v>
      </c>
      <c r="O322" s="634">
        <f t="shared" si="28"/>
        <v>0</v>
      </c>
      <c r="P322" s="144"/>
      <c r="Q322" s="144"/>
      <c r="R322" s="144"/>
      <c r="S322" s="144"/>
    </row>
    <row r="323" spans="1:19" ht="14.25" customHeight="1">
      <c r="A323" s="630"/>
      <c r="B323" s="631"/>
      <c r="C323" s="1127"/>
      <c r="D323" s="632"/>
      <c r="E323" s="1127"/>
      <c r="F323" s="633">
        <f t="shared" si="29"/>
        <v>0</v>
      </c>
      <c r="G323" s="632"/>
      <c r="H323" s="1127"/>
      <c r="I323" s="633">
        <f t="shared" si="30"/>
        <v>0</v>
      </c>
      <c r="J323" s="633">
        <f t="shared" si="31"/>
        <v>0</v>
      </c>
      <c r="K323" s="633">
        <f t="shared" si="32"/>
        <v>0</v>
      </c>
      <c r="L323" s="1127"/>
      <c r="M323" s="1127"/>
      <c r="N323" s="1691">
        <f t="shared" si="27"/>
        <v>0</v>
      </c>
      <c r="O323" s="634">
        <f t="shared" si="28"/>
        <v>0</v>
      </c>
      <c r="P323" s="144"/>
      <c r="Q323" s="144"/>
      <c r="R323" s="144"/>
      <c r="S323" s="144"/>
    </row>
    <row r="324" spans="1:19" ht="14.25" customHeight="1">
      <c r="A324" s="630"/>
      <c r="B324" s="631"/>
      <c r="C324" s="1127"/>
      <c r="D324" s="632"/>
      <c r="E324" s="1127"/>
      <c r="F324" s="633">
        <f t="shared" si="29"/>
        <v>0</v>
      </c>
      <c r="G324" s="632"/>
      <c r="H324" s="1127"/>
      <c r="I324" s="633">
        <f t="shared" si="30"/>
        <v>0</v>
      </c>
      <c r="J324" s="633">
        <f t="shared" si="31"/>
        <v>0</v>
      </c>
      <c r="K324" s="633">
        <f t="shared" si="32"/>
        <v>0</v>
      </c>
      <c r="L324" s="1127"/>
      <c r="M324" s="1127"/>
      <c r="N324" s="1691">
        <f t="shared" si="27"/>
        <v>0</v>
      </c>
      <c r="O324" s="634">
        <f t="shared" si="28"/>
        <v>0</v>
      </c>
      <c r="P324" s="144"/>
      <c r="Q324" s="144"/>
      <c r="R324" s="144"/>
      <c r="S324" s="144"/>
    </row>
    <row r="325" spans="1:19" ht="14.25" customHeight="1">
      <c r="A325" s="630"/>
      <c r="B325" s="631"/>
      <c r="C325" s="1127"/>
      <c r="D325" s="632"/>
      <c r="E325" s="1127"/>
      <c r="F325" s="633">
        <f t="shared" si="29"/>
        <v>0</v>
      </c>
      <c r="G325" s="632"/>
      <c r="H325" s="1127"/>
      <c r="I325" s="633">
        <f t="shared" si="30"/>
        <v>0</v>
      </c>
      <c r="J325" s="633">
        <f t="shared" si="31"/>
        <v>0</v>
      </c>
      <c r="K325" s="633">
        <f t="shared" si="32"/>
        <v>0</v>
      </c>
      <c r="L325" s="1127"/>
      <c r="M325" s="1127"/>
      <c r="N325" s="1691">
        <f t="shared" si="27"/>
        <v>0</v>
      </c>
      <c r="O325" s="634">
        <f t="shared" si="28"/>
        <v>0</v>
      </c>
      <c r="P325" s="144"/>
      <c r="Q325" s="144"/>
      <c r="R325" s="144"/>
      <c r="S325" s="144"/>
    </row>
    <row r="326" spans="1:19" ht="14.25" customHeight="1">
      <c r="A326" s="630"/>
      <c r="B326" s="631"/>
      <c r="C326" s="1127"/>
      <c r="D326" s="632"/>
      <c r="E326" s="1127"/>
      <c r="F326" s="633">
        <f t="shared" si="29"/>
        <v>0</v>
      </c>
      <c r="G326" s="632"/>
      <c r="H326" s="1127"/>
      <c r="I326" s="633">
        <f t="shared" si="30"/>
        <v>0</v>
      </c>
      <c r="J326" s="633">
        <f t="shared" si="31"/>
        <v>0</v>
      </c>
      <c r="K326" s="633">
        <f t="shared" si="32"/>
        <v>0</v>
      </c>
      <c r="L326" s="1127"/>
      <c r="M326" s="1127"/>
      <c r="N326" s="1691">
        <f t="shared" si="27"/>
        <v>0</v>
      </c>
      <c r="O326" s="634">
        <f t="shared" si="28"/>
        <v>0</v>
      </c>
      <c r="P326" s="144"/>
      <c r="Q326" s="144"/>
      <c r="R326" s="144"/>
      <c r="S326" s="144"/>
    </row>
    <row r="327" spans="1:19" ht="14.25" customHeight="1">
      <c r="A327" s="630"/>
      <c r="B327" s="631"/>
      <c r="C327" s="1127"/>
      <c r="D327" s="632"/>
      <c r="E327" s="1127"/>
      <c r="F327" s="633">
        <f t="shared" si="29"/>
        <v>0</v>
      </c>
      <c r="G327" s="632"/>
      <c r="H327" s="1127"/>
      <c r="I327" s="633">
        <f t="shared" si="30"/>
        <v>0</v>
      </c>
      <c r="J327" s="633">
        <f t="shared" si="31"/>
        <v>0</v>
      </c>
      <c r="K327" s="633">
        <f t="shared" si="32"/>
        <v>0</v>
      </c>
      <c r="L327" s="1127"/>
      <c r="M327" s="1127"/>
      <c r="N327" s="1691">
        <f t="shared" si="27"/>
        <v>0</v>
      </c>
      <c r="O327" s="634">
        <f t="shared" si="28"/>
        <v>0</v>
      </c>
      <c r="P327" s="144"/>
      <c r="Q327" s="144"/>
      <c r="R327" s="144"/>
      <c r="S327" s="144"/>
    </row>
    <row r="328" spans="1:19" ht="14.25" customHeight="1">
      <c r="A328" s="630"/>
      <c r="B328" s="631"/>
      <c r="C328" s="1127"/>
      <c r="D328" s="632"/>
      <c r="E328" s="1127"/>
      <c r="F328" s="633">
        <f t="shared" si="29"/>
        <v>0</v>
      </c>
      <c r="G328" s="632"/>
      <c r="H328" s="1127"/>
      <c r="I328" s="633">
        <f t="shared" si="30"/>
        <v>0</v>
      </c>
      <c r="J328" s="633">
        <f t="shared" si="31"/>
        <v>0</v>
      </c>
      <c r="K328" s="633">
        <f t="shared" si="32"/>
        <v>0</v>
      </c>
      <c r="L328" s="1127"/>
      <c r="M328" s="1127"/>
      <c r="N328" s="1691">
        <f t="shared" si="27"/>
        <v>0</v>
      </c>
      <c r="O328" s="634">
        <f t="shared" si="28"/>
        <v>0</v>
      </c>
      <c r="P328" s="144"/>
      <c r="Q328" s="144"/>
      <c r="R328" s="144"/>
      <c r="S328" s="144"/>
    </row>
    <row r="329" spans="1:19" ht="14.25" customHeight="1">
      <c r="A329" s="630"/>
      <c r="B329" s="631"/>
      <c r="C329" s="1127"/>
      <c r="D329" s="632"/>
      <c r="E329" s="1127"/>
      <c r="F329" s="633">
        <f t="shared" si="29"/>
        <v>0</v>
      </c>
      <c r="G329" s="632"/>
      <c r="H329" s="1127"/>
      <c r="I329" s="633">
        <f t="shared" si="30"/>
        <v>0</v>
      </c>
      <c r="J329" s="633">
        <f t="shared" si="31"/>
        <v>0</v>
      </c>
      <c r="K329" s="633">
        <f t="shared" si="32"/>
        <v>0</v>
      </c>
      <c r="L329" s="1127"/>
      <c r="M329" s="1127"/>
      <c r="N329" s="1691">
        <f t="shared" si="27"/>
        <v>0</v>
      </c>
      <c r="O329" s="634">
        <f t="shared" si="28"/>
        <v>0</v>
      </c>
      <c r="P329" s="144"/>
      <c r="Q329" s="144"/>
      <c r="R329" s="144"/>
      <c r="S329" s="144"/>
    </row>
    <row r="330" spans="1:19" ht="14.25" customHeight="1">
      <c r="A330" s="630"/>
      <c r="B330" s="631"/>
      <c r="C330" s="1127"/>
      <c r="D330" s="632"/>
      <c r="E330" s="1127"/>
      <c r="F330" s="633">
        <f t="shared" si="29"/>
        <v>0</v>
      </c>
      <c r="G330" s="632"/>
      <c r="H330" s="1127"/>
      <c r="I330" s="633">
        <f t="shared" si="30"/>
        <v>0</v>
      </c>
      <c r="J330" s="633">
        <f t="shared" si="31"/>
        <v>0</v>
      </c>
      <c r="K330" s="633">
        <f t="shared" si="32"/>
        <v>0</v>
      </c>
      <c r="L330" s="1127"/>
      <c r="M330" s="1127"/>
      <c r="N330" s="1691">
        <f t="shared" ref="N330:N393" si="33">IF(M330&lt;&gt;0,ROUND(B330*K330,2)+M330,IF(ABS(ROUND(K330*B330,2)-L330)&lt;3,L330,MIN(ROUND(K330*B330,2),L330)))</f>
        <v>0</v>
      </c>
      <c r="O330" s="634">
        <f t="shared" ref="O330:O393" si="34">IF(ISERROR(L330-N330),"",IF(ABS(L330-N330)&lt;3,0,L330-N330))</f>
        <v>0</v>
      </c>
      <c r="P330" s="144"/>
      <c r="Q330" s="144"/>
      <c r="R330" s="144"/>
      <c r="S330" s="144"/>
    </row>
    <row r="331" spans="1:19" ht="14.25" customHeight="1">
      <c r="A331" s="630"/>
      <c r="B331" s="631"/>
      <c r="C331" s="1127"/>
      <c r="D331" s="632"/>
      <c r="E331" s="1127"/>
      <c r="F331" s="633">
        <f t="shared" ref="F331:F394" si="35">E331*(12-MONTH(D331))/12</f>
        <v>0</v>
      </c>
      <c r="G331" s="632"/>
      <c r="H331" s="1127"/>
      <c r="I331" s="633">
        <f t="shared" ref="I331:I394" si="36">H331*(12-MONTH(G331))/12</f>
        <v>0</v>
      </c>
      <c r="J331" s="633">
        <f t="shared" ref="J331:J394" si="37">C331+E331-H331</f>
        <v>0</v>
      </c>
      <c r="K331" s="633">
        <f t="shared" ref="K331:K394" si="38">C331+F331-I331</f>
        <v>0</v>
      </c>
      <c r="L331" s="1127"/>
      <c r="M331" s="1127"/>
      <c r="N331" s="1691">
        <f t="shared" si="33"/>
        <v>0</v>
      </c>
      <c r="O331" s="634">
        <f t="shared" si="34"/>
        <v>0</v>
      </c>
      <c r="P331" s="144"/>
      <c r="Q331" s="144"/>
      <c r="R331" s="144"/>
      <c r="S331" s="144"/>
    </row>
    <row r="332" spans="1:19" ht="14.25" customHeight="1">
      <c r="A332" s="630"/>
      <c r="B332" s="631"/>
      <c r="C332" s="1127"/>
      <c r="D332" s="632"/>
      <c r="E332" s="1127"/>
      <c r="F332" s="633">
        <f t="shared" si="35"/>
        <v>0</v>
      </c>
      <c r="G332" s="632"/>
      <c r="H332" s="1127"/>
      <c r="I332" s="633">
        <f t="shared" si="36"/>
        <v>0</v>
      </c>
      <c r="J332" s="633">
        <f t="shared" si="37"/>
        <v>0</v>
      </c>
      <c r="K332" s="633">
        <f t="shared" si="38"/>
        <v>0</v>
      </c>
      <c r="L332" s="1127"/>
      <c r="M332" s="1127"/>
      <c r="N332" s="1691">
        <f t="shared" si="33"/>
        <v>0</v>
      </c>
      <c r="O332" s="634">
        <f t="shared" si="34"/>
        <v>0</v>
      </c>
      <c r="P332" s="144"/>
      <c r="Q332" s="144"/>
      <c r="R332" s="144"/>
      <c r="S332" s="144"/>
    </row>
    <row r="333" spans="1:19" ht="14.25" customHeight="1">
      <c r="A333" s="630"/>
      <c r="B333" s="631"/>
      <c r="C333" s="1127"/>
      <c r="D333" s="632"/>
      <c r="E333" s="1127"/>
      <c r="F333" s="633">
        <f t="shared" si="35"/>
        <v>0</v>
      </c>
      <c r="G333" s="632"/>
      <c r="H333" s="1127"/>
      <c r="I333" s="633">
        <f t="shared" si="36"/>
        <v>0</v>
      </c>
      <c r="J333" s="633">
        <f t="shared" si="37"/>
        <v>0</v>
      </c>
      <c r="K333" s="633">
        <f t="shared" si="38"/>
        <v>0</v>
      </c>
      <c r="L333" s="1127"/>
      <c r="M333" s="1127"/>
      <c r="N333" s="1691">
        <f t="shared" si="33"/>
        <v>0</v>
      </c>
      <c r="O333" s="634">
        <f t="shared" si="34"/>
        <v>0</v>
      </c>
      <c r="P333" s="144"/>
      <c r="Q333" s="144"/>
      <c r="R333" s="144"/>
      <c r="S333" s="144"/>
    </row>
    <row r="334" spans="1:19" ht="14.25" customHeight="1">
      <c r="A334" s="630"/>
      <c r="B334" s="631"/>
      <c r="C334" s="1127"/>
      <c r="D334" s="632"/>
      <c r="E334" s="1127"/>
      <c r="F334" s="633">
        <f t="shared" si="35"/>
        <v>0</v>
      </c>
      <c r="G334" s="632"/>
      <c r="H334" s="1127"/>
      <c r="I334" s="633">
        <f t="shared" si="36"/>
        <v>0</v>
      </c>
      <c r="J334" s="633">
        <f t="shared" si="37"/>
        <v>0</v>
      </c>
      <c r="K334" s="633">
        <f t="shared" si="38"/>
        <v>0</v>
      </c>
      <c r="L334" s="1127"/>
      <c r="M334" s="1127"/>
      <c r="N334" s="1691">
        <f t="shared" si="33"/>
        <v>0</v>
      </c>
      <c r="O334" s="634">
        <f t="shared" si="34"/>
        <v>0</v>
      </c>
      <c r="P334" s="144"/>
      <c r="Q334" s="144"/>
      <c r="R334" s="144"/>
      <c r="S334" s="144"/>
    </row>
    <row r="335" spans="1:19" ht="14.25" customHeight="1">
      <c r="A335" s="630"/>
      <c r="B335" s="631"/>
      <c r="C335" s="1127"/>
      <c r="D335" s="632"/>
      <c r="E335" s="1127"/>
      <c r="F335" s="633">
        <f t="shared" si="35"/>
        <v>0</v>
      </c>
      <c r="G335" s="632"/>
      <c r="H335" s="1127"/>
      <c r="I335" s="633">
        <f t="shared" si="36"/>
        <v>0</v>
      </c>
      <c r="J335" s="633">
        <f t="shared" si="37"/>
        <v>0</v>
      </c>
      <c r="K335" s="633">
        <f t="shared" si="38"/>
        <v>0</v>
      </c>
      <c r="L335" s="1127"/>
      <c r="M335" s="1127"/>
      <c r="N335" s="1691">
        <f t="shared" si="33"/>
        <v>0</v>
      </c>
      <c r="O335" s="634">
        <f t="shared" si="34"/>
        <v>0</v>
      </c>
      <c r="P335" s="144"/>
      <c r="Q335" s="144"/>
      <c r="R335" s="144"/>
      <c r="S335" s="144"/>
    </row>
    <row r="336" spans="1:19" ht="14.25" customHeight="1">
      <c r="A336" s="630"/>
      <c r="B336" s="631"/>
      <c r="C336" s="1127"/>
      <c r="D336" s="632"/>
      <c r="E336" s="1127"/>
      <c r="F336" s="633">
        <f t="shared" si="35"/>
        <v>0</v>
      </c>
      <c r="G336" s="632"/>
      <c r="H336" s="1127"/>
      <c r="I336" s="633">
        <f t="shared" si="36"/>
        <v>0</v>
      </c>
      <c r="J336" s="633">
        <f t="shared" si="37"/>
        <v>0</v>
      </c>
      <c r="K336" s="633">
        <f t="shared" si="38"/>
        <v>0</v>
      </c>
      <c r="L336" s="1127"/>
      <c r="M336" s="1127"/>
      <c r="N336" s="1691">
        <f t="shared" si="33"/>
        <v>0</v>
      </c>
      <c r="O336" s="634">
        <f t="shared" si="34"/>
        <v>0</v>
      </c>
      <c r="P336" s="144"/>
      <c r="Q336" s="144"/>
      <c r="R336" s="144"/>
      <c r="S336" s="144"/>
    </row>
    <row r="337" spans="1:19" ht="14.25" customHeight="1">
      <c r="A337" s="630"/>
      <c r="B337" s="631"/>
      <c r="C337" s="1127"/>
      <c r="D337" s="632"/>
      <c r="E337" s="1127"/>
      <c r="F337" s="633">
        <f t="shared" si="35"/>
        <v>0</v>
      </c>
      <c r="G337" s="632"/>
      <c r="H337" s="1127"/>
      <c r="I337" s="633">
        <f t="shared" si="36"/>
        <v>0</v>
      </c>
      <c r="J337" s="633">
        <f t="shared" si="37"/>
        <v>0</v>
      </c>
      <c r="K337" s="633">
        <f t="shared" si="38"/>
        <v>0</v>
      </c>
      <c r="L337" s="1127"/>
      <c r="M337" s="1127"/>
      <c r="N337" s="1691">
        <f t="shared" si="33"/>
        <v>0</v>
      </c>
      <c r="O337" s="634">
        <f t="shared" si="34"/>
        <v>0</v>
      </c>
      <c r="P337" s="144"/>
      <c r="Q337" s="144"/>
      <c r="R337" s="144"/>
      <c r="S337" s="144"/>
    </row>
    <row r="338" spans="1:19" ht="14.25" customHeight="1">
      <c r="A338" s="630"/>
      <c r="B338" s="631"/>
      <c r="C338" s="1127"/>
      <c r="D338" s="632"/>
      <c r="E338" s="1127"/>
      <c r="F338" s="633">
        <f t="shared" si="35"/>
        <v>0</v>
      </c>
      <c r="G338" s="632"/>
      <c r="H338" s="1127"/>
      <c r="I338" s="633">
        <f t="shared" si="36"/>
        <v>0</v>
      </c>
      <c r="J338" s="633">
        <f t="shared" si="37"/>
        <v>0</v>
      </c>
      <c r="K338" s="633">
        <f t="shared" si="38"/>
        <v>0</v>
      </c>
      <c r="L338" s="1127"/>
      <c r="M338" s="1127"/>
      <c r="N338" s="1691">
        <f t="shared" si="33"/>
        <v>0</v>
      </c>
      <c r="O338" s="634">
        <f t="shared" si="34"/>
        <v>0</v>
      </c>
      <c r="P338" s="144"/>
      <c r="Q338" s="144"/>
      <c r="R338" s="144"/>
      <c r="S338" s="144"/>
    </row>
    <row r="339" spans="1:19" ht="14.25" customHeight="1">
      <c r="A339" s="630"/>
      <c r="B339" s="631"/>
      <c r="C339" s="1127"/>
      <c r="D339" s="632"/>
      <c r="E339" s="1127"/>
      <c r="F339" s="633">
        <f t="shared" si="35"/>
        <v>0</v>
      </c>
      <c r="G339" s="632"/>
      <c r="H339" s="1127"/>
      <c r="I339" s="633">
        <f t="shared" si="36"/>
        <v>0</v>
      </c>
      <c r="J339" s="633">
        <f t="shared" si="37"/>
        <v>0</v>
      </c>
      <c r="K339" s="633">
        <f t="shared" si="38"/>
        <v>0</v>
      </c>
      <c r="L339" s="1127"/>
      <c r="M339" s="1127"/>
      <c r="N339" s="1691">
        <f t="shared" si="33"/>
        <v>0</v>
      </c>
      <c r="O339" s="634">
        <f t="shared" si="34"/>
        <v>0</v>
      </c>
      <c r="P339" s="144"/>
      <c r="Q339" s="144"/>
      <c r="R339" s="144"/>
      <c r="S339" s="144"/>
    </row>
    <row r="340" spans="1:19" ht="14.25" customHeight="1">
      <c r="A340" s="630"/>
      <c r="B340" s="631"/>
      <c r="C340" s="1127"/>
      <c r="D340" s="632"/>
      <c r="E340" s="1127"/>
      <c r="F340" s="633">
        <f t="shared" si="35"/>
        <v>0</v>
      </c>
      <c r="G340" s="632"/>
      <c r="H340" s="1127"/>
      <c r="I340" s="633">
        <f t="shared" si="36"/>
        <v>0</v>
      </c>
      <c r="J340" s="633">
        <f t="shared" si="37"/>
        <v>0</v>
      </c>
      <c r="K340" s="633">
        <f t="shared" si="38"/>
        <v>0</v>
      </c>
      <c r="L340" s="1127"/>
      <c r="M340" s="1127"/>
      <c r="N340" s="1691">
        <f t="shared" si="33"/>
        <v>0</v>
      </c>
      <c r="O340" s="634">
        <f t="shared" si="34"/>
        <v>0</v>
      </c>
      <c r="P340" s="144"/>
      <c r="Q340" s="144"/>
      <c r="R340" s="144"/>
      <c r="S340" s="144"/>
    </row>
    <row r="341" spans="1:19" ht="14.25" customHeight="1">
      <c r="A341" s="630"/>
      <c r="B341" s="631"/>
      <c r="C341" s="1127"/>
      <c r="D341" s="632"/>
      <c r="E341" s="1127"/>
      <c r="F341" s="633">
        <f t="shared" si="35"/>
        <v>0</v>
      </c>
      <c r="G341" s="632"/>
      <c r="H341" s="1127"/>
      <c r="I341" s="633">
        <f t="shared" si="36"/>
        <v>0</v>
      </c>
      <c r="J341" s="633">
        <f t="shared" si="37"/>
        <v>0</v>
      </c>
      <c r="K341" s="633">
        <f t="shared" si="38"/>
        <v>0</v>
      </c>
      <c r="L341" s="1127"/>
      <c r="M341" s="1127"/>
      <c r="N341" s="1691">
        <f t="shared" si="33"/>
        <v>0</v>
      </c>
      <c r="O341" s="634">
        <f t="shared" si="34"/>
        <v>0</v>
      </c>
      <c r="P341" s="144"/>
      <c r="Q341" s="144"/>
      <c r="R341" s="144"/>
      <c r="S341" s="144"/>
    </row>
    <row r="342" spans="1:19" ht="14.25" customHeight="1">
      <c r="A342" s="630"/>
      <c r="B342" s="631"/>
      <c r="C342" s="1127"/>
      <c r="D342" s="632"/>
      <c r="E342" s="1127"/>
      <c r="F342" s="633">
        <f t="shared" si="35"/>
        <v>0</v>
      </c>
      <c r="G342" s="632"/>
      <c r="H342" s="1127"/>
      <c r="I342" s="633">
        <f t="shared" si="36"/>
        <v>0</v>
      </c>
      <c r="J342" s="633">
        <f t="shared" si="37"/>
        <v>0</v>
      </c>
      <c r="K342" s="633">
        <f t="shared" si="38"/>
        <v>0</v>
      </c>
      <c r="L342" s="1127"/>
      <c r="M342" s="1127"/>
      <c r="N342" s="1691">
        <f t="shared" si="33"/>
        <v>0</v>
      </c>
      <c r="O342" s="634">
        <f t="shared" si="34"/>
        <v>0</v>
      </c>
      <c r="P342" s="144"/>
      <c r="Q342" s="144"/>
      <c r="R342" s="144"/>
      <c r="S342" s="144"/>
    </row>
    <row r="343" spans="1:19" ht="14.25" customHeight="1">
      <c r="A343" s="630"/>
      <c r="B343" s="631"/>
      <c r="C343" s="1127"/>
      <c r="D343" s="632"/>
      <c r="E343" s="1127"/>
      <c r="F343" s="633">
        <f t="shared" si="35"/>
        <v>0</v>
      </c>
      <c r="G343" s="632"/>
      <c r="H343" s="1127"/>
      <c r="I343" s="633">
        <f t="shared" si="36"/>
        <v>0</v>
      </c>
      <c r="J343" s="633">
        <f t="shared" si="37"/>
        <v>0</v>
      </c>
      <c r="K343" s="633">
        <f t="shared" si="38"/>
        <v>0</v>
      </c>
      <c r="L343" s="1127"/>
      <c r="M343" s="1127"/>
      <c r="N343" s="1691">
        <f t="shared" si="33"/>
        <v>0</v>
      </c>
      <c r="O343" s="634">
        <f t="shared" si="34"/>
        <v>0</v>
      </c>
      <c r="P343" s="144"/>
      <c r="Q343" s="144"/>
      <c r="R343" s="144"/>
      <c r="S343" s="144"/>
    </row>
    <row r="344" spans="1:19" ht="14.25" customHeight="1">
      <c r="A344" s="630"/>
      <c r="B344" s="631"/>
      <c r="C344" s="1127"/>
      <c r="D344" s="632"/>
      <c r="E344" s="1127"/>
      <c r="F344" s="633">
        <f t="shared" si="35"/>
        <v>0</v>
      </c>
      <c r="G344" s="632"/>
      <c r="H344" s="1127"/>
      <c r="I344" s="633">
        <f t="shared" si="36"/>
        <v>0</v>
      </c>
      <c r="J344" s="633">
        <f t="shared" si="37"/>
        <v>0</v>
      </c>
      <c r="K344" s="633">
        <f t="shared" si="38"/>
        <v>0</v>
      </c>
      <c r="L344" s="1127"/>
      <c r="M344" s="1127"/>
      <c r="N344" s="1691">
        <f t="shared" si="33"/>
        <v>0</v>
      </c>
      <c r="O344" s="634">
        <f t="shared" si="34"/>
        <v>0</v>
      </c>
      <c r="P344" s="144"/>
      <c r="Q344" s="144"/>
      <c r="R344" s="144"/>
      <c r="S344" s="144"/>
    </row>
    <row r="345" spans="1:19" ht="14.25" customHeight="1">
      <c r="A345" s="630"/>
      <c r="B345" s="631"/>
      <c r="C345" s="1127"/>
      <c r="D345" s="632"/>
      <c r="E345" s="1127"/>
      <c r="F345" s="633">
        <f t="shared" si="35"/>
        <v>0</v>
      </c>
      <c r="G345" s="632"/>
      <c r="H345" s="1127"/>
      <c r="I345" s="633">
        <f t="shared" si="36"/>
        <v>0</v>
      </c>
      <c r="J345" s="633">
        <f t="shared" si="37"/>
        <v>0</v>
      </c>
      <c r="K345" s="633">
        <f t="shared" si="38"/>
        <v>0</v>
      </c>
      <c r="L345" s="1127"/>
      <c r="M345" s="1127"/>
      <c r="N345" s="1691">
        <f t="shared" si="33"/>
        <v>0</v>
      </c>
      <c r="O345" s="634">
        <f t="shared" si="34"/>
        <v>0</v>
      </c>
      <c r="P345" s="144"/>
      <c r="Q345" s="144"/>
      <c r="R345" s="144"/>
      <c r="S345" s="144"/>
    </row>
    <row r="346" spans="1:19" ht="14.25" customHeight="1">
      <c r="A346" s="630"/>
      <c r="B346" s="631"/>
      <c r="C346" s="1127"/>
      <c r="D346" s="632"/>
      <c r="E346" s="1127"/>
      <c r="F346" s="633">
        <f t="shared" si="35"/>
        <v>0</v>
      </c>
      <c r="G346" s="632"/>
      <c r="H346" s="1127"/>
      <c r="I346" s="633">
        <f t="shared" si="36"/>
        <v>0</v>
      </c>
      <c r="J346" s="633">
        <f t="shared" si="37"/>
        <v>0</v>
      </c>
      <c r="K346" s="633">
        <f t="shared" si="38"/>
        <v>0</v>
      </c>
      <c r="L346" s="1127"/>
      <c r="M346" s="1127"/>
      <c r="N346" s="1691">
        <f t="shared" si="33"/>
        <v>0</v>
      </c>
      <c r="O346" s="634">
        <f t="shared" si="34"/>
        <v>0</v>
      </c>
      <c r="P346" s="144"/>
      <c r="Q346" s="144"/>
      <c r="R346" s="144"/>
      <c r="S346" s="144"/>
    </row>
    <row r="347" spans="1:19" ht="14.25" customHeight="1">
      <c r="A347" s="630"/>
      <c r="B347" s="631"/>
      <c r="C347" s="1127"/>
      <c r="D347" s="632"/>
      <c r="E347" s="1127"/>
      <c r="F347" s="633">
        <f t="shared" si="35"/>
        <v>0</v>
      </c>
      <c r="G347" s="632"/>
      <c r="H347" s="1127"/>
      <c r="I347" s="633">
        <f t="shared" si="36"/>
        <v>0</v>
      </c>
      <c r="J347" s="633">
        <f t="shared" si="37"/>
        <v>0</v>
      </c>
      <c r="K347" s="633">
        <f t="shared" si="38"/>
        <v>0</v>
      </c>
      <c r="L347" s="1127"/>
      <c r="M347" s="1127"/>
      <c r="N347" s="1691">
        <f t="shared" si="33"/>
        <v>0</v>
      </c>
      <c r="O347" s="634">
        <f t="shared" si="34"/>
        <v>0</v>
      </c>
      <c r="P347" s="144"/>
      <c r="Q347" s="144"/>
      <c r="R347" s="144"/>
      <c r="S347" s="144"/>
    </row>
    <row r="348" spans="1:19" ht="14.25" customHeight="1">
      <c r="A348" s="630"/>
      <c r="B348" s="631"/>
      <c r="C348" s="1127"/>
      <c r="D348" s="632"/>
      <c r="E348" s="1127"/>
      <c r="F348" s="633">
        <f t="shared" si="35"/>
        <v>0</v>
      </c>
      <c r="G348" s="632"/>
      <c r="H348" s="1127"/>
      <c r="I348" s="633">
        <f t="shared" si="36"/>
        <v>0</v>
      </c>
      <c r="J348" s="633">
        <f t="shared" si="37"/>
        <v>0</v>
      </c>
      <c r="K348" s="633">
        <f t="shared" si="38"/>
        <v>0</v>
      </c>
      <c r="L348" s="1127"/>
      <c r="M348" s="1127"/>
      <c r="N348" s="1691">
        <f t="shared" si="33"/>
        <v>0</v>
      </c>
      <c r="O348" s="634">
        <f t="shared" si="34"/>
        <v>0</v>
      </c>
      <c r="P348" s="144"/>
      <c r="Q348" s="144"/>
      <c r="R348" s="144"/>
      <c r="S348" s="144"/>
    </row>
    <row r="349" spans="1:19" ht="14.25" customHeight="1">
      <c r="A349" s="630"/>
      <c r="B349" s="631"/>
      <c r="C349" s="1127"/>
      <c r="D349" s="632"/>
      <c r="E349" s="1127"/>
      <c r="F349" s="633">
        <f t="shared" si="35"/>
        <v>0</v>
      </c>
      <c r="G349" s="632"/>
      <c r="H349" s="1127"/>
      <c r="I349" s="633">
        <f t="shared" si="36"/>
        <v>0</v>
      </c>
      <c r="J349" s="633">
        <f t="shared" si="37"/>
        <v>0</v>
      </c>
      <c r="K349" s="633">
        <f t="shared" si="38"/>
        <v>0</v>
      </c>
      <c r="L349" s="1127"/>
      <c r="M349" s="1127"/>
      <c r="N349" s="1691">
        <f t="shared" si="33"/>
        <v>0</v>
      </c>
      <c r="O349" s="634">
        <f t="shared" si="34"/>
        <v>0</v>
      </c>
      <c r="P349" s="144"/>
      <c r="Q349" s="144"/>
      <c r="R349" s="144"/>
      <c r="S349" s="144"/>
    </row>
    <row r="350" spans="1:19" ht="14.25" customHeight="1">
      <c r="A350" s="630"/>
      <c r="B350" s="631"/>
      <c r="C350" s="1127"/>
      <c r="D350" s="632"/>
      <c r="E350" s="1127"/>
      <c r="F350" s="633">
        <f t="shared" si="35"/>
        <v>0</v>
      </c>
      <c r="G350" s="632"/>
      <c r="H350" s="1127"/>
      <c r="I350" s="633">
        <f t="shared" si="36"/>
        <v>0</v>
      </c>
      <c r="J350" s="633">
        <f t="shared" si="37"/>
        <v>0</v>
      </c>
      <c r="K350" s="633">
        <f t="shared" si="38"/>
        <v>0</v>
      </c>
      <c r="L350" s="1127"/>
      <c r="M350" s="1127"/>
      <c r="N350" s="1691">
        <f t="shared" si="33"/>
        <v>0</v>
      </c>
      <c r="O350" s="634">
        <f t="shared" si="34"/>
        <v>0</v>
      </c>
      <c r="P350" s="144"/>
      <c r="Q350" s="144"/>
      <c r="R350" s="144"/>
      <c r="S350" s="144"/>
    </row>
    <row r="351" spans="1:19" ht="14.25" customHeight="1">
      <c r="A351" s="630"/>
      <c r="B351" s="631"/>
      <c r="C351" s="1127"/>
      <c r="D351" s="632"/>
      <c r="E351" s="1127"/>
      <c r="F351" s="633">
        <f t="shared" si="35"/>
        <v>0</v>
      </c>
      <c r="G351" s="632"/>
      <c r="H351" s="1127"/>
      <c r="I351" s="633">
        <f t="shared" si="36"/>
        <v>0</v>
      </c>
      <c r="J351" s="633">
        <f t="shared" si="37"/>
        <v>0</v>
      </c>
      <c r="K351" s="633">
        <f t="shared" si="38"/>
        <v>0</v>
      </c>
      <c r="L351" s="1127"/>
      <c r="M351" s="1127"/>
      <c r="N351" s="1691">
        <f t="shared" si="33"/>
        <v>0</v>
      </c>
      <c r="O351" s="634">
        <f t="shared" si="34"/>
        <v>0</v>
      </c>
      <c r="P351" s="144"/>
      <c r="Q351" s="144"/>
      <c r="R351" s="144"/>
      <c r="S351" s="144"/>
    </row>
    <row r="352" spans="1:19" ht="14.25" customHeight="1">
      <c r="A352" s="630"/>
      <c r="B352" s="631"/>
      <c r="C352" s="1127"/>
      <c r="D352" s="632"/>
      <c r="E352" s="1127"/>
      <c r="F352" s="633">
        <f t="shared" si="35"/>
        <v>0</v>
      </c>
      <c r="G352" s="632"/>
      <c r="H352" s="1127"/>
      <c r="I352" s="633">
        <f t="shared" si="36"/>
        <v>0</v>
      </c>
      <c r="J352" s="633">
        <f t="shared" si="37"/>
        <v>0</v>
      </c>
      <c r="K352" s="633">
        <f t="shared" si="38"/>
        <v>0</v>
      </c>
      <c r="L352" s="1127"/>
      <c r="M352" s="1127"/>
      <c r="N352" s="1691">
        <f t="shared" si="33"/>
        <v>0</v>
      </c>
      <c r="O352" s="634">
        <f t="shared" si="34"/>
        <v>0</v>
      </c>
      <c r="P352" s="144"/>
      <c r="Q352" s="144"/>
      <c r="R352" s="144"/>
      <c r="S352" s="144"/>
    </row>
    <row r="353" spans="1:19" ht="14.25" customHeight="1">
      <c r="A353" s="630"/>
      <c r="B353" s="631"/>
      <c r="C353" s="1127"/>
      <c r="D353" s="632"/>
      <c r="E353" s="1127"/>
      <c r="F353" s="633">
        <f t="shared" si="35"/>
        <v>0</v>
      </c>
      <c r="G353" s="632"/>
      <c r="H353" s="1127"/>
      <c r="I353" s="633">
        <f t="shared" si="36"/>
        <v>0</v>
      </c>
      <c r="J353" s="633">
        <f t="shared" si="37"/>
        <v>0</v>
      </c>
      <c r="K353" s="633">
        <f t="shared" si="38"/>
        <v>0</v>
      </c>
      <c r="L353" s="1127"/>
      <c r="M353" s="1127"/>
      <c r="N353" s="1691">
        <f t="shared" si="33"/>
        <v>0</v>
      </c>
      <c r="O353" s="634">
        <f t="shared" si="34"/>
        <v>0</v>
      </c>
      <c r="P353" s="144"/>
      <c r="Q353" s="144"/>
      <c r="R353" s="144"/>
      <c r="S353" s="144"/>
    </row>
    <row r="354" spans="1:19" ht="14.25" customHeight="1">
      <c r="A354" s="630"/>
      <c r="B354" s="631"/>
      <c r="C354" s="1127"/>
      <c r="D354" s="632"/>
      <c r="E354" s="1127"/>
      <c r="F354" s="633">
        <f t="shared" si="35"/>
        <v>0</v>
      </c>
      <c r="G354" s="632"/>
      <c r="H354" s="1127"/>
      <c r="I354" s="633">
        <f t="shared" si="36"/>
        <v>0</v>
      </c>
      <c r="J354" s="633">
        <f t="shared" si="37"/>
        <v>0</v>
      </c>
      <c r="K354" s="633">
        <f t="shared" si="38"/>
        <v>0</v>
      </c>
      <c r="L354" s="1127"/>
      <c r="M354" s="1127"/>
      <c r="N354" s="1691">
        <f t="shared" si="33"/>
        <v>0</v>
      </c>
      <c r="O354" s="634">
        <f t="shared" si="34"/>
        <v>0</v>
      </c>
      <c r="P354" s="144"/>
      <c r="Q354" s="144"/>
      <c r="R354" s="144"/>
      <c r="S354" s="144"/>
    </row>
    <row r="355" spans="1:19" ht="14.25" customHeight="1">
      <c r="A355" s="630"/>
      <c r="B355" s="631"/>
      <c r="C355" s="1127"/>
      <c r="D355" s="632"/>
      <c r="E355" s="1127"/>
      <c r="F355" s="633">
        <f t="shared" si="35"/>
        <v>0</v>
      </c>
      <c r="G355" s="632"/>
      <c r="H355" s="1127"/>
      <c r="I355" s="633">
        <f t="shared" si="36"/>
        <v>0</v>
      </c>
      <c r="J355" s="633">
        <f t="shared" si="37"/>
        <v>0</v>
      </c>
      <c r="K355" s="633">
        <f t="shared" si="38"/>
        <v>0</v>
      </c>
      <c r="L355" s="1127"/>
      <c r="M355" s="1127"/>
      <c r="N355" s="1691">
        <f t="shared" si="33"/>
        <v>0</v>
      </c>
      <c r="O355" s="634">
        <f t="shared" si="34"/>
        <v>0</v>
      </c>
      <c r="P355" s="144"/>
      <c r="Q355" s="144"/>
      <c r="R355" s="144"/>
      <c r="S355" s="144"/>
    </row>
    <row r="356" spans="1:19" ht="14.25" customHeight="1">
      <c r="A356" s="630"/>
      <c r="B356" s="631"/>
      <c r="C356" s="1127"/>
      <c r="D356" s="632"/>
      <c r="E356" s="1127"/>
      <c r="F356" s="633">
        <f t="shared" si="35"/>
        <v>0</v>
      </c>
      <c r="G356" s="632"/>
      <c r="H356" s="1127"/>
      <c r="I356" s="633">
        <f t="shared" si="36"/>
        <v>0</v>
      </c>
      <c r="J356" s="633">
        <f t="shared" si="37"/>
        <v>0</v>
      </c>
      <c r="K356" s="633">
        <f t="shared" si="38"/>
        <v>0</v>
      </c>
      <c r="L356" s="1127"/>
      <c r="M356" s="1127"/>
      <c r="N356" s="1691">
        <f t="shared" si="33"/>
        <v>0</v>
      </c>
      <c r="O356" s="634">
        <f t="shared" si="34"/>
        <v>0</v>
      </c>
      <c r="P356" s="144"/>
      <c r="Q356" s="144"/>
      <c r="R356" s="144"/>
      <c r="S356" s="144"/>
    </row>
    <row r="357" spans="1:19" ht="14.25" customHeight="1">
      <c r="A357" s="630"/>
      <c r="B357" s="631"/>
      <c r="C357" s="1127"/>
      <c r="D357" s="632"/>
      <c r="E357" s="1127"/>
      <c r="F357" s="633">
        <f t="shared" si="35"/>
        <v>0</v>
      </c>
      <c r="G357" s="632"/>
      <c r="H357" s="1127"/>
      <c r="I357" s="633">
        <f t="shared" si="36"/>
        <v>0</v>
      </c>
      <c r="J357" s="633">
        <f t="shared" si="37"/>
        <v>0</v>
      </c>
      <c r="K357" s="633">
        <f t="shared" si="38"/>
        <v>0</v>
      </c>
      <c r="L357" s="1127"/>
      <c r="M357" s="1127"/>
      <c r="N357" s="1691">
        <f t="shared" si="33"/>
        <v>0</v>
      </c>
      <c r="O357" s="634">
        <f t="shared" si="34"/>
        <v>0</v>
      </c>
      <c r="P357" s="144"/>
      <c r="Q357" s="144"/>
      <c r="R357" s="144"/>
      <c r="S357" s="144"/>
    </row>
    <row r="358" spans="1:19" ht="14.25" customHeight="1">
      <c r="A358" s="630"/>
      <c r="B358" s="631"/>
      <c r="C358" s="1127"/>
      <c r="D358" s="632"/>
      <c r="E358" s="1127"/>
      <c r="F358" s="633">
        <f t="shared" si="35"/>
        <v>0</v>
      </c>
      <c r="G358" s="632"/>
      <c r="H358" s="1127"/>
      <c r="I358" s="633">
        <f t="shared" si="36"/>
        <v>0</v>
      </c>
      <c r="J358" s="633">
        <f t="shared" si="37"/>
        <v>0</v>
      </c>
      <c r="K358" s="633">
        <f t="shared" si="38"/>
        <v>0</v>
      </c>
      <c r="L358" s="1127"/>
      <c r="M358" s="1127"/>
      <c r="N358" s="1691">
        <f t="shared" si="33"/>
        <v>0</v>
      </c>
      <c r="O358" s="634">
        <f t="shared" si="34"/>
        <v>0</v>
      </c>
      <c r="P358" s="144"/>
      <c r="Q358" s="144"/>
      <c r="R358" s="144"/>
      <c r="S358" s="144"/>
    </row>
    <row r="359" spans="1:19" ht="14.25" customHeight="1">
      <c r="A359" s="630"/>
      <c r="B359" s="631"/>
      <c r="C359" s="1127"/>
      <c r="D359" s="632"/>
      <c r="E359" s="1127"/>
      <c r="F359" s="633">
        <f t="shared" si="35"/>
        <v>0</v>
      </c>
      <c r="G359" s="632"/>
      <c r="H359" s="1127"/>
      <c r="I359" s="633">
        <f t="shared" si="36"/>
        <v>0</v>
      </c>
      <c r="J359" s="633">
        <f t="shared" si="37"/>
        <v>0</v>
      </c>
      <c r="K359" s="633">
        <f t="shared" si="38"/>
        <v>0</v>
      </c>
      <c r="L359" s="1127"/>
      <c r="M359" s="1127"/>
      <c r="N359" s="1691">
        <f t="shared" si="33"/>
        <v>0</v>
      </c>
      <c r="O359" s="634">
        <f t="shared" si="34"/>
        <v>0</v>
      </c>
      <c r="P359" s="144"/>
      <c r="Q359" s="144"/>
      <c r="R359" s="144"/>
      <c r="S359" s="144"/>
    </row>
    <row r="360" spans="1:19" ht="14.25" customHeight="1">
      <c r="A360" s="630"/>
      <c r="B360" s="631"/>
      <c r="C360" s="1127"/>
      <c r="D360" s="632"/>
      <c r="E360" s="1127"/>
      <c r="F360" s="633">
        <f t="shared" si="35"/>
        <v>0</v>
      </c>
      <c r="G360" s="632"/>
      <c r="H360" s="1127"/>
      <c r="I360" s="633">
        <f t="shared" si="36"/>
        <v>0</v>
      </c>
      <c r="J360" s="633">
        <f t="shared" si="37"/>
        <v>0</v>
      </c>
      <c r="K360" s="633">
        <f t="shared" si="38"/>
        <v>0</v>
      </c>
      <c r="L360" s="1127"/>
      <c r="M360" s="1127"/>
      <c r="N360" s="1691">
        <f t="shared" si="33"/>
        <v>0</v>
      </c>
      <c r="O360" s="634">
        <f t="shared" si="34"/>
        <v>0</v>
      </c>
      <c r="P360" s="144"/>
      <c r="Q360" s="144"/>
      <c r="R360" s="144"/>
      <c r="S360" s="144"/>
    </row>
    <row r="361" spans="1:19" ht="14.25" customHeight="1">
      <c r="A361" s="630"/>
      <c r="B361" s="631"/>
      <c r="C361" s="1127"/>
      <c r="D361" s="632"/>
      <c r="E361" s="1127"/>
      <c r="F361" s="633">
        <f t="shared" si="35"/>
        <v>0</v>
      </c>
      <c r="G361" s="632"/>
      <c r="H361" s="1127"/>
      <c r="I361" s="633">
        <f t="shared" si="36"/>
        <v>0</v>
      </c>
      <c r="J361" s="633">
        <f t="shared" si="37"/>
        <v>0</v>
      </c>
      <c r="K361" s="633">
        <f t="shared" si="38"/>
        <v>0</v>
      </c>
      <c r="L361" s="1127"/>
      <c r="M361" s="1127"/>
      <c r="N361" s="1691">
        <f t="shared" si="33"/>
        <v>0</v>
      </c>
      <c r="O361" s="634">
        <f t="shared" si="34"/>
        <v>0</v>
      </c>
      <c r="P361" s="144"/>
      <c r="Q361" s="144"/>
      <c r="R361" s="144"/>
      <c r="S361" s="144"/>
    </row>
    <row r="362" spans="1:19" ht="14.25" customHeight="1">
      <c r="A362" s="630"/>
      <c r="B362" s="631"/>
      <c r="C362" s="1127"/>
      <c r="D362" s="632"/>
      <c r="E362" s="1127"/>
      <c r="F362" s="633">
        <f t="shared" si="35"/>
        <v>0</v>
      </c>
      <c r="G362" s="632"/>
      <c r="H362" s="1127"/>
      <c r="I362" s="633">
        <f t="shared" si="36"/>
        <v>0</v>
      </c>
      <c r="J362" s="633">
        <f t="shared" si="37"/>
        <v>0</v>
      </c>
      <c r="K362" s="633">
        <f t="shared" si="38"/>
        <v>0</v>
      </c>
      <c r="L362" s="1127"/>
      <c r="M362" s="1127"/>
      <c r="N362" s="1691">
        <f t="shared" si="33"/>
        <v>0</v>
      </c>
      <c r="O362" s="634">
        <f t="shared" si="34"/>
        <v>0</v>
      </c>
      <c r="P362" s="144"/>
      <c r="Q362" s="144"/>
      <c r="R362" s="144"/>
      <c r="S362" s="144"/>
    </row>
    <row r="363" spans="1:19" ht="14.25" customHeight="1">
      <c r="A363" s="630"/>
      <c r="B363" s="631"/>
      <c r="C363" s="1127"/>
      <c r="D363" s="632"/>
      <c r="E363" s="1127"/>
      <c r="F363" s="633">
        <f t="shared" si="35"/>
        <v>0</v>
      </c>
      <c r="G363" s="632"/>
      <c r="H363" s="1127"/>
      <c r="I363" s="633">
        <f t="shared" si="36"/>
        <v>0</v>
      </c>
      <c r="J363" s="633">
        <f t="shared" si="37"/>
        <v>0</v>
      </c>
      <c r="K363" s="633">
        <f t="shared" si="38"/>
        <v>0</v>
      </c>
      <c r="L363" s="1127"/>
      <c r="M363" s="1127"/>
      <c r="N363" s="1691">
        <f t="shared" si="33"/>
        <v>0</v>
      </c>
      <c r="O363" s="634">
        <f t="shared" si="34"/>
        <v>0</v>
      </c>
      <c r="P363" s="144"/>
      <c r="Q363" s="144"/>
      <c r="R363" s="144"/>
      <c r="S363" s="144"/>
    </row>
    <row r="364" spans="1:19" ht="14.25" customHeight="1">
      <c r="A364" s="630"/>
      <c r="B364" s="631"/>
      <c r="C364" s="1127"/>
      <c r="D364" s="632"/>
      <c r="E364" s="1127"/>
      <c r="F364" s="633">
        <f t="shared" si="35"/>
        <v>0</v>
      </c>
      <c r="G364" s="632"/>
      <c r="H364" s="1127"/>
      <c r="I364" s="633">
        <f t="shared" si="36"/>
        <v>0</v>
      </c>
      <c r="J364" s="633">
        <f t="shared" si="37"/>
        <v>0</v>
      </c>
      <c r="K364" s="633">
        <f t="shared" si="38"/>
        <v>0</v>
      </c>
      <c r="L364" s="1127"/>
      <c r="M364" s="1127"/>
      <c r="N364" s="1691">
        <f t="shared" si="33"/>
        <v>0</v>
      </c>
      <c r="O364" s="634">
        <f t="shared" si="34"/>
        <v>0</v>
      </c>
      <c r="P364" s="144"/>
      <c r="Q364" s="144"/>
      <c r="R364" s="144"/>
      <c r="S364" s="144"/>
    </row>
    <row r="365" spans="1:19" ht="14.25" customHeight="1">
      <c r="A365" s="630"/>
      <c r="B365" s="631"/>
      <c r="C365" s="1127"/>
      <c r="D365" s="632"/>
      <c r="E365" s="1127"/>
      <c r="F365" s="633">
        <f t="shared" si="35"/>
        <v>0</v>
      </c>
      <c r="G365" s="632"/>
      <c r="H365" s="1127"/>
      <c r="I365" s="633">
        <f t="shared" si="36"/>
        <v>0</v>
      </c>
      <c r="J365" s="633">
        <f t="shared" si="37"/>
        <v>0</v>
      </c>
      <c r="K365" s="633">
        <f t="shared" si="38"/>
        <v>0</v>
      </c>
      <c r="L365" s="1127"/>
      <c r="M365" s="1127"/>
      <c r="N365" s="1691">
        <f t="shared" si="33"/>
        <v>0</v>
      </c>
      <c r="O365" s="634">
        <f t="shared" si="34"/>
        <v>0</v>
      </c>
      <c r="P365" s="144"/>
      <c r="Q365" s="144"/>
      <c r="R365" s="144"/>
      <c r="S365" s="144"/>
    </row>
    <row r="366" spans="1:19" ht="14.25" customHeight="1">
      <c r="A366" s="630"/>
      <c r="B366" s="631"/>
      <c r="C366" s="1127"/>
      <c r="D366" s="632"/>
      <c r="E366" s="1127"/>
      <c r="F366" s="633">
        <f t="shared" si="35"/>
        <v>0</v>
      </c>
      <c r="G366" s="632"/>
      <c r="H366" s="1127"/>
      <c r="I366" s="633">
        <f t="shared" si="36"/>
        <v>0</v>
      </c>
      <c r="J366" s="633">
        <f t="shared" si="37"/>
        <v>0</v>
      </c>
      <c r="K366" s="633">
        <f t="shared" si="38"/>
        <v>0</v>
      </c>
      <c r="L366" s="1127"/>
      <c r="M366" s="1127"/>
      <c r="N366" s="1691">
        <f t="shared" si="33"/>
        <v>0</v>
      </c>
      <c r="O366" s="634">
        <f t="shared" si="34"/>
        <v>0</v>
      </c>
      <c r="P366" s="144"/>
      <c r="Q366" s="144"/>
      <c r="R366" s="144"/>
      <c r="S366" s="144"/>
    </row>
    <row r="367" spans="1:19" ht="14.25" customHeight="1">
      <c r="A367" s="630"/>
      <c r="B367" s="631"/>
      <c r="C367" s="1127"/>
      <c r="D367" s="632"/>
      <c r="E367" s="1127"/>
      <c r="F367" s="633">
        <f t="shared" si="35"/>
        <v>0</v>
      </c>
      <c r="G367" s="632"/>
      <c r="H367" s="1127"/>
      <c r="I367" s="633">
        <f t="shared" si="36"/>
        <v>0</v>
      </c>
      <c r="J367" s="633">
        <f t="shared" si="37"/>
        <v>0</v>
      </c>
      <c r="K367" s="633">
        <f t="shared" si="38"/>
        <v>0</v>
      </c>
      <c r="L367" s="1127"/>
      <c r="M367" s="1127"/>
      <c r="N367" s="1691">
        <f t="shared" si="33"/>
        <v>0</v>
      </c>
      <c r="O367" s="634">
        <f t="shared" si="34"/>
        <v>0</v>
      </c>
      <c r="P367" s="144"/>
      <c r="Q367" s="144"/>
      <c r="R367" s="144"/>
      <c r="S367" s="144"/>
    </row>
    <row r="368" spans="1:19" ht="14.25" customHeight="1">
      <c r="A368" s="630"/>
      <c r="B368" s="631"/>
      <c r="C368" s="1127"/>
      <c r="D368" s="632"/>
      <c r="E368" s="1127"/>
      <c r="F368" s="633">
        <f t="shared" si="35"/>
        <v>0</v>
      </c>
      <c r="G368" s="632"/>
      <c r="H368" s="1127"/>
      <c r="I368" s="633">
        <f t="shared" si="36"/>
        <v>0</v>
      </c>
      <c r="J368" s="633">
        <f t="shared" si="37"/>
        <v>0</v>
      </c>
      <c r="K368" s="633">
        <f t="shared" si="38"/>
        <v>0</v>
      </c>
      <c r="L368" s="1127"/>
      <c r="M368" s="1127"/>
      <c r="N368" s="1691">
        <f t="shared" si="33"/>
        <v>0</v>
      </c>
      <c r="O368" s="634">
        <f t="shared" si="34"/>
        <v>0</v>
      </c>
      <c r="P368" s="144"/>
      <c r="Q368" s="144"/>
      <c r="R368" s="144"/>
      <c r="S368" s="144"/>
    </row>
    <row r="369" spans="1:19" ht="14.25" customHeight="1">
      <c r="A369" s="630"/>
      <c r="B369" s="631"/>
      <c r="C369" s="1127"/>
      <c r="D369" s="632"/>
      <c r="E369" s="1127"/>
      <c r="F369" s="633">
        <f t="shared" si="35"/>
        <v>0</v>
      </c>
      <c r="G369" s="632"/>
      <c r="H369" s="1127"/>
      <c r="I369" s="633">
        <f t="shared" si="36"/>
        <v>0</v>
      </c>
      <c r="J369" s="633">
        <f t="shared" si="37"/>
        <v>0</v>
      </c>
      <c r="K369" s="633">
        <f t="shared" si="38"/>
        <v>0</v>
      </c>
      <c r="L369" s="1127"/>
      <c r="M369" s="1127"/>
      <c r="N369" s="1691">
        <f t="shared" si="33"/>
        <v>0</v>
      </c>
      <c r="O369" s="634">
        <f t="shared" si="34"/>
        <v>0</v>
      </c>
      <c r="P369" s="144"/>
      <c r="Q369" s="144"/>
      <c r="R369" s="144"/>
      <c r="S369" s="144"/>
    </row>
    <row r="370" spans="1:19" ht="14.25" customHeight="1">
      <c r="A370" s="630"/>
      <c r="B370" s="631"/>
      <c r="C370" s="1127"/>
      <c r="D370" s="632"/>
      <c r="E370" s="1127"/>
      <c r="F370" s="633">
        <f t="shared" si="35"/>
        <v>0</v>
      </c>
      <c r="G370" s="632"/>
      <c r="H370" s="1127"/>
      <c r="I370" s="633">
        <f t="shared" si="36"/>
        <v>0</v>
      </c>
      <c r="J370" s="633">
        <f t="shared" si="37"/>
        <v>0</v>
      </c>
      <c r="K370" s="633">
        <f t="shared" si="38"/>
        <v>0</v>
      </c>
      <c r="L370" s="1127"/>
      <c r="M370" s="1127"/>
      <c r="N370" s="1691">
        <f t="shared" si="33"/>
        <v>0</v>
      </c>
      <c r="O370" s="634">
        <f t="shared" si="34"/>
        <v>0</v>
      </c>
      <c r="P370" s="144"/>
      <c r="Q370" s="144"/>
      <c r="R370" s="144"/>
      <c r="S370" s="144"/>
    </row>
    <row r="371" spans="1:19" ht="14.25" customHeight="1">
      <c r="A371" s="630"/>
      <c r="B371" s="631"/>
      <c r="C371" s="1127"/>
      <c r="D371" s="632"/>
      <c r="E371" s="1127"/>
      <c r="F371" s="633">
        <f t="shared" si="35"/>
        <v>0</v>
      </c>
      <c r="G371" s="632"/>
      <c r="H371" s="1127"/>
      <c r="I371" s="633">
        <f t="shared" si="36"/>
        <v>0</v>
      </c>
      <c r="J371" s="633">
        <f t="shared" si="37"/>
        <v>0</v>
      </c>
      <c r="K371" s="633">
        <f t="shared" si="38"/>
        <v>0</v>
      </c>
      <c r="L371" s="1127"/>
      <c r="M371" s="1127"/>
      <c r="N371" s="1691">
        <f t="shared" si="33"/>
        <v>0</v>
      </c>
      <c r="O371" s="634">
        <f t="shared" si="34"/>
        <v>0</v>
      </c>
      <c r="P371" s="144"/>
      <c r="Q371" s="144"/>
      <c r="R371" s="144"/>
      <c r="S371" s="144"/>
    </row>
    <row r="372" spans="1:19" ht="14.25" customHeight="1">
      <c r="A372" s="630"/>
      <c r="B372" s="631"/>
      <c r="C372" s="1127"/>
      <c r="D372" s="632"/>
      <c r="E372" s="1127"/>
      <c r="F372" s="633">
        <f t="shared" si="35"/>
        <v>0</v>
      </c>
      <c r="G372" s="632"/>
      <c r="H372" s="1127"/>
      <c r="I372" s="633">
        <f t="shared" si="36"/>
        <v>0</v>
      </c>
      <c r="J372" s="633">
        <f t="shared" si="37"/>
        <v>0</v>
      </c>
      <c r="K372" s="633">
        <f t="shared" si="38"/>
        <v>0</v>
      </c>
      <c r="L372" s="1127"/>
      <c r="M372" s="1127"/>
      <c r="N372" s="1691">
        <f t="shared" si="33"/>
        <v>0</v>
      </c>
      <c r="O372" s="634">
        <f t="shared" si="34"/>
        <v>0</v>
      </c>
      <c r="P372" s="144"/>
      <c r="Q372" s="144"/>
      <c r="R372" s="144"/>
      <c r="S372" s="144"/>
    </row>
    <row r="373" spans="1:19" ht="14.25" customHeight="1">
      <c r="A373" s="630"/>
      <c r="B373" s="631"/>
      <c r="C373" s="1127"/>
      <c r="D373" s="632"/>
      <c r="E373" s="1127"/>
      <c r="F373" s="633">
        <f t="shared" si="35"/>
        <v>0</v>
      </c>
      <c r="G373" s="632"/>
      <c r="H373" s="1127"/>
      <c r="I373" s="633">
        <f t="shared" si="36"/>
        <v>0</v>
      </c>
      <c r="J373" s="633">
        <f t="shared" si="37"/>
        <v>0</v>
      </c>
      <c r="K373" s="633">
        <f t="shared" si="38"/>
        <v>0</v>
      </c>
      <c r="L373" s="1127"/>
      <c r="M373" s="1127"/>
      <c r="N373" s="1691">
        <f t="shared" si="33"/>
        <v>0</v>
      </c>
      <c r="O373" s="634">
        <f t="shared" si="34"/>
        <v>0</v>
      </c>
      <c r="P373" s="144"/>
      <c r="Q373" s="144"/>
      <c r="R373" s="144"/>
      <c r="S373" s="144"/>
    </row>
    <row r="374" spans="1:19" ht="14.25" customHeight="1">
      <c r="A374" s="630"/>
      <c r="B374" s="631"/>
      <c r="C374" s="1127"/>
      <c r="D374" s="632"/>
      <c r="E374" s="1127"/>
      <c r="F374" s="633">
        <f t="shared" si="35"/>
        <v>0</v>
      </c>
      <c r="G374" s="632"/>
      <c r="H374" s="1127"/>
      <c r="I374" s="633">
        <f t="shared" si="36"/>
        <v>0</v>
      </c>
      <c r="J374" s="633">
        <f t="shared" si="37"/>
        <v>0</v>
      </c>
      <c r="K374" s="633">
        <f t="shared" si="38"/>
        <v>0</v>
      </c>
      <c r="L374" s="1127"/>
      <c r="M374" s="1127"/>
      <c r="N374" s="1691">
        <f t="shared" si="33"/>
        <v>0</v>
      </c>
      <c r="O374" s="634">
        <f t="shared" si="34"/>
        <v>0</v>
      </c>
      <c r="P374" s="144"/>
      <c r="Q374" s="144"/>
      <c r="R374" s="144"/>
      <c r="S374" s="144"/>
    </row>
    <row r="375" spans="1:19" ht="14.25" customHeight="1">
      <c r="A375" s="630"/>
      <c r="B375" s="631"/>
      <c r="C375" s="1127"/>
      <c r="D375" s="632"/>
      <c r="E375" s="1127"/>
      <c r="F375" s="633">
        <f t="shared" si="35"/>
        <v>0</v>
      </c>
      <c r="G375" s="632"/>
      <c r="H375" s="1127"/>
      <c r="I375" s="633">
        <f t="shared" si="36"/>
        <v>0</v>
      </c>
      <c r="J375" s="633">
        <f t="shared" si="37"/>
        <v>0</v>
      </c>
      <c r="K375" s="633">
        <f t="shared" si="38"/>
        <v>0</v>
      </c>
      <c r="L375" s="1127"/>
      <c r="M375" s="1127"/>
      <c r="N375" s="1691">
        <f t="shared" si="33"/>
        <v>0</v>
      </c>
      <c r="O375" s="634">
        <f t="shared" si="34"/>
        <v>0</v>
      </c>
      <c r="P375" s="144"/>
      <c r="Q375" s="144"/>
      <c r="R375" s="144"/>
      <c r="S375" s="144"/>
    </row>
    <row r="376" spans="1:19" ht="14.25" customHeight="1">
      <c r="A376" s="630"/>
      <c r="B376" s="631"/>
      <c r="C376" s="1127"/>
      <c r="D376" s="632"/>
      <c r="E376" s="1127"/>
      <c r="F376" s="633">
        <f t="shared" si="35"/>
        <v>0</v>
      </c>
      <c r="G376" s="632"/>
      <c r="H376" s="1127"/>
      <c r="I376" s="633">
        <f t="shared" si="36"/>
        <v>0</v>
      </c>
      <c r="J376" s="633">
        <f t="shared" si="37"/>
        <v>0</v>
      </c>
      <c r="K376" s="633">
        <f t="shared" si="38"/>
        <v>0</v>
      </c>
      <c r="L376" s="1127"/>
      <c r="M376" s="1127"/>
      <c r="N376" s="1691">
        <f t="shared" si="33"/>
        <v>0</v>
      </c>
      <c r="O376" s="634">
        <f t="shared" si="34"/>
        <v>0</v>
      </c>
      <c r="P376" s="144"/>
      <c r="Q376" s="144"/>
      <c r="R376" s="144"/>
      <c r="S376" s="144"/>
    </row>
    <row r="377" spans="1:19" ht="14.25" customHeight="1">
      <c r="A377" s="630"/>
      <c r="B377" s="631"/>
      <c r="C377" s="1127"/>
      <c r="D377" s="632"/>
      <c r="E377" s="1127"/>
      <c r="F377" s="633">
        <f t="shared" si="35"/>
        <v>0</v>
      </c>
      <c r="G377" s="632"/>
      <c r="H377" s="1127"/>
      <c r="I377" s="633">
        <f t="shared" si="36"/>
        <v>0</v>
      </c>
      <c r="J377" s="633">
        <f t="shared" si="37"/>
        <v>0</v>
      </c>
      <c r="K377" s="633">
        <f t="shared" si="38"/>
        <v>0</v>
      </c>
      <c r="L377" s="1127"/>
      <c r="M377" s="1127"/>
      <c r="N377" s="1691">
        <f t="shared" si="33"/>
        <v>0</v>
      </c>
      <c r="O377" s="634">
        <f t="shared" si="34"/>
        <v>0</v>
      </c>
      <c r="P377" s="144"/>
      <c r="Q377" s="144"/>
      <c r="R377" s="144"/>
      <c r="S377" s="144"/>
    </row>
    <row r="378" spans="1:19" ht="14.25" customHeight="1">
      <c r="A378" s="630"/>
      <c r="B378" s="631"/>
      <c r="C378" s="1127"/>
      <c r="D378" s="632"/>
      <c r="E378" s="1127"/>
      <c r="F378" s="633">
        <f t="shared" si="35"/>
        <v>0</v>
      </c>
      <c r="G378" s="632"/>
      <c r="H378" s="1127"/>
      <c r="I378" s="633">
        <f t="shared" si="36"/>
        <v>0</v>
      </c>
      <c r="J378" s="633">
        <f t="shared" si="37"/>
        <v>0</v>
      </c>
      <c r="K378" s="633">
        <f t="shared" si="38"/>
        <v>0</v>
      </c>
      <c r="L378" s="1127"/>
      <c r="M378" s="1127"/>
      <c r="N378" s="1691">
        <f t="shared" si="33"/>
        <v>0</v>
      </c>
      <c r="O378" s="634">
        <f t="shared" si="34"/>
        <v>0</v>
      </c>
      <c r="P378" s="144"/>
      <c r="Q378" s="144"/>
      <c r="R378" s="144"/>
      <c r="S378" s="144"/>
    </row>
    <row r="379" spans="1:19" ht="14.25" customHeight="1">
      <c r="A379" s="630"/>
      <c r="B379" s="631"/>
      <c r="C379" s="1127"/>
      <c r="D379" s="632"/>
      <c r="E379" s="1127"/>
      <c r="F379" s="633">
        <f t="shared" si="35"/>
        <v>0</v>
      </c>
      <c r="G379" s="632"/>
      <c r="H379" s="1127"/>
      <c r="I379" s="633">
        <f t="shared" si="36"/>
        <v>0</v>
      </c>
      <c r="J379" s="633">
        <f t="shared" si="37"/>
        <v>0</v>
      </c>
      <c r="K379" s="633">
        <f t="shared" si="38"/>
        <v>0</v>
      </c>
      <c r="L379" s="1127"/>
      <c r="M379" s="1127"/>
      <c r="N379" s="1691">
        <f t="shared" si="33"/>
        <v>0</v>
      </c>
      <c r="O379" s="634">
        <f t="shared" si="34"/>
        <v>0</v>
      </c>
      <c r="P379" s="144"/>
      <c r="Q379" s="144"/>
      <c r="R379" s="144"/>
      <c r="S379" s="144"/>
    </row>
    <row r="380" spans="1:19" ht="14.25" customHeight="1">
      <c r="A380" s="630"/>
      <c r="B380" s="631"/>
      <c r="C380" s="1127"/>
      <c r="D380" s="632"/>
      <c r="E380" s="1127"/>
      <c r="F380" s="633">
        <f t="shared" si="35"/>
        <v>0</v>
      </c>
      <c r="G380" s="632"/>
      <c r="H380" s="1127"/>
      <c r="I380" s="633">
        <f t="shared" si="36"/>
        <v>0</v>
      </c>
      <c r="J380" s="633">
        <f t="shared" si="37"/>
        <v>0</v>
      </c>
      <c r="K380" s="633">
        <f t="shared" si="38"/>
        <v>0</v>
      </c>
      <c r="L380" s="1127"/>
      <c r="M380" s="1127"/>
      <c r="N380" s="1691">
        <f t="shared" si="33"/>
        <v>0</v>
      </c>
      <c r="O380" s="634">
        <f t="shared" si="34"/>
        <v>0</v>
      </c>
      <c r="P380" s="144"/>
      <c r="Q380" s="144"/>
      <c r="R380" s="144"/>
      <c r="S380" s="144"/>
    </row>
    <row r="381" spans="1:19" ht="14.25" customHeight="1">
      <c r="A381" s="630"/>
      <c r="B381" s="631"/>
      <c r="C381" s="1127"/>
      <c r="D381" s="632"/>
      <c r="E381" s="1127"/>
      <c r="F381" s="633">
        <f t="shared" si="35"/>
        <v>0</v>
      </c>
      <c r="G381" s="632"/>
      <c r="H381" s="1127"/>
      <c r="I381" s="633">
        <f t="shared" si="36"/>
        <v>0</v>
      </c>
      <c r="J381" s="633">
        <f t="shared" si="37"/>
        <v>0</v>
      </c>
      <c r="K381" s="633">
        <f t="shared" si="38"/>
        <v>0</v>
      </c>
      <c r="L381" s="1127"/>
      <c r="M381" s="1127"/>
      <c r="N381" s="1691">
        <f t="shared" si="33"/>
        <v>0</v>
      </c>
      <c r="O381" s="634">
        <f t="shared" si="34"/>
        <v>0</v>
      </c>
      <c r="P381" s="144"/>
      <c r="Q381" s="144"/>
      <c r="R381" s="144"/>
      <c r="S381" s="144"/>
    </row>
    <row r="382" spans="1:19" ht="14.25" customHeight="1">
      <c r="A382" s="630"/>
      <c r="B382" s="631"/>
      <c r="C382" s="1127"/>
      <c r="D382" s="632"/>
      <c r="E382" s="1127"/>
      <c r="F382" s="633">
        <f t="shared" si="35"/>
        <v>0</v>
      </c>
      <c r="G382" s="632"/>
      <c r="H382" s="1127"/>
      <c r="I382" s="633">
        <f t="shared" si="36"/>
        <v>0</v>
      </c>
      <c r="J382" s="633">
        <f t="shared" si="37"/>
        <v>0</v>
      </c>
      <c r="K382" s="633">
        <f t="shared" si="38"/>
        <v>0</v>
      </c>
      <c r="L382" s="1127"/>
      <c r="M382" s="1127"/>
      <c r="N382" s="1691">
        <f t="shared" si="33"/>
        <v>0</v>
      </c>
      <c r="O382" s="634">
        <f t="shared" si="34"/>
        <v>0</v>
      </c>
      <c r="P382" s="144"/>
      <c r="Q382" s="144"/>
      <c r="R382" s="144"/>
      <c r="S382" s="144"/>
    </row>
    <row r="383" spans="1:19" ht="14.25" customHeight="1">
      <c r="A383" s="630"/>
      <c r="B383" s="631"/>
      <c r="C383" s="1127"/>
      <c r="D383" s="632"/>
      <c r="E383" s="1127"/>
      <c r="F383" s="633">
        <f t="shared" si="35"/>
        <v>0</v>
      </c>
      <c r="G383" s="632"/>
      <c r="H383" s="1127"/>
      <c r="I383" s="633">
        <f t="shared" si="36"/>
        <v>0</v>
      </c>
      <c r="J383" s="633">
        <f t="shared" si="37"/>
        <v>0</v>
      </c>
      <c r="K383" s="633">
        <f t="shared" si="38"/>
        <v>0</v>
      </c>
      <c r="L383" s="1127"/>
      <c r="M383" s="1127"/>
      <c r="N383" s="1691">
        <f t="shared" si="33"/>
        <v>0</v>
      </c>
      <c r="O383" s="634">
        <f t="shared" si="34"/>
        <v>0</v>
      </c>
      <c r="P383" s="144"/>
      <c r="Q383" s="144"/>
      <c r="R383" s="144"/>
      <c r="S383" s="144"/>
    </row>
    <row r="384" spans="1:19" ht="14.25" customHeight="1">
      <c r="A384" s="630"/>
      <c r="B384" s="631"/>
      <c r="C384" s="1127"/>
      <c r="D384" s="632"/>
      <c r="E384" s="1127"/>
      <c r="F384" s="633">
        <f t="shared" si="35"/>
        <v>0</v>
      </c>
      <c r="G384" s="632"/>
      <c r="H384" s="1127"/>
      <c r="I384" s="633">
        <f t="shared" si="36"/>
        <v>0</v>
      </c>
      <c r="J384" s="633">
        <f t="shared" si="37"/>
        <v>0</v>
      </c>
      <c r="K384" s="633">
        <f t="shared" si="38"/>
        <v>0</v>
      </c>
      <c r="L384" s="1127"/>
      <c r="M384" s="1127"/>
      <c r="N384" s="1691">
        <f t="shared" si="33"/>
        <v>0</v>
      </c>
      <c r="O384" s="634">
        <f t="shared" si="34"/>
        <v>0</v>
      </c>
      <c r="P384" s="144"/>
      <c r="Q384" s="144"/>
      <c r="R384" s="144"/>
      <c r="S384" s="144"/>
    </row>
    <row r="385" spans="1:19" ht="14.25" customHeight="1">
      <c r="A385" s="630"/>
      <c r="B385" s="631"/>
      <c r="C385" s="1127"/>
      <c r="D385" s="632"/>
      <c r="E385" s="1127"/>
      <c r="F385" s="633">
        <f t="shared" si="35"/>
        <v>0</v>
      </c>
      <c r="G385" s="632"/>
      <c r="H385" s="1127"/>
      <c r="I385" s="633">
        <f t="shared" si="36"/>
        <v>0</v>
      </c>
      <c r="J385" s="633">
        <f t="shared" si="37"/>
        <v>0</v>
      </c>
      <c r="K385" s="633">
        <f t="shared" si="38"/>
        <v>0</v>
      </c>
      <c r="L385" s="1127"/>
      <c r="M385" s="1127"/>
      <c r="N385" s="1691">
        <f t="shared" si="33"/>
        <v>0</v>
      </c>
      <c r="O385" s="634">
        <f t="shared" si="34"/>
        <v>0</v>
      </c>
      <c r="P385" s="144"/>
      <c r="Q385" s="144"/>
      <c r="R385" s="144"/>
      <c r="S385" s="144"/>
    </row>
    <row r="386" spans="1:19" ht="14.25" customHeight="1">
      <c r="A386" s="630"/>
      <c r="B386" s="631"/>
      <c r="C386" s="1127"/>
      <c r="D386" s="632"/>
      <c r="E386" s="1127"/>
      <c r="F386" s="633">
        <f t="shared" si="35"/>
        <v>0</v>
      </c>
      <c r="G386" s="632"/>
      <c r="H386" s="1127"/>
      <c r="I386" s="633">
        <f t="shared" si="36"/>
        <v>0</v>
      </c>
      <c r="J386" s="633">
        <f t="shared" si="37"/>
        <v>0</v>
      </c>
      <c r="K386" s="633">
        <f t="shared" si="38"/>
        <v>0</v>
      </c>
      <c r="L386" s="1127"/>
      <c r="M386" s="1127"/>
      <c r="N386" s="1691">
        <f t="shared" si="33"/>
        <v>0</v>
      </c>
      <c r="O386" s="634">
        <f t="shared" si="34"/>
        <v>0</v>
      </c>
      <c r="P386" s="144"/>
      <c r="Q386" s="144"/>
      <c r="R386" s="144"/>
      <c r="S386" s="144"/>
    </row>
    <row r="387" spans="1:19" ht="14.25" customHeight="1">
      <c r="A387" s="630"/>
      <c r="B387" s="631"/>
      <c r="C387" s="1127"/>
      <c r="D387" s="632"/>
      <c r="E387" s="1127"/>
      <c r="F387" s="633">
        <f t="shared" si="35"/>
        <v>0</v>
      </c>
      <c r="G387" s="632"/>
      <c r="H387" s="1127"/>
      <c r="I387" s="633">
        <f t="shared" si="36"/>
        <v>0</v>
      </c>
      <c r="J387" s="633">
        <f t="shared" si="37"/>
        <v>0</v>
      </c>
      <c r="K387" s="633">
        <f t="shared" si="38"/>
        <v>0</v>
      </c>
      <c r="L387" s="1127"/>
      <c r="M387" s="1127"/>
      <c r="N387" s="1691">
        <f t="shared" si="33"/>
        <v>0</v>
      </c>
      <c r="O387" s="634">
        <f t="shared" si="34"/>
        <v>0</v>
      </c>
      <c r="P387" s="144"/>
      <c r="Q387" s="144"/>
      <c r="R387" s="144"/>
      <c r="S387" s="144"/>
    </row>
    <row r="388" spans="1:19" ht="14.25" customHeight="1">
      <c r="A388" s="630"/>
      <c r="B388" s="631"/>
      <c r="C388" s="1127"/>
      <c r="D388" s="632"/>
      <c r="E388" s="1127"/>
      <c r="F388" s="633">
        <f t="shared" si="35"/>
        <v>0</v>
      </c>
      <c r="G388" s="632"/>
      <c r="H388" s="1127"/>
      <c r="I388" s="633">
        <f t="shared" si="36"/>
        <v>0</v>
      </c>
      <c r="J388" s="633">
        <f t="shared" si="37"/>
        <v>0</v>
      </c>
      <c r="K388" s="633">
        <f t="shared" si="38"/>
        <v>0</v>
      </c>
      <c r="L388" s="1127"/>
      <c r="M388" s="1127"/>
      <c r="N388" s="1691">
        <f t="shared" si="33"/>
        <v>0</v>
      </c>
      <c r="O388" s="634">
        <f t="shared" si="34"/>
        <v>0</v>
      </c>
      <c r="P388" s="144"/>
      <c r="Q388" s="144"/>
      <c r="R388" s="144"/>
      <c r="S388" s="144"/>
    </row>
    <row r="389" spans="1:19" ht="14.25" customHeight="1">
      <c r="A389" s="630"/>
      <c r="B389" s="631"/>
      <c r="C389" s="1127"/>
      <c r="D389" s="632"/>
      <c r="E389" s="1127"/>
      <c r="F389" s="633">
        <f t="shared" si="35"/>
        <v>0</v>
      </c>
      <c r="G389" s="632"/>
      <c r="H389" s="1127"/>
      <c r="I389" s="633">
        <f t="shared" si="36"/>
        <v>0</v>
      </c>
      <c r="J389" s="633">
        <f t="shared" si="37"/>
        <v>0</v>
      </c>
      <c r="K389" s="633">
        <f t="shared" si="38"/>
        <v>0</v>
      </c>
      <c r="L389" s="1127"/>
      <c r="M389" s="1127"/>
      <c r="N389" s="1691">
        <f t="shared" si="33"/>
        <v>0</v>
      </c>
      <c r="O389" s="634">
        <f t="shared" si="34"/>
        <v>0</v>
      </c>
      <c r="P389" s="144"/>
      <c r="Q389" s="144"/>
      <c r="R389" s="144"/>
      <c r="S389" s="144"/>
    </row>
    <row r="390" spans="1:19" ht="14.25" customHeight="1">
      <c r="A390" s="630"/>
      <c r="B390" s="631"/>
      <c r="C390" s="1127"/>
      <c r="D390" s="632"/>
      <c r="E390" s="1127"/>
      <c r="F390" s="633">
        <f t="shared" si="35"/>
        <v>0</v>
      </c>
      <c r="G390" s="632"/>
      <c r="H390" s="1127"/>
      <c r="I390" s="633">
        <f t="shared" si="36"/>
        <v>0</v>
      </c>
      <c r="J390" s="633">
        <f t="shared" si="37"/>
        <v>0</v>
      </c>
      <c r="K390" s="633">
        <f t="shared" si="38"/>
        <v>0</v>
      </c>
      <c r="L390" s="1127"/>
      <c r="M390" s="1127"/>
      <c r="N390" s="1691">
        <f t="shared" si="33"/>
        <v>0</v>
      </c>
      <c r="O390" s="634">
        <f t="shared" si="34"/>
        <v>0</v>
      </c>
      <c r="P390" s="144"/>
      <c r="Q390" s="144"/>
      <c r="R390" s="144"/>
      <c r="S390" s="144"/>
    </row>
    <row r="391" spans="1:19" ht="14.25" customHeight="1">
      <c r="A391" s="630"/>
      <c r="B391" s="631"/>
      <c r="C391" s="1127"/>
      <c r="D391" s="632"/>
      <c r="E391" s="1127"/>
      <c r="F391" s="633">
        <f t="shared" si="35"/>
        <v>0</v>
      </c>
      <c r="G391" s="632"/>
      <c r="H391" s="1127"/>
      <c r="I391" s="633">
        <f t="shared" si="36"/>
        <v>0</v>
      </c>
      <c r="J391" s="633">
        <f t="shared" si="37"/>
        <v>0</v>
      </c>
      <c r="K391" s="633">
        <f t="shared" si="38"/>
        <v>0</v>
      </c>
      <c r="L391" s="1127"/>
      <c r="M391" s="1127"/>
      <c r="N391" s="1691">
        <f t="shared" si="33"/>
        <v>0</v>
      </c>
      <c r="O391" s="634">
        <f t="shared" si="34"/>
        <v>0</v>
      </c>
      <c r="P391" s="144"/>
      <c r="Q391" s="144"/>
      <c r="R391" s="144"/>
      <c r="S391" s="144"/>
    </row>
    <row r="392" spans="1:19" ht="14.25" customHeight="1">
      <c r="A392" s="630"/>
      <c r="B392" s="631"/>
      <c r="C392" s="1127"/>
      <c r="D392" s="632"/>
      <c r="E392" s="1127"/>
      <c r="F392" s="633">
        <f t="shared" si="35"/>
        <v>0</v>
      </c>
      <c r="G392" s="632"/>
      <c r="H392" s="1127"/>
      <c r="I392" s="633">
        <f t="shared" si="36"/>
        <v>0</v>
      </c>
      <c r="J392" s="633">
        <f t="shared" si="37"/>
        <v>0</v>
      </c>
      <c r="K392" s="633">
        <f t="shared" si="38"/>
        <v>0</v>
      </c>
      <c r="L392" s="1127"/>
      <c r="M392" s="1127"/>
      <c r="N392" s="1691">
        <f t="shared" si="33"/>
        <v>0</v>
      </c>
      <c r="O392" s="634">
        <f t="shared" si="34"/>
        <v>0</v>
      </c>
      <c r="P392" s="144"/>
      <c r="Q392" s="144"/>
      <c r="R392" s="144"/>
      <c r="S392" s="144"/>
    </row>
    <row r="393" spans="1:19" ht="14.25" customHeight="1">
      <c r="A393" s="630"/>
      <c r="B393" s="631"/>
      <c r="C393" s="1127"/>
      <c r="D393" s="632"/>
      <c r="E393" s="1127"/>
      <c r="F393" s="633">
        <f t="shared" si="35"/>
        <v>0</v>
      </c>
      <c r="G393" s="632"/>
      <c r="H393" s="1127"/>
      <c r="I393" s="633">
        <f t="shared" si="36"/>
        <v>0</v>
      </c>
      <c r="J393" s="633">
        <f t="shared" si="37"/>
        <v>0</v>
      </c>
      <c r="K393" s="633">
        <f t="shared" si="38"/>
        <v>0</v>
      </c>
      <c r="L393" s="1127"/>
      <c r="M393" s="1127"/>
      <c r="N393" s="1691">
        <f t="shared" si="33"/>
        <v>0</v>
      </c>
      <c r="O393" s="634">
        <f t="shared" si="34"/>
        <v>0</v>
      </c>
      <c r="P393" s="144"/>
      <c r="Q393" s="144"/>
      <c r="R393" s="144"/>
      <c r="S393" s="144"/>
    </row>
    <row r="394" spans="1:19" ht="14.25" customHeight="1">
      <c r="A394" s="630"/>
      <c r="B394" s="631"/>
      <c r="C394" s="1127"/>
      <c r="D394" s="632"/>
      <c r="E394" s="1127"/>
      <c r="F394" s="633">
        <f t="shared" si="35"/>
        <v>0</v>
      </c>
      <c r="G394" s="632"/>
      <c r="H394" s="1127"/>
      <c r="I394" s="633">
        <f t="shared" si="36"/>
        <v>0</v>
      </c>
      <c r="J394" s="633">
        <f t="shared" si="37"/>
        <v>0</v>
      </c>
      <c r="K394" s="633">
        <f t="shared" si="38"/>
        <v>0</v>
      </c>
      <c r="L394" s="1127"/>
      <c r="M394" s="1127"/>
      <c r="N394" s="1691">
        <f t="shared" ref="N394:N457" si="39">IF(M394&lt;&gt;0,ROUND(B394*K394,2)+M394,IF(ABS(ROUND(K394*B394,2)-L394)&lt;3,L394,MIN(ROUND(K394*B394,2),L394)))</f>
        <v>0</v>
      </c>
      <c r="O394" s="634">
        <f t="shared" ref="O394:O457" si="40">IF(ISERROR(L394-N394),"",IF(ABS(L394-N394)&lt;3,0,L394-N394))</f>
        <v>0</v>
      </c>
      <c r="P394" s="144"/>
      <c r="Q394" s="144"/>
      <c r="R394" s="144"/>
      <c r="S394" s="144"/>
    </row>
    <row r="395" spans="1:19" ht="14.25" customHeight="1">
      <c r="A395" s="630"/>
      <c r="B395" s="631"/>
      <c r="C395" s="1127"/>
      <c r="D395" s="632"/>
      <c r="E395" s="1127"/>
      <c r="F395" s="633">
        <f t="shared" ref="F395:F458" si="41">E395*(12-MONTH(D395))/12</f>
        <v>0</v>
      </c>
      <c r="G395" s="632"/>
      <c r="H395" s="1127"/>
      <c r="I395" s="633">
        <f t="shared" ref="I395:I458" si="42">H395*(12-MONTH(G395))/12</f>
        <v>0</v>
      </c>
      <c r="J395" s="633">
        <f t="shared" ref="J395:J458" si="43">C395+E395-H395</f>
        <v>0</v>
      </c>
      <c r="K395" s="633">
        <f t="shared" ref="K395:K458" si="44">C395+F395-I395</f>
        <v>0</v>
      </c>
      <c r="L395" s="1127"/>
      <c r="M395" s="1127"/>
      <c r="N395" s="1691">
        <f t="shared" si="39"/>
        <v>0</v>
      </c>
      <c r="O395" s="634">
        <f t="shared" si="40"/>
        <v>0</v>
      </c>
      <c r="P395" s="144"/>
      <c r="Q395" s="144"/>
      <c r="R395" s="144"/>
      <c r="S395" s="144"/>
    </row>
    <row r="396" spans="1:19" ht="14.25" customHeight="1">
      <c r="A396" s="630"/>
      <c r="B396" s="631"/>
      <c r="C396" s="1127"/>
      <c r="D396" s="632"/>
      <c r="E396" s="1127"/>
      <c r="F396" s="633">
        <f t="shared" si="41"/>
        <v>0</v>
      </c>
      <c r="G396" s="632"/>
      <c r="H396" s="1127"/>
      <c r="I396" s="633">
        <f t="shared" si="42"/>
        <v>0</v>
      </c>
      <c r="J396" s="633">
        <f t="shared" si="43"/>
        <v>0</v>
      </c>
      <c r="K396" s="633">
        <f t="shared" si="44"/>
        <v>0</v>
      </c>
      <c r="L396" s="1127"/>
      <c r="M396" s="1127"/>
      <c r="N396" s="1691">
        <f t="shared" si="39"/>
        <v>0</v>
      </c>
      <c r="O396" s="634">
        <f t="shared" si="40"/>
        <v>0</v>
      </c>
      <c r="P396" s="144"/>
      <c r="Q396" s="144"/>
      <c r="R396" s="144"/>
      <c r="S396" s="144"/>
    </row>
    <row r="397" spans="1:19" ht="14.25" customHeight="1">
      <c r="A397" s="630"/>
      <c r="B397" s="631"/>
      <c r="C397" s="1127"/>
      <c r="D397" s="632"/>
      <c r="E397" s="1127"/>
      <c r="F397" s="633">
        <f t="shared" si="41"/>
        <v>0</v>
      </c>
      <c r="G397" s="632"/>
      <c r="H397" s="1127"/>
      <c r="I397" s="633">
        <f t="shared" si="42"/>
        <v>0</v>
      </c>
      <c r="J397" s="633">
        <f t="shared" si="43"/>
        <v>0</v>
      </c>
      <c r="K397" s="633">
        <f t="shared" si="44"/>
        <v>0</v>
      </c>
      <c r="L397" s="1127"/>
      <c r="M397" s="1127"/>
      <c r="N397" s="1691">
        <f t="shared" si="39"/>
        <v>0</v>
      </c>
      <c r="O397" s="634">
        <f t="shared" si="40"/>
        <v>0</v>
      </c>
      <c r="P397" s="144"/>
      <c r="Q397" s="144"/>
      <c r="R397" s="144"/>
      <c r="S397" s="144"/>
    </row>
    <row r="398" spans="1:19" ht="14.25" customHeight="1">
      <c r="A398" s="630"/>
      <c r="B398" s="631"/>
      <c r="C398" s="1127"/>
      <c r="D398" s="632"/>
      <c r="E398" s="1127"/>
      <c r="F398" s="633">
        <f t="shared" si="41"/>
        <v>0</v>
      </c>
      <c r="G398" s="632"/>
      <c r="H398" s="1127"/>
      <c r="I398" s="633">
        <f t="shared" si="42"/>
        <v>0</v>
      </c>
      <c r="J398" s="633">
        <f t="shared" si="43"/>
        <v>0</v>
      </c>
      <c r="K398" s="633">
        <f t="shared" si="44"/>
        <v>0</v>
      </c>
      <c r="L398" s="1127"/>
      <c r="M398" s="1127"/>
      <c r="N398" s="1691">
        <f t="shared" si="39"/>
        <v>0</v>
      </c>
      <c r="O398" s="634">
        <f t="shared" si="40"/>
        <v>0</v>
      </c>
      <c r="P398" s="144"/>
      <c r="Q398" s="144"/>
      <c r="R398" s="144"/>
      <c r="S398" s="144"/>
    </row>
    <row r="399" spans="1:19" ht="14.25" customHeight="1">
      <c r="A399" s="630"/>
      <c r="B399" s="631"/>
      <c r="C399" s="1127"/>
      <c r="D399" s="632"/>
      <c r="E399" s="1127"/>
      <c r="F399" s="633">
        <f t="shared" si="41"/>
        <v>0</v>
      </c>
      <c r="G399" s="632"/>
      <c r="H399" s="1127"/>
      <c r="I399" s="633">
        <f t="shared" si="42"/>
        <v>0</v>
      </c>
      <c r="J399" s="633">
        <f t="shared" si="43"/>
        <v>0</v>
      </c>
      <c r="K399" s="633">
        <f t="shared" si="44"/>
        <v>0</v>
      </c>
      <c r="L399" s="1127"/>
      <c r="M399" s="1127"/>
      <c r="N399" s="1691">
        <f t="shared" si="39"/>
        <v>0</v>
      </c>
      <c r="O399" s="634">
        <f t="shared" si="40"/>
        <v>0</v>
      </c>
      <c r="P399" s="144"/>
      <c r="Q399" s="144"/>
      <c r="R399" s="144"/>
      <c r="S399" s="144"/>
    </row>
    <row r="400" spans="1:19" ht="14.25" customHeight="1">
      <c r="A400" s="630"/>
      <c r="B400" s="631"/>
      <c r="C400" s="1127"/>
      <c r="D400" s="632"/>
      <c r="E400" s="1127"/>
      <c r="F400" s="633">
        <f t="shared" si="41"/>
        <v>0</v>
      </c>
      <c r="G400" s="632"/>
      <c r="H400" s="1127"/>
      <c r="I400" s="633">
        <f t="shared" si="42"/>
        <v>0</v>
      </c>
      <c r="J400" s="633">
        <f t="shared" si="43"/>
        <v>0</v>
      </c>
      <c r="K400" s="633">
        <f t="shared" si="44"/>
        <v>0</v>
      </c>
      <c r="L400" s="1127"/>
      <c r="M400" s="1127"/>
      <c r="N400" s="1691">
        <f t="shared" si="39"/>
        <v>0</v>
      </c>
      <c r="O400" s="634">
        <f t="shared" si="40"/>
        <v>0</v>
      </c>
      <c r="P400" s="144"/>
      <c r="Q400" s="144"/>
      <c r="R400" s="144"/>
      <c r="S400" s="144"/>
    </row>
    <row r="401" spans="1:19" ht="14.25" customHeight="1">
      <c r="A401" s="630"/>
      <c r="B401" s="631"/>
      <c r="C401" s="1127"/>
      <c r="D401" s="632"/>
      <c r="E401" s="1127"/>
      <c r="F401" s="633">
        <f t="shared" si="41"/>
        <v>0</v>
      </c>
      <c r="G401" s="632"/>
      <c r="H401" s="1127"/>
      <c r="I401" s="633">
        <f t="shared" si="42"/>
        <v>0</v>
      </c>
      <c r="J401" s="633">
        <f t="shared" si="43"/>
        <v>0</v>
      </c>
      <c r="K401" s="633">
        <f t="shared" si="44"/>
        <v>0</v>
      </c>
      <c r="L401" s="1127"/>
      <c r="M401" s="1127"/>
      <c r="N401" s="1691">
        <f t="shared" si="39"/>
        <v>0</v>
      </c>
      <c r="O401" s="634">
        <f t="shared" si="40"/>
        <v>0</v>
      </c>
      <c r="P401" s="144"/>
      <c r="Q401" s="144"/>
      <c r="R401" s="144"/>
      <c r="S401" s="144"/>
    </row>
    <row r="402" spans="1:19" ht="14.25" customHeight="1">
      <c r="A402" s="630"/>
      <c r="B402" s="631"/>
      <c r="C402" s="1127"/>
      <c r="D402" s="632"/>
      <c r="E402" s="1127"/>
      <c r="F402" s="633">
        <f t="shared" si="41"/>
        <v>0</v>
      </c>
      <c r="G402" s="632"/>
      <c r="H402" s="1127"/>
      <c r="I402" s="633">
        <f t="shared" si="42"/>
        <v>0</v>
      </c>
      <c r="J402" s="633">
        <f t="shared" si="43"/>
        <v>0</v>
      </c>
      <c r="K402" s="633">
        <f t="shared" si="44"/>
        <v>0</v>
      </c>
      <c r="L402" s="1127"/>
      <c r="M402" s="1127"/>
      <c r="N402" s="1691">
        <f t="shared" si="39"/>
        <v>0</v>
      </c>
      <c r="O402" s="634">
        <f t="shared" si="40"/>
        <v>0</v>
      </c>
      <c r="P402" s="144"/>
      <c r="Q402" s="144"/>
      <c r="R402" s="144"/>
      <c r="S402" s="144"/>
    </row>
    <row r="403" spans="1:19" ht="14.25" customHeight="1">
      <c r="A403" s="630"/>
      <c r="B403" s="631"/>
      <c r="C403" s="1127"/>
      <c r="D403" s="632"/>
      <c r="E403" s="1127"/>
      <c r="F403" s="633">
        <f t="shared" si="41"/>
        <v>0</v>
      </c>
      <c r="G403" s="632"/>
      <c r="H403" s="1127"/>
      <c r="I403" s="633">
        <f t="shared" si="42"/>
        <v>0</v>
      </c>
      <c r="J403" s="633">
        <f t="shared" si="43"/>
        <v>0</v>
      </c>
      <c r="K403" s="633">
        <f t="shared" si="44"/>
        <v>0</v>
      </c>
      <c r="L403" s="1127"/>
      <c r="M403" s="1127"/>
      <c r="N403" s="1691">
        <f t="shared" si="39"/>
        <v>0</v>
      </c>
      <c r="O403" s="634">
        <f t="shared" si="40"/>
        <v>0</v>
      </c>
      <c r="P403" s="144"/>
      <c r="Q403" s="144"/>
      <c r="R403" s="144"/>
      <c r="S403" s="144"/>
    </row>
    <row r="404" spans="1:19" ht="14.25" customHeight="1">
      <c r="A404" s="630"/>
      <c r="B404" s="631"/>
      <c r="C404" s="1127"/>
      <c r="D404" s="632"/>
      <c r="E404" s="1127"/>
      <c r="F404" s="633">
        <f t="shared" si="41"/>
        <v>0</v>
      </c>
      <c r="G404" s="632"/>
      <c r="H404" s="1127"/>
      <c r="I404" s="633">
        <f t="shared" si="42"/>
        <v>0</v>
      </c>
      <c r="J404" s="633">
        <f t="shared" si="43"/>
        <v>0</v>
      </c>
      <c r="K404" s="633">
        <f t="shared" si="44"/>
        <v>0</v>
      </c>
      <c r="L404" s="1127"/>
      <c r="M404" s="1127"/>
      <c r="N404" s="1691">
        <f t="shared" si="39"/>
        <v>0</v>
      </c>
      <c r="O404" s="634">
        <f t="shared" si="40"/>
        <v>0</v>
      </c>
      <c r="P404" s="144"/>
      <c r="Q404" s="144"/>
      <c r="R404" s="144"/>
      <c r="S404" s="144"/>
    </row>
    <row r="405" spans="1:19" ht="14.25" customHeight="1">
      <c r="A405" s="630"/>
      <c r="B405" s="631"/>
      <c r="C405" s="1127"/>
      <c r="D405" s="632"/>
      <c r="E405" s="1127"/>
      <c r="F405" s="633">
        <f t="shared" si="41"/>
        <v>0</v>
      </c>
      <c r="G405" s="632"/>
      <c r="H405" s="1127"/>
      <c r="I405" s="633">
        <f t="shared" si="42"/>
        <v>0</v>
      </c>
      <c r="J405" s="633">
        <f t="shared" si="43"/>
        <v>0</v>
      </c>
      <c r="K405" s="633">
        <f t="shared" si="44"/>
        <v>0</v>
      </c>
      <c r="L405" s="1127"/>
      <c r="M405" s="1127"/>
      <c r="N405" s="1691">
        <f t="shared" si="39"/>
        <v>0</v>
      </c>
      <c r="O405" s="634">
        <f t="shared" si="40"/>
        <v>0</v>
      </c>
      <c r="P405" s="144"/>
      <c r="Q405" s="144"/>
      <c r="R405" s="144"/>
      <c r="S405" s="144"/>
    </row>
    <row r="406" spans="1:19" ht="14.25" customHeight="1">
      <c r="A406" s="630"/>
      <c r="B406" s="631"/>
      <c r="C406" s="1127"/>
      <c r="D406" s="632"/>
      <c r="E406" s="1127"/>
      <c r="F406" s="633">
        <f t="shared" si="41"/>
        <v>0</v>
      </c>
      <c r="G406" s="632"/>
      <c r="H406" s="1127"/>
      <c r="I406" s="633">
        <f t="shared" si="42"/>
        <v>0</v>
      </c>
      <c r="J406" s="633">
        <f t="shared" si="43"/>
        <v>0</v>
      </c>
      <c r="K406" s="633">
        <f t="shared" si="44"/>
        <v>0</v>
      </c>
      <c r="L406" s="1127"/>
      <c r="M406" s="1127"/>
      <c r="N406" s="1691">
        <f t="shared" si="39"/>
        <v>0</v>
      </c>
      <c r="O406" s="634">
        <f t="shared" si="40"/>
        <v>0</v>
      </c>
      <c r="P406" s="144"/>
      <c r="Q406" s="144"/>
      <c r="R406" s="144"/>
      <c r="S406" s="144"/>
    </row>
    <row r="407" spans="1:19" ht="14.25" customHeight="1">
      <c r="A407" s="630"/>
      <c r="B407" s="631"/>
      <c r="C407" s="1127"/>
      <c r="D407" s="632"/>
      <c r="E407" s="1127"/>
      <c r="F407" s="633">
        <f t="shared" si="41"/>
        <v>0</v>
      </c>
      <c r="G407" s="632"/>
      <c r="H407" s="1127"/>
      <c r="I407" s="633">
        <f t="shared" si="42"/>
        <v>0</v>
      </c>
      <c r="J407" s="633">
        <f t="shared" si="43"/>
        <v>0</v>
      </c>
      <c r="K407" s="633">
        <f t="shared" si="44"/>
        <v>0</v>
      </c>
      <c r="L407" s="1127"/>
      <c r="M407" s="1127"/>
      <c r="N407" s="1691">
        <f t="shared" si="39"/>
        <v>0</v>
      </c>
      <c r="O407" s="634">
        <f t="shared" si="40"/>
        <v>0</v>
      </c>
      <c r="P407" s="144"/>
      <c r="Q407" s="144"/>
      <c r="R407" s="144"/>
      <c r="S407" s="144"/>
    </row>
    <row r="408" spans="1:19" ht="14.25" customHeight="1">
      <c r="A408" s="630"/>
      <c r="B408" s="631"/>
      <c r="C408" s="1127"/>
      <c r="D408" s="632"/>
      <c r="E408" s="1127"/>
      <c r="F408" s="633">
        <f t="shared" si="41"/>
        <v>0</v>
      </c>
      <c r="G408" s="632"/>
      <c r="H408" s="1127"/>
      <c r="I408" s="633">
        <f t="shared" si="42"/>
        <v>0</v>
      </c>
      <c r="J408" s="633">
        <f t="shared" si="43"/>
        <v>0</v>
      </c>
      <c r="K408" s="633">
        <f t="shared" si="44"/>
        <v>0</v>
      </c>
      <c r="L408" s="1127"/>
      <c r="M408" s="1127"/>
      <c r="N408" s="1691">
        <f t="shared" si="39"/>
        <v>0</v>
      </c>
      <c r="O408" s="634">
        <f t="shared" si="40"/>
        <v>0</v>
      </c>
      <c r="P408" s="144"/>
      <c r="Q408" s="144"/>
      <c r="R408" s="144"/>
      <c r="S408" s="144"/>
    </row>
    <row r="409" spans="1:19" ht="14.25" customHeight="1">
      <c r="A409" s="630"/>
      <c r="B409" s="631"/>
      <c r="C409" s="1127"/>
      <c r="D409" s="632"/>
      <c r="E409" s="1127"/>
      <c r="F409" s="633">
        <f t="shared" si="41"/>
        <v>0</v>
      </c>
      <c r="G409" s="632"/>
      <c r="H409" s="1127"/>
      <c r="I409" s="633">
        <f t="shared" si="42"/>
        <v>0</v>
      </c>
      <c r="J409" s="633">
        <f t="shared" si="43"/>
        <v>0</v>
      </c>
      <c r="K409" s="633">
        <f t="shared" si="44"/>
        <v>0</v>
      </c>
      <c r="L409" s="1127"/>
      <c r="M409" s="1127"/>
      <c r="N409" s="1691">
        <f t="shared" si="39"/>
        <v>0</v>
      </c>
      <c r="O409" s="634">
        <f t="shared" si="40"/>
        <v>0</v>
      </c>
      <c r="P409" s="144"/>
      <c r="Q409" s="144"/>
      <c r="R409" s="144"/>
      <c r="S409" s="144"/>
    </row>
    <row r="410" spans="1:19" ht="14.25" customHeight="1">
      <c r="A410" s="630"/>
      <c r="B410" s="631"/>
      <c r="C410" s="1127"/>
      <c r="D410" s="632"/>
      <c r="E410" s="1127"/>
      <c r="F410" s="633">
        <f t="shared" si="41"/>
        <v>0</v>
      </c>
      <c r="G410" s="632"/>
      <c r="H410" s="1127"/>
      <c r="I410" s="633">
        <f t="shared" si="42"/>
        <v>0</v>
      </c>
      <c r="J410" s="633">
        <f t="shared" si="43"/>
        <v>0</v>
      </c>
      <c r="K410" s="633">
        <f t="shared" si="44"/>
        <v>0</v>
      </c>
      <c r="L410" s="1127"/>
      <c r="M410" s="1127"/>
      <c r="N410" s="1691">
        <f t="shared" si="39"/>
        <v>0</v>
      </c>
      <c r="O410" s="634">
        <f t="shared" si="40"/>
        <v>0</v>
      </c>
      <c r="P410" s="144"/>
      <c r="Q410" s="144"/>
      <c r="R410" s="144"/>
      <c r="S410" s="144"/>
    </row>
    <row r="411" spans="1:19" ht="14.25" customHeight="1">
      <c r="A411" s="630"/>
      <c r="B411" s="631"/>
      <c r="C411" s="1127"/>
      <c r="D411" s="632"/>
      <c r="E411" s="1127"/>
      <c r="F411" s="633">
        <f t="shared" si="41"/>
        <v>0</v>
      </c>
      <c r="G411" s="632"/>
      <c r="H411" s="1127"/>
      <c r="I411" s="633">
        <f t="shared" si="42"/>
        <v>0</v>
      </c>
      <c r="J411" s="633">
        <f t="shared" si="43"/>
        <v>0</v>
      </c>
      <c r="K411" s="633">
        <f t="shared" si="44"/>
        <v>0</v>
      </c>
      <c r="L411" s="1127"/>
      <c r="M411" s="1127"/>
      <c r="N411" s="1691">
        <f t="shared" si="39"/>
        <v>0</v>
      </c>
      <c r="O411" s="634">
        <f t="shared" si="40"/>
        <v>0</v>
      </c>
      <c r="P411" s="144"/>
      <c r="Q411" s="144"/>
      <c r="R411" s="144"/>
      <c r="S411" s="144"/>
    </row>
    <row r="412" spans="1:19" ht="14.25" customHeight="1">
      <c r="A412" s="630"/>
      <c r="B412" s="631"/>
      <c r="C412" s="1127"/>
      <c r="D412" s="632"/>
      <c r="E412" s="1127"/>
      <c r="F412" s="633">
        <f t="shared" si="41"/>
        <v>0</v>
      </c>
      <c r="G412" s="632"/>
      <c r="H412" s="1127"/>
      <c r="I412" s="633">
        <f t="shared" si="42"/>
        <v>0</v>
      </c>
      <c r="J412" s="633">
        <f t="shared" si="43"/>
        <v>0</v>
      </c>
      <c r="K412" s="633">
        <f t="shared" si="44"/>
        <v>0</v>
      </c>
      <c r="L412" s="1127"/>
      <c r="M412" s="1127"/>
      <c r="N412" s="1691">
        <f t="shared" si="39"/>
        <v>0</v>
      </c>
      <c r="O412" s="634">
        <f t="shared" si="40"/>
        <v>0</v>
      </c>
      <c r="P412" s="144"/>
      <c r="Q412" s="144"/>
      <c r="R412" s="144"/>
      <c r="S412" s="144"/>
    </row>
    <row r="413" spans="1:19" ht="14.25" customHeight="1">
      <c r="A413" s="630"/>
      <c r="B413" s="631"/>
      <c r="C413" s="1127"/>
      <c r="D413" s="632"/>
      <c r="E413" s="1127"/>
      <c r="F413" s="633">
        <f t="shared" si="41"/>
        <v>0</v>
      </c>
      <c r="G413" s="632"/>
      <c r="H413" s="1127"/>
      <c r="I413" s="633">
        <f t="shared" si="42"/>
        <v>0</v>
      </c>
      <c r="J413" s="633">
        <f t="shared" si="43"/>
        <v>0</v>
      </c>
      <c r="K413" s="633">
        <f t="shared" si="44"/>
        <v>0</v>
      </c>
      <c r="L413" s="1127"/>
      <c r="M413" s="1127"/>
      <c r="N413" s="1691">
        <f t="shared" si="39"/>
        <v>0</v>
      </c>
      <c r="O413" s="634">
        <f t="shared" si="40"/>
        <v>0</v>
      </c>
      <c r="P413" s="144"/>
      <c r="Q413" s="144"/>
      <c r="R413" s="144"/>
      <c r="S413" s="144"/>
    </row>
    <row r="414" spans="1:19" ht="14.25" customHeight="1">
      <c r="A414" s="630"/>
      <c r="B414" s="631"/>
      <c r="C414" s="1127"/>
      <c r="D414" s="632"/>
      <c r="E414" s="1127"/>
      <c r="F414" s="633">
        <f t="shared" si="41"/>
        <v>0</v>
      </c>
      <c r="G414" s="632"/>
      <c r="H414" s="1127"/>
      <c r="I414" s="633">
        <f t="shared" si="42"/>
        <v>0</v>
      </c>
      <c r="J414" s="633">
        <f t="shared" si="43"/>
        <v>0</v>
      </c>
      <c r="K414" s="633">
        <f t="shared" si="44"/>
        <v>0</v>
      </c>
      <c r="L414" s="1127"/>
      <c r="M414" s="1127"/>
      <c r="N414" s="1691">
        <f t="shared" si="39"/>
        <v>0</v>
      </c>
      <c r="O414" s="634">
        <f t="shared" si="40"/>
        <v>0</v>
      </c>
      <c r="P414" s="144"/>
      <c r="Q414" s="144"/>
      <c r="R414" s="144"/>
      <c r="S414" s="144"/>
    </row>
    <row r="415" spans="1:19" ht="14.25" customHeight="1">
      <c r="A415" s="630"/>
      <c r="B415" s="631"/>
      <c r="C415" s="1127"/>
      <c r="D415" s="632"/>
      <c r="E415" s="1127"/>
      <c r="F415" s="633">
        <f t="shared" si="41"/>
        <v>0</v>
      </c>
      <c r="G415" s="632"/>
      <c r="H415" s="1127"/>
      <c r="I415" s="633">
        <f t="shared" si="42"/>
        <v>0</v>
      </c>
      <c r="J415" s="633">
        <f t="shared" si="43"/>
        <v>0</v>
      </c>
      <c r="K415" s="633">
        <f t="shared" si="44"/>
        <v>0</v>
      </c>
      <c r="L415" s="1127"/>
      <c r="M415" s="1127"/>
      <c r="N415" s="1691">
        <f t="shared" si="39"/>
        <v>0</v>
      </c>
      <c r="O415" s="634">
        <f t="shared" si="40"/>
        <v>0</v>
      </c>
      <c r="P415" s="144"/>
      <c r="Q415" s="144"/>
      <c r="R415" s="144"/>
      <c r="S415" s="144"/>
    </row>
    <row r="416" spans="1:19" ht="14.25" customHeight="1">
      <c r="A416" s="630"/>
      <c r="B416" s="631"/>
      <c r="C416" s="1127"/>
      <c r="D416" s="632"/>
      <c r="E416" s="1127"/>
      <c r="F416" s="633">
        <f t="shared" si="41"/>
        <v>0</v>
      </c>
      <c r="G416" s="632"/>
      <c r="H416" s="1127"/>
      <c r="I416" s="633">
        <f t="shared" si="42"/>
        <v>0</v>
      </c>
      <c r="J416" s="633">
        <f t="shared" si="43"/>
        <v>0</v>
      </c>
      <c r="K416" s="633">
        <f t="shared" si="44"/>
        <v>0</v>
      </c>
      <c r="L416" s="1127"/>
      <c r="M416" s="1127"/>
      <c r="N416" s="1691">
        <f t="shared" si="39"/>
        <v>0</v>
      </c>
      <c r="O416" s="634">
        <f t="shared" si="40"/>
        <v>0</v>
      </c>
      <c r="P416" s="144"/>
      <c r="Q416" s="144"/>
      <c r="R416" s="144"/>
      <c r="S416" s="144"/>
    </row>
    <row r="417" spans="1:19" ht="14.25" customHeight="1">
      <c r="A417" s="630"/>
      <c r="B417" s="631"/>
      <c r="C417" s="1127"/>
      <c r="D417" s="632"/>
      <c r="E417" s="1127"/>
      <c r="F417" s="633">
        <f t="shared" si="41"/>
        <v>0</v>
      </c>
      <c r="G417" s="632"/>
      <c r="H417" s="1127"/>
      <c r="I417" s="633">
        <f t="shared" si="42"/>
        <v>0</v>
      </c>
      <c r="J417" s="633">
        <f t="shared" si="43"/>
        <v>0</v>
      </c>
      <c r="K417" s="633">
        <f t="shared" si="44"/>
        <v>0</v>
      </c>
      <c r="L417" s="1127"/>
      <c r="M417" s="1127"/>
      <c r="N417" s="1691">
        <f t="shared" si="39"/>
        <v>0</v>
      </c>
      <c r="O417" s="634">
        <f t="shared" si="40"/>
        <v>0</v>
      </c>
      <c r="P417" s="144"/>
      <c r="Q417" s="144"/>
      <c r="R417" s="144"/>
      <c r="S417" s="144"/>
    </row>
    <row r="418" spans="1:19" ht="14.25" customHeight="1">
      <c r="A418" s="630"/>
      <c r="B418" s="631"/>
      <c r="C418" s="1127"/>
      <c r="D418" s="632"/>
      <c r="E418" s="1127"/>
      <c r="F418" s="633">
        <f t="shared" si="41"/>
        <v>0</v>
      </c>
      <c r="G418" s="632"/>
      <c r="H418" s="1127"/>
      <c r="I418" s="633">
        <f t="shared" si="42"/>
        <v>0</v>
      </c>
      <c r="J418" s="633">
        <f t="shared" si="43"/>
        <v>0</v>
      </c>
      <c r="K418" s="633">
        <f t="shared" si="44"/>
        <v>0</v>
      </c>
      <c r="L418" s="1127"/>
      <c r="M418" s="1127"/>
      <c r="N418" s="1691">
        <f t="shared" si="39"/>
        <v>0</v>
      </c>
      <c r="O418" s="634">
        <f t="shared" si="40"/>
        <v>0</v>
      </c>
      <c r="P418" s="144"/>
      <c r="Q418" s="144"/>
      <c r="R418" s="144"/>
      <c r="S418" s="144"/>
    </row>
    <row r="419" spans="1:19" ht="14.25" customHeight="1">
      <c r="A419" s="630"/>
      <c r="B419" s="631"/>
      <c r="C419" s="1127"/>
      <c r="D419" s="632"/>
      <c r="E419" s="1127"/>
      <c r="F419" s="633">
        <f t="shared" si="41"/>
        <v>0</v>
      </c>
      <c r="G419" s="632"/>
      <c r="H419" s="1127"/>
      <c r="I419" s="633">
        <f t="shared" si="42"/>
        <v>0</v>
      </c>
      <c r="J419" s="633">
        <f t="shared" si="43"/>
        <v>0</v>
      </c>
      <c r="K419" s="633">
        <f t="shared" si="44"/>
        <v>0</v>
      </c>
      <c r="L419" s="1127"/>
      <c r="M419" s="1127"/>
      <c r="N419" s="1691">
        <f t="shared" si="39"/>
        <v>0</v>
      </c>
      <c r="O419" s="634">
        <f t="shared" si="40"/>
        <v>0</v>
      </c>
      <c r="P419" s="144"/>
      <c r="Q419" s="144"/>
      <c r="R419" s="144"/>
      <c r="S419" s="144"/>
    </row>
    <row r="420" spans="1:19" ht="14.25" customHeight="1">
      <c r="A420" s="630"/>
      <c r="B420" s="631"/>
      <c r="C420" s="1127"/>
      <c r="D420" s="632"/>
      <c r="E420" s="1127"/>
      <c r="F420" s="633">
        <f t="shared" si="41"/>
        <v>0</v>
      </c>
      <c r="G420" s="632"/>
      <c r="H420" s="1127"/>
      <c r="I420" s="633">
        <f t="shared" si="42"/>
        <v>0</v>
      </c>
      <c r="J420" s="633">
        <f t="shared" si="43"/>
        <v>0</v>
      </c>
      <c r="K420" s="633">
        <f t="shared" si="44"/>
        <v>0</v>
      </c>
      <c r="L420" s="1127"/>
      <c r="M420" s="1127"/>
      <c r="N420" s="1691">
        <f t="shared" si="39"/>
        <v>0</v>
      </c>
      <c r="O420" s="634">
        <f t="shared" si="40"/>
        <v>0</v>
      </c>
      <c r="P420" s="144"/>
      <c r="Q420" s="144"/>
      <c r="R420" s="144"/>
      <c r="S420" s="144"/>
    </row>
    <row r="421" spans="1:19" ht="14.25" customHeight="1">
      <c r="A421" s="630"/>
      <c r="B421" s="631"/>
      <c r="C421" s="1127"/>
      <c r="D421" s="632"/>
      <c r="E421" s="1127"/>
      <c r="F421" s="633">
        <f t="shared" si="41"/>
        <v>0</v>
      </c>
      <c r="G421" s="632"/>
      <c r="H421" s="1127"/>
      <c r="I421" s="633">
        <f t="shared" si="42"/>
        <v>0</v>
      </c>
      <c r="J421" s="633">
        <f t="shared" si="43"/>
        <v>0</v>
      </c>
      <c r="K421" s="633">
        <f t="shared" si="44"/>
        <v>0</v>
      </c>
      <c r="L421" s="1127"/>
      <c r="M421" s="1127"/>
      <c r="N421" s="1691">
        <f t="shared" si="39"/>
        <v>0</v>
      </c>
      <c r="O421" s="634">
        <f t="shared" si="40"/>
        <v>0</v>
      </c>
      <c r="P421" s="144"/>
      <c r="Q421" s="144"/>
      <c r="R421" s="144"/>
      <c r="S421" s="144"/>
    </row>
    <row r="422" spans="1:19" ht="14.25" customHeight="1">
      <c r="A422" s="630"/>
      <c r="B422" s="631"/>
      <c r="C422" s="1127"/>
      <c r="D422" s="632"/>
      <c r="E422" s="1127"/>
      <c r="F422" s="633">
        <f t="shared" si="41"/>
        <v>0</v>
      </c>
      <c r="G422" s="632"/>
      <c r="H422" s="1127"/>
      <c r="I422" s="633">
        <f t="shared" si="42"/>
        <v>0</v>
      </c>
      <c r="J422" s="633">
        <f t="shared" si="43"/>
        <v>0</v>
      </c>
      <c r="K422" s="633">
        <f t="shared" si="44"/>
        <v>0</v>
      </c>
      <c r="L422" s="1127"/>
      <c r="M422" s="1127"/>
      <c r="N422" s="1691">
        <f t="shared" si="39"/>
        <v>0</v>
      </c>
      <c r="O422" s="634">
        <f t="shared" si="40"/>
        <v>0</v>
      </c>
      <c r="P422" s="144"/>
      <c r="Q422" s="144"/>
      <c r="R422" s="144"/>
      <c r="S422" s="144"/>
    </row>
    <row r="423" spans="1:19" ht="14.25" customHeight="1">
      <c r="A423" s="630"/>
      <c r="B423" s="631"/>
      <c r="C423" s="1127"/>
      <c r="D423" s="632"/>
      <c r="E423" s="1127"/>
      <c r="F423" s="633">
        <f t="shared" si="41"/>
        <v>0</v>
      </c>
      <c r="G423" s="632"/>
      <c r="H423" s="1127"/>
      <c r="I423" s="633">
        <f t="shared" si="42"/>
        <v>0</v>
      </c>
      <c r="J423" s="633">
        <f t="shared" si="43"/>
        <v>0</v>
      </c>
      <c r="K423" s="633">
        <f t="shared" si="44"/>
        <v>0</v>
      </c>
      <c r="L423" s="1127"/>
      <c r="M423" s="1127"/>
      <c r="N423" s="1691">
        <f t="shared" si="39"/>
        <v>0</v>
      </c>
      <c r="O423" s="634">
        <f t="shared" si="40"/>
        <v>0</v>
      </c>
      <c r="P423" s="144"/>
      <c r="Q423" s="144"/>
      <c r="R423" s="144"/>
      <c r="S423" s="144"/>
    </row>
    <row r="424" spans="1:19" ht="14.25" customHeight="1">
      <c r="A424" s="630"/>
      <c r="B424" s="631"/>
      <c r="C424" s="1127"/>
      <c r="D424" s="632"/>
      <c r="E424" s="1127"/>
      <c r="F424" s="633">
        <f t="shared" si="41"/>
        <v>0</v>
      </c>
      <c r="G424" s="632"/>
      <c r="H424" s="1127"/>
      <c r="I424" s="633">
        <f t="shared" si="42"/>
        <v>0</v>
      </c>
      <c r="J424" s="633">
        <f t="shared" si="43"/>
        <v>0</v>
      </c>
      <c r="K424" s="633">
        <f t="shared" si="44"/>
        <v>0</v>
      </c>
      <c r="L424" s="1127"/>
      <c r="M424" s="1127"/>
      <c r="N424" s="1691">
        <f t="shared" si="39"/>
        <v>0</v>
      </c>
      <c r="O424" s="634">
        <f t="shared" si="40"/>
        <v>0</v>
      </c>
      <c r="P424" s="144"/>
      <c r="Q424" s="144"/>
      <c r="R424" s="144"/>
      <c r="S424" s="144"/>
    </row>
    <row r="425" spans="1:19" ht="14.25" customHeight="1">
      <c r="A425" s="630"/>
      <c r="B425" s="631"/>
      <c r="C425" s="1127"/>
      <c r="D425" s="632"/>
      <c r="E425" s="1127"/>
      <c r="F425" s="633">
        <f t="shared" si="41"/>
        <v>0</v>
      </c>
      <c r="G425" s="632"/>
      <c r="H425" s="1127"/>
      <c r="I425" s="633">
        <f t="shared" si="42"/>
        <v>0</v>
      </c>
      <c r="J425" s="633">
        <f t="shared" si="43"/>
        <v>0</v>
      </c>
      <c r="K425" s="633">
        <f t="shared" si="44"/>
        <v>0</v>
      </c>
      <c r="L425" s="1127"/>
      <c r="M425" s="1127"/>
      <c r="N425" s="1691">
        <f t="shared" si="39"/>
        <v>0</v>
      </c>
      <c r="O425" s="634">
        <f t="shared" si="40"/>
        <v>0</v>
      </c>
      <c r="P425" s="144"/>
      <c r="Q425" s="144"/>
      <c r="R425" s="144"/>
      <c r="S425" s="144"/>
    </row>
    <row r="426" spans="1:19" ht="14.25" customHeight="1">
      <c r="A426" s="630"/>
      <c r="B426" s="631"/>
      <c r="C426" s="1127"/>
      <c r="D426" s="632"/>
      <c r="E426" s="1127"/>
      <c r="F426" s="633">
        <f t="shared" si="41"/>
        <v>0</v>
      </c>
      <c r="G426" s="632"/>
      <c r="H426" s="1127"/>
      <c r="I426" s="633">
        <f t="shared" si="42"/>
        <v>0</v>
      </c>
      <c r="J426" s="633">
        <f t="shared" si="43"/>
        <v>0</v>
      </c>
      <c r="K426" s="633">
        <f t="shared" si="44"/>
        <v>0</v>
      </c>
      <c r="L426" s="1127"/>
      <c r="M426" s="1127"/>
      <c r="N426" s="1691">
        <f t="shared" si="39"/>
        <v>0</v>
      </c>
      <c r="O426" s="634">
        <f t="shared" si="40"/>
        <v>0</v>
      </c>
      <c r="P426" s="144"/>
      <c r="Q426" s="144"/>
      <c r="R426" s="144"/>
      <c r="S426" s="144"/>
    </row>
    <row r="427" spans="1:19" ht="14.25" customHeight="1">
      <c r="A427" s="630"/>
      <c r="B427" s="631"/>
      <c r="C427" s="1127"/>
      <c r="D427" s="632"/>
      <c r="E427" s="1127"/>
      <c r="F427" s="633">
        <f t="shared" si="41"/>
        <v>0</v>
      </c>
      <c r="G427" s="632"/>
      <c r="H427" s="1127"/>
      <c r="I427" s="633">
        <f t="shared" si="42"/>
        <v>0</v>
      </c>
      <c r="J427" s="633">
        <f t="shared" si="43"/>
        <v>0</v>
      </c>
      <c r="K427" s="633">
        <f t="shared" si="44"/>
        <v>0</v>
      </c>
      <c r="L427" s="1127"/>
      <c r="M427" s="1127"/>
      <c r="N427" s="1691">
        <f t="shared" si="39"/>
        <v>0</v>
      </c>
      <c r="O427" s="634">
        <f t="shared" si="40"/>
        <v>0</v>
      </c>
      <c r="P427" s="144"/>
      <c r="Q427" s="144"/>
      <c r="R427" s="144"/>
      <c r="S427" s="144"/>
    </row>
    <row r="428" spans="1:19" ht="14.25" customHeight="1">
      <c r="A428" s="630"/>
      <c r="B428" s="631"/>
      <c r="C428" s="1127"/>
      <c r="D428" s="632"/>
      <c r="E428" s="1127"/>
      <c r="F428" s="633">
        <f t="shared" si="41"/>
        <v>0</v>
      </c>
      <c r="G428" s="632"/>
      <c r="H428" s="1127"/>
      <c r="I428" s="633">
        <f t="shared" si="42"/>
        <v>0</v>
      </c>
      <c r="J428" s="633">
        <f t="shared" si="43"/>
        <v>0</v>
      </c>
      <c r="K428" s="633">
        <f t="shared" si="44"/>
        <v>0</v>
      </c>
      <c r="L428" s="1127"/>
      <c r="M428" s="1127"/>
      <c r="N428" s="1691">
        <f t="shared" si="39"/>
        <v>0</v>
      </c>
      <c r="O428" s="634">
        <f t="shared" si="40"/>
        <v>0</v>
      </c>
      <c r="P428" s="144"/>
      <c r="Q428" s="144"/>
      <c r="R428" s="144"/>
      <c r="S428" s="144"/>
    </row>
    <row r="429" spans="1:19" ht="14.25" customHeight="1">
      <c r="A429" s="630"/>
      <c r="B429" s="631"/>
      <c r="C429" s="1127"/>
      <c r="D429" s="632"/>
      <c r="E429" s="1127"/>
      <c r="F429" s="633">
        <f t="shared" si="41"/>
        <v>0</v>
      </c>
      <c r="G429" s="632"/>
      <c r="H429" s="1127"/>
      <c r="I429" s="633">
        <f t="shared" si="42"/>
        <v>0</v>
      </c>
      <c r="J429" s="633">
        <f t="shared" si="43"/>
        <v>0</v>
      </c>
      <c r="K429" s="633">
        <f t="shared" si="44"/>
        <v>0</v>
      </c>
      <c r="L429" s="1127"/>
      <c r="M429" s="1127"/>
      <c r="N429" s="1691">
        <f t="shared" si="39"/>
        <v>0</v>
      </c>
      <c r="O429" s="634">
        <f t="shared" si="40"/>
        <v>0</v>
      </c>
      <c r="P429" s="144"/>
      <c r="Q429" s="144"/>
      <c r="R429" s="144"/>
      <c r="S429" s="144"/>
    </row>
    <row r="430" spans="1:19" ht="14.25" customHeight="1">
      <c r="A430" s="630"/>
      <c r="B430" s="631"/>
      <c r="C430" s="1127"/>
      <c r="D430" s="632"/>
      <c r="E430" s="1127"/>
      <c r="F430" s="633">
        <f t="shared" si="41"/>
        <v>0</v>
      </c>
      <c r="G430" s="632"/>
      <c r="H430" s="1127"/>
      <c r="I430" s="633">
        <f t="shared" si="42"/>
        <v>0</v>
      </c>
      <c r="J430" s="633">
        <f t="shared" si="43"/>
        <v>0</v>
      </c>
      <c r="K430" s="633">
        <f t="shared" si="44"/>
        <v>0</v>
      </c>
      <c r="L430" s="1127"/>
      <c r="M430" s="1127"/>
      <c r="N430" s="1691">
        <f t="shared" si="39"/>
        <v>0</v>
      </c>
      <c r="O430" s="634">
        <f t="shared" si="40"/>
        <v>0</v>
      </c>
      <c r="P430" s="144"/>
      <c r="Q430" s="144"/>
      <c r="R430" s="144"/>
      <c r="S430" s="144"/>
    </row>
    <row r="431" spans="1:19" ht="14.25" customHeight="1">
      <c r="A431" s="630"/>
      <c r="B431" s="631"/>
      <c r="C431" s="1127"/>
      <c r="D431" s="632"/>
      <c r="E431" s="1127"/>
      <c r="F431" s="633">
        <f t="shared" si="41"/>
        <v>0</v>
      </c>
      <c r="G431" s="632"/>
      <c r="H431" s="1127"/>
      <c r="I431" s="633">
        <f t="shared" si="42"/>
        <v>0</v>
      </c>
      <c r="J431" s="633">
        <f t="shared" si="43"/>
        <v>0</v>
      </c>
      <c r="K431" s="633">
        <f t="shared" si="44"/>
        <v>0</v>
      </c>
      <c r="L431" s="1127"/>
      <c r="M431" s="1127"/>
      <c r="N431" s="1691">
        <f t="shared" si="39"/>
        <v>0</v>
      </c>
      <c r="O431" s="634">
        <f t="shared" si="40"/>
        <v>0</v>
      </c>
      <c r="P431" s="144"/>
      <c r="Q431" s="144"/>
      <c r="R431" s="144"/>
      <c r="S431" s="144"/>
    </row>
    <row r="432" spans="1:19" ht="14.25" customHeight="1">
      <c r="A432" s="630"/>
      <c r="B432" s="631"/>
      <c r="C432" s="1127"/>
      <c r="D432" s="632"/>
      <c r="E432" s="1127"/>
      <c r="F432" s="633">
        <f t="shared" si="41"/>
        <v>0</v>
      </c>
      <c r="G432" s="632"/>
      <c r="H432" s="1127"/>
      <c r="I432" s="633">
        <f t="shared" si="42"/>
        <v>0</v>
      </c>
      <c r="J432" s="633">
        <f t="shared" si="43"/>
        <v>0</v>
      </c>
      <c r="K432" s="633">
        <f t="shared" si="44"/>
        <v>0</v>
      </c>
      <c r="L432" s="1127"/>
      <c r="M432" s="1127"/>
      <c r="N432" s="1691">
        <f t="shared" si="39"/>
        <v>0</v>
      </c>
      <c r="O432" s="634">
        <f t="shared" si="40"/>
        <v>0</v>
      </c>
      <c r="P432" s="144"/>
      <c r="Q432" s="144"/>
      <c r="R432" s="144"/>
      <c r="S432" s="144"/>
    </row>
    <row r="433" spans="1:19" ht="14.25" customHeight="1">
      <c r="A433" s="630"/>
      <c r="B433" s="631"/>
      <c r="C433" s="1127"/>
      <c r="D433" s="632"/>
      <c r="E433" s="1127"/>
      <c r="F433" s="633">
        <f t="shared" si="41"/>
        <v>0</v>
      </c>
      <c r="G433" s="632"/>
      <c r="H433" s="1127"/>
      <c r="I433" s="633">
        <f t="shared" si="42"/>
        <v>0</v>
      </c>
      <c r="J433" s="633">
        <f t="shared" si="43"/>
        <v>0</v>
      </c>
      <c r="K433" s="633">
        <f t="shared" si="44"/>
        <v>0</v>
      </c>
      <c r="L433" s="1127"/>
      <c r="M433" s="1127"/>
      <c r="N433" s="1691">
        <f t="shared" si="39"/>
        <v>0</v>
      </c>
      <c r="O433" s="634">
        <f t="shared" si="40"/>
        <v>0</v>
      </c>
      <c r="P433" s="144"/>
      <c r="Q433" s="144"/>
      <c r="R433" s="144"/>
      <c r="S433" s="144"/>
    </row>
    <row r="434" spans="1:19" ht="14.25" customHeight="1">
      <c r="A434" s="630"/>
      <c r="B434" s="631"/>
      <c r="C434" s="1127"/>
      <c r="D434" s="632"/>
      <c r="E434" s="1127"/>
      <c r="F434" s="633">
        <f t="shared" si="41"/>
        <v>0</v>
      </c>
      <c r="G434" s="632"/>
      <c r="H434" s="1127"/>
      <c r="I434" s="633">
        <f t="shared" si="42"/>
        <v>0</v>
      </c>
      <c r="J434" s="633">
        <f t="shared" si="43"/>
        <v>0</v>
      </c>
      <c r="K434" s="633">
        <f t="shared" si="44"/>
        <v>0</v>
      </c>
      <c r="L434" s="1127"/>
      <c r="M434" s="1127"/>
      <c r="N434" s="1691">
        <f t="shared" si="39"/>
        <v>0</v>
      </c>
      <c r="O434" s="634">
        <f t="shared" si="40"/>
        <v>0</v>
      </c>
      <c r="P434" s="144"/>
      <c r="Q434" s="144"/>
      <c r="R434" s="144"/>
      <c r="S434" s="144"/>
    </row>
    <row r="435" spans="1:19" ht="14.25" customHeight="1">
      <c r="A435" s="630"/>
      <c r="B435" s="631"/>
      <c r="C435" s="1127"/>
      <c r="D435" s="632"/>
      <c r="E435" s="1127"/>
      <c r="F435" s="633">
        <f t="shared" si="41"/>
        <v>0</v>
      </c>
      <c r="G435" s="632"/>
      <c r="H435" s="1127"/>
      <c r="I435" s="633">
        <f t="shared" si="42"/>
        <v>0</v>
      </c>
      <c r="J435" s="633">
        <f t="shared" si="43"/>
        <v>0</v>
      </c>
      <c r="K435" s="633">
        <f t="shared" si="44"/>
        <v>0</v>
      </c>
      <c r="L435" s="1127"/>
      <c r="M435" s="1127"/>
      <c r="N435" s="1691">
        <f t="shared" si="39"/>
        <v>0</v>
      </c>
      <c r="O435" s="634">
        <f t="shared" si="40"/>
        <v>0</v>
      </c>
      <c r="P435" s="144"/>
      <c r="Q435" s="144"/>
      <c r="R435" s="144"/>
      <c r="S435" s="144"/>
    </row>
    <row r="436" spans="1:19" ht="14.25" customHeight="1">
      <c r="A436" s="630"/>
      <c r="B436" s="631"/>
      <c r="C436" s="1127"/>
      <c r="D436" s="632"/>
      <c r="E436" s="1127"/>
      <c r="F436" s="633">
        <f t="shared" si="41"/>
        <v>0</v>
      </c>
      <c r="G436" s="632"/>
      <c r="H436" s="1127"/>
      <c r="I436" s="633">
        <f t="shared" si="42"/>
        <v>0</v>
      </c>
      <c r="J436" s="633">
        <f t="shared" si="43"/>
        <v>0</v>
      </c>
      <c r="K436" s="633">
        <f t="shared" si="44"/>
        <v>0</v>
      </c>
      <c r="L436" s="1127"/>
      <c r="M436" s="1127"/>
      <c r="N436" s="1691">
        <f t="shared" si="39"/>
        <v>0</v>
      </c>
      <c r="O436" s="634">
        <f t="shared" si="40"/>
        <v>0</v>
      </c>
      <c r="P436" s="144"/>
      <c r="Q436" s="144"/>
      <c r="R436" s="144"/>
      <c r="S436" s="144"/>
    </row>
    <row r="437" spans="1:19" ht="14.25" customHeight="1">
      <c r="A437" s="630"/>
      <c r="B437" s="631"/>
      <c r="C437" s="1127"/>
      <c r="D437" s="632"/>
      <c r="E437" s="1127"/>
      <c r="F437" s="633">
        <f t="shared" si="41"/>
        <v>0</v>
      </c>
      <c r="G437" s="632"/>
      <c r="H437" s="1127"/>
      <c r="I437" s="633">
        <f t="shared" si="42"/>
        <v>0</v>
      </c>
      <c r="J437" s="633">
        <f t="shared" si="43"/>
        <v>0</v>
      </c>
      <c r="K437" s="633">
        <f t="shared" si="44"/>
        <v>0</v>
      </c>
      <c r="L437" s="1127"/>
      <c r="M437" s="1127"/>
      <c r="N437" s="1691">
        <f t="shared" si="39"/>
        <v>0</v>
      </c>
      <c r="O437" s="634">
        <f t="shared" si="40"/>
        <v>0</v>
      </c>
      <c r="P437" s="144"/>
      <c r="Q437" s="144"/>
      <c r="R437" s="144"/>
      <c r="S437" s="144"/>
    </row>
    <row r="438" spans="1:19" ht="14.25" customHeight="1">
      <c r="A438" s="630"/>
      <c r="B438" s="631"/>
      <c r="C438" s="1127"/>
      <c r="D438" s="632"/>
      <c r="E438" s="1127"/>
      <c r="F438" s="633">
        <f t="shared" si="41"/>
        <v>0</v>
      </c>
      <c r="G438" s="632"/>
      <c r="H438" s="1127"/>
      <c r="I438" s="633">
        <f t="shared" si="42"/>
        <v>0</v>
      </c>
      <c r="J438" s="633">
        <f t="shared" si="43"/>
        <v>0</v>
      </c>
      <c r="K438" s="633">
        <f t="shared" si="44"/>
        <v>0</v>
      </c>
      <c r="L438" s="1127"/>
      <c r="M438" s="1127"/>
      <c r="N438" s="1691">
        <f t="shared" si="39"/>
        <v>0</v>
      </c>
      <c r="O438" s="634">
        <f t="shared" si="40"/>
        <v>0</v>
      </c>
      <c r="P438" s="144"/>
      <c r="Q438" s="144"/>
      <c r="R438" s="144"/>
      <c r="S438" s="144"/>
    </row>
    <row r="439" spans="1:19" ht="14.25" customHeight="1">
      <c r="A439" s="630"/>
      <c r="B439" s="631"/>
      <c r="C439" s="1127"/>
      <c r="D439" s="632"/>
      <c r="E439" s="1127"/>
      <c r="F439" s="633">
        <f t="shared" si="41"/>
        <v>0</v>
      </c>
      <c r="G439" s="632"/>
      <c r="H439" s="1127"/>
      <c r="I439" s="633">
        <f t="shared" si="42"/>
        <v>0</v>
      </c>
      <c r="J439" s="633">
        <f t="shared" si="43"/>
        <v>0</v>
      </c>
      <c r="K439" s="633">
        <f t="shared" si="44"/>
        <v>0</v>
      </c>
      <c r="L439" s="1127"/>
      <c r="M439" s="1127"/>
      <c r="N439" s="1691">
        <f t="shared" si="39"/>
        <v>0</v>
      </c>
      <c r="O439" s="634">
        <f t="shared" si="40"/>
        <v>0</v>
      </c>
      <c r="P439" s="144"/>
      <c r="Q439" s="144"/>
      <c r="R439" s="144"/>
      <c r="S439" s="144"/>
    </row>
    <row r="440" spans="1:19" ht="14.25" customHeight="1">
      <c r="A440" s="630"/>
      <c r="B440" s="631"/>
      <c r="C440" s="1127"/>
      <c r="D440" s="632"/>
      <c r="E440" s="1127"/>
      <c r="F440" s="633">
        <f t="shared" si="41"/>
        <v>0</v>
      </c>
      <c r="G440" s="632"/>
      <c r="H440" s="1127"/>
      <c r="I440" s="633">
        <f t="shared" si="42"/>
        <v>0</v>
      </c>
      <c r="J440" s="633">
        <f t="shared" si="43"/>
        <v>0</v>
      </c>
      <c r="K440" s="633">
        <f t="shared" si="44"/>
        <v>0</v>
      </c>
      <c r="L440" s="1127"/>
      <c r="M440" s="1127"/>
      <c r="N440" s="1691">
        <f t="shared" si="39"/>
        <v>0</v>
      </c>
      <c r="O440" s="634">
        <f t="shared" si="40"/>
        <v>0</v>
      </c>
      <c r="P440" s="144"/>
      <c r="Q440" s="144"/>
      <c r="R440" s="144"/>
      <c r="S440" s="144"/>
    </row>
    <row r="441" spans="1:19" ht="14.25" customHeight="1">
      <c r="A441" s="630"/>
      <c r="B441" s="631"/>
      <c r="C441" s="1127"/>
      <c r="D441" s="632"/>
      <c r="E441" s="1127"/>
      <c r="F441" s="633">
        <f t="shared" si="41"/>
        <v>0</v>
      </c>
      <c r="G441" s="632"/>
      <c r="H441" s="1127"/>
      <c r="I441" s="633">
        <f t="shared" si="42"/>
        <v>0</v>
      </c>
      <c r="J441" s="633">
        <f t="shared" si="43"/>
        <v>0</v>
      </c>
      <c r="K441" s="633">
        <f t="shared" si="44"/>
        <v>0</v>
      </c>
      <c r="L441" s="1127"/>
      <c r="M441" s="1127"/>
      <c r="N441" s="1691">
        <f t="shared" si="39"/>
        <v>0</v>
      </c>
      <c r="O441" s="634">
        <f t="shared" si="40"/>
        <v>0</v>
      </c>
      <c r="P441" s="144"/>
      <c r="Q441" s="144"/>
      <c r="R441" s="144"/>
      <c r="S441" s="144"/>
    </row>
    <row r="442" spans="1:19" ht="14.25" customHeight="1">
      <c r="A442" s="630"/>
      <c r="B442" s="631"/>
      <c r="C442" s="1127"/>
      <c r="D442" s="632"/>
      <c r="E442" s="1127"/>
      <c r="F442" s="633">
        <f t="shared" si="41"/>
        <v>0</v>
      </c>
      <c r="G442" s="632"/>
      <c r="H442" s="1127"/>
      <c r="I442" s="633">
        <f t="shared" si="42"/>
        <v>0</v>
      </c>
      <c r="J442" s="633">
        <f t="shared" si="43"/>
        <v>0</v>
      </c>
      <c r="K442" s="633">
        <f t="shared" si="44"/>
        <v>0</v>
      </c>
      <c r="L442" s="1127"/>
      <c r="M442" s="1127"/>
      <c r="N442" s="1691">
        <f t="shared" si="39"/>
        <v>0</v>
      </c>
      <c r="O442" s="634">
        <f t="shared" si="40"/>
        <v>0</v>
      </c>
      <c r="P442" s="144"/>
      <c r="Q442" s="144"/>
      <c r="R442" s="144"/>
      <c r="S442" s="144"/>
    </row>
    <row r="443" spans="1:19" ht="14.25" customHeight="1">
      <c r="A443" s="630"/>
      <c r="B443" s="631"/>
      <c r="C443" s="1127"/>
      <c r="D443" s="632"/>
      <c r="E443" s="1127"/>
      <c r="F443" s="633">
        <f t="shared" si="41"/>
        <v>0</v>
      </c>
      <c r="G443" s="632"/>
      <c r="H443" s="1127"/>
      <c r="I443" s="633">
        <f t="shared" si="42"/>
        <v>0</v>
      </c>
      <c r="J443" s="633">
        <f t="shared" si="43"/>
        <v>0</v>
      </c>
      <c r="K443" s="633">
        <f t="shared" si="44"/>
        <v>0</v>
      </c>
      <c r="L443" s="1127"/>
      <c r="M443" s="1127"/>
      <c r="N443" s="1691">
        <f t="shared" si="39"/>
        <v>0</v>
      </c>
      <c r="O443" s="634">
        <f t="shared" si="40"/>
        <v>0</v>
      </c>
      <c r="P443" s="144"/>
      <c r="Q443" s="144"/>
      <c r="R443" s="144"/>
      <c r="S443" s="144"/>
    </row>
    <row r="444" spans="1:19" ht="14.25" customHeight="1">
      <c r="A444" s="630"/>
      <c r="B444" s="631"/>
      <c r="C444" s="1127"/>
      <c r="D444" s="632"/>
      <c r="E444" s="1127"/>
      <c r="F444" s="633">
        <f t="shared" si="41"/>
        <v>0</v>
      </c>
      <c r="G444" s="632"/>
      <c r="H444" s="1127"/>
      <c r="I444" s="633">
        <f t="shared" si="42"/>
        <v>0</v>
      </c>
      <c r="J444" s="633">
        <f t="shared" si="43"/>
        <v>0</v>
      </c>
      <c r="K444" s="633">
        <f t="shared" si="44"/>
        <v>0</v>
      </c>
      <c r="L444" s="1127"/>
      <c r="M444" s="1127"/>
      <c r="N444" s="1691">
        <f t="shared" si="39"/>
        <v>0</v>
      </c>
      <c r="O444" s="634">
        <f t="shared" si="40"/>
        <v>0</v>
      </c>
      <c r="P444" s="144"/>
      <c r="Q444" s="144"/>
      <c r="R444" s="144"/>
      <c r="S444" s="144"/>
    </row>
    <row r="445" spans="1:19" ht="14.25" customHeight="1">
      <c r="A445" s="630"/>
      <c r="B445" s="631"/>
      <c r="C445" s="1127"/>
      <c r="D445" s="632"/>
      <c r="E445" s="1127"/>
      <c r="F445" s="633">
        <f t="shared" si="41"/>
        <v>0</v>
      </c>
      <c r="G445" s="632"/>
      <c r="H445" s="1127"/>
      <c r="I445" s="633">
        <f t="shared" si="42"/>
        <v>0</v>
      </c>
      <c r="J445" s="633">
        <f t="shared" si="43"/>
        <v>0</v>
      </c>
      <c r="K445" s="633">
        <f t="shared" si="44"/>
        <v>0</v>
      </c>
      <c r="L445" s="1127"/>
      <c r="M445" s="1127"/>
      <c r="N445" s="1691">
        <f t="shared" si="39"/>
        <v>0</v>
      </c>
      <c r="O445" s="634">
        <f t="shared" si="40"/>
        <v>0</v>
      </c>
      <c r="P445" s="144"/>
      <c r="Q445" s="144"/>
      <c r="R445" s="144"/>
      <c r="S445" s="144"/>
    </row>
    <row r="446" spans="1:19" ht="14.25" customHeight="1">
      <c r="A446" s="630"/>
      <c r="B446" s="631"/>
      <c r="C446" s="1127"/>
      <c r="D446" s="632"/>
      <c r="E446" s="1127"/>
      <c r="F446" s="633">
        <f t="shared" si="41"/>
        <v>0</v>
      </c>
      <c r="G446" s="632"/>
      <c r="H446" s="1127"/>
      <c r="I446" s="633">
        <f t="shared" si="42"/>
        <v>0</v>
      </c>
      <c r="J446" s="633">
        <f t="shared" si="43"/>
        <v>0</v>
      </c>
      <c r="K446" s="633">
        <f t="shared" si="44"/>
        <v>0</v>
      </c>
      <c r="L446" s="1127"/>
      <c r="M446" s="1127"/>
      <c r="N446" s="1691">
        <f t="shared" si="39"/>
        <v>0</v>
      </c>
      <c r="O446" s="634">
        <f t="shared" si="40"/>
        <v>0</v>
      </c>
      <c r="P446" s="144"/>
      <c r="Q446" s="144"/>
      <c r="R446" s="144"/>
      <c r="S446" s="144"/>
    </row>
    <row r="447" spans="1:19" ht="14.25" customHeight="1">
      <c r="A447" s="630"/>
      <c r="B447" s="631"/>
      <c r="C447" s="1127"/>
      <c r="D447" s="632"/>
      <c r="E447" s="1127"/>
      <c r="F447" s="633">
        <f t="shared" si="41"/>
        <v>0</v>
      </c>
      <c r="G447" s="632"/>
      <c r="H447" s="1127"/>
      <c r="I447" s="633">
        <f t="shared" si="42"/>
        <v>0</v>
      </c>
      <c r="J447" s="633">
        <f t="shared" si="43"/>
        <v>0</v>
      </c>
      <c r="K447" s="633">
        <f t="shared" si="44"/>
        <v>0</v>
      </c>
      <c r="L447" s="1127"/>
      <c r="M447" s="1127"/>
      <c r="N447" s="1691">
        <f t="shared" si="39"/>
        <v>0</v>
      </c>
      <c r="O447" s="634">
        <f t="shared" si="40"/>
        <v>0</v>
      </c>
      <c r="P447" s="144"/>
      <c r="Q447" s="144"/>
      <c r="R447" s="144"/>
      <c r="S447" s="144"/>
    </row>
    <row r="448" spans="1:19" ht="14.25" customHeight="1">
      <c r="A448" s="630"/>
      <c r="B448" s="631"/>
      <c r="C448" s="1127"/>
      <c r="D448" s="632"/>
      <c r="E448" s="1127"/>
      <c r="F448" s="633">
        <f t="shared" si="41"/>
        <v>0</v>
      </c>
      <c r="G448" s="632"/>
      <c r="H448" s="1127"/>
      <c r="I448" s="633">
        <f t="shared" si="42"/>
        <v>0</v>
      </c>
      <c r="J448" s="633">
        <f t="shared" si="43"/>
        <v>0</v>
      </c>
      <c r="K448" s="633">
        <f t="shared" si="44"/>
        <v>0</v>
      </c>
      <c r="L448" s="1127"/>
      <c r="M448" s="1127"/>
      <c r="N448" s="1691">
        <f t="shared" si="39"/>
        <v>0</v>
      </c>
      <c r="O448" s="634">
        <f t="shared" si="40"/>
        <v>0</v>
      </c>
      <c r="P448" s="144"/>
      <c r="Q448" s="144"/>
      <c r="R448" s="144"/>
      <c r="S448" s="144"/>
    </row>
    <row r="449" spans="1:19" ht="14.25" customHeight="1">
      <c r="A449" s="630"/>
      <c r="B449" s="631"/>
      <c r="C449" s="1127"/>
      <c r="D449" s="632"/>
      <c r="E449" s="1127"/>
      <c r="F449" s="633">
        <f t="shared" si="41"/>
        <v>0</v>
      </c>
      <c r="G449" s="632"/>
      <c r="H449" s="1127"/>
      <c r="I449" s="633">
        <f t="shared" si="42"/>
        <v>0</v>
      </c>
      <c r="J449" s="633">
        <f t="shared" si="43"/>
        <v>0</v>
      </c>
      <c r="K449" s="633">
        <f t="shared" si="44"/>
        <v>0</v>
      </c>
      <c r="L449" s="1127"/>
      <c r="M449" s="1127"/>
      <c r="N449" s="1691">
        <f t="shared" si="39"/>
        <v>0</v>
      </c>
      <c r="O449" s="634">
        <f t="shared" si="40"/>
        <v>0</v>
      </c>
      <c r="P449" s="144"/>
      <c r="Q449" s="144"/>
      <c r="R449" s="144"/>
      <c r="S449" s="144"/>
    </row>
    <row r="450" spans="1:19" ht="14.25" customHeight="1">
      <c r="A450" s="630"/>
      <c r="B450" s="631"/>
      <c r="C450" s="1127"/>
      <c r="D450" s="632"/>
      <c r="E450" s="1127"/>
      <c r="F450" s="633">
        <f t="shared" si="41"/>
        <v>0</v>
      </c>
      <c r="G450" s="632"/>
      <c r="H450" s="1127"/>
      <c r="I450" s="633">
        <f t="shared" si="42"/>
        <v>0</v>
      </c>
      <c r="J450" s="633">
        <f t="shared" si="43"/>
        <v>0</v>
      </c>
      <c r="K450" s="633">
        <f t="shared" si="44"/>
        <v>0</v>
      </c>
      <c r="L450" s="1127"/>
      <c r="M450" s="1127"/>
      <c r="N450" s="1691">
        <f t="shared" si="39"/>
        <v>0</v>
      </c>
      <c r="O450" s="634">
        <f t="shared" si="40"/>
        <v>0</v>
      </c>
      <c r="P450" s="144"/>
      <c r="Q450" s="144"/>
      <c r="R450" s="144"/>
      <c r="S450" s="144"/>
    </row>
    <row r="451" spans="1:19" ht="14.25" customHeight="1">
      <c r="A451" s="630"/>
      <c r="B451" s="631"/>
      <c r="C451" s="1127"/>
      <c r="D451" s="632"/>
      <c r="E451" s="1127"/>
      <c r="F451" s="633">
        <f t="shared" si="41"/>
        <v>0</v>
      </c>
      <c r="G451" s="632"/>
      <c r="H451" s="1127"/>
      <c r="I451" s="633">
        <f t="shared" si="42"/>
        <v>0</v>
      </c>
      <c r="J451" s="633">
        <f t="shared" si="43"/>
        <v>0</v>
      </c>
      <c r="K451" s="633">
        <f t="shared" si="44"/>
        <v>0</v>
      </c>
      <c r="L451" s="1127"/>
      <c r="M451" s="1127"/>
      <c r="N451" s="1691">
        <f t="shared" si="39"/>
        <v>0</v>
      </c>
      <c r="O451" s="634">
        <f t="shared" si="40"/>
        <v>0</v>
      </c>
      <c r="P451" s="144"/>
      <c r="Q451" s="144"/>
      <c r="R451" s="144"/>
      <c r="S451" s="144"/>
    </row>
    <row r="452" spans="1:19" ht="14.25" customHeight="1">
      <c r="A452" s="630"/>
      <c r="B452" s="631"/>
      <c r="C452" s="1127"/>
      <c r="D452" s="632"/>
      <c r="E452" s="1127"/>
      <c r="F452" s="633">
        <f t="shared" si="41"/>
        <v>0</v>
      </c>
      <c r="G452" s="632"/>
      <c r="H452" s="1127"/>
      <c r="I452" s="633">
        <f t="shared" si="42"/>
        <v>0</v>
      </c>
      <c r="J452" s="633">
        <f t="shared" si="43"/>
        <v>0</v>
      </c>
      <c r="K452" s="633">
        <f t="shared" si="44"/>
        <v>0</v>
      </c>
      <c r="L452" s="1127"/>
      <c r="M452" s="1127"/>
      <c r="N452" s="1691">
        <f t="shared" si="39"/>
        <v>0</v>
      </c>
      <c r="O452" s="634">
        <f t="shared" si="40"/>
        <v>0</v>
      </c>
      <c r="P452" s="144"/>
      <c r="Q452" s="144"/>
      <c r="R452" s="144"/>
      <c r="S452" s="144"/>
    </row>
    <row r="453" spans="1:19" ht="14.25" customHeight="1">
      <c r="A453" s="630"/>
      <c r="B453" s="631"/>
      <c r="C453" s="1127"/>
      <c r="D453" s="632"/>
      <c r="E453" s="1127"/>
      <c r="F453" s="633">
        <f t="shared" si="41"/>
        <v>0</v>
      </c>
      <c r="G453" s="632"/>
      <c r="H453" s="1127"/>
      <c r="I453" s="633">
        <f t="shared" si="42"/>
        <v>0</v>
      </c>
      <c r="J453" s="633">
        <f t="shared" si="43"/>
        <v>0</v>
      </c>
      <c r="K453" s="633">
        <f t="shared" si="44"/>
        <v>0</v>
      </c>
      <c r="L453" s="1127"/>
      <c r="M453" s="1127"/>
      <c r="N453" s="1691">
        <f t="shared" si="39"/>
        <v>0</v>
      </c>
      <c r="O453" s="634">
        <f t="shared" si="40"/>
        <v>0</v>
      </c>
      <c r="P453" s="144"/>
      <c r="Q453" s="144"/>
      <c r="R453" s="144"/>
      <c r="S453" s="144"/>
    </row>
    <row r="454" spans="1:19" ht="14.25" customHeight="1">
      <c r="A454" s="630"/>
      <c r="B454" s="631"/>
      <c r="C454" s="1127"/>
      <c r="D454" s="632"/>
      <c r="E454" s="1127"/>
      <c r="F454" s="633">
        <f t="shared" si="41"/>
        <v>0</v>
      </c>
      <c r="G454" s="632"/>
      <c r="H454" s="1127"/>
      <c r="I454" s="633">
        <f t="shared" si="42"/>
        <v>0</v>
      </c>
      <c r="J454" s="633">
        <f t="shared" si="43"/>
        <v>0</v>
      </c>
      <c r="K454" s="633">
        <f t="shared" si="44"/>
        <v>0</v>
      </c>
      <c r="L454" s="1127"/>
      <c r="M454" s="1127"/>
      <c r="N454" s="1691">
        <f t="shared" si="39"/>
        <v>0</v>
      </c>
      <c r="O454" s="634">
        <f t="shared" si="40"/>
        <v>0</v>
      </c>
      <c r="P454" s="144"/>
      <c r="Q454" s="144"/>
      <c r="R454" s="144"/>
      <c r="S454" s="144"/>
    </row>
    <row r="455" spans="1:19" ht="14.25" customHeight="1">
      <c r="A455" s="630"/>
      <c r="B455" s="631"/>
      <c r="C455" s="1127"/>
      <c r="D455" s="632"/>
      <c r="E455" s="1127"/>
      <c r="F455" s="633">
        <f t="shared" si="41"/>
        <v>0</v>
      </c>
      <c r="G455" s="632"/>
      <c r="H455" s="1127"/>
      <c r="I455" s="633">
        <f t="shared" si="42"/>
        <v>0</v>
      </c>
      <c r="J455" s="633">
        <f t="shared" si="43"/>
        <v>0</v>
      </c>
      <c r="K455" s="633">
        <f t="shared" si="44"/>
        <v>0</v>
      </c>
      <c r="L455" s="1127"/>
      <c r="M455" s="1127"/>
      <c r="N455" s="1691">
        <f t="shared" si="39"/>
        <v>0</v>
      </c>
      <c r="O455" s="634">
        <f t="shared" si="40"/>
        <v>0</v>
      </c>
      <c r="P455" s="144"/>
      <c r="Q455" s="144"/>
      <c r="R455" s="144"/>
      <c r="S455" s="144"/>
    </row>
    <row r="456" spans="1:19" ht="14.25" customHeight="1">
      <c r="A456" s="630"/>
      <c r="B456" s="631"/>
      <c r="C456" s="1127"/>
      <c r="D456" s="632"/>
      <c r="E456" s="1127"/>
      <c r="F456" s="633">
        <f t="shared" si="41"/>
        <v>0</v>
      </c>
      <c r="G456" s="632"/>
      <c r="H456" s="1127"/>
      <c r="I456" s="633">
        <f t="shared" si="42"/>
        <v>0</v>
      </c>
      <c r="J456" s="633">
        <f t="shared" si="43"/>
        <v>0</v>
      </c>
      <c r="K456" s="633">
        <f t="shared" si="44"/>
        <v>0</v>
      </c>
      <c r="L456" s="1127"/>
      <c r="M456" s="1127"/>
      <c r="N456" s="1691">
        <f t="shared" si="39"/>
        <v>0</v>
      </c>
      <c r="O456" s="634">
        <f t="shared" si="40"/>
        <v>0</v>
      </c>
      <c r="P456" s="144"/>
      <c r="Q456" s="144"/>
      <c r="R456" s="144"/>
      <c r="S456" s="144"/>
    </row>
    <row r="457" spans="1:19" ht="14.25" customHeight="1">
      <c r="A457" s="630"/>
      <c r="B457" s="631"/>
      <c r="C457" s="1127"/>
      <c r="D457" s="632"/>
      <c r="E457" s="1127"/>
      <c r="F457" s="633">
        <f t="shared" si="41"/>
        <v>0</v>
      </c>
      <c r="G457" s="632"/>
      <c r="H457" s="1127"/>
      <c r="I457" s="633">
        <f t="shared" si="42"/>
        <v>0</v>
      </c>
      <c r="J457" s="633">
        <f t="shared" si="43"/>
        <v>0</v>
      </c>
      <c r="K457" s="633">
        <f t="shared" si="44"/>
        <v>0</v>
      </c>
      <c r="L457" s="1127"/>
      <c r="M457" s="1127"/>
      <c r="N457" s="1691">
        <f t="shared" si="39"/>
        <v>0</v>
      </c>
      <c r="O457" s="634">
        <f t="shared" si="40"/>
        <v>0</v>
      </c>
      <c r="P457" s="144"/>
      <c r="Q457" s="144"/>
      <c r="R457" s="144"/>
      <c r="S457" s="144"/>
    </row>
    <row r="458" spans="1:19" ht="14.25" customHeight="1">
      <c r="A458" s="630"/>
      <c r="B458" s="631"/>
      <c r="C458" s="1127"/>
      <c r="D458" s="632"/>
      <c r="E458" s="1127"/>
      <c r="F458" s="633">
        <f t="shared" si="41"/>
        <v>0</v>
      </c>
      <c r="G458" s="632"/>
      <c r="H458" s="1127"/>
      <c r="I458" s="633">
        <f t="shared" si="42"/>
        <v>0</v>
      </c>
      <c r="J458" s="633">
        <f t="shared" si="43"/>
        <v>0</v>
      </c>
      <c r="K458" s="633">
        <f t="shared" si="44"/>
        <v>0</v>
      </c>
      <c r="L458" s="1127"/>
      <c r="M458" s="1127"/>
      <c r="N458" s="1691">
        <f t="shared" ref="N458:N521" si="45">IF(M458&lt;&gt;0,ROUND(B458*K458,2)+M458,IF(ABS(ROUND(K458*B458,2)-L458)&lt;3,L458,MIN(ROUND(K458*B458,2),L458)))</f>
        <v>0</v>
      </c>
      <c r="O458" s="634">
        <f t="shared" ref="O458:O521" si="46">IF(ISERROR(L458-N458),"",IF(ABS(L458-N458)&lt;3,0,L458-N458))</f>
        <v>0</v>
      </c>
      <c r="P458" s="144"/>
      <c r="Q458" s="144"/>
      <c r="R458" s="144"/>
      <c r="S458" s="144"/>
    </row>
    <row r="459" spans="1:19" ht="14.25" customHeight="1">
      <c r="A459" s="630"/>
      <c r="B459" s="631"/>
      <c r="C459" s="1127"/>
      <c r="D459" s="632"/>
      <c r="E459" s="1127"/>
      <c r="F459" s="633">
        <f t="shared" ref="F459:F522" si="47">E459*(12-MONTH(D459))/12</f>
        <v>0</v>
      </c>
      <c r="G459" s="632"/>
      <c r="H459" s="1127"/>
      <c r="I459" s="633">
        <f t="shared" ref="I459:I522" si="48">H459*(12-MONTH(G459))/12</f>
        <v>0</v>
      </c>
      <c r="J459" s="633">
        <f t="shared" ref="J459:J522" si="49">C459+E459-H459</f>
        <v>0</v>
      </c>
      <c r="K459" s="633">
        <f t="shared" ref="K459:K522" si="50">C459+F459-I459</f>
        <v>0</v>
      </c>
      <c r="L459" s="1127"/>
      <c r="M459" s="1127"/>
      <c r="N459" s="1691">
        <f t="shared" si="45"/>
        <v>0</v>
      </c>
      <c r="O459" s="634">
        <f t="shared" si="46"/>
        <v>0</v>
      </c>
      <c r="P459" s="144"/>
      <c r="Q459" s="144"/>
      <c r="R459" s="144"/>
      <c r="S459" s="144"/>
    </row>
    <row r="460" spans="1:19" ht="14.25" customHeight="1">
      <c r="A460" s="630"/>
      <c r="B460" s="631"/>
      <c r="C460" s="1127"/>
      <c r="D460" s="632"/>
      <c r="E460" s="1127"/>
      <c r="F460" s="633">
        <f t="shared" si="47"/>
        <v>0</v>
      </c>
      <c r="G460" s="632"/>
      <c r="H460" s="1127"/>
      <c r="I460" s="633">
        <f t="shared" si="48"/>
        <v>0</v>
      </c>
      <c r="J460" s="633">
        <f t="shared" si="49"/>
        <v>0</v>
      </c>
      <c r="K460" s="633">
        <f t="shared" si="50"/>
        <v>0</v>
      </c>
      <c r="L460" s="1127"/>
      <c r="M460" s="1127"/>
      <c r="N460" s="1691">
        <f t="shared" si="45"/>
        <v>0</v>
      </c>
      <c r="O460" s="634">
        <f t="shared" si="46"/>
        <v>0</v>
      </c>
      <c r="P460" s="144"/>
      <c r="Q460" s="144"/>
      <c r="R460" s="144"/>
      <c r="S460" s="144"/>
    </row>
    <row r="461" spans="1:19" ht="14.25" customHeight="1">
      <c r="A461" s="630"/>
      <c r="B461" s="631"/>
      <c r="C461" s="1127"/>
      <c r="D461" s="632"/>
      <c r="E461" s="1127"/>
      <c r="F461" s="633">
        <f t="shared" si="47"/>
        <v>0</v>
      </c>
      <c r="G461" s="632"/>
      <c r="H461" s="1127"/>
      <c r="I461" s="633">
        <f t="shared" si="48"/>
        <v>0</v>
      </c>
      <c r="J461" s="633">
        <f t="shared" si="49"/>
        <v>0</v>
      </c>
      <c r="K461" s="633">
        <f t="shared" si="50"/>
        <v>0</v>
      </c>
      <c r="L461" s="1127"/>
      <c r="M461" s="1127"/>
      <c r="N461" s="1691">
        <f t="shared" si="45"/>
        <v>0</v>
      </c>
      <c r="O461" s="634">
        <f t="shared" si="46"/>
        <v>0</v>
      </c>
      <c r="P461" s="144"/>
      <c r="Q461" s="144"/>
      <c r="R461" s="144"/>
      <c r="S461" s="144"/>
    </row>
    <row r="462" spans="1:19" ht="14.25" customHeight="1">
      <c r="A462" s="630"/>
      <c r="B462" s="631"/>
      <c r="C462" s="1127"/>
      <c r="D462" s="632"/>
      <c r="E462" s="1127"/>
      <c r="F462" s="633">
        <f t="shared" si="47"/>
        <v>0</v>
      </c>
      <c r="G462" s="632"/>
      <c r="H462" s="1127"/>
      <c r="I462" s="633">
        <f t="shared" si="48"/>
        <v>0</v>
      </c>
      <c r="J462" s="633">
        <f t="shared" si="49"/>
        <v>0</v>
      </c>
      <c r="K462" s="633">
        <f t="shared" si="50"/>
        <v>0</v>
      </c>
      <c r="L462" s="1127"/>
      <c r="M462" s="1127"/>
      <c r="N462" s="1691">
        <f t="shared" si="45"/>
        <v>0</v>
      </c>
      <c r="O462" s="634">
        <f t="shared" si="46"/>
        <v>0</v>
      </c>
      <c r="P462" s="144"/>
      <c r="Q462" s="144"/>
      <c r="R462" s="144"/>
      <c r="S462" s="144"/>
    </row>
    <row r="463" spans="1:19" ht="14.25" customHeight="1">
      <c r="A463" s="630"/>
      <c r="B463" s="631"/>
      <c r="C463" s="1127"/>
      <c r="D463" s="632"/>
      <c r="E463" s="1127"/>
      <c r="F463" s="633">
        <f t="shared" si="47"/>
        <v>0</v>
      </c>
      <c r="G463" s="632"/>
      <c r="H463" s="1127"/>
      <c r="I463" s="633">
        <f t="shared" si="48"/>
        <v>0</v>
      </c>
      <c r="J463" s="633">
        <f t="shared" si="49"/>
        <v>0</v>
      </c>
      <c r="K463" s="633">
        <f t="shared" si="50"/>
        <v>0</v>
      </c>
      <c r="L463" s="1127"/>
      <c r="M463" s="1127"/>
      <c r="N463" s="1691">
        <f t="shared" si="45"/>
        <v>0</v>
      </c>
      <c r="O463" s="634">
        <f t="shared" si="46"/>
        <v>0</v>
      </c>
      <c r="P463" s="144"/>
      <c r="Q463" s="144"/>
      <c r="R463" s="144"/>
      <c r="S463" s="144"/>
    </row>
    <row r="464" spans="1:19" ht="14.25" customHeight="1">
      <c r="A464" s="630"/>
      <c r="B464" s="631"/>
      <c r="C464" s="1127"/>
      <c r="D464" s="632"/>
      <c r="E464" s="1127"/>
      <c r="F464" s="633">
        <f t="shared" si="47"/>
        <v>0</v>
      </c>
      <c r="G464" s="632"/>
      <c r="H464" s="1127"/>
      <c r="I464" s="633">
        <f t="shared" si="48"/>
        <v>0</v>
      </c>
      <c r="J464" s="633">
        <f t="shared" si="49"/>
        <v>0</v>
      </c>
      <c r="K464" s="633">
        <f t="shared" si="50"/>
        <v>0</v>
      </c>
      <c r="L464" s="1127"/>
      <c r="M464" s="1127"/>
      <c r="N464" s="1691">
        <f t="shared" si="45"/>
        <v>0</v>
      </c>
      <c r="O464" s="634">
        <f t="shared" si="46"/>
        <v>0</v>
      </c>
      <c r="P464" s="144"/>
      <c r="Q464" s="144"/>
      <c r="R464" s="144"/>
      <c r="S464" s="144"/>
    </row>
    <row r="465" spans="1:19" ht="14.25" customHeight="1">
      <c r="A465" s="630"/>
      <c r="B465" s="631"/>
      <c r="C465" s="1127"/>
      <c r="D465" s="632"/>
      <c r="E465" s="1127"/>
      <c r="F465" s="633">
        <f t="shared" si="47"/>
        <v>0</v>
      </c>
      <c r="G465" s="632"/>
      <c r="H465" s="1127"/>
      <c r="I465" s="633">
        <f t="shared" si="48"/>
        <v>0</v>
      </c>
      <c r="J465" s="633">
        <f t="shared" si="49"/>
        <v>0</v>
      </c>
      <c r="K465" s="633">
        <f t="shared" si="50"/>
        <v>0</v>
      </c>
      <c r="L465" s="1127"/>
      <c r="M465" s="1127"/>
      <c r="N465" s="1691">
        <f t="shared" si="45"/>
        <v>0</v>
      </c>
      <c r="O465" s="634">
        <f t="shared" si="46"/>
        <v>0</v>
      </c>
      <c r="P465" s="144"/>
      <c r="Q465" s="144"/>
      <c r="R465" s="144"/>
      <c r="S465" s="144"/>
    </row>
    <row r="466" spans="1:19" ht="14.25" customHeight="1">
      <c r="A466" s="630"/>
      <c r="B466" s="631"/>
      <c r="C466" s="1127"/>
      <c r="D466" s="632"/>
      <c r="E466" s="1127"/>
      <c r="F466" s="633">
        <f t="shared" si="47"/>
        <v>0</v>
      </c>
      <c r="G466" s="632"/>
      <c r="H466" s="1127"/>
      <c r="I466" s="633">
        <f t="shared" si="48"/>
        <v>0</v>
      </c>
      <c r="J466" s="633">
        <f t="shared" si="49"/>
        <v>0</v>
      </c>
      <c r="K466" s="633">
        <f t="shared" si="50"/>
        <v>0</v>
      </c>
      <c r="L466" s="1127"/>
      <c r="M466" s="1127"/>
      <c r="N466" s="1691">
        <f t="shared" si="45"/>
        <v>0</v>
      </c>
      <c r="O466" s="634">
        <f t="shared" si="46"/>
        <v>0</v>
      </c>
      <c r="P466" s="144"/>
      <c r="Q466" s="144"/>
      <c r="R466" s="144"/>
      <c r="S466" s="144"/>
    </row>
    <row r="467" spans="1:19" ht="14.25" customHeight="1">
      <c r="A467" s="630"/>
      <c r="B467" s="631"/>
      <c r="C467" s="1127"/>
      <c r="D467" s="632"/>
      <c r="E467" s="1127"/>
      <c r="F467" s="633">
        <f t="shared" si="47"/>
        <v>0</v>
      </c>
      <c r="G467" s="632"/>
      <c r="H467" s="1127"/>
      <c r="I467" s="633">
        <f t="shared" si="48"/>
        <v>0</v>
      </c>
      <c r="J467" s="633">
        <f t="shared" si="49"/>
        <v>0</v>
      </c>
      <c r="K467" s="633">
        <f t="shared" si="50"/>
        <v>0</v>
      </c>
      <c r="L467" s="1127"/>
      <c r="M467" s="1127"/>
      <c r="N467" s="1691">
        <f t="shared" si="45"/>
        <v>0</v>
      </c>
      <c r="O467" s="634">
        <f t="shared" si="46"/>
        <v>0</v>
      </c>
      <c r="P467" s="144"/>
      <c r="Q467" s="144"/>
      <c r="R467" s="144"/>
      <c r="S467" s="144"/>
    </row>
    <row r="468" spans="1:19" ht="14.25" customHeight="1">
      <c r="A468" s="630"/>
      <c r="B468" s="631"/>
      <c r="C468" s="1127"/>
      <c r="D468" s="632"/>
      <c r="E468" s="1127"/>
      <c r="F468" s="633">
        <f t="shared" si="47"/>
        <v>0</v>
      </c>
      <c r="G468" s="632"/>
      <c r="H468" s="1127"/>
      <c r="I468" s="633">
        <f t="shared" si="48"/>
        <v>0</v>
      </c>
      <c r="J468" s="633">
        <f t="shared" si="49"/>
        <v>0</v>
      </c>
      <c r="K468" s="633">
        <f t="shared" si="50"/>
        <v>0</v>
      </c>
      <c r="L468" s="1127"/>
      <c r="M468" s="1127"/>
      <c r="N468" s="1691">
        <f t="shared" si="45"/>
        <v>0</v>
      </c>
      <c r="O468" s="634">
        <f t="shared" si="46"/>
        <v>0</v>
      </c>
      <c r="P468" s="144"/>
      <c r="Q468" s="144"/>
      <c r="R468" s="144"/>
      <c r="S468" s="144"/>
    </row>
    <row r="469" spans="1:19" ht="14.25" customHeight="1">
      <c r="A469" s="630"/>
      <c r="B469" s="631"/>
      <c r="C469" s="1127"/>
      <c r="D469" s="632"/>
      <c r="E469" s="1127"/>
      <c r="F469" s="633">
        <f t="shared" si="47"/>
        <v>0</v>
      </c>
      <c r="G469" s="632"/>
      <c r="H469" s="1127"/>
      <c r="I469" s="633">
        <f t="shared" si="48"/>
        <v>0</v>
      </c>
      <c r="J469" s="633">
        <f t="shared" si="49"/>
        <v>0</v>
      </c>
      <c r="K469" s="633">
        <f t="shared" si="50"/>
        <v>0</v>
      </c>
      <c r="L469" s="1127"/>
      <c r="M469" s="1127"/>
      <c r="N469" s="1691">
        <f t="shared" si="45"/>
        <v>0</v>
      </c>
      <c r="O469" s="634">
        <f t="shared" si="46"/>
        <v>0</v>
      </c>
      <c r="P469" s="144"/>
      <c r="Q469" s="144"/>
      <c r="R469" s="144"/>
      <c r="S469" s="144"/>
    </row>
    <row r="470" spans="1:19" ht="14.25" customHeight="1">
      <c r="A470" s="630"/>
      <c r="B470" s="631"/>
      <c r="C470" s="1127"/>
      <c r="D470" s="632"/>
      <c r="E470" s="1127"/>
      <c r="F470" s="633">
        <f t="shared" si="47"/>
        <v>0</v>
      </c>
      <c r="G470" s="632"/>
      <c r="H470" s="1127"/>
      <c r="I470" s="633">
        <f t="shared" si="48"/>
        <v>0</v>
      </c>
      <c r="J470" s="633">
        <f t="shared" si="49"/>
        <v>0</v>
      </c>
      <c r="K470" s="633">
        <f t="shared" si="50"/>
        <v>0</v>
      </c>
      <c r="L470" s="1127"/>
      <c r="M470" s="1127"/>
      <c r="N470" s="1691">
        <f t="shared" si="45"/>
        <v>0</v>
      </c>
      <c r="O470" s="634">
        <f t="shared" si="46"/>
        <v>0</v>
      </c>
      <c r="P470" s="144"/>
      <c r="Q470" s="144"/>
      <c r="R470" s="144"/>
      <c r="S470" s="144"/>
    </row>
    <row r="471" spans="1:19" ht="14.25" customHeight="1">
      <c r="A471" s="630"/>
      <c r="B471" s="631"/>
      <c r="C471" s="1127"/>
      <c r="D471" s="632"/>
      <c r="E471" s="1127"/>
      <c r="F471" s="633">
        <f t="shared" si="47"/>
        <v>0</v>
      </c>
      <c r="G471" s="632"/>
      <c r="H471" s="1127"/>
      <c r="I471" s="633">
        <f t="shared" si="48"/>
        <v>0</v>
      </c>
      <c r="J471" s="633">
        <f t="shared" si="49"/>
        <v>0</v>
      </c>
      <c r="K471" s="633">
        <f t="shared" si="50"/>
        <v>0</v>
      </c>
      <c r="L471" s="1127"/>
      <c r="M471" s="1127"/>
      <c r="N471" s="1691">
        <f t="shared" si="45"/>
        <v>0</v>
      </c>
      <c r="O471" s="634">
        <f t="shared" si="46"/>
        <v>0</v>
      </c>
      <c r="P471" s="144"/>
      <c r="Q471" s="144"/>
      <c r="R471" s="144"/>
      <c r="S471" s="144"/>
    </row>
    <row r="472" spans="1:19" ht="14.25" customHeight="1">
      <c r="A472" s="630"/>
      <c r="B472" s="631"/>
      <c r="C472" s="1127"/>
      <c r="D472" s="632"/>
      <c r="E472" s="1127"/>
      <c r="F472" s="633">
        <f t="shared" si="47"/>
        <v>0</v>
      </c>
      <c r="G472" s="632"/>
      <c r="H472" s="1127"/>
      <c r="I472" s="633">
        <f t="shared" si="48"/>
        <v>0</v>
      </c>
      <c r="J472" s="633">
        <f t="shared" si="49"/>
        <v>0</v>
      </c>
      <c r="K472" s="633">
        <f t="shared" si="50"/>
        <v>0</v>
      </c>
      <c r="L472" s="1127"/>
      <c r="M472" s="1127"/>
      <c r="N472" s="1691">
        <f t="shared" si="45"/>
        <v>0</v>
      </c>
      <c r="O472" s="634">
        <f t="shared" si="46"/>
        <v>0</v>
      </c>
      <c r="P472" s="144"/>
      <c r="Q472" s="144"/>
      <c r="R472" s="144"/>
      <c r="S472" s="144"/>
    </row>
    <row r="473" spans="1:19" ht="14.25" customHeight="1">
      <c r="A473" s="630"/>
      <c r="B473" s="631"/>
      <c r="C473" s="1127"/>
      <c r="D473" s="632"/>
      <c r="E473" s="1127"/>
      <c r="F473" s="633">
        <f t="shared" si="47"/>
        <v>0</v>
      </c>
      <c r="G473" s="632"/>
      <c r="H473" s="1127"/>
      <c r="I473" s="633">
        <f t="shared" si="48"/>
        <v>0</v>
      </c>
      <c r="J473" s="633">
        <f t="shared" si="49"/>
        <v>0</v>
      </c>
      <c r="K473" s="633">
        <f t="shared" si="50"/>
        <v>0</v>
      </c>
      <c r="L473" s="1127"/>
      <c r="M473" s="1127"/>
      <c r="N473" s="1691">
        <f t="shared" si="45"/>
        <v>0</v>
      </c>
      <c r="O473" s="634">
        <f t="shared" si="46"/>
        <v>0</v>
      </c>
      <c r="P473" s="144"/>
      <c r="Q473" s="144"/>
      <c r="R473" s="144"/>
      <c r="S473" s="144"/>
    </row>
    <row r="474" spans="1:19" ht="14.25" customHeight="1">
      <c r="A474" s="630"/>
      <c r="B474" s="631"/>
      <c r="C474" s="1127"/>
      <c r="D474" s="632"/>
      <c r="E474" s="1127"/>
      <c r="F474" s="633">
        <f t="shared" si="47"/>
        <v>0</v>
      </c>
      <c r="G474" s="632"/>
      <c r="H474" s="1127"/>
      <c r="I474" s="633">
        <f t="shared" si="48"/>
        <v>0</v>
      </c>
      <c r="J474" s="633">
        <f t="shared" si="49"/>
        <v>0</v>
      </c>
      <c r="K474" s="633">
        <f t="shared" si="50"/>
        <v>0</v>
      </c>
      <c r="L474" s="1127"/>
      <c r="M474" s="1127"/>
      <c r="N474" s="1691">
        <f t="shared" si="45"/>
        <v>0</v>
      </c>
      <c r="O474" s="634">
        <f t="shared" si="46"/>
        <v>0</v>
      </c>
      <c r="P474" s="144"/>
      <c r="Q474" s="144"/>
      <c r="R474" s="144"/>
      <c r="S474" s="144"/>
    </row>
    <row r="475" spans="1:19" ht="14.25" customHeight="1">
      <c r="A475" s="630"/>
      <c r="B475" s="631"/>
      <c r="C475" s="1127"/>
      <c r="D475" s="632"/>
      <c r="E475" s="1127"/>
      <c r="F475" s="633">
        <f t="shared" si="47"/>
        <v>0</v>
      </c>
      <c r="G475" s="632"/>
      <c r="H475" s="1127"/>
      <c r="I475" s="633">
        <f t="shared" si="48"/>
        <v>0</v>
      </c>
      <c r="J475" s="633">
        <f t="shared" si="49"/>
        <v>0</v>
      </c>
      <c r="K475" s="633">
        <f t="shared" si="50"/>
        <v>0</v>
      </c>
      <c r="L475" s="1127"/>
      <c r="M475" s="1127"/>
      <c r="N475" s="1691">
        <f t="shared" si="45"/>
        <v>0</v>
      </c>
      <c r="O475" s="634">
        <f t="shared" si="46"/>
        <v>0</v>
      </c>
      <c r="P475" s="144"/>
      <c r="Q475" s="144"/>
      <c r="R475" s="144"/>
      <c r="S475" s="144"/>
    </row>
    <row r="476" spans="1:19" ht="14.25" customHeight="1">
      <c r="A476" s="630"/>
      <c r="B476" s="631"/>
      <c r="C476" s="1127"/>
      <c r="D476" s="632"/>
      <c r="E476" s="1127"/>
      <c r="F476" s="633">
        <f t="shared" si="47"/>
        <v>0</v>
      </c>
      <c r="G476" s="632"/>
      <c r="H476" s="1127"/>
      <c r="I476" s="633">
        <f t="shared" si="48"/>
        <v>0</v>
      </c>
      <c r="J476" s="633">
        <f t="shared" si="49"/>
        <v>0</v>
      </c>
      <c r="K476" s="633">
        <f t="shared" si="50"/>
        <v>0</v>
      </c>
      <c r="L476" s="1127"/>
      <c r="M476" s="1127"/>
      <c r="N476" s="1691">
        <f t="shared" si="45"/>
        <v>0</v>
      </c>
      <c r="O476" s="634">
        <f t="shared" si="46"/>
        <v>0</v>
      </c>
      <c r="P476" s="144"/>
      <c r="Q476" s="144"/>
      <c r="R476" s="144"/>
      <c r="S476" s="144"/>
    </row>
    <row r="477" spans="1:19" ht="14.25" customHeight="1">
      <c r="A477" s="630"/>
      <c r="B477" s="631"/>
      <c r="C477" s="1127"/>
      <c r="D477" s="632"/>
      <c r="E477" s="1127"/>
      <c r="F477" s="633">
        <f t="shared" si="47"/>
        <v>0</v>
      </c>
      <c r="G477" s="632"/>
      <c r="H477" s="1127"/>
      <c r="I477" s="633">
        <f t="shared" si="48"/>
        <v>0</v>
      </c>
      <c r="J477" s="633">
        <f t="shared" si="49"/>
        <v>0</v>
      </c>
      <c r="K477" s="633">
        <f t="shared" si="50"/>
        <v>0</v>
      </c>
      <c r="L477" s="1127"/>
      <c r="M477" s="1127"/>
      <c r="N477" s="1691">
        <f t="shared" si="45"/>
        <v>0</v>
      </c>
      <c r="O477" s="634">
        <f t="shared" si="46"/>
        <v>0</v>
      </c>
      <c r="P477" s="144"/>
      <c r="Q477" s="144"/>
      <c r="R477" s="144"/>
      <c r="S477" s="144"/>
    </row>
    <row r="478" spans="1:19" ht="14.25" customHeight="1">
      <c r="A478" s="630"/>
      <c r="B478" s="631"/>
      <c r="C478" s="1127"/>
      <c r="D478" s="632"/>
      <c r="E478" s="1127"/>
      <c r="F478" s="633">
        <f t="shared" si="47"/>
        <v>0</v>
      </c>
      <c r="G478" s="632"/>
      <c r="H478" s="1127"/>
      <c r="I478" s="633">
        <f t="shared" si="48"/>
        <v>0</v>
      </c>
      <c r="J478" s="633">
        <f t="shared" si="49"/>
        <v>0</v>
      </c>
      <c r="K478" s="633">
        <f t="shared" si="50"/>
        <v>0</v>
      </c>
      <c r="L478" s="1127"/>
      <c r="M478" s="1127"/>
      <c r="N478" s="1691">
        <f t="shared" si="45"/>
        <v>0</v>
      </c>
      <c r="O478" s="634">
        <f t="shared" si="46"/>
        <v>0</v>
      </c>
      <c r="P478" s="144"/>
      <c r="Q478" s="144"/>
      <c r="R478" s="144"/>
      <c r="S478" s="144"/>
    </row>
    <row r="479" spans="1:19" ht="14.25" customHeight="1">
      <c r="A479" s="630"/>
      <c r="B479" s="631"/>
      <c r="C479" s="1127"/>
      <c r="D479" s="632"/>
      <c r="E479" s="1127"/>
      <c r="F479" s="633">
        <f t="shared" si="47"/>
        <v>0</v>
      </c>
      <c r="G479" s="632"/>
      <c r="H479" s="1127"/>
      <c r="I479" s="633">
        <f t="shared" si="48"/>
        <v>0</v>
      </c>
      <c r="J479" s="633">
        <f t="shared" si="49"/>
        <v>0</v>
      </c>
      <c r="K479" s="633">
        <f t="shared" si="50"/>
        <v>0</v>
      </c>
      <c r="L479" s="1127"/>
      <c r="M479" s="1127"/>
      <c r="N479" s="1691">
        <f t="shared" si="45"/>
        <v>0</v>
      </c>
      <c r="O479" s="634">
        <f t="shared" si="46"/>
        <v>0</v>
      </c>
      <c r="P479" s="144"/>
      <c r="Q479" s="144"/>
      <c r="R479" s="144"/>
      <c r="S479" s="144"/>
    </row>
    <row r="480" spans="1:19" ht="14.25" customHeight="1">
      <c r="A480" s="630"/>
      <c r="B480" s="631"/>
      <c r="C480" s="1127"/>
      <c r="D480" s="632"/>
      <c r="E480" s="1127"/>
      <c r="F480" s="633">
        <f t="shared" si="47"/>
        <v>0</v>
      </c>
      <c r="G480" s="632"/>
      <c r="H480" s="1127"/>
      <c r="I480" s="633">
        <f t="shared" si="48"/>
        <v>0</v>
      </c>
      <c r="J480" s="633">
        <f t="shared" si="49"/>
        <v>0</v>
      </c>
      <c r="K480" s="633">
        <f t="shared" si="50"/>
        <v>0</v>
      </c>
      <c r="L480" s="1127"/>
      <c r="M480" s="1127"/>
      <c r="N480" s="1691">
        <f t="shared" si="45"/>
        <v>0</v>
      </c>
      <c r="O480" s="634">
        <f t="shared" si="46"/>
        <v>0</v>
      </c>
      <c r="P480" s="144"/>
      <c r="Q480" s="144"/>
      <c r="R480" s="144"/>
      <c r="S480" s="144"/>
    </row>
    <row r="481" spans="1:19" ht="14.25" customHeight="1">
      <c r="A481" s="630"/>
      <c r="B481" s="631"/>
      <c r="C481" s="1127"/>
      <c r="D481" s="632"/>
      <c r="E481" s="1127"/>
      <c r="F481" s="633">
        <f t="shared" si="47"/>
        <v>0</v>
      </c>
      <c r="G481" s="632"/>
      <c r="H481" s="1127"/>
      <c r="I481" s="633">
        <f t="shared" si="48"/>
        <v>0</v>
      </c>
      <c r="J481" s="633">
        <f t="shared" si="49"/>
        <v>0</v>
      </c>
      <c r="K481" s="633">
        <f t="shared" si="50"/>
        <v>0</v>
      </c>
      <c r="L481" s="1127"/>
      <c r="M481" s="1127"/>
      <c r="N481" s="1691">
        <f t="shared" si="45"/>
        <v>0</v>
      </c>
      <c r="O481" s="634">
        <f t="shared" si="46"/>
        <v>0</v>
      </c>
      <c r="P481" s="144"/>
      <c r="Q481" s="144"/>
      <c r="R481" s="144"/>
      <c r="S481" s="144"/>
    </row>
    <row r="482" spans="1:19" ht="14.25" customHeight="1">
      <c r="A482" s="630"/>
      <c r="B482" s="631"/>
      <c r="C482" s="1127"/>
      <c r="D482" s="632"/>
      <c r="E482" s="1127"/>
      <c r="F482" s="633">
        <f t="shared" si="47"/>
        <v>0</v>
      </c>
      <c r="G482" s="632"/>
      <c r="H482" s="1127"/>
      <c r="I482" s="633">
        <f t="shared" si="48"/>
        <v>0</v>
      </c>
      <c r="J482" s="633">
        <f t="shared" si="49"/>
        <v>0</v>
      </c>
      <c r="K482" s="633">
        <f t="shared" si="50"/>
        <v>0</v>
      </c>
      <c r="L482" s="1127"/>
      <c r="M482" s="1127"/>
      <c r="N482" s="1691">
        <f t="shared" si="45"/>
        <v>0</v>
      </c>
      <c r="O482" s="634">
        <f t="shared" si="46"/>
        <v>0</v>
      </c>
      <c r="P482" s="144"/>
      <c r="Q482" s="144"/>
      <c r="R482" s="144"/>
      <c r="S482" s="144"/>
    </row>
    <row r="483" spans="1:19" ht="14.25" customHeight="1">
      <c r="A483" s="630"/>
      <c r="B483" s="631"/>
      <c r="C483" s="1127"/>
      <c r="D483" s="632"/>
      <c r="E483" s="1127"/>
      <c r="F483" s="633">
        <f t="shared" si="47"/>
        <v>0</v>
      </c>
      <c r="G483" s="632"/>
      <c r="H483" s="1127"/>
      <c r="I483" s="633">
        <f t="shared" si="48"/>
        <v>0</v>
      </c>
      <c r="J483" s="633">
        <f t="shared" si="49"/>
        <v>0</v>
      </c>
      <c r="K483" s="633">
        <f t="shared" si="50"/>
        <v>0</v>
      </c>
      <c r="L483" s="1127"/>
      <c r="M483" s="1127"/>
      <c r="N483" s="1691">
        <f t="shared" si="45"/>
        <v>0</v>
      </c>
      <c r="O483" s="634">
        <f t="shared" si="46"/>
        <v>0</v>
      </c>
      <c r="P483" s="144"/>
      <c r="Q483" s="144"/>
      <c r="R483" s="144"/>
      <c r="S483" s="144"/>
    </row>
    <row r="484" spans="1:19" ht="14.25" customHeight="1">
      <c r="A484" s="630"/>
      <c r="B484" s="631"/>
      <c r="C484" s="1127"/>
      <c r="D484" s="632"/>
      <c r="E484" s="1127"/>
      <c r="F484" s="633">
        <f t="shared" si="47"/>
        <v>0</v>
      </c>
      <c r="G484" s="632"/>
      <c r="H484" s="1127"/>
      <c r="I484" s="633">
        <f t="shared" si="48"/>
        <v>0</v>
      </c>
      <c r="J484" s="633">
        <f t="shared" si="49"/>
        <v>0</v>
      </c>
      <c r="K484" s="633">
        <f t="shared" si="50"/>
        <v>0</v>
      </c>
      <c r="L484" s="1127"/>
      <c r="M484" s="1127"/>
      <c r="N484" s="1691">
        <f t="shared" si="45"/>
        <v>0</v>
      </c>
      <c r="O484" s="634">
        <f t="shared" si="46"/>
        <v>0</v>
      </c>
      <c r="P484" s="144"/>
      <c r="Q484" s="144"/>
      <c r="R484" s="144"/>
      <c r="S484" s="144"/>
    </row>
    <row r="485" spans="1:19" ht="14.25" customHeight="1">
      <c r="A485" s="630"/>
      <c r="B485" s="631"/>
      <c r="C485" s="1127"/>
      <c r="D485" s="632"/>
      <c r="E485" s="1127"/>
      <c r="F485" s="633">
        <f t="shared" si="47"/>
        <v>0</v>
      </c>
      <c r="G485" s="632"/>
      <c r="H485" s="1127"/>
      <c r="I485" s="633">
        <f t="shared" si="48"/>
        <v>0</v>
      </c>
      <c r="J485" s="633">
        <f t="shared" si="49"/>
        <v>0</v>
      </c>
      <c r="K485" s="633">
        <f t="shared" si="50"/>
        <v>0</v>
      </c>
      <c r="L485" s="1127"/>
      <c r="M485" s="1127"/>
      <c r="N485" s="1691">
        <f t="shared" si="45"/>
        <v>0</v>
      </c>
      <c r="O485" s="634">
        <f t="shared" si="46"/>
        <v>0</v>
      </c>
      <c r="P485" s="144"/>
      <c r="Q485" s="144"/>
      <c r="R485" s="144"/>
      <c r="S485" s="144"/>
    </row>
    <row r="486" spans="1:19" ht="14.25" customHeight="1">
      <c r="A486" s="630"/>
      <c r="B486" s="631"/>
      <c r="C486" s="1127"/>
      <c r="D486" s="632"/>
      <c r="E486" s="1127"/>
      <c r="F486" s="633">
        <f t="shared" si="47"/>
        <v>0</v>
      </c>
      <c r="G486" s="632"/>
      <c r="H486" s="1127"/>
      <c r="I486" s="633">
        <f t="shared" si="48"/>
        <v>0</v>
      </c>
      <c r="J486" s="633">
        <f t="shared" si="49"/>
        <v>0</v>
      </c>
      <c r="K486" s="633">
        <f t="shared" si="50"/>
        <v>0</v>
      </c>
      <c r="L486" s="1127"/>
      <c r="M486" s="1127"/>
      <c r="N486" s="1691">
        <f t="shared" si="45"/>
        <v>0</v>
      </c>
      <c r="O486" s="634">
        <f t="shared" si="46"/>
        <v>0</v>
      </c>
      <c r="P486" s="144"/>
      <c r="Q486" s="144"/>
      <c r="R486" s="144"/>
      <c r="S486" s="144"/>
    </row>
    <row r="487" spans="1:19" ht="14.25" customHeight="1">
      <c r="A487" s="630"/>
      <c r="B487" s="631"/>
      <c r="C487" s="1127"/>
      <c r="D487" s="632"/>
      <c r="E487" s="1127"/>
      <c r="F487" s="633">
        <f t="shared" si="47"/>
        <v>0</v>
      </c>
      <c r="G487" s="632"/>
      <c r="H487" s="1127"/>
      <c r="I487" s="633">
        <f t="shared" si="48"/>
        <v>0</v>
      </c>
      <c r="J487" s="633">
        <f t="shared" si="49"/>
        <v>0</v>
      </c>
      <c r="K487" s="633">
        <f t="shared" si="50"/>
        <v>0</v>
      </c>
      <c r="L487" s="1127"/>
      <c r="M487" s="1127"/>
      <c r="N487" s="1691">
        <f t="shared" si="45"/>
        <v>0</v>
      </c>
      <c r="O487" s="634">
        <f t="shared" si="46"/>
        <v>0</v>
      </c>
      <c r="P487" s="144"/>
      <c r="Q487" s="144"/>
      <c r="R487" s="144"/>
      <c r="S487" s="144"/>
    </row>
    <row r="488" spans="1:19" ht="14.25" customHeight="1">
      <c r="A488" s="630"/>
      <c r="B488" s="631"/>
      <c r="C488" s="1127"/>
      <c r="D488" s="632"/>
      <c r="E488" s="1127"/>
      <c r="F488" s="633">
        <f t="shared" si="47"/>
        <v>0</v>
      </c>
      <c r="G488" s="632"/>
      <c r="H488" s="1127"/>
      <c r="I488" s="633">
        <f t="shared" si="48"/>
        <v>0</v>
      </c>
      <c r="J488" s="633">
        <f t="shared" si="49"/>
        <v>0</v>
      </c>
      <c r="K488" s="633">
        <f t="shared" si="50"/>
        <v>0</v>
      </c>
      <c r="L488" s="1127"/>
      <c r="M488" s="1127"/>
      <c r="N488" s="1691">
        <f t="shared" si="45"/>
        <v>0</v>
      </c>
      <c r="O488" s="634">
        <f t="shared" si="46"/>
        <v>0</v>
      </c>
      <c r="P488" s="144"/>
      <c r="Q488" s="144"/>
      <c r="R488" s="144"/>
      <c r="S488" s="144"/>
    </row>
    <row r="489" spans="1:19" ht="14.25" customHeight="1">
      <c r="A489" s="630"/>
      <c r="B489" s="631"/>
      <c r="C489" s="1127"/>
      <c r="D489" s="632"/>
      <c r="E489" s="1127"/>
      <c r="F489" s="633">
        <f t="shared" si="47"/>
        <v>0</v>
      </c>
      <c r="G489" s="632"/>
      <c r="H489" s="1127"/>
      <c r="I489" s="633">
        <f t="shared" si="48"/>
        <v>0</v>
      </c>
      <c r="J489" s="633">
        <f t="shared" si="49"/>
        <v>0</v>
      </c>
      <c r="K489" s="633">
        <f t="shared" si="50"/>
        <v>0</v>
      </c>
      <c r="L489" s="1127"/>
      <c r="M489" s="1127"/>
      <c r="N489" s="1691">
        <f t="shared" si="45"/>
        <v>0</v>
      </c>
      <c r="O489" s="634">
        <f t="shared" si="46"/>
        <v>0</v>
      </c>
      <c r="P489" s="144"/>
      <c r="Q489" s="144"/>
      <c r="R489" s="144"/>
      <c r="S489" s="144"/>
    </row>
    <row r="490" spans="1:19" ht="14.25" customHeight="1">
      <c r="A490" s="630"/>
      <c r="B490" s="631"/>
      <c r="C490" s="1127"/>
      <c r="D490" s="632"/>
      <c r="E490" s="1127"/>
      <c r="F490" s="633">
        <f t="shared" si="47"/>
        <v>0</v>
      </c>
      <c r="G490" s="632"/>
      <c r="H490" s="1127"/>
      <c r="I490" s="633">
        <f t="shared" si="48"/>
        <v>0</v>
      </c>
      <c r="J490" s="633">
        <f t="shared" si="49"/>
        <v>0</v>
      </c>
      <c r="K490" s="633">
        <f t="shared" si="50"/>
        <v>0</v>
      </c>
      <c r="L490" s="1127"/>
      <c r="M490" s="1127"/>
      <c r="N490" s="1691">
        <f t="shared" si="45"/>
        <v>0</v>
      </c>
      <c r="O490" s="634">
        <f t="shared" si="46"/>
        <v>0</v>
      </c>
      <c r="P490" s="144"/>
      <c r="Q490" s="144"/>
      <c r="R490" s="144"/>
      <c r="S490" s="144"/>
    </row>
    <row r="491" spans="1:19" ht="14.25" customHeight="1">
      <c r="A491" s="630"/>
      <c r="B491" s="631"/>
      <c r="C491" s="1127"/>
      <c r="D491" s="632"/>
      <c r="E491" s="1127"/>
      <c r="F491" s="633">
        <f t="shared" si="47"/>
        <v>0</v>
      </c>
      <c r="G491" s="632"/>
      <c r="H491" s="1127"/>
      <c r="I491" s="633">
        <f t="shared" si="48"/>
        <v>0</v>
      </c>
      <c r="J491" s="633">
        <f t="shared" si="49"/>
        <v>0</v>
      </c>
      <c r="K491" s="633">
        <f t="shared" si="50"/>
        <v>0</v>
      </c>
      <c r="L491" s="1127"/>
      <c r="M491" s="1127"/>
      <c r="N491" s="1691">
        <f t="shared" si="45"/>
        <v>0</v>
      </c>
      <c r="O491" s="634">
        <f t="shared" si="46"/>
        <v>0</v>
      </c>
      <c r="P491" s="144"/>
      <c r="Q491" s="144"/>
      <c r="R491" s="144"/>
      <c r="S491" s="144"/>
    </row>
    <row r="492" spans="1:19" ht="14.25" customHeight="1">
      <c r="A492" s="630"/>
      <c r="B492" s="631"/>
      <c r="C492" s="1127"/>
      <c r="D492" s="632"/>
      <c r="E492" s="1127"/>
      <c r="F492" s="633">
        <f t="shared" si="47"/>
        <v>0</v>
      </c>
      <c r="G492" s="632"/>
      <c r="H492" s="1127"/>
      <c r="I492" s="633">
        <f t="shared" si="48"/>
        <v>0</v>
      </c>
      <c r="J492" s="633">
        <f t="shared" si="49"/>
        <v>0</v>
      </c>
      <c r="K492" s="633">
        <f t="shared" si="50"/>
        <v>0</v>
      </c>
      <c r="L492" s="1127"/>
      <c r="M492" s="1127"/>
      <c r="N492" s="1691">
        <f t="shared" si="45"/>
        <v>0</v>
      </c>
      <c r="O492" s="634">
        <f t="shared" si="46"/>
        <v>0</v>
      </c>
      <c r="P492" s="144"/>
      <c r="Q492" s="144"/>
      <c r="R492" s="144"/>
      <c r="S492" s="144"/>
    </row>
    <row r="493" spans="1:19" ht="14.25" customHeight="1">
      <c r="A493" s="630"/>
      <c r="B493" s="631"/>
      <c r="C493" s="1127"/>
      <c r="D493" s="632"/>
      <c r="E493" s="1127"/>
      <c r="F493" s="633">
        <f t="shared" si="47"/>
        <v>0</v>
      </c>
      <c r="G493" s="632"/>
      <c r="H493" s="1127"/>
      <c r="I493" s="633">
        <f t="shared" si="48"/>
        <v>0</v>
      </c>
      <c r="J493" s="633">
        <f t="shared" si="49"/>
        <v>0</v>
      </c>
      <c r="K493" s="633">
        <f t="shared" si="50"/>
        <v>0</v>
      </c>
      <c r="L493" s="1127"/>
      <c r="M493" s="1127"/>
      <c r="N493" s="1691">
        <f t="shared" si="45"/>
        <v>0</v>
      </c>
      <c r="O493" s="634">
        <f t="shared" si="46"/>
        <v>0</v>
      </c>
      <c r="P493" s="144"/>
      <c r="Q493" s="144"/>
      <c r="R493" s="144"/>
      <c r="S493" s="144"/>
    </row>
    <row r="494" spans="1:19" ht="14.25" customHeight="1">
      <c r="A494" s="630"/>
      <c r="B494" s="631"/>
      <c r="C494" s="1127"/>
      <c r="D494" s="632"/>
      <c r="E494" s="1127"/>
      <c r="F494" s="633">
        <f t="shared" si="47"/>
        <v>0</v>
      </c>
      <c r="G494" s="632"/>
      <c r="H494" s="1127"/>
      <c r="I494" s="633">
        <f t="shared" si="48"/>
        <v>0</v>
      </c>
      <c r="J494" s="633">
        <f t="shared" si="49"/>
        <v>0</v>
      </c>
      <c r="K494" s="633">
        <f t="shared" si="50"/>
        <v>0</v>
      </c>
      <c r="L494" s="1127"/>
      <c r="M494" s="1127"/>
      <c r="N494" s="1691">
        <f t="shared" si="45"/>
        <v>0</v>
      </c>
      <c r="O494" s="634">
        <f t="shared" si="46"/>
        <v>0</v>
      </c>
      <c r="P494" s="144"/>
      <c r="Q494" s="144"/>
      <c r="R494" s="144"/>
      <c r="S494" s="144"/>
    </row>
    <row r="495" spans="1:19" ht="14.25" customHeight="1">
      <c r="A495" s="630"/>
      <c r="B495" s="631"/>
      <c r="C495" s="1127"/>
      <c r="D495" s="632"/>
      <c r="E495" s="1127"/>
      <c r="F495" s="633">
        <f t="shared" si="47"/>
        <v>0</v>
      </c>
      <c r="G495" s="632"/>
      <c r="H495" s="1127"/>
      <c r="I495" s="633">
        <f t="shared" si="48"/>
        <v>0</v>
      </c>
      <c r="J495" s="633">
        <f t="shared" si="49"/>
        <v>0</v>
      </c>
      <c r="K495" s="633">
        <f t="shared" si="50"/>
        <v>0</v>
      </c>
      <c r="L495" s="1127"/>
      <c r="M495" s="1127"/>
      <c r="N495" s="1691">
        <f t="shared" si="45"/>
        <v>0</v>
      </c>
      <c r="O495" s="634">
        <f t="shared" si="46"/>
        <v>0</v>
      </c>
      <c r="P495" s="144"/>
      <c r="Q495" s="144"/>
      <c r="R495" s="144"/>
      <c r="S495" s="144"/>
    </row>
    <row r="496" spans="1:19" ht="14.25" customHeight="1">
      <c r="A496" s="630"/>
      <c r="B496" s="631"/>
      <c r="C496" s="1127"/>
      <c r="D496" s="632"/>
      <c r="E496" s="1127"/>
      <c r="F496" s="633">
        <f t="shared" si="47"/>
        <v>0</v>
      </c>
      <c r="G496" s="632"/>
      <c r="H496" s="1127"/>
      <c r="I496" s="633">
        <f t="shared" si="48"/>
        <v>0</v>
      </c>
      <c r="J496" s="633">
        <f t="shared" si="49"/>
        <v>0</v>
      </c>
      <c r="K496" s="633">
        <f t="shared" si="50"/>
        <v>0</v>
      </c>
      <c r="L496" s="1127"/>
      <c r="M496" s="1127"/>
      <c r="N496" s="1691">
        <f t="shared" si="45"/>
        <v>0</v>
      </c>
      <c r="O496" s="634">
        <f t="shared" si="46"/>
        <v>0</v>
      </c>
      <c r="P496" s="144"/>
      <c r="Q496" s="144"/>
      <c r="R496" s="144"/>
      <c r="S496" s="144"/>
    </row>
    <row r="497" spans="1:19" ht="14.25" customHeight="1">
      <c r="A497" s="630"/>
      <c r="B497" s="631"/>
      <c r="C497" s="1127"/>
      <c r="D497" s="632"/>
      <c r="E497" s="1127"/>
      <c r="F497" s="633">
        <f t="shared" si="47"/>
        <v>0</v>
      </c>
      <c r="G497" s="632"/>
      <c r="H497" s="1127"/>
      <c r="I497" s="633">
        <f t="shared" si="48"/>
        <v>0</v>
      </c>
      <c r="J497" s="633">
        <f t="shared" si="49"/>
        <v>0</v>
      </c>
      <c r="K497" s="633">
        <f t="shared" si="50"/>
        <v>0</v>
      </c>
      <c r="L497" s="1127"/>
      <c r="M497" s="1127"/>
      <c r="N497" s="1691">
        <f t="shared" si="45"/>
        <v>0</v>
      </c>
      <c r="O497" s="634">
        <f t="shared" si="46"/>
        <v>0</v>
      </c>
      <c r="P497" s="144"/>
      <c r="Q497" s="144"/>
      <c r="R497" s="144"/>
      <c r="S497" s="144"/>
    </row>
    <row r="498" spans="1:19" ht="14.25" customHeight="1">
      <c r="A498" s="630"/>
      <c r="B498" s="631"/>
      <c r="C498" s="1127"/>
      <c r="D498" s="632"/>
      <c r="E498" s="1127"/>
      <c r="F498" s="633">
        <f t="shared" si="47"/>
        <v>0</v>
      </c>
      <c r="G498" s="632"/>
      <c r="H498" s="1127"/>
      <c r="I498" s="633">
        <f t="shared" si="48"/>
        <v>0</v>
      </c>
      <c r="J498" s="633">
        <f t="shared" si="49"/>
        <v>0</v>
      </c>
      <c r="K498" s="633">
        <f t="shared" si="50"/>
        <v>0</v>
      </c>
      <c r="L498" s="1127"/>
      <c r="M498" s="1127"/>
      <c r="N498" s="1691">
        <f t="shared" si="45"/>
        <v>0</v>
      </c>
      <c r="O498" s="634">
        <f t="shared" si="46"/>
        <v>0</v>
      </c>
      <c r="P498" s="144"/>
      <c r="Q498" s="144"/>
      <c r="R498" s="144"/>
      <c r="S498" s="144"/>
    </row>
    <row r="499" spans="1:19" ht="14.25" customHeight="1">
      <c r="A499" s="630"/>
      <c r="B499" s="631"/>
      <c r="C499" s="1127"/>
      <c r="D499" s="632"/>
      <c r="E499" s="1127"/>
      <c r="F499" s="633">
        <f t="shared" si="47"/>
        <v>0</v>
      </c>
      <c r="G499" s="632"/>
      <c r="H499" s="1127"/>
      <c r="I499" s="633">
        <f t="shared" si="48"/>
        <v>0</v>
      </c>
      <c r="J499" s="633">
        <f t="shared" si="49"/>
        <v>0</v>
      </c>
      <c r="K499" s="633">
        <f t="shared" si="50"/>
        <v>0</v>
      </c>
      <c r="L499" s="1127"/>
      <c r="M499" s="1127"/>
      <c r="N499" s="1691">
        <f t="shared" si="45"/>
        <v>0</v>
      </c>
      <c r="O499" s="634">
        <f t="shared" si="46"/>
        <v>0</v>
      </c>
      <c r="P499" s="144"/>
      <c r="Q499" s="144"/>
      <c r="R499" s="144"/>
      <c r="S499" s="144"/>
    </row>
    <row r="500" spans="1:19" ht="14.25" customHeight="1">
      <c r="A500" s="630"/>
      <c r="B500" s="631"/>
      <c r="C500" s="1127"/>
      <c r="D500" s="632"/>
      <c r="E500" s="1127"/>
      <c r="F500" s="633">
        <f t="shared" si="47"/>
        <v>0</v>
      </c>
      <c r="G500" s="632"/>
      <c r="H500" s="1127"/>
      <c r="I500" s="633">
        <f t="shared" si="48"/>
        <v>0</v>
      </c>
      <c r="J500" s="633">
        <f t="shared" si="49"/>
        <v>0</v>
      </c>
      <c r="K500" s="633">
        <f t="shared" si="50"/>
        <v>0</v>
      </c>
      <c r="L500" s="1127"/>
      <c r="M500" s="1127"/>
      <c r="N500" s="1691">
        <f t="shared" si="45"/>
        <v>0</v>
      </c>
      <c r="O500" s="634">
        <f t="shared" si="46"/>
        <v>0</v>
      </c>
      <c r="P500" s="144"/>
      <c r="Q500" s="144"/>
      <c r="R500" s="144"/>
      <c r="S500" s="144"/>
    </row>
    <row r="501" spans="1:19" ht="14.25" customHeight="1">
      <c r="A501" s="630"/>
      <c r="B501" s="631"/>
      <c r="C501" s="1127"/>
      <c r="D501" s="632"/>
      <c r="E501" s="1127"/>
      <c r="F501" s="633">
        <f t="shared" si="47"/>
        <v>0</v>
      </c>
      <c r="G501" s="632"/>
      <c r="H501" s="1127"/>
      <c r="I501" s="633">
        <f t="shared" si="48"/>
        <v>0</v>
      </c>
      <c r="J501" s="633">
        <f t="shared" si="49"/>
        <v>0</v>
      </c>
      <c r="K501" s="633">
        <f t="shared" si="50"/>
        <v>0</v>
      </c>
      <c r="L501" s="1127"/>
      <c r="M501" s="1127"/>
      <c r="N501" s="1691">
        <f t="shared" si="45"/>
        <v>0</v>
      </c>
      <c r="O501" s="634">
        <f t="shared" si="46"/>
        <v>0</v>
      </c>
      <c r="P501" s="144"/>
      <c r="Q501" s="144"/>
      <c r="R501" s="144"/>
      <c r="S501" s="144"/>
    </row>
    <row r="502" spans="1:19" ht="14.25" customHeight="1">
      <c r="A502" s="630"/>
      <c r="B502" s="631"/>
      <c r="C502" s="1127"/>
      <c r="D502" s="632"/>
      <c r="E502" s="1127"/>
      <c r="F502" s="633">
        <f t="shared" si="47"/>
        <v>0</v>
      </c>
      <c r="G502" s="632"/>
      <c r="H502" s="1127"/>
      <c r="I502" s="633">
        <f t="shared" si="48"/>
        <v>0</v>
      </c>
      <c r="J502" s="633">
        <f t="shared" si="49"/>
        <v>0</v>
      </c>
      <c r="K502" s="633">
        <f t="shared" si="50"/>
        <v>0</v>
      </c>
      <c r="L502" s="1127"/>
      <c r="M502" s="1127"/>
      <c r="N502" s="1691">
        <f t="shared" si="45"/>
        <v>0</v>
      </c>
      <c r="O502" s="634">
        <f t="shared" si="46"/>
        <v>0</v>
      </c>
      <c r="P502" s="144"/>
      <c r="Q502" s="144"/>
      <c r="R502" s="144"/>
      <c r="S502" s="144"/>
    </row>
    <row r="503" spans="1:19" ht="14.25" customHeight="1">
      <c r="A503" s="630"/>
      <c r="B503" s="631"/>
      <c r="C503" s="1127"/>
      <c r="D503" s="632"/>
      <c r="E503" s="1127"/>
      <c r="F503" s="633">
        <f t="shared" si="47"/>
        <v>0</v>
      </c>
      <c r="G503" s="632"/>
      <c r="H503" s="1127"/>
      <c r="I503" s="633">
        <f t="shared" si="48"/>
        <v>0</v>
      </c>
      <c r="J503" s="633">
        <f t="shared" si="49"/>
        <v>0</v>
      </c>
      <c r="K503" s="633">
        <f t="shared" si="50"/>
        <v>0</v>
      </c>
      <c r="L503" s="1127"/>
      <c r="M503" s="1127"/>
      <c r="N503" s="1691">
        <f t="shared" si="45"/>
        <v>0</v>
      </c>
      <c r="O503" s="634">
        <f t="shared" si="46"/>
        <v>0</v>
      </c>
      <c r="P503" s="144"/>
      <c r="Q503" s="144"/>
      <c r="R503" s="144"/>
      <c r="S503" s="144"/>
    </row>
    <row r="504" spans="1:19" ht="14.25" customHeight="1">
      <c r="A504" s="630"/>
      <c r="B504" s="631"/>
      <c r="C504" s="1127"/>
      <c r="D504" s="632"/>
      <c r="E504" s="1127"/>
      <c r="F504" s="633">
        <f t="shared" si="47"/>
        <v>0</v>
      </c>
      <c r="G504" s="632"/>
      <c r="H504" s="1127"/>
      <c r="I504" s="633">
        <f t="shared" si="48"/>
        <v>0</v>
      </c>
      <c r="J504" s="633">
        <f t="shared" si="49"/>
        <v>0</v>
      </c>
      <c r="K504" s="633">
        <f t="shared" si="50"/>
        <v>0</v>
      </c>
      <c r="L504" s="1127"/>
      <c r="M504" s="1127"/>
      <c r="N504" s="1691">
        <f t="shared" si="45"/>
        <v>0</v>
      </c>
      <c r="O504" s="634">
        <f t="shared" si="46"/>
        <v>0</v>
      </c>
      <c r="P504" s="144"/>
      <c r="Q504" s="144"/>
      <c r="R504" s="144"/>
      <c r="S504" s="144"/>
    </row>
    <row r="505" spans="1:19" ht="14.25" customHeight="1">
      <c r="A505" s="630"/>
      <c r="B505" s="631"/>
      <c r="C505" s="1127"/>
      <c r="D505" s="632"/>
      <c r="E505" s="1127"/>
      <c r="F505" s="633">
        <f t="shared" si="47"/>
        <v>0</v>
      </c>
      <c r="G505" s="632"/>
      <c r="H505" s="1127"/>
      <c r="I505" s="633">
        <f t="shared" si="48"/>
        <v>0</v>
      </c>
      <c r="J505" s="633">
        <f t="shared" si="49"/>
        <v>0</v>
      </c>
      <c r="K505" s="633">
        <f t="shared" si="50"/>
        <v>0</v>
      </c>
      <c r="L505" s="1127"/>
      <c r="M505" s="1127"/>
      <c r="N505" s="1691">
        <f t="shared" si="45"/>
        <v>0</v>
      </c>
      <c r="O505" s="634">
        <f t="shared" si="46"/>
        <v>0</v>
      </c>
      <c r="P505" s="144"/>
      <c r="Q505" s="144"/>
      <c r="R505" s="144"/>
      <c r="S505" s="144"/>
    </row>
    <row r="506" spans="1:19" ht="14.25" customHeight="1">
      <c r="A506" s="630"/>
      <c r="B506" s="631"/>
      <c r="C506" s="1127"/>
      <c r="D506" s="632"/>
      <c r="E506" s="1127"/>
      <c r="F506" s="633">
        <f t="shared" si="47"/>
        <v>0</v>
      </c>
      <c r="G506" s="632"/>
      <c r="H506" s="1127"/>
      <c r="I506" s="633">
        <f t="shared" si="48"/>
        <v>0</v>
      </c>
      <c r="J506" s="633">
        <f t="shared" si="49"/>
        <v>0</v>
      </c>
      <c r="K506" s="633">
        <f t="shared" si="50"/>
        <v>0</v>
      </c>
      <c r="L506" s="1127"/>
      <c r="M506" s="1127"/>
      <c r="N506" s="1691">
        <f t="shared" si="45"/>
        <v>0</v>
      </c>
      <c r="O506" s="634">
        <f t="shared" si="46"/>
        <v>0</v>
      </c>
      <c r="P506" s="144"/>
      <c r="Q506" s="144"/>
      <c r="R506" s="144"/>
      <c r="S506" s="144"/>
    </row>
    <row r="507" spans="1:19" ht="14.25" customHeight="1">
      <c r="A507" s="630"/>
      <c r="B507" s="631"/>
      <c r="C507" s="1127"/>
      <c r="D507" s="632"/>
      <c r="E507" s="1127"/>
      <c r="F507" s="633">
        <f t="shared" si="47"/>
        <v>0</v>
      </c>
      <c r="G507" s="632"/>
      <c r="H507" s="1127"/>
      <c r="I507" s="633">
        <f t="shared" si="48"/>
        <v>0</v>
      </c>
      <c r="J507" s="633">
        <f t="shared" si="49"/>
        <v>0</v>
      </c>
      <c r="K507" s="633">
        <f t="shared" si="50"/>
        <v>0</v>
      </c>
      <c r="L507" s="1127"/>
      <c r="M507" s="1127"/>
      <c r="N507" s="1691">
        <f t="shared" si="45"/>
        <v>0</v>
      </c>
      <c r="O507" s="634">
        <f t="shared" si="46"/>
        <v>0</v>
      </c>
      <c r="P507" s="144"/>
      <c r="Q507" s="144"/>
      <c r="R507" s="144"/>
      <c r="S507" s="144"/>
    </row>
    <row r="508" spans="1:19" ht="14.25" customHeight="1">
      <c r="A508" s="630"/>
      <c r="B508" s="631"/>
      <c r="C508" s="1127"/>
      <c r="D508" s="632"/>
      <c r="E508" s="1127"/>
      <c r="F508" s="633">
        <f t="shared" si="47"/>
        <v>0</v>
      </c>
      <c r="G508" s="632"/>
      <c r="H508" s="1127"/>
      <c r="I508" s="633">
        <f t="shared" si="48"/>
        <v>0</v>
      </c>
      <c r="J508" s="633">
        <f t="shared" si="49"/>
        <v>0</v>
      </c>
      <c r="K508" s="633">
        <f t="shared" si="50"/>
        <v>0</v>
      </c>
      <c r="L508" s="1127"/>
      <c r="M508" s="1127"/>
      <c r="N508" s="1691">
        <f t="shared" si="45"/>
        <v>0</v>
      </c>
      <c r="O508" s="634">
        <f t="shared" si="46"/>
        <v>0</v>
      </c>
      <c r="P508" s="144"/>
      <c r="Q508" s="144"/>
      <c r="R508" s="144"/>
      <c r="S508" s="144"/>
    </row>
    <row r="509" spans="1:19" ht="14.25" customHeight="1">
      <c r="A509" s="630"/>
      <c r="B509" s="631"/>
      <c r="C509" s="1127"/>
      <c r="D509" s="632"/>
      <c r="E509" s="1127"/>
      <c r="F509" s="633">
        <f t="shared" si="47"/>
        <v>0</v>
      </c>
      <c r="G509" s="632"/>
      <c r="H509" s="1127"/>
      <c r="I509" s="633">
        <f t="shared" si="48"/>
        <v>0</v>
      </c>
      <c r="J509" s="633">
        <f t="shared" si="49"/>
        <v>0</v>
      </c>
      <c r="K509" s="633">
        <f t="shared" si="50"/>
        <v>0</v>
      </c>
      <c r="L509" s="1127"/>
      <c r="M509" s="1127"/>
      <c r="N509" s="1691">
        <f t="shared" si="45"/>
        <v>0</v>
      </c>
      <c r="O509" s="634">
        <f t="shared" si="46"/>
        <v>0</v>
      </c>
      <c r="P509" s="144"/>
      <c r="Q509" s="144"/>
      <c r="R509" s="144"/>
      <c r="S509" s="144"/>
    </row>
    <row r="510" spans="1:19" ht="14.25" customHeight="1">
      <c r="A510" s="630"/>
      <c r="B510" s="631"/>
      <c r="C510" s="1127"/>
      <c r="D510" s="632"/>
      <c r="E510" s="1127"/>
      <c r="F510" s="633">
        <f t="shared" si="47"/>
        <v>0</v>
      </c>
      <c r="G510" s="632"/>
      <c r="H510" s="1127"/>
      <c r="I510" s="633">
        <f t="shared" si="48"/>
        <v>0</v>
      </c>
      <c r="J510" s="633">
        <f t="shared" si="49"/>
        <v>0</v>
      </c>
      <c r="K510" s="633">
        <f t="shared" si="50"/>
        <v>0</v>
      </c>
      <c r="L510" s="1127"/>
      <c r="M510" s="1127"/>
      <c r="N510" s="1691">
        <f t="shared" si="45"/>
        <v>0</v>
      </c>
      <c r="O510" s="634">
        <f t="shared" si="46"/>
        <v>0</v>
      </c>
      <c r="P510" s="144"/>
      <c r="Q510" s="144"/>
      <c r="R510" s="144"/>
      <c r="S510" s="144"/>
    </row>
    <row r="511" spans="1:19" ht="14.25" customHeight="1">
      <c r="A511" s="630"/>
      <c r="B511" s="631"/>
      <c r="C511" s="1127"/>
      <c r="D511" s="632"/>
      <c r="E511" s="1127"/>
      <c r="F511" s="633">
        <f t="shared" si="47"/>
        <v>0</v>
      </c>
      <c r="G511" s="632"/>
      <c r="H511" s="1127"/>
      <c r="I511" s="633">
        <f t="shared" si="48"/>
        <v>0</v>
      </c>
      <c r="J511" s="633">
        <f t="shared" si="49"/>
        <v>0</v>
      </c>
      <c r="K511" s="633">
        <f t="shared" si="50"/>
        <v>0</v>
      </c>
      <c r="L511" s="1127"/>
      <c r="M511" s="1127"/>
      <c r="N511" s="1691">
        <f t="shared" si="45"/>
        <v>0</v>
      </c>
      <c r="O511" s="634">
        <f t="shared" si="46"/>
        <v>0</v>
      </c>
      <c r="P511" s="144"/>
      <c r="Q511" s="144"/>
      <c r="R511" s="144"/>
      <c r="S511" s="144"/>
    </row>
    <row r="512" spans="1:19" ht="14.25" customHeight="1">
      <c r="A512" s="630"/>
      <c r="B512" s="631"/>
      <c r="C512" s="1127"/>
      <c r="D512" s="632"/>
      <c r="E512" s="1127"/>
      <c r="F512" s="633">
        <f t="shared" si="47"/>
        <v>0</v>
      </c>
      <c r="G512" s="632"/>
      <c r="H512" s="1127"/>
      <c r="I512" s="633">
        <f t="shared" si="48"/>
        <v>0</v>
      </c>
      <c r="J512" s="633">
        <f t="shared" si="49"/>
        <v>0</v>
      </c>
      <c r="K512" s="633">
        <f t="shared" si="50"/>
        <v>0</v>
      </c>
      <c r="L512" s="1127"/>
      <c r="M512" s="1127"/>
      <c r="N512" s="1691">
        <f t="shared" si="45"/>
        <v>0</v>
      </c>
      <c r="O512" s="634">
        <f t="shared" si="46"/>
        <v>0</v>
      </c>
      <c r="P512" s="144"/>
      <c r="Q512" s="144"/>
      <c r="R512" s="144"/>
      <c r="S512" s="144"/>
    </row>
    <row r="513" spans="1:19" ht="14.25" customHeight="1">
      <c r="A513" s="630"/>
      <c r="B513" s="631"/>
      <c r="C513" s="1127"/>
      <c r="D513" s="632"/>
      <c r="E513" s="1127"/>
      <c r="F513" s="633">
        <f t="shared" si="47"/>
        <v>0</v>
      </c>
      <c r="G513" s="632"/>
      <c r="H513" s="1127"/>
      <c r="I513" s="633">
        <f t="shared" si="48"/>
        <v>0</v>
      </c>
      <c r="J513" s="633">
        <f t="shared" si="49"/>
        <v>0</v>
      </c>
      <c r="K513" s="633">
        <f t="shared" si="50"/>
        <v>0</v>
      </c>
      <c r="L513" s="1127"/>
      <c r="M513" s="1127"/>
      <c r="N513" s="1691">
        <f t="shared" si="45"/>
        <v>0</v>
      </c>
      <c r="O513" s="634">
        <f t="shared" si="46"/>
        <v>0</v>
      </c>
      <c r="P513" s="144"/>
      <c r="Q513" s="144"/>
      <c r="R513" s="144"/>
      <c r="S513" s="144"/>
    </row>
    <row r="514" spans="1:19" ht="14.25" customHeight="1">
      <c r="A514" s="630"/>
      <c r="B514" s="631"/>
      <c r="C514" s="1127"/>
      <c r="D514" s="632"/>
      <c r="E514" s="1127"/>
      <c r="F514" s="633">
        <f t="shared" si="47"/>
        <v>0</v>
      </c>
      <c r="G514" s="632"/>
      <c r="H514" s="1127"/>
      <c r="I514" s="633">
        <f t="shared" si="48"/>
        <v>0</v>
      </c>
      <c r="J514" s="633">
        <f t="shared" si="49"/>
        <v>0</v>
      </c>
      <c r="K514" s="633">
        <f t="shared" si="50"/>
        <v>0</v>
      </c>
      <c r="L514" s="1127"/>
      <c r="M514" s="1127"/>
      <c r="N514" s="1691">
        <f t="shared" si="45"/>
        <v>0</v>
      </c>
      <c r="O514" s="634">
        <f t="shared" si="46"/>
        <v>0</v>
      </c>
      <c r="P514" s="144"/>
      <c r="Q514" s="144"/>
      <c r="R514" s="144"/>
      <c r="S514" s="144"/>
    </row>
    <row r="515" spans="1:19" ht="14.25" customHeight="1">
      <c r="A515" s="630"/>
      <c r="B515" s="631"/>
      <c r="C515" s="1127"/>
      <c r="D515" s="632"/>
      <c r="E515" s="1127"/>
      <c r="F515" s="633">
        <f t="shared" si="47"/>
        <v>0</v>
      </c>
      <c r="G515" s="632"/>
      <c r="H515" s="1127"/>
      <c r="I515" s="633">
        <f t="shared" si="48"/>
        <v>0</v>
      </c>
      <c r="J515" s="633">
        <f t="shared" si="49"/>
        <v>0</v>
      </c>
      <c r="K515" s="633">
        <f t="shared" si="50"/>
        <v>0</v>
      </c>
      <c r="L515" s="1127"/>
      <c r="M515" s="1127"/>
      <c r="N515" s="1691">
        <f t="shared" si="45"/>
        <v>0</v>
      </c>
      <c r="O515" s="634">
        <f t="shared" si="46"/>
        <v>0</v>
      </c>
      <c r="P515" s="144"/>
      <c r="Q515" s="144"/>
      <c r="R515" s="144"/>
      <c r="S515" s="144"/>
    </row>
    <row r="516" spans="1:19" ht="14.25" customHeight="1">
      <c r="A516" s="630"/>
      <c r="B516" s="631"/>
      <c r="C516" s="1127"/>
      <c r="D516" s="632"/>
      <c r="E516" s="1127"/>
      <c r="F516" s="633">
        <f t="shared" si="47"/>
        <v>0</v>
      </c>
      <c r="G516" s="632"/>
      <c r="H516" s="1127"/>
      <c r="I516" s="633">
        <f t="shared" si="48"/>
        <v>0</v>
      </c>
      <c r="J516" s="633">
        <f t="shared" si="49"/>
        <v>0</v>
      </c>
      <c r="K516" s="633">
        <f t="shared" si="50"/>
        <v>0</v>
      </c>
      <c r="L516" s="1127"/>
      <c r="M516" s="1127"/>
      <c r="N516" s="1691">
        <f t="shared" si="45"/>
        <v>0</v>
      </c>
      <c r="O516" s="634">
        <f t="shared" si="46"/>
        <v>0</v>
      </c>
      <c r="P516" s="144"/>
      <c r="Q516" s="144"/>
      <c r="R516" s="144"/>
      <c r="S516" s="144"/>
    </row>
    <row r="517" spans="1:19" ht="14.25" customHeight="1">
      <c r="A517" s="630"/>
      <c r="B517" s="631"/>
      <c r="C517" s="1127"/>
      <c r="D517" s="632"/>
      <c r="E517" s="1127"/>
      <c r="F517" s="633">
        <f t="shared" si="47"/>
        <v>0</v>
      </c>
      <c r="G517" s="632"/>
      <c r="H517" s="1127"/>
      <c r="I517" s="633">
        <f t="shared" si="48"/>
        <v>0</v>
      </c>
      <c r="J517" s="633">
        <f t="shared" si="49"/>
        <v>0</v>
      </c>
      <c r="K517" s="633">
        <f t="shared" si="50"/>
        <v>0</v>
      </c>
      <c r="L517" s="1127"/>
      <c r="M517" s="1127"/>
      <c r="N517" s="1691">
        <f t="shared" si="45"/>
        <v>0</v>
      </c>
      <c r="O517" s="634">
        <f t="shared" si="46"/>
        <v>0</v>
      </c>
      <c r="P517" s="144"/>
      <c r="Q517" s="144"/>
      <c r="R517" s="144"/>
      <c r="S517" s="144"/>
    </row>
    <row r="518" spans="1:19" ht="14.25" customHeight="1">
      <c r="A518" s="630"/>
      <c r="B518" s="631"/>
      <c r="C518" s="1127"/>
      <c r="D518" s="632"/>
      <c r="E518" s="1127"/>
      <c r="F518" s="633">
        <f t="shared" si="47"/>
        <v>0</v>
      </c>
      <c r="G518" s="632"/>
      <c r="H518" s="1127"/>
      <c r="I518" s="633">
        <f t="shared" si="48"/>
        <v>0</v>
      </c>
      <c r="J518" s="633">
        <f t="shared" si="49"/>
        <v>0</v>
      </c>
      <c r="K518" s="633">
        <f t="shared" si="50"/>
        <v>0</v>
      </c>
      <c r="L518" s="1127"/>
      <c r="M518" s="1127"/>
      <c r="N518" s="1691">
        <f t="shared" si="45"/>
        <v>0</v>
      </c>
      <c r="O518" s="634">
        <f t="shared" si="46"/>
        <v>0</v>
      </c>
      <c r="P518" s="144"/>
      <c r="Q518" s="144"/>
      <c r="R518" s="144"/>
      <c r="S518" s="144"/>
    </row>
    <row r="519" spans="1:19" ht="14.25" customHeight="1">
      <c r="A519" s="630"/>
      <c r="B519" s="631"/>
      <c r="C519" s="1127"/>
      <c r="D519" s="632"/>
      <c r="E519" s="1127"/>
      <c r="F519" s="633">
        <f t="shared" si="47"/>
        <v>0</v>
      </c>
      <c r="G519" s="632"/>
      <c r="H519" s="1127"/>
      <c r="I519" s="633">
        <f t="shared" si="48"/>
        <v>0</v>
      </c>
      <c r="J519" s="633">
        <f t="shared" si="49"/>
        <v>0</v>
      </c>
      <c r="K519" s="633">
        <f t="shared" si="50"/>
        <v>0</v>
      </c>
      <c r="L519" s="1127"/>
      <c r="M519" s="1127"/>
      <c r="N519" s="1691">
        <f t="shared" si="45"/>
        <v>0</v>
      </c>
      <c r="O519" s="634">
        <f t="shared" si="46"/>
        <v>0</v>
      </c>
      <c r="P519" s="144"/>
      <c r="Q519" s="144"/>
      <c r="R519" s="144"/>
      <c r="S519" s="144"/>
    </row>
    <row r="520" spans="1:19" ht="14.25" customHeight="1">
      <c r="A520" s="630"/>
      <c r="B520" s="631"/>
      <c r="C520" s="1127"/>
      <c r="D520" s="632"/>
      <c r="E520" s="1127"/>
      <c r="F520" s="633">
        <f t="shared" si="47"/>
        <v>0</v>
      </c>
      <c r="G520" s="632"/>
      <c r="H520" s="1127"/>
      <c r="I520" s="633">
        <f t="shared" si="48"/>
        <v>0</v>
      </c>
      <c r="J520" s="633">
        <f t="shared" si="49"/>
        <v>0</v>
      </c>
      <c r="K520" s="633">
        <f t="shared" si="50"/>
        <v>0</v>
      </c>
      <c r="L520" s="1127"/>
      <c r="M520" s="1127"/>
      <c r="N520" s="1691">
        <f t="shared" si="45"/>
        <v>0</v>
      </c>
      <c r="O520" s="634">
        <f t="shared" si="46"/>
        <v>0</v>
      </c>
      <c r="P520" s="144"/>
      <c r="Q520" s="144"/>
      <c r="R520" s="144"/>
      <c r="S520" s="144"/>
    </row>
    <row r="521" spans="1:19" ht="14.25" customHeight="1">
      <c r="A521" s="630"/>
      <c r="B521" s="631"/>
      <c r="C521" s="1127"/>
      <c r="D521" s="632"/>
      <c r="E521" s="1127"/>
      <c r="F521" s="633">
        <f t="shared" si="47"/>
        <v>0</v>
      </c>
      <c r="G521" s="632"/>
      <c r="H521" s="1127"/>
      <c r="I521" s="633">
        <f t="shared" si="48"/>
        <v>0</v>
      </c>
      <c r="J521" s="633">
        <f t="shared" si="49"/>
        <v>0</v>
      </c>
      <c r="K521" s="633">
        <f t="shared" si="50"/>
        <v>0</v>
      </c>
      <c r="L521" s="1127"/>
      <c r="M521" s="1127"/>
      <c r="N521" s="1691">
        <f t="shared" si="45"/>
        <v>0</v>
      </c>
      <c r="O521" s="634">
        <f t="shared" si="46"/>
        <v>0</v>
      </c>
      <c r="P521" s="144"/>
      <c r="Q521" s="144"/>
      <c r="R521" s="144"/>
      <c r="S521" s="144"/>
    </row>
    <row r="522" spans="1:19" ht="14.25" customHeight="1">
      <c r="A522" s="630"/>
      <c r="B522" s="631"/>
      <c r="C522" s="1127"/>
      <c r="D522" s="632"/>
      <c r="E522" s="1127"/>
      <c r="F522" s="633">
        <f t="shared" si="47"/>
        <v>0</v>
      </c>
      <c r="G522" s="632"/>
      <c r="H522" s="1127"/>
      <c r="I522" s="633">
        <f t="shared" si="48"/>
        <v>0</v>
      </c>
      <c r="J522" s="633">
        <f t="shared" si="49"/>
        <v>0</v>
      </c>
      <c r="K522" s="633">
        <f t="shared" si="50"/>
        <v>0</v>
      </c>
      <c r="L522" s="1127"/>
      <c r="M522" s="1127"/>
      <c r="N522" s="1691">
        <f t="shared" ref="N522:N585" si="51">IF(M522&lt;&gt;0,ROUND(B522*K522,2)+M522,IF(ABS(ROUND(K522*B522,2)-L522)&lt;3,L522,MIN(ROUND(K522*B522,2),L522)))</f>
        <v>0</v>
      </c>
      <c r="O522" s="634">
        <f t="shared" ref="O522:O585" si="52">IF(ISERROR(L522-N522),"",IF(ABS(L522-N522)&lt;3,0,L522-N522))</f>
        <v>0</v>
      </c>
      <c r="P522" s="144"/>
      <c r="Q522" s="144"/>
      <c r="R522" s="144"/>
      <c r="S522" s="144"/>
    </row>
    <row r="523" spans="1:19" ht="14.25" customHeight="1">
      <c r="A523" s="630"/>
      <c r="B523" s="631"/>
      <c r="C523" s="1127"/>
      <c r="D523" s="632"/>
      <c r="E523" s="1127"/>
      <c r="F523" s="633">
        <f t="shared" ref="F523:F586" si="53">E523*(12-MONTH(D523))/12</f>
        <v>0</v>
      </c>
      <c r="G523" s="632"/>
      <c r="H523" s="1127"/>
      <c r="I523" s="633">
        <f t="shared" ref="I523:I586" si="54">H523*(12-MONTH(G523))/12</f>
        <v>0</v>
      </c>
      <c r="J523" s="633">
        <f t="shared" ref="J523:J586" si="55">C523+E523-H523</f>
        <v>0</v>
      </c>
      <c r="K523" s="633">
        <f t="shared" ref="K523:K586" si="56">C523+F523-I523</f>
        <v>0</v>
      </c>
      <c r="L523" s="1127"/>
      <c r="M523" s="1127"/>
      <c r="N523" s="1691">
        <f t="shared" si="51"/>
        <v>0</v>
      </c>
      <c r="O523" s="634">
        <f t="shared" si="52"/>
        <v>0</v>
      </c>
      <c r="P523" s="144"/>
      <c r="Q523" s="144"/>
      <c r="R523" s="144"/>
      <c r="S523" s="144"/>
    </row>
    <row r="524" spans="1:19" ht="14.25" customHeight="1">
      <c r="A524" s="630"/>
      <c r="B524" s="631"/>
      <c r="C524" s="1127"/>
      <c r="D524" s="632"/>
      <c r="E524" s="1127"/>
      <c r="F524" s="633">
        <f t="shared" si="53"/>
        <v>0</v>
      </c>
      <c r="G524" s="632"/>
      <c r="H524" s="1127"/>
      <c r="I524" s="633">
        <f t="shared" si="54"/>
        <v>0</v>
      </c>
      <c r="J524" s="633">
        <f t="shared" si="55"/>
        <v>0</v>
      </c>
      <c r="K524" s="633">
        <f t="shared" si="56"/>
        <v>0</v>
      </c>
      <c r="L524" s="1127"/>
      <c r="M524" s="1127"/>
      <c r="N524" s="1691">
        <f t="shared" si="51"/>
        <v>0</v>
      </c>
      <c r="O524" s="634">
        <f t="shared" si="52"/>
        <v>0</v>
      </c>
      <c r="P524" s="144"/>
      <c r="Q524" s="144"/>
      <c r="R524" s="144"/>
      <c r="S524" s="144"/>
    </row>
    <row r="525" spans="1:19" ht="14.25" customHeight="1">
      <c r="A525" s="630"/>
      <c r="B525" s="631"/>
      <c r="C525" s="1127"/>
      <c r="D525" s="632"/>
      <c r="E525" s="1127"/>
      <c r="F525" s="633">
        <f t="shared" si="53"/>
        <v>0</v>
      </c>
      <c r="G525" s="632"/>
      <c r="H525" s="1127"/>
      <c r="I525" s="633">
        <f t="shared" si="54"/>
        <v>0</v>
      </c>
      <c r="J525" s="633">
        <f t="shared" si="55"/>
        <v>0</v>
      </c>
      <c r="K525" s="633">
        <f t="shared" si="56"/>
        <v>0</v>
      </c>
      <c r="L525" s="1127"/>
      <c r="M525" s="1127"/>
      <c r="N525" s="1691">
        <f t="shared" si="51"/>
        <v>0</v>
      </c>
      <c r="O525" s="634">
        <f t="shared" si="52"/>
        <v>0</v>
      </c>
      <c r="P525" s="144"/>
      <c r="Q525" s="144"/>
      <c r="R525" s="144"/>
      <c r="S525" s="144"/>
    </row>
    <row r="526" spans="1:19" ht="14.25" customHeight="1">
      <c r="A526" s="630"/>
      <c r="B526" s="631"/>
      <c r="C526" s="1127"/>
      <c r="D526" s="632"/>
      <c r="E526" s="1127"/>
      <c r="F526" s="633">
        <f t="shared" si="53"/>
        <v>0</v>
      </c>
      <c r="G526" s="632"/>
      <c r="H526" s="1127"/>
      <c r="I526" s="633">
        <f t="shared" si="54"/>
        <v>0</v>
      </c>
      <c r="J526" s="633">
        <f t="shared" si="55"/>
        <v>0</v>
      </c>
      <c r="K526" s="633">
        <f t="shared" si="56"/>
        <v>0</v>
      </c>
      <c r="L526" s="1127"/>
      <c r="M526" s="1127"/>
      <c r="N526" s="1691">
        <f t="shared" si="51"/>
        <v>0</v>
      </c>
      <c r="O526" s="634">
        <f t="shared" si="52"/>
        <v>0</v>
      </c>
      <c r="P526" s="144"/>
      <c r="Q526" s="144"/>
      <c r="R526" s="144"/>
      <c r="S526" s="144"/>
    </row>
    <row r="527" spans="1:19" ht="14.25" customHeight="1">
      <c r="A527" s="630"/>
      <c r="B527" s="631"/>
      <c r="C527" s="1127"/>
      <c r="D527" s="632"/>
      <c r="E527" s="1127"/>
      <c r="F527" s="633">
        <f t="shared" si="53"/>
        <v>0</v>
      </c>
      <c r="G527" s="632"/>
      <c r="H527" s="1127"/>
      <c r="I527" s="633">
        <f t="shared" si="54"/>
        <v>0</v>
      </c>
      <c r="J527" s="633">
        <f t="shared" si="55"/>
        <v>0</v>
      </c>
      <c r="K527" s="633">
        <f t="shared" si="56"/>
        <v>0</v>
      </c>
      <c r="L527" s="1127"/>
      <c r="M527" s="1127"/>
      <c r="N527" s="1691">
        <f t="shared" si="51"/>
        <v>0</v>
      </c>
      <c r="O527" s="634">
        <f t="shared" si="52"/>
        <v>0</v>
      </c>
      <c r="P527" s="144"/>
      <c r="Q527" s="144"/>
      <c r="R527" s="144"/>
      <c r="S527" s="144"/>
    </row>
    <row r="528" spans="1:19" ht="14.25" customHeight="1">
      <c r="A528" s="630"/>
      <c r="B528" s="631"/>
      <c r="C528" s="1127"/>
      <c r="D528" s="632"/>
      <c r="E528" s="1127"/>
      <c r="F528" s="633">
        <f t="shared" si="53"/>
        <v>0</v>
      </c>
      <c r="G528" s="632"/>
      <c r="H528" s="1127"/>
      <c r="I528" s="633">
        <f t="shared" si="54"/>
        <v>0</v>
      </c>
      <c r="J528" s="633">
        <f t="shared" si="55"/>
        <v>0</v>
      </c>
      <c r="K528" s="633">
        <f t="shared" si="56"/>
        <v>0</v>
      </c>
      <c r="L528" s="1127"/>
      <c r="M528" s="1127"/>
      <c r="N528" s="1691">
        <f t="shared" si="51"/>
        <v>0</v>
      </c>
      <c r="O528" s="634">
        <f t="shared" si="52"/>
        <v>0</v>
      </c>
      <c r="P528" s="144"/>
      <c r="Q528" s="144"/>
      <c r="R528" s="144"/>
      <c r="S528" s="144"/>
    </row>
    <row r="529" spans="1:19" ht="14.25" customHeight="1">
      <c r="A529" s="630"/>
      <c r="B529" s="631"/>
      <c r="C529" s="1127"/>
      <c r="D529" s="632"/>
      <c r="E529" s="1127"/>
      <c r="F529" s="633">
        <f t="shared" si="53"/>
        <v>0</v>
      </c>
      <c r="G529" s="632"/>
      <c r="H529" s="1127"/>
      <c r="I529" s="633">
        <f t="shared" si="54"/>
        <v>0</v>
      </c>
      <c r="J529" s="633">
        <f t="shared" si="55"/>
        <v>0</v>
      </c>
      <c r="K529" s="633">
        <f t="shared" si="56"/>
        <v>0</v>
      </c>
      <c r="L529" s="1127"/>
      <c r="M529" s="1127"/>
      <c r="N529" s="1691">
        <f t="shared" si="51"/>
        <v>0</v>
      </c>
      <c r="O529" s="634">
        <f t="shared" si="52"/>
        <v>0</v>
      </c>
      <c r="P529" s="144"/>
      <c r="Q529" s="144"/>
      <c r="R529" s="144"/>
      <c r="S529" s="144"/>
    </row>
    <row r="530" spans="1:19" ht="14.25" customHeight="1">
      <c r="A530" s="630"/>
      <c r="B530" s="631"/>
      <c r="C530" s="1127"/>
      <c r="D530" s="632"/>
      <c r="E530" s="1127"/>
      <c r="F530" s="633">
        <f t="shared" si="53"/>
        <v>0</v>
      </c>
      <c r="G530" s="632"/>
      <c r="H530" s="1127"/>
      <c r="I530" s="633">
        <f t="shared" si="54"/>
        <v>0</v>
      </c>
      <c r="J530" s="633">
        <f t="shared" si="55"/>
        <v>0</v>
      </c>
      <c r="K530" s="633">
        <f t="shared" si="56"/>
        <v>0</v>
      </c>
      <c r="L530" s="1127"/>
      <c r="M530" s="1127"/>
      <c r="N530" s="1691">
        <f t="shared" si="51"/>
        <v>0</v>
      </c>
      <c r="O530" s="634">
        <f t="shared" si="52"/>
        <v>0</v>
      </c>
      <c r="P530" s="144"/>
      <c r="Q530" s="144"/>
      <c r="R530" s="144"/>
      <c r="S530" s="144"/>
    </row>
    <row r="531" spans="1:19" ht="14.25" customHeight="1">
      <c r="A531" s="630"/>
      <c r="B531" s="631"/>
      <c r="C531" s="1127"/>
      <c r="D531" s="632"/>
      <c r="E531" s="1127"/>
      <c r="F531" s="633">
        <f t="shared" si="53"/>
        <v>0</v>
      </c>
      <c r="G531" s="632"/>
      <c r="H531" s="1127"/>
      <c r="I531" s="633">
        <f t="shared" si="54"/>
        <v>0</v>
      </c>
      <c r="J531" s="633">
        <f t="shared" si="55"/>
        <v>0</v>
      </c>
      <c r="K531" s="633">
        <f t="shared" si="56"/>
        <v>0</v>
      </c>
      <c r="L531" s="1127"/>
      <c r="M531" s="1127"/>
      <c r="N531" s="1691">
        <f t="shared" si="51"/>
        <v>0</v>
      </c>
      <c r="O531" s="634">
        <f t="shared" si="52"/>
        <v>0</v>
      </c>
      <c r="P531" s="144"/>
      <c r="Q531" s="144"/>
      <c r="R531" s="144"/>
      <c r="S531" s="144"/>
    </row>
    <row r="532" spans="1:19" ht="14.25" customHeight="1">
      <c r="A532" s="630"/>
      <c r="B532" s="631"/>
      <c r="C532" s="1127"/>
      <c r="D532" s="632"/>
      <c r="E532" s="1127"/>
      <c r="F532" s="633">
        <f t="shared" si="53"/>
        <v>0</v>
      </c>
      <c r="G532" s="632"/>
      <c r="H532" s="1127"/>
      <c r="I532" s="633">
        <f t="shared" si="54"/>
        <v>0</v>
      </c>
      <c r="J532" s="633">
        <f t="shared" si="55"/>
        <v>0</v>
      </c>
      <c r="K532" s="633">
        <f t="shared" si="56"/>
        <v>0</v>
      </c>
      <c r="L532" s="1127"/>
      <c r="M532" s="1127"/>
      <c r="N532" s="1691">
        <f t="shared" si="51"/>
        <v>0</v>
      </c>
      <c r="O532" s="634">
        <f t="shared" si="52"/>
        <v>0</v>
      </c>
      <c r="P532" s="144"/>
      <c r="Q532" s="144"/>
      <c r="R532" s="144"/>
      <c r="S532" s="144"/>
    </row>
    <row r="533" spans="1:19" ht="14.25" customHeight="1">
      <c r="A533" s="630"/>
      <c r="B533" s="631"/>
      <c r="C533" s="1127"/>
      <c r="D533" s="632"/>
      <c r="E533" s="1127"/>
      <c r="F533" s="633">
        <f t="shared" si="53"/>
        <v>0</v>
      </c>
      <c r="G533" s="632"/>
      <c r="H533" s="1127"/>
      <c r="I533" s="633">
        <f t="shared" si="54"/>
        <v>0</v>
      </c>
      <c r="J533" s="633">
        <f t="shared" si="55"/>
        <v>0</v>
      </c>
      <c r="K533" s="633">
        <f t="shared" si="56"/>
        <v>0</v>
      </c>
      <c r="L533" s="1127"/>
      <c r="M533" s="1127"/>
      <c r="N533" s="1691">
        <f t="shared" si="51"/>
        <v>0</v>
      </c>
      <c r="O533" s="634">
        <f t="shared" si="52"/>
        <v>0</v>
      </c>
      <c r="P533" s="144"/>
      <c r="Q533" s="144"/>
      <c r="R533" s="144"/>
      <c r="S533" s="144"/>
    </row>
    <row r="534" spans="1:19" ht="14.25" customHeight="1">
      <c r="A534" s="630"/>
      <c r="B534" s="631"/>
      <c r="C534" s="1127"/>
      <c r="D534" s="632"/>
      <c r="E534" s="1127"/>
      <c r="F534" s="633">
        <f t="shared" si="53"/>
        <v>0</v>
      </c>
      <c r="G534" s="632"/>
      <c r="H534" s="1127"/>
      <c r="I534" s="633">
        <f t="shared" si="54"/>
        <v>0</v>
      </c>
      <c r="J534" s="633">
        <f t="shared" si="55"/>
        <v>0</v>
      </c>
      <c r="K534" s="633">
        <f t="shared" si="56"/>
        <v>0</v>
      </c>
      <c r="L534" s="1127"/>
      <c r="M534" s="1127"/>
      <c r="N534" s="1691">
        <f t="shared" si="51"/>
        <v>0</v>
      </c>
      <c r="O534" s="634">
        <f t="shared" si="52"/>
        <v>0</v>
      </c>
      <c r="P534" s="144"/>
      <c r="Q534" s="144"/>
      <c r="R534" s="144"/>
      <c r="S534" s="144"/>
    </row>
    <row r="535" spans="1:19" ht="14.25" customHeight="1">
      <c r="A535" s="630"/>
      <c r="B535" s="631"/>
      <c r="C535" s="1127"/>
      <c r="D535" s="632"/>
      <c r="E535" s="1127"/>
      <c r="F535" s="633">
        <f t="shared" si="53"/>
        <v>0</v>
      </c>
      <c r="G535" s="632"/>
      <c r="H535" s="1127"/>
      <c r="I535" s="633">
        <f t="shared" si="54"/>
        <v>0</v>
      </c>
      <c r="J535" s="633">
        <f t="shared" si="55"/>
        <v>0</v>
      </c>
      <c r="K535" s="633">
        <f t="shared" si="56"/>
        <v>0</v>
      </c>
      <c r="L535" s="1127"/>
      <c r="M535" s="1127"/>
      <c r="N535" s="1691">
        <f t="shared" si="51"/>
        <v>0</v>
      </c>
      <c r="O535" s="634">
        <f t="shared" si="52"/>
        <v>0</v>
      </c>
      <c r="P535" s="144"/>
      <c r="Q535" s="144"/>
      <c r="R535" s="144"/>
      <c r="S535" s="144"/>
    </row>
    <row r="536" spans="1:19" ht="14.25" customHeight="1">
      <c r="A536" s="630"/>
      <c r="B536" s="631"/>
      <c r="C536" s="1127"/>
      <c r="D536" s="632"/>
      <c r="E536" s="1127"/>
      <c r="F536" s="633">
        <f t="shared" si="53"/>
        <v>0</v>
      </c>
      <c r="G536" s="632"/>
      <c r="H536" s="1127"/>
      <c r="I536" s="633">
        <f t="shared" si="54"/>
        <v>0</v>
      </c>
      <c r="J536" s="633">
        <f t="shared" si="55"/>
        <v>0</v>
      </c>
      <c r="K536" s="633">
        <f t="shared" si="56"/>
        <v>0</v>
      </c>
      <c r="L536" s="1127"/>
      <c r="M536" s="1127"/>
      <c r="N536" s="1691">
        <f t="shared" si="51"/>
        <v>0</v>
      </c>
      <c r="O536" s="634">
        <f t="shared" si="52"/>
        <v>0</v>
      </c>
      <c r="P536" s="144"/>
      <c r="Q536" s="144"/>
      <c r="R536" s="144"/>
      <c r="S536" s="144"/>
    </row>
    <row r="537" spans="1:19" ht="14.25" customHeight="1">
      <c r="A537" s="630"/>
      <c r="B537" s="631"/>
      <c r="C537" s="1127"/>
      <c r="D537" s="632"/>
      <c r="E537" s="1127"/>
      <c r="F537" s="633">
        <f t="shared" si="53"/>
        <v>0</v>
      </c>
      <c r="G537" s="632"/>
      <c r="H537" s="1127"/>
      <c r="I537" s="633">
        <f t="shared" si="54"/>
        <v>0</v>
      </c>
      <c r="J537" s="633">
        <f t="shared" si="55"/>
        <v>0</v>
      </c>
      <c r="K537" s="633">
        <f t="shared" si="56"/>
        <v>0</v>
      </c>
      <c r="L537" s="1127"/>
      <c r="M537" s="1127"/>
      <c r="N537" s="1691">
        <f t="shared" si="51"/>
        <v>0</v>
      </c>
      <c r="O537" s="634">
        <f t="shared" si="52"/>
        <v>0</v>
      </c>
      <c r="P537" s="144"/>
      <c r="Q537" s="144"/>
      <c r="R537" s="144"/>
      <c r="S537" s="144"/>
    </row>
    <row r="538" spans="1:19" ht="14.25" customHeight="1">
      <c r="A538" s="630"/>
      <c r="B538" s="631"/>
      <c r="C538" s="1127"/>
      <c r="D538" s="632"/>
      <c r="E538" s="1127"/>
      <c r="F538" s="633">
        <f t="shared" si="53"/>
        <v>0</v>
      </c>
      <c r="G538" s="632"/>
      <c r="H538" s="1127"/>
      <c r="I538" s="633">
        <f t="shared" si="54"/>
        <v>0</v>
      </c>
      <c r="J538" s="633">
        <f t="shared" si="55"/>
        <v>0</v>
      </c>
      <c r="K538" s="633">
        <f t="shared" si="56"/>
        <v>0</v>
      </c>
      <c r="L538" s="1127"/>
      <c r="M538" s="1127"/>
      <c r="N538" s="1691">
        <f t="shared" si="51"/>
        <v>0</v>
      </c>
      <c r="O538" s="634">
        <f t="shared" si="52"/>
        <v>0</v>
      </c>
      <c r="P538" s="144"/>
      <c r="Q538" s="144"/>
      <c r="R538" s="144"/>
      <c r="S538" s="144"/>
    </row>
    <row r="539" spans="1:19" ht="14.25" customHeight="1">
      <c r="A539" s="630"/>
      <c r="B539" s="631"/>
      <c r="C539" s="1127"/>
      <c r="D539" s="632"/>
      <c r="E539" s="1127"/>
      <c r="F539" s="633">
        <f t="shared" si="53"/>
        <v>0</v>
      </c>
      <c r="G539" s="632"/>
      <c r="H539" s="1127"/>
      <c r="I539" s="633">
        <f t="shared" si="54"/>
        <v>0</v>
      </c>
      <c r="J539" s="633">
        <f t="shared" si="55"/>
        <v>0</v>
      </c>
      <c r="K539" s="633">
        <f t="shared" si="56"/>
        <v>0</v>
      </c>
      <c r="L539" s="1127"/>
      <c r="M539" s="1127"/>
      <c r="N539" s="1691">
        <f t="shared" si="51"/>
        <v>0</v>
      </c>
      <c r="O539" s="634">
        <f t="shared" si="52"/>
        <v>0</v>
      </c>
      <c r="P539" s="144"/>
      <c r="Q539" s="144"/>
      <c r="R539" s="144"/>
      <c r="S539" s="144"/>
    </row>
    <row r="540" spans="1:19" ht="14.25" customHeight="1">
      <c r="A540" s="630"/>
      <c r="B540" s="631"/>
      <c r="C540" s="1127"/>
      <c r="D540" s="632"/>
      <c r="E540" s="1127"/>
      <c r="F540" s="633">
        <f t="shared" si="53"/>
        <v>0</v>
      </c>
      <c r="G540" s="632"/>
      <c r="H540" s="1127"/>
      <c r="I540" s="633">
        <f t="shared" si="54"/>
        <v>0</v>
      </c>
      <c r="J540" s="633">
        <f t="shared" si="55"/>
        <v>0</v>
      </c>
      <c r="K540" s="633">
        <f t="shared" si="56"/>
        <v>0</v>
      </c>
      <c r="L540" s="1127"/>
      <c r="M540" s="1127"/>
      <c r="N540" s="1691">
        <f t="shared" si="51"/>
        <v>0</v>
      </c>
      <c r="O540" s="634">
        <f t="shared" si="52"/>
        <v>0</v>
      </c>
      <c r="P540" s="144"/>
      <c r="Q540" s="144"/>
      <c r="R540" s="144"/>
      <c r="S540" s="144"/>
    </row>
    <row r="541" spans="1:19" ht="14.25" customHeight="1">
      <c r="A541" s="630"/>
      <c r="B541" s="631"/>
      <c r="C541" s="1127"/>
      <c r="D541" s="632"/>
      <c r="E541" s="1127"/>
      <c r="F541" s="633">
        <f t="shared" si="53"/>
        <v>0</v>
      </c>
      <c r="G541" s="632"/>
      <c r="H541" s="1127"/>
      <c r="I541" s="633">
        <f t="shared" si="54"/>
        <v>0</v>
      </c>
      <c r="J541" s="633">
        <f t="shared" si="55"/>
        <v>0</v>
      </c>
      <c r="K541" s="633">
        <f t="shared" si="56"/>
        <v>0</v>
      </c>
      <c r="L541" s="1127"/>
      <c r="M541" s="1127"/>
      <c r="N541" s="1691">
        <f t="shared" si="51"/>
        <v>0</v>
      </c>
      <c r="O541" s="634">
        <f t="shared" si="52"/>
        <v>0</v>
      </c>
      <c r="P541" s="144"/>
      <c r="Q541" s="144"/>
      <c r="R541" s="144"/>
      <c r="S541" s="144"/>
    </row>
    <row r="542" spans="1:19" ht="14.25" customHeight="1">
      <c r="A542" s="630"/>
      <c r="B542" s="631"/>
      <c r="C542" s="1127"/>
      <c r="D542" s="632"/>
      <c r="E542" s="1127"/>
      <c r="F542" s="633">
        <f t="shared" si="53"/>
        <v>0</v>
      </c>
      <c r="G542" s="632"/>
      <c r="H542" s="1127"/>
      <c r="I542" s="633">
        <f t="shared" si="54"/>
        <v>0</v>
      </c>
      <c r="J542" s="633">
        <f t="shared" si="55"/>
        <v>0</v>
      </c>
      <c r="K542" s="633">
        <f t="shared" si="56"/>
        <v>0</v>
      </c>
      <c r="L542" s="1127"/>
      <c r="M542" s="1127"/>
      <c r="N542" s="1691">
        <f t="shared" si="51"/>
        <v>0</v>
      </c>
      <c r="O542" s="634">
        <f t="shared" si="52"/>
        <v>0</v>
      </c>
      <c r="P542" s="144"/>
      <c r="Q542" s="144"/>
      <c r="R542" s="144"/>
      <c r="S542" s="144"/>
    </row>
    <row r="543" spans="1:19" ht="14.25" customHeight="1">
      <c r="A543" s="630"/>
      <c r="B543" s="631"/>
      <c r="C543" s="1127"/>
      <c r="D543" s="632"/>
      <c r="E543" s="1127"/>
      <c r="F543" s="633">
        <f t="shared" si="53"/>
        <v>0</v>
      </c>
      <c r="G543" s="632"/>
      <c r="H543" s="1127"/>
      <c r="I543" s="633">
        <f t="shared" si="54"/>
        <v>0</v>
      </c>
      <c r="J543" s="633">
        <f t="shared" si="55"/>
        <v>0</v>
      </c>
      <c r="K543" s="633">
        <f t="shared" si="56"/>
        <v>0</v>
      </c>
      <c r="L543" s="1127"/>
      <c r="M543" s="1127"/>
      <c r="N543" s="1691">
        <f t="shared" si="51"/>
        <v>0</v>
      </c>
      <c r="O543" s="634">
        <f t="shared" si="52"/>
        <v>0</v>
      </c>
      <c r="P543" s="144"/>
      <c r="Q543" s="144"/>
      <c r="R543" s="144"/>
      <c r="S543" s="144"/>
    </row>
    <row r="544" spans="1:19" ht="14.25" customHeight="1">
      <c r="A544" s="630"/>
      <c r="B544" s="631"/>
      <c r="C544" s="1127"/>
      <c r="D544" s="632"/>
      <c r="E544" s="1127"/>
      <c r="F544" s="633">
        <f t="shared" si="53"/>
        <v>0</v>
      </c>
      <c r="G544" s="632"/>
      <c r="H544" s="1127"/>
      <c r="I544" s="633">
        <f t="shared" si="54"/>
        <v>0</v>
      </c>
      <c r="J544" s="633">
        <f t="shared" si="55"/>
        <v>0</v>
      </c>
      <c r="K544" s="633">
        <f t="shared" si="56"/>
        <v>0</v>
      </c>
      <c r="L544" s="1127"/>
      <c r="M544" s="1127"/>
      <c r="N544" s="1691">
        <f t="shared" si="51"/>
        <v>0</v>
      </c>
      <c r="O544" s="634">
        <f t="shared" si="52"/>
        <v>0</v>
      </c>
      <c r="P544" s="144"/>
      <c r="Q544" s="144"/>
      <c r="R544" s="144"/>
      <c r="S544" s="144"/>
    </row>
    <row r="545" spans="1:19" ht="14.25" customHeight="1">
      <c r="A545" s="630"/>
      <c r="B545" s="631"/>
      <c r="C545" s="1127"/>
      <c r="D545" s="632"/>
      <c r="E545" s="1127"/>
      <c r="F545" s="633">
        <f t="shared" si="53"/>
        <v>0</v>
      </c>
      <c r="G545" s="632"/>
      <c r="H545" s="1127"/>
      <c r="I545" s="633">
        <f t="shared" si="54"/>
        <v>0</v>
      </c>
      <c r="J545" s="633">
        <f t="shared" si="55"/>
        <v>0</v>
      </c>
      <c r="K545" s="633">
        <f t="shared" si="56"/>
        <v>0</v>
      </c>
      <c r="L545" s="1127"/>
      <c r="M545" s="1127"/>
      <c r="N545" s="1691">
        <f t="shared" si="51"/>
        <v>0</v>
      </c>
      <c r="O545" s="634">
        <f t="shared" si="52"/>
        <v>0</v>
      </c>
      <c r="P545" s="144"/>
      <c r="Q545" s="144"/>
      <c r="R545" s="144"/>
      <c r="S545" s="144"/>
    </row>
    <row r="546" spans="1:19" ht="14.25" customHeight="1">
      <c r="A546" s="630"/>
      <c r="B546" s="631"/>
      <c r="C546" s="1127"/>
      <c r="D546" s="632"/>
      <c r="E546" s="1127"/>
      <c r="F546" s="633">
        <f t="shared" si="53"/>
        <v>0</v>
      </c>
      <c r="G546" s="632"/>
      <c r="H546" s="1127"/>
      <c r="I546" s="633">
        <f t="shared" si="54"/>
        <v>0</v>
      </c>
      <c r="J546" s="633">
        <f t="shared" si="55"/>
        <v>0</v>
      </c>
      <c r="K546" s="633">
        <f t="shared" si="56"/>
        <v>0</v>
      </c>
      <c r="L546" s="1127"/>
      <c r="M546" s="1127"/>
      <c r="N546" s="1691">
        <f t="shared" si="51"/>
        <v>0</v>
      </c>
      <c r="O546" s="634">
        <f t="shared" si="52"/>
        <v>0</v>
      </c>
      <c r="P546" s="144"/>
      <c r="Q546" s="144"/>
      <c r="R546" s="144"/>
      <c r="S546" s="144"/>
    </row>
    <row r="547" spans="1:19" ht="14.25" customHeight="1">
      <c r="A547" s="630"/>
      <c r="B547" s="631"/>
      <c r="C547" s="1127"/>
      <c r="D547" s="632"/>
      <c r="E547" s="1127"/>
      <c r="F547" s="633">
        <f t="shared" si="53"/>
        <v>0</v>
      </c>
      <c r="G547" s="632"/>
      <c r="H547" s="1127"/>
      <c r="I547" s="633">
        <f t="shared" si="54"/>
        <v>0</v>
      </c>
      <c r="J547" s="633">
        <f t="shared" si="55"/>
        <v>0</v>
      </c>
      <c r="K547" s="633">
        <f t="shared" si="56"/>
        <v>0</v>
      </c>
      <c r="L547" s="1127"/>
      <c r="M547" s="1127"/>
      <c r="N547" s="1691">
        <f t="shared" si="51"/>
        <v>0</v>
      </c>
      <c r="O547" s="634">
        <f t="shared" si="52"/>
        <v>0</v>
      </c>
      <c r="P547" s="144"/>
      <c r="Q547" s="144"/>
      <c r="R547" s="144"/>
      <c r="S547" s="144"/>
    </row>
    <row r="548" spans="1:19" ht="14.25" customHeight="1">
      <c r="A548" s="630"/>
      <c r="B548" s="631"/>
      <c r="C548" s="1127"/>
      <c r="D548" s="632"/>
      <c r="E548" s="1127"/>
      <c r="F548" s="633">
        <f t="shared" si="53"/>
        <v>0</v>
      </c>
      <c r="G548" s="632"/>
      <c r="H548" s="1127"/>
      <c r="I548" s="633">
        <f t="shared" si="54"/>
        <v>0</v>
      </c>
      <c r="J548" s="633">
        <f t="shared" si="55"/>
        <v>0</v>
      </c>
      <c r="K548" s="633">
        <f t="shared" si="56"/>
        <v>0</v>
      </c>
      <c r="L548" s="1127"/>
      <c r="M548" s="1127"/>
      <c r="N548" s="1691">
        <f t="shared" si="51"/>
        <v>0</v>
      </c>
      <c r="O548" s="634">
        <f t="shared" si="52"/>
        <v>0</v>
      </c>
      <c r="P548" s="144"/>
      <c r="Q548" s="144"/>
      <c r="R548" s="144"/>
      <c r="S548" s="144"/>
    </row>
    <row r="549" spans="1:19" ht="14.25" customHeight="1">
      <c r="A549" s="630"/>
      <c r="B549" s="631"/>
      <c r="C549" s="1127"/>
      <c r="D549" s="632"/>
      <c r="E549" s="1127"/>
      <c r="F549" s="633">
        <f t="shared" si="53"/>
        <v>0</v>
      </c>
      <c r="G549" s="632"/>
      <c r="H549" s="1127"/>
      <c r="I549" s="633">
        <f t="shared" si="54"/>
        <v>0</v>
      </c>
      <c r="J549" s="633">
        <f t="shared" si="55"/>
        <v>0</v>
      </c>
      <c r="K549" s="633">
        <f t="shared" si="56"/>
        <v>0</v>
      </c>
      <c r="L549" s="1127"/>
      <c r="M549" s="1127"/>
      <c r="N549" s="1691">
        <f t="shared" si="51"/>
        <v>0</v>
      </c>
      <c r="O549" s="634">
        <f t="shared" si="52"/>
        <v>0</v>
      </c>
      <c r="P549" s="144"/>
      <c r="Q549" s="144"/>
      <c r="R549" s="144"/>
      <c r="S549" s="144"/>
    </row>
    <row r="550" spans="1:19" ht="14.25" customHeight="1">
      <c r="A550" s="630"/>
      <c r="B550" s="631"/>
      <c r="C550" s="1127"/>
      <c r="D550" s="632"/>
      <c r="E550" s="1127"/>
      <c r="F550" s="633">
        <f t="shared" si="53"/>
        <v>0</v>
      </c>
      <c r="G550" s="632"/>
      <c r="H550" s="1127"/>
      <c r="I550" s="633">
        <f t="shared" si="54"/>
        <v>0</v>
      </c>
      <c r="J550" s="633">
        <f t="shared" si="55"/>
        <v>0</v>
      </c>
      <c r="K550" s="633">
        <f t="shared" si="56"/>
        <v>0</v>
      </c>
      <c r="L550" s="1127"/>
      <c r="M550" s="1127"/>
      <c r="N550" s="1691">
        <f t="shared" si="51"/>
        <v>0</v>
      </c>
      <c r="O550" s="634">
        <f t="shared" si="52"/>
        <v>0</v>
      </c>
      <c r="P550" s="144"/>
      <c r="Q550" s="144"/>
      <c r="R550" s="144"/>
      <c r="S550" s="144"/>
    </row>
    <row r="551" spans="1:19" ht="14.25" customHeight="1">
      <c r="A551" s="630"/>
      <c r="B551" s="631"/>
      <c r="C551" s="1127"/>
      <c r="D551" s="632"/>
      <c r="E551" s="1127"/>
      <c r="F551" s="633">
        <f t="shared" si="53"/>
        <v>0</v>
      </c>
      <c r="G551" s="632"/>
      <c r="H551" s="1127"/>
      <c r="I551" s="633">
        <f t="shared" si="54"/>
        <v>0</v>
      </c>
      <c r="J551" s="633">
        <f t="shared" si="55"/>
        <v>0</v>
      </c>
      <c r="K551" s="633">
        <f t="shared" si="56"/>
        <v>0</v>
      </c>
      <c r="L551" s="1127"/>
      <c r="M551" s="1127"/>
      <c r="N551" s="1691">
        <f t="shared" si="51"/>
        <v>0</v>
      </c>
      <c r="O551" s="634">
        <f t="shared" si="52"/>
        <v>0</v>
      </c>
      <c r="P551" s="144"/>
      <c r="Q551" s="144"/>
      <c r="R551" s="144"/>
      <c r="S551" s="144"/>
    </row>
    <row r="552" spans="1:19" ht="14.25" customHeight="1">
      <c r="A552" s="630"/>
      <c r="B552" s="631"/>
      <c r="C552" s="1127"/>
      <c r="D552" s="632"/>
      <c r="E552" s="1127"/>
      <c r="F552" s="633">
        <f t="shared" si="53"/>
        <v>0</v>
      </c>
      <c r="G552" s="632"/>
      <c r="H552" s="1127"/>
      <c r="I552" s="633">
        <f t="shared" si="54"/>
        <v>0</v>
      </c>
      <c r="J552" s="633">
        <f t="shared" si="55"/>
        <v>0</v>
      </c>
      <c r="K552" s="633">
        <f t="shared" si="56"/>
        <v>0</v>
      </c>
      <c r="L552" s="1127"/>
      <c r="M552" s="1127"/>
      <c r="N552" s="1691">
        <f t="shared" si="51"/>
        <v>0</v>
      </c>
      <c r="O552" s="634">
        <f t="shared" si="52"/>
        <v>0</v>
      </c>
      <c r="P552" s="144"/>
      <c r="Q552" s="144"/>
      <c r="R552" s="144"/>
      <c r="S552" s="144"/>
    </row>
    <row r="553" spans="1:19" ht="14.25" customHeight="1">
      <c r="A553" s="630"/>
      <c r="B553" s="631"/>
      <c r="C553" s="1127"/>
      <c r="D553" s="632"/>
      <c r="E553" s="1127"/>
      <c r="F553" s="633">
        <f t="shared" si="53"/>
        <v>0</v>
      </c>
      <c r="G553" s="632"/>
      <c r="H553" s="1127"/>
      <c r="I553" s="633">
        <f t="shared" si="54"/>
        <v>0</v>
      </c>
      <c r="J553" s="633">
        <f t="shared" si="55"/>
        <v>0</v>
      </c>
      <c r="K553" s="633">
        <f t="shared" si="56"/>
        <v>0</v>
      </c>
      <c r="L553" s="1127"/>
      <c r="M553" s="1127"/>
      <c r="N553" s="1691">
        <f t="shared" si="51"/>
        <v>0</v>
      </c>
      <c r="O553" s="634">
        <f t="shared" si="52"/>
        <v>0</v>
      </c>
      <c r="P553" s="144"/>
      <c r="Q553" s="144"/>
      <c r="R553" s="144"/>
      <c r="S553" s="144"/>
    </row>
    <row r="554" spans="1:19" ht="14.25" customHeight="1">
      <c r="A554" s="630"/>
      <c r="B554" s="631"/>
      <c r="C554" s="1127"/>
      <c r="D554" s="632"/>
      <c r="E554" s="1127"/>
      <c r="F554" s="633">
        <f t="shared" si="53"/>
        <v>0</v>
      </c>
      <c r="G554" s="632"/>
      <c r="H554" s="1127"/>
      <c r="I554" s="633">
        <f t="shared" si="54"/>
        <v>0</v>
      </c>
      <c r="J554" s="633">
        <f t="shared" si="55"/>
        <v>0</v>
      </c>
      <c r="K554" s="633">
        <f t="shared" si="56"/>
        <v>0</v>
      </c>
      <c r="L554" s="1127"/>
      <c r="M554" s="1127"/>
      <c r="N554" s="1691">
        <f t="shared" si="51"/>
        <v>0</v>
      </c>
      <c r="O554" s="634">
        <f t="shared" si="52"/>
        <v>0</v>
      </c>
      <c r="P554" s="144"/>
      <c r="Q554" s="144"/>
      <c r="R554" s="144"/>
      <c r="S554" s="144"/>
    </row>
    <row r="555" spans="1:19" ht="14.25" customHeight="1">
      <c r="A555" s="630"/>
      <c r="B555" s="631"/>
      <c r="C555" s="1127"/>
      <c r="D555" s="632"/>
      <c r="E555" s="1127"/>
      <c r="F555" s="633">
        <f t="shared" si="53"/>
        <v>0</v>
      </c>
      <c r="G555" s="632"/>
      <c r="H555" s="1127"/>
      <c r="I555" s="633">
        <f t="shared" si="54"/>
        <v>0</v>
      </c>
      <c r="J555" s="633">
        <f t="shared" si="55"/>
        <v>0</v>
      </c>
      <c r="K555" s="633">
        <f t="shared" si="56"/>
        <v>0</v>
      </c>
      <c r="L555" s="1127"/>
      <c r="M555" s="1127"/>
      <c r="N555" s="1691">
        <f t="shared" si="51"/>
        <v>0</v>
      </c>
      <c r="O555" s="634">
        <f t="shared" si="52"/>
        <v>0</v>
      </c>
      <c r="P555" s="144"/>
      <c r="Q555" s="144"/>
      <c r="R555" s="144"/>
      <c r="S555" s="144"/>
    </row>
    <row r="556" spans="1:19" ht="14.25" customHeight="1">
      <c r="A556" s="630"/>
      <c r="B556" s="631"/>
      <c r="C556" s="1127"/>
      <c r="D556" s="632"/>
      <c r="E556" s="1127"/>
      <c r="F556" s="633">
        <f t="shared" si="53"/>
        <v>0</v>
      </c>
      <c r="G556" s="632"/>
      <c r="H556" s="1127"/>
      <c r="I556" s="633">
        <f t="shared" si="54"/>
        <v>0</v>
      </c>
      <c r="J556" s="633">
        <f t="shared" si="55"/>
        <v>0</v>
      </c>
      <c r="K556" s="633">
        <f t="shared" si="56"/>
        <v>0</v>
      </c>
      <c r="L556" s="1127"/>
      <c r="M556" s="1127"/>
      <c r="N556" s="1691">
        <f t="shared" si="51"/>
        <v>0</v>
      </c>
      <c r="O556" s="634">
        <f t="shared" si="52"/>
        <v>0</v>
      </c>
      <c r="P556" s="144"/>
      <c r="Q556" s="144"/>
      <c r="R556" s="144"/>
      <c r="S556" s="144"/>
    </row>
    <row r="557" spans="1:19" ht="14.25" customHeight="1">
      <c r="A557" s="630"/>
      <c r="B557" s="631"/>
      <c r="C557" s="1127"/>
      <c r="D557" s="632"/>
      <c r="E557" s="1127"/>
      <c r="F557" s="633">
        <f t="shared" si="53"/>
        <v>0</v>
      </c>
      <c r="G557" s="632"/>
      <c r="H557" s="1127"/>
      <c r="I557" s="633">
        <f t="shared" si="54"/>
        <v>0</v>
      </c>
      <c r="J557" s="633">
        <f t="shared" si="55"/>
        <v>0</v>
      </c>
      <c r="K557" s="633">
        <f t="shared" si="56"/>
        <v>0</v>
      </c>
      <c r="L557" s="1127"/>
      <c r="M557" s="1127"/>
      <c r="N557" s="1691">
        <f t="shared" si="51"/>
        <v>0</v>
      </c>
      <c r="O557" s="634">
        <f t="shared" si="52"/>
        <v>0</v>
      </c>
      <c r="P557" s="144"/>
      <c r="Q557" s="144"/>
      <c r="R557" s="144"/>
      <c r="S557" s="144"/>
    </row>
    <row r="558" spans="1:19" ht="14.25" customHeight="1">
      <c r="A558" s="630"/>
      <c r="B558" s="631"/>
      <c r="C558" s="1127"/>
      <c r="D558" s="632"/>
      <c r="E558" s="1127"/>
      <c r="F558" s="633">
        <f t="shared" si="53"/>
        <v>0</v>
      </c>
      <c r="G558" s="632"/>
      <c r="H558" s="1127"/>
      <c r="I558" s="633">
        <f t="shared" si="54"/>
        <v>0</v>
      </c>
      <c r="J558" s="633">
        <f t="shared" si="55"/>
        <v>0</v>
      </c>
      <c r="K558" s="633">
        <f t="shared" si="56"/>
        <v>0</v>
      </c>
      <c r="L558" s="1127"/>
      <c r="M558" s="1127"/>
      <c r="N558" s="1691">
        <f t="shared" si="51"/>
        <v>0</v>
      </c>
      <c r="O558" s="634">
        <f t="shared" si="52"/>
        <v>0</v>
      </c>
      <c r="P558" s="144"/>
      <c r="Q558" s="144"/>
      <c r="R558" s="144"/>
      <c r="S558" s="144"/>
    </row>
    <row r="559" spans="1:19" ht="14.25" customHeight="1">
      <c r="A559" s="630"/>
      <c r="B559" s="631"/>
      <c r="C559" s="1127"/>
      <c r="D559" s="632"/>
      <c r="E559" s="1127"/>
      <c r="F559" s="633">
        <f t="shared" si="53"/>
        <v>0</v>
      </c>
      <c r="G559" s="632"/>
      <c r="H559" s="1127"/>
      <c r="I559" s="633">
        <f t="shared" si="54"/>
        <v>0</v>
      </c>
      <c r="J559" s="633">
        <f t="shared" si="55"/>
        <v>0</v>
      </c>
      <c r="K559" s="633">
        <f t="shared" si="56"/>
        <v>0</v>
      </c>
      <c r="L559" s="1127"/>
      <c r="M559" s="1127"/>
      <c r="N559" s="1691">
        <f t="shared" si="51"/>
        <v>0</v>
      </c>
      <c r="O559" s="634">
        <f t="shared" si="52"/>
        <v>0</v>
      </c>
      <c r="P559" s="144"/>
      <c r="Q559" s="144"/>
      <c r="R559" s="144"/>
      <c r="S559" s="144"/>
    </row>
    <row r="560" spans="1:19" ht="14.25" customHeight="1">
      <c r="A560" s="630"/>
      <c r="B560" s="631"/>
      <c r="C560" s="1127"/>
      <c r="D560" s="632"/>
      <c r="E560" s="1127"/>
      <c r="F560" s="633">
        <f t="shared" si="53"/>
        <v>0</v>
      </c>
      <c r="G560" s="632"/>
      <c r="H560" s="1127"/>
      <c r="I560" s="633">
        <f t="shared" si="54"/>
        <v>0</v>
      </c>
      <c r="J560" s="633">
        <f t="shared" si="55"/>
        <v>0</v>
      </c>
      <c r="K560" s="633">
        <f t="shared" si="56"/>
        <v>0</v>
      </c>
      <c r="L560" s="1127"/>
      <c r="M560" s="1127"/>
      <c r="N560" s="1691">
        <f t="shared" si="51"/>
        <v>0</v>
      </c>
      <c r="O560" s="634">
        <f t="shared" si="52"/>
        <v>0</v>
      </c>
      <c r="P560" s="144"/>
      <c r="Q560" s="144"/>
      <c r="R560" s="144"/>
      <c r="S560" s="144"/>
    </row>
    <row r="561" spans="1:19" ht="14.25" customHeight="1">
      <c r="A561" s="630"/>
      <c r="B561" s="631"/>
      <c r="C561" s="1127"/>
      <c r="D561" s="632"/>
      <c r="E561" s="1127"/>
      <c r="F561" s="633">
        <f t="shared" si="53"/>
        <v>0</v>
      </c>
      <c r="G561" s="632"/>
      <c r="H561" s="1127"/>
      <c r="I561" s="633">
        <f t="shared" si="54"/>
        <v>0</v>
      </c>
      <c r="J561" s="633">
        <f t="shared" si="55"/>
        <v>0</v>
      </c>
      <c r="K561" s="633">
        <f t="shared" si="56"/>
        <v>0</v>
      </c>
      <c r="L561" s="1127"/>
      <c r="M561" s="1127"/>
      <c r="N561" s="1691">
        <f t="shared" si="51"/>
        <v>0</v>
      </c>
      <c r="O561" s="634">
        <f t="shared" si="52"/>
        <v>0</v>
      </c>
      <c r="P561" s="144"/>
      <c r="Q561" s="144"/>
      <c r="R561" s="144"/>
      <c r="S561" s="144"/>
    </row>
    <row r="562" spans="1:19" ht="14.25" customHeight="1">
      <c r="A562" s="630"/>
      <c r="B562" s="631"/>
      <c r="C562" s="1127"/>
      <c r="D562" s="632"/>
      <c r="E562" s="1127"/>
      <c r="F562" s="633">
        <f t="shared" si="53"/>
        <v>0</v>
      </c>
      <c r="G562" s="632"/>
      <c r="H562" s="1127"/>
      <c r="I562" s="633">
        <f t="shared" si="54"/>
        <v>0</v>
      </c>
      <c r="J562" s="633">
        <f t="shared" si="55"/>
        <v>0</v>
      </c>
      <c r="K562" s="633">
        <f t="shared" si="56"/>
        <v>0</v>
      </c>
      <c r="L562" s="1127"/>
      <c r="M562" s="1127"/>
      <c r="N562" s="1691">
        <f t="shared" si="51"/>
        <v>0</v>
      </c>
      <c r="O562" s="634">
        <f t="shared" si="52"/>
        <v>0</v>
      </c>
      <c r="P562" s="144"/>
      <c r="Q562" s="144"/>
      <c r="R562" s="144"/>
      <c r="S562" s="144"/>
    </row>
    <row r="563" spans="1:19" ht="14.25" customHeight="1">
      <c r="A563" s="630"/>
      <c r="B563" s="631"/>
      <c r="C563" s="1127"/>
      <c r="D563" s="632"/>
      <c r="E563" s="1127"/>
      <c r="F563" s="633">
        <f t="shared" si="53"/>
        <v>0</v>
      </c>
      <c r="G563" s="632"/>
      <c r="H563" s="1127"/>
      <c r="I563" s="633">
        <f t="shared" si="54"/>
        <v>0</v>
      </c>
      <c r="J563" s="633">
        <f t="shared" si="55"/>
        <v>0</v>
      </c>
      <c r="K563" s="633">
        <f t="shared" si="56"/>
        <v>0</v>
      </c>
      <c r="L563" s="1127"/>
      <c r="M563" s="1127"/>
      <c r="N563" s="1691">
        <f t="shared" si="51"/>
        <v>0</v>
      </c>
      <c r="O563" s="634">
        <f t="shared" si="52"/>
        <v>0</v>
      </c>
      <c r="P563" s="144"/>
      <c r="Q563" s="144"/>
      <c r="R563" s="144"/>
      <c r="S563" s="144"/>
    </row>
    <row r="564" spans="1:19" ht="14.25" customHeight="1">
      <c r="A564" s="630"/>
      <c r="B564" s="631"/>
      <c r="C564" s="1127"/>
      <c r="D564" s="632"/>
      <c r="E564" s="1127"/>
      <c r="F564" s="633">
        <f t="shared" si="53"/>
        <v>0</v>
      </c>
      <c r="G564" s="632"/>
      <c r="H564" s="1127"/>
      <c r="I564" s="633">
        <f t="shared" si="54"/>
        <v>0</v>
      </c>
      <c r="J564" s="633">
        <f t="shared" si="55"/>
        <v>0</v>
      </c>
      <c r="K564" s="633">
        <f t="shared" si="56"/>
        <v>0</v>
      </c>
      <c r="L564" s="1127"/>
      <c r="M564" s="1127"/>
      <c r="N564" s="1691">
        <f t="shared" si="51"/>
        <v>0</v>
      </c>
      <c r="O564" s="634">
        <f t="shared" si="52"/>
        <v>0</v>
      </c>
      <c r="P564" s="144"/>
      <c r="Q564" s="144"/>
      <c r="R564" s="144"/>
      <c r="S564" s="144"/>
    </row>
    <row r="565" spans="1:19" ht="14.25" customHeight="1">
      <c r="A565" s="630"/>
      <c r="B565" s="631"/>
      <c r="C565" s="1127"/>
      <c r="D565" s="632"/>
      <c r="E565" s="1127"/>
      <c r="F565" s="633">
        <f t="shared" si="53"/>
        <v>0</v>
      </c>
      <c r="G565" s="632"/>
      <c r="H565" s="1127"/>
      <c r="I565" s="633">
        <f t="shared" si="54"/>
        <v>0</v>
      </c>
      <c r="J565" s="633">
        <f t="shared" si="55"/>
        <v>0</v>
      </c>
      <c r="K565" s="633">
        <f t="shared" si="56"/>
        <v>0</v>
      </c>
      <c r="L565" s="1127"/>
      <c r="M565" s="1127"/>
      <c r="N565" s="1691">
        <f t="shared" si="51"/>
        <v>0</v>
      </c>
      <c r="O565" s="634">
        <f t="shared" si="52"/>
        <v>0</v>
      </c>
      <c r="P565" s="144"/>
      <c r="Q565" s="144"/>
      <c r="R565" s="144"/>
      <c r="S565" s="144"/>
    </row>
    <row r="566" spans="1:19" ht="14.25" customHeight="1">
      <c r="A566" s="630"/>
      <c r="B566" s="631"/>
      <c r="C566" s="1127"/>
      <c r="D566" s="632"/>
      <c r="E566" s="1127"/>
      <c r="F566" s="633">
        <f t="shared" si="53"/>
        <v>0</v>
      </c>
      <c r="G566" s="632"/>
      <c r="H566" s="1127"/>
      <c r="I566" s="633">
        <f t="shared" si="54"/>
        <v>0</v>
      </c>
      <c r="J566" s="633">
        <f t="shared" si="55"/>
        <v>0</v>
      </c>
      <c r="K566" s="633">
        <f t="shared" si="56"/>
        <v>0</v>
      </c>
      <c r="L566" s="1127"/>
      <c r="M566" s="1127"/>
      <c r="N566" s="1691">
        <f t="shared" si="51"/>
        <v>0</v>
      </c>
      <c r="O566" s="634">
        <f t="shared" si="52"/>
        <v>0</v>
      </c>
      <c r="P566" s="144"/>
      <c r="Q566" s="144"/>
      <c r="R566" s="144"/>
      <c r="S566" s="144"/>
    </row>
    <row r="567" spans="1:19" ht="14.25" customHeight="1">
      <c r="A567" s="630"/>
      <c r="B567" s="631"/>
      <c r="C567" s="1127"/>
      <c r="D567" s="632"/>
      <c r="E567" s="1127"/>
      <c r="F567" s="633">
        <f t="shared" si="53"/>
        <v>0</v>
      </c>
      <c r="G567" s="632"/>
      <c r="H567" s="1127"/>
      <c r="I567" s="633">
        <f t="shared" si="54"/>
        <v>0</v>
      </c>
      <c r="J567" s="633">
        <f t="shared" si="55"/>
        <v>0</v>
      </c>
      <c r="K567" s="633">
        <f t="shared" si="56"/>
        <v>0</v>
      </c>
      <c r="L567" s="1127"/>
      <c r="M567" s="1127"/>
      <c r="N567" s="1691">
        <f t="shared" si="51"/>
        <v>0</v>
      </c>
      <c r="O567" s="634">
        <f t="shared" si="52"/>
        <v>0</v>
      </c>
      <c r="P567" s="144"/>
      <c r="Q567" s="144"/>
      <c r="R567" s="144"/>
      <c r="S567" s="144"/>
    </row>
    <row r="568" spans="1:19" ht="14.25" customHeight="1">
      <c r="A568" s="630"/>
      <c r="B568" s="631"/>
      <c r="C568" s="1127"/>
      <c r="D568" s="632"/>
      <c r="E568" s="1127"/>
      <c r="F568" s="633">
        <f t="shared" si="53"/>
        <v>0</v>
      </c>
      <c r="G568" s="632"/>
      <c r="H568" s="1127"/>
      <c r="I568" s="633">
        <f t="shared" si="54"/>
        <v>0</v>
      </c>
      <c r="J568" s="633">
        <f t="shared" si="55"/>
        <v>0</v>
      </c>
      <c r="K568" s="633">
        <f t="shared" si="56"/>
        <v>0</v>
      </c>
      <c r="L568" s="1127"/>
      <c r="M568" s="1127"/>
      <c r="N568" s="1691">
        <f t="shared" si="51"/>
        <v>0</v>
      </c>
      <c r="O568" s="634">
        <f t="shared" si="52"/>
        <v>0</v>
      </c>
      <c r="P568" s="144"/>
      <c r="Q568" s="144"/>
      <c r="R568" s="144"/>
      <c r="S568" s="144"/>
    </row>
    <row r="569" spans="1:19" ht="14.25" customHeight="1">
      <c r="A569" s="630"/>
      <c r="B569" s="631"/>
      <c r="C569" s="1127"/>
      <c r="D569" s="632"/>
      <c r="E569" s="1127"/>
      <c r="F569" s="633">
        <f t="shared" si="53"/>
        <v>0</v>
      </c>
      <c r="G569" s="632"/>
      <c r="H569" s="1127"/>
      <c r="I569" s="633">
        <f t="shared" si="54"/>
        <v>0</v>
      </c>
      <c r="J569" s="633">
        <f t="shared" si="55"/>
        <v>0</v>
      </c>
      <c r="K569" s="633">
        <f t="shared" si="56"/>
        <v>0</v>
      </c>
      <c r="L569" s="1127"/>
      <c r="M569" s="1127"/>
      <c r="N569" s="1691">
        <f t="shared" si="51"/>
        <v>0</v>
      </c>
      <c r="O569" s="634">
        <f t="shared" si="52"/>
        <v>0</v>
      </c>
      <c r="P569" s="144"/>
      <c r="Q569" s="144"/>
      <c r="R569" s="144"/>
      <c r="S569" s="144"/>
    </row>
    <row r="570" spans="1:19" ht="14.25" customHeight="1">
      <c r="A570" s="630"/>
      <c r="B570" s="631"/>
      <c r="C570" s="1127"/>
      <c r="D570" s="632"/>
      <c r="E570" s="1127"/>
      <c r="F570" s="633">
        <f t="shared" si="53"/>
        <v>0</v>
      </c>
      <c r="G570" s="632"/>
      <c r="H570" s="1127"/>
      <c r="I570" s="633">
        <f t="shared" si="54"/>
        <v>0</v>
      </c>
      <c r="J570" s="633">
        <f t="shared" si="55"/>
        <v>0</v>
      </c>
      <c r="K570" s="633">
        <f t="shared" si="56"/>
        <v>0</v>
      </c>
      <c r="L570" s="1127"/>
      <c r="M570" s="1127"/>
      <c r="N570" s="1691">
        <f t="shared" si="51"/>
        <v>0</v>
      </c>
      <c r="O570" s="634">
        <f t="shared" si="52"/>
        <v>0</v>
      </c>
      <c r="P570" s="144"/>
      <c r="Q570" s="144"/>
      <c r="R570" s="144"/>
      <c r="S570" s="144"/>
    </row>
    <row r="571" spans="1:19" ht="14.25" customHeight="1">
      <c r="A571" s="630"/>
      <c r="B571" s="631"/>
      <c r="C571" s="1127"/>
      <c r="D571" s="632"/>
      <c r="E571" s="1127"/>
      <c r="F571" s="633">
        <f t="shared" si="53"/>
        <v>0</v>
      </c>
      <c r="G571" s="632"/>
      <c r="H571" s="1127"/>
      <c r="I571" s="633">
        <f t="shared" si="54"/>
        <v>0</v>
      </c>
      <c r="J571" s="633">
        <f t="shared" si="55"/>
        <v>0</v>
      </c>
      <c r="K571" s="633">
        <f t="shared" si="56"/>
        <v>0</v>
      </c>
      <c r="L571" s="1127"/>
      <c r="M571" s="1127"/>
      <c r="N571" s="1691">
        <f t="shared" si="51"/>
        <v>0</v>
      </c>
      <c r="O571" s="634">
        <f t="shared" si="52"/>
        <v>0</v>
      </c>
      <c r="P571" s="144"/>
      <c r="Q571" s="144"/>
      <c r="R571" s="144"/>
      <c r="S571" s="144"/>
    </row>
    <row r="572" spans="1:19" ht="14.25" customHeight="1">
      <c r="A572" s="630"/>
      <c r="B572" s="631"/>
      <c r="C572" s="1127"/>
      <c r="D572" s="632"/>
      <c r="E572" s="1127"/>
      <c r="F572" s="633">
        <f t="shared" si="53"/>
        <v>0</v>
      </c>
      <c r="G572" s="632"/>
      <c r="H572" s="1127"/>
      <c r="I572" s="633">
        <f t="shared" si="54"/>
        <v>0</v>
      </c>
      <c r="J572" s="633">
        <f t="shared" si="55"/>
        <v>0</v>
      </c>
      <c r="K572" s="633">
        <f t="shared" si="56"/>
        <v>0</v>
      </c>
      <c r="L572" s="1127"/>
      <c r="M572" s="1127"/>
      <c r="N572" s="1691">
        <f t="shared" si="51"/>
        <v>0</v>
      </c>
      <c r="O572" s="634">
        <f t="shared" si="52"/>
        <v>0</v>
      </c>
      <c r="P572" s="144"/>
      <c r="Q572" s="144"/>
      <c r="R572" s="144"/>
      <c r="S572" s="144"/>
    </row>
    <row r="573" spans="1:19" ht="14.25" customHeight="1">
      <c r="A573" s="630"/>
      <c r="B573" s="631"/>
      <c r="C573" s="1127"/>
      <c r="D573" s="632"/>
      <c r="E573" s="1127"/>
      <c r="F573" s="633">
        <f t="shared" si="53"/>
        <v>0</v>
      </c>
      <c r="G573" s="632"/>
      <c r="H573" s="1127"/>
      <c r="I573" s="633">
        <f t="shared" si="54"/>
        <v>0</v>
      </c>
      <c r="J573" s="633">
        <f t="shared" si="55"/>
        <v>0</v>
      </c>
      <c r="K573" s="633">
        <f t="shared" si="56"/>
        <v>0</v>
      </c>
      <c r="L573" s="1127"/>
      <c r="M573" s="1127"/>
      <c r="N573" s="1691">
        <f t="shared" si="51"/>
        <v>0</v>
      </c>
      <c r="O573" s="634">
        <f t="shared" si="52"/>
        <v>0</v>
      </c>
      <c r="P573" s="144"/>
      <c r="Q573" s="144"/>
      <c r="R573" s="144"/>
      <c r="S573" s="144"/>
    </row>
    <row r="574" spans="1:19" ht="14.25" customHeight="1">
      <c r="A574" s="630"/>
      <c r="B574" s="631"/>
      <c r="C574" s="1127"/>
      <c r="D574" s="632"/>
      <c r="E574" s="1127"/>
      <c r="F574" s="633">
        <f t="shared" si="53"/>
        <v>0</v>
      </c>
      <c r="G574" s="632"/>
      <c r="H574" s="1127"/>
      <c r="I574" s="633">
        <f t="shared" si="54"/>
        <v>0</v>
      </c>
      <c r="J574" s="633">
        <f t="shared" si="55"/>
        <v>0</v>
      </c>
      <c r="K574" s="633">
        <f t="shared" si="56"/>
        <v>0</v>
      </c>
      <c r="L574" s="1127"/>
      <c r="M574" s="1127"/>
      <c r="N574" s="1691">
        <f t="shared" si="51"/>
        <v>0</v>
      </c>
      <c r="O574" s="634">
        <f t="shared" si="52"/>
        <v>0</v>
      </c>
      <c r="P574" s="144"/>
      <c r="Q574" s="144"/>
      <c r="R574" s="144"/>
      <c r="S574" s="144"/>
    </row>
    <row r="575" spans="1:19" ht="14.25" customHeight="1">
      <c r="A575" s="630"/>
      <c r="B575" s="631"/>
      <c r="C575" s="1127"/>
      <c r="D575" s="632"/>
      <c r="E575" s="1127"/>
      <c r="F575" s="633">
        <f t="shared" si="53"/>
        <v>0</v>
      </c>
      <c r="G575" s="632"/>
      <c r="H575" s="1127"/>
      <c r="I575" s="633">
        <f t="shared" si="54"/>
        <v>0</v>
      </c>
      <c r="J575" s="633">
        <f t="shared" si="55"/>
        <v>0</v>
      </c>
      <c r="K575" s="633">
        <f t="shared" si="56"/>
        <v>0</v>
      </c>
      <c r="L575" s="1127"/>
      <c r="M575" s="1127"/>
      <c r="N575" s="1691">
        <f t="shared" si="51"/>
        <v>0</v>
      </c>
      <c r="O575" s="634">
        <f t="shared" si="52"/>
        <v>0</v>
      </c>
      <c r="P575" s="144"/>
      <c r="Q575" s="144"/>
      <c r="R575" s="144"/>
      <c r="S575" s="144"/>
    </row>
    <row r="576" spans="1:19" ht="14.25" customHeight="1">
      <c r="A576" s="630"/>
      <c r="B576" s="631"/>
      <c r="C576" s="1127"/>
      <c r="D576" s="632"/>
      <c r="E576" s="1127"/>
      <c r="F576" s="633">
        <f t="shared" si="53"/>
        <v>0</v>
      </c>
      <c r="G576" s="632"/>
      <c r="H576" s="1127"/>
      <c r="I576" s="633">
        <f t="shared" si="54"/>
        <v>0</v>
      </c>
      <c r="J576" s="633">
        <f t="shared" si="55"/>
        <v>0</v>
      </c>
      <c r="K576" s="633">
        <f t="shared" si="56"/>
        <v>0</v>
      </c>
      <c r="L576" s="1127"/>
      <c r="M576" s="1127"/>
      <c r="N576" s="1691">
        <f t="shared" si="51"/>
        <v>0</v>
      </c>
      <c r="O576" s="634">
        <f t="shared" si="52"/>
        <v>0</v>
      </c>
      <c r="P576" s="144"/>
      <c r="Q576" s="144"/>
      <c r="R576" s="144"/>
      <c r="S576" s="144"/>
    </row>
    <row r="577" spans="1:19" ht="14.25" customHeight="1">
      <c r="A577" s="630"/>
      <c r="B577" s="631"/>
      <c r="C577" s="1127"/>
      <c r="D577" s="632"/>
      <c r="E577" s="1127"/>
      <c r="F577" s="633">
        <f t="shared" si="53"/>
        <v>0</v>
      </c>
      <c r="G577" s="632"/>
      <c r="H577" s="1127"/>
      <c r="I577" s="633">
        <f t="shared" si="54"/>
        <v>0</v>
      </c>
      <c r="J577" s="633">
        <f t="shared" si="55"/>
        <v>0</v>
      </c>
      <c r="K577" s="633">
        <f t="shared" si="56"/>
        <v>0</v>
      </c>
      <c r="L577" s="1127"/>
      <c r="M577" s="1127"/>
      <c r="N577" s="1691">
        <f t="shared" si="51"/>
        <v>0</v>
      </c>
      <c r="O577" s="634">
        <f t="shared" si="52"/>
        <v>0</v>
      </c>
      <c r="P577" s="144"/>
      <c r="Q577" s="144"/>
      <c r="R577" s="144"/>
      <c r="S577" s="144"/>
    </row>
    <row r="578" spans="1:19" ht="14.25" customHeight="1">
      <c r="A578" s="630"/>
      <c r="B578" s="631"/>
      <c r="C578" s="1127"/>
      <c r="D578" s="632"/>
      <c r="E578" s="1127"/>
      <c r="F578" s="633">
        <f t="shared" si="53"/>
        <v>0</v>
      </c>
      <c r="G578" s="632"/>
      <c r="H578" s="1127"/>
      <c r="I578" s="633">
        <f t="shared" si="54"/>
        <v>0</v>
      </c>
      <c r="J578" s="633">
        <f t="shared" si="55"/>
        <v>0</v>
      </c>
      <c r="K578" s="633">
        <f t="shared" si="56"/>
        <v>0</v>
      </c>
      <c r="L578" s="1127"/>
      <c r="M578" s="1127"/>
      <c r="N578" s="1691">
        <f t="shared" si="51"/>
        <v>0</v>
      </c>
      <c r="O578" s="634">
        <f t="shared" si="52"/>
        <v>0</v>
      </c>
      <c r="P578" s="144"/>
      <c r="Q578" s="144"/>
      <c r="R578" s="144"/>
      <c r="S578" s="144"/>
    </row>
    <row r="579" spans="1:19" ht="14.25" customHeight="1">
      <c r="A579" s="630"/>
      <c r="B579" s="631"/>
      <c r="C579" s="1127"/>
      <c r="D579" s="632"/>
      <c r="E579" s="1127"/>
      <c r="F579" s="633">
        <f t="shared" si="53"/>
        <v>0</v>
      </c>
      <c r="G579" s="632"/>
      <c r="H579" s="1127"/>
      <c r="I579" s="633">
        <f t="shared" si="54"/>
        <v>0</v>
      </c>
      <c r="J579" s="633">
        <f t="shared" si="55"/>
        <v>0</v>
      </c>
      <c r="K579" s="633">
        <f t="shared" si="56"/>
        <v>0</v>
      </c>
      <c r="L579" s="1127"/>
      <c r="M579" s="1127"/>
      <c r="N579" s="1691">
        <f t="shared" si="51"/>
        <v>0</v>
      </c>
      <c r="O579" s="634">
        <f t="shared" si="52"/>
        <v>0</v>
      </c>
      <c r="P579" s="144"/>
      <c r="Q579" s="144"/>
      <c r="R579" s="144"/>
      <c r="S579" s="144"/>
    </row>
    <row r="580" spans="1:19" ht="14.25" customHeight="1">
      <c r="A580" s="630"/>
      <c r="B580" s="631"/>
      <c r="C580" s="1127"/>
      <c r="D580" s="632"/>
      <c r="E580" s="1127"/>
      <c r="F580" s="633">
        <f t="shared" si="53"/>
        <v>0</v>
      </c>
      <c r="G580" s="632"/>
      <c r="H580" s="1127"/>
      <c r="I580" s="633">
        <f t="shared" si="54"/>
        <v>0</v>
      </c>
      <c r="J580" s="633">
        <f t="shared" si="55"/>
        <v>0</v>
      </c>
      <c r="K580" s="633">
        <f t="shared" si="56"/>
        <v>0</v>
      </c>
      <c r="L580" s="1127"/>
      <c r="M580" s="1127"/>
      <c r="N580" s="1691">
        <f t="shared" si="51"/>
        <v>0</v>
      </c>
      <c r="O580" s="634">
        <f t="shared" si="52"/>
        <v>0</v>
      </c>
      <c r="P580" s="144"/>
      <c r="Q580" s="144"/>
      <c r="R580" s="144"/>
      <c r="S580" s="144"/>
    </row>
    <row r="581" spans="1:19" ht="14.25" customHeight="1">
      <c r="A581" s="630"/>
      <c r="B581" s="631"/>
      <c r="C581" s="1127"/>
      <c r="D581" s="632"/>
      <c r="E581" s="1127"/>
      <c r="F581" s="633">
        <f t="shared" si="53"/>
        <v>0</v>
      </c>
      <c r="G581" s="632"/>
      <c r="H581" s="1127"/>
      <c r="I581" s="633">
        <f t="shared" si="54"/>
        <v>0</v>
      </c>
      <c r="J581" s="633">
        <f t="shared" si="55"/>
        <v>0</v>
      </c>
      <c r="K581" s="633">
        <f t="shared" si="56"/>
        <v>0</v>
      </c>
      <c r="L581" s="1127"/>
      <c r="M581" s="1127"/>
      <c r="N581" s="1691">
        <f t="shared" si="51"/>
        <v>0</v>
      </c>
      <c r="O581" s="634">
        <f t="shared" si="52"/>
        <v>0</v>
      </c>
      <c r="P581" s="144"/>
      <c r="Q581" s="144"/>
      <c r="R581" s="144"/>
      <c r="S581" s="144"/>
    </row>
    <row r="582" spans="1:19" ht="14.25" customHeight="1">
      <c r="A582" s="630"/>
      <c r="B582" s="631"/>
      <c r="C582" s="1127"/>
      <c r="D582" s="632"/>
      <c r="E582" s="1127"/>
      <c r="F582" s="633">
        <f t="shared" si="53"/>
        <v>0</v>
      </c>
      <c r="G582" s="632"/>
      <c r="H582" s="1127"/>
      <c r="I582" s="633">
        <f t="shared" si="54"/>
        <v>0</v>
      </c>
      <c r="J582" s="633">
        <f t="shared" si="55"/>
        <v>0</v>
      </c>
      <c r="K582" s="633">
        <f t="shared" si="56"/>
        <v>0</v>
      </c>
      <c r="L582" s="1127"/>
      <c r="M582" s="1127"/>
      <c r="N582" s="1691">
        <f t="shared" si="51"/>
        <v>0</v>
      </c>
      <c r="O582" s="634">
        <f t="shared" si="52"/>
        <v>0</v>
      </c>
      <c r="P582" s="144"/>
      <c r="Q582" s="144"/>
      <c r="R582" s="144"/>
      <c r="S582" s="144"/>
    </row>
    <row r="583" spans="1:19" ht="14.25" customHeight="1">
      <c r="A583" s="630"/>
      <c r="B583" s="631"/>
      <c r="C583" s="1127"/>
      <c r="D583" s="632"/>
      <c r="E583" s="1127"/>
      <c r="F583" s="633">
        <f t="shared" si="53"/>
        <v>0</v>
      </c>
      <c r="G583" s="632"/>
      <c r="H583" s="1127"/>
      <c r="I583" s="633">
        <f t="shared" si="54"/>
        <v>0</v>
      </c>
      <c r="J583" s="633">
        <f t="shared" si="55"/>
        <v>0</v>
      </c>
      <c r="K583" s="633">
        <f t="shared" si="56"/>
        <v>0</v>
      </c>
      <c r="L583" s="1127"/>
      <c r="M583" s="1127"/>
      <c r="N583" s="1691">
        <f t="shared" si="51"/>
        <v>0</v>
      </c>
      <c r="O583" s="634">
        <f t="shared" si="52"/>
        <v>0</v>
      </c>
      <c r="P583" s="144"/>
      <c r="Q583" s="144"/>
      <c r="R583" s="144"/>
      <c r="S583" s="144"/>
    </row>
    <row r="584" spans="1:19" ht="14.25" customHeight="1">
      <c r="A584" s="630"/>
      <c r="B584" s="631"/>
      <c r="C584" s="1127"/>
      <c r="D584" s="632"/>
      <c r="E584" s="1127"/>
      <c r="F584" s="633">
        <f t="shared" si="53"/>
        <v>0</v>
      </c>
      <c r="G584" s="632"/>
      <c r="H584" s="1127"/>
      <c r="I584" s="633">
        <f t="shared" si="54"/>
        <v>0</v>
      </c>
      <c r="J584" s="633">
        <f t="shared" si="55"/>
        <v>0</v>
      </c>
      <c r="K584" s="633">
        <f t="shared" si="56"/>
        <v>0</v>
      </c>
      <c r="L584" s="1127"/>
      <c r="M584" s="1127"/>
      <c r="N584" s="1691">
        <f t="shared" si="51"/>
        <v>0</v>
      </c>
      <c r="O584" s="634">
        <f t="shared" si="52"/>
        <v>0</v>
      </c>
      <c r="P584" s="144"/>
      <c r="Q584" s="144"/>
      <c r="R584" s="144"/>
      <c r="S584" s="144"/>
    </row>
    <row r="585" spans="1:19" ht="14.25" customHeight="1">
      <c r="A585" s="630"/>
      <c r="B585" s="631"/>
      <c r="C585" s="1127"/>
      <c r="D585" s="632"/>
      <c r="E585" s="1127"/>
      <c r="F585" s="633">
        <f t="shared" si="53"/>
        <v>0</v>
      </c>
      <c r="G585" s="632"/>
      <c r="H585" s="1127"/>
      <c r="I585" s="633">
        <f t="shared" si="54"/>
        <v>0</v>
      </c>
      <c r="J585" s="633">
        <f t="shared" si="55"/>
        <v>0</v>
      </c>
      <c r="K585" s="633">
        <f t="shared" si="56"/>
        <v>0</v>
      </c>
      <c r="L585" s="1127"/>
      <c r="M585" s="1127"/>
      <c r="N585" s="1691">
        <f t="shared" si="51"/>
        <v>0</v>
      </c>
      <c r="O585" s="634">
        <f t="shared" si="52"/>
        <v>0</v>
      </c>
      <c r="P585" s="144"/>
      <c r="Q585" s="144"/>
      <c r="R585" s="144"/>
      <c r="S585" s="144"/>
    </row>
    <row r="586" spans="1:19" ht="14.25" customHeight="1">
      <c r="A586" s="630"/>
      <c r="B586" s="631"/>
      <c r="C586" s="1127"/>
      <c r="D586" s="632"/>
      <c r="E586" s="1127"/>
      <c r="F586" s="633">
        <f t="shared" si="53"/>
        <v>0</v>
      </c>
      <c r="G586" s="632"/>
      <c r="H586" s="1127"/>
      <c r="I586" s="633">
        <f t="shared" si="54"/>
        <v>0</v>
      </c>
      <c r="J586" s="633">
        <f t="shared" si="55"/>
        <v>0</v>
      </c>
      <c r="K586" s="633">
        <f t="shared" si="56"/>
        <v>0</v>
      </c>
      <c r="L586" s="1127"/>
      <c r="M586" s="1127"/>
      <c r="N586" s="1691">
        <f t="shared" ref="N586:N649" si="57">IF(M586&lt;&gt;0,ROUND(B586*K586,2)+M586,IF(ABS(ROUND(K586*B586,2)-L586)&lt;3,L586,MIN(ROUND(K586*B586,2),L586)))</f>
        <v>0</v>
      </c>
      <c r="O586" s="634">
        <f t="shared" ref="O586:O649" si="58">IF(ISERROR(L586-N586),"",IF(ABS(L586-N586)&lt;3,0,L586-N586))</f>
        <v>0</v>
      </c>
      <c r="P586" s="144"/>
      <c r="Q586" s="144"/>
      <c r="R586" s="144"/>
      <c r="S586" s="144"/>
    </row>
    <row r="587" spans="1:19" ht="14.25" customHeight="1">
      <c r="A587" s="630"/>
      <c r="B587" s="631"/>
      <c r="C587" s="1127"/>
      <c r="D587" s="632"/>
      <c r="E587" s="1127"/>
      <c r="F587" s="633">
        <f t="shared" ref="F587:F650" si="59">E587*(12-MONTH(D587))/12</f>
        <v>0</v>
      </c>
      <c r="G587" s="632"/>
      <c r="H587" s="1127"/>
      <c r="I587" s="633">
        <f t="shared" ref="I587:I650" si="60">H587*(12-MONTH(G587))/12</f>
        <v>0</v>
      </c>
      <c r="J587" s="633">
        <f t="shared" ref="J587:J650" si="61">C587+E587-H587</f>
        <v>0</v>
      </c>
      <c r="K587" s="633">
        <f t="shared" ref="K587:K650" si="62">C587+F587-I587</f>
        <v>0</v>
      </c>
      <c r="L587" s="1127"/>
      <c r="M587" s="1127"/>
      <c r="N587" s="1691">
        <f t="shared" si="57"/>
        <v>0</v>
      </c>
      <c r="O587" s="634">
        <f t="shared" si="58"/>
        <v>0</v>
      </c>
      <c r="P587" s="144"/>
      <c r="Q587" s="144"/>
      <c r="R587" s="144"/>
      <c r="S587" s="144"/>
    </row>
    <row r="588" spans="1:19" ht="14.25" customHeight="1">
      <c r="A588" s="630"/>
      <c r="B588" s="631"/>
      <c r="C588" s="1127"/>
      <c r="D588" s="632"/>
      <c r="E588" s="1127"/>
      <c r="F588" s="633">
        <f t="shared" si="59"/>
        <v>0</v>
      </c>
      <c r="G588" s="632"/>
      <c r="H588" s="1127"/>
      <c r="I588" s="633">
        <f t="shared" si="60"/>
        <v>0</v>
      </c>
      <c r="J588" s="633">
        <f t="shared" si="61"/>
        <v>0</v>
      </c>
      <c r="K588" s="633">
        <f t="shared" si="62"/>
        <v>0</v>
      </c>
      <c r="L588" s="1127"/>
      <c r="M588" s="1127"/>
      <c r="N588" s="1691">
        <f t="shared" si="57"/>
        <v>0</v>
      </c>
      <c r="O588" s="634">
        <f t="shared" si="58"/>
        <v>0</v>
      </c>
      <c r="P588" s="144"/>
      <c r="Q588" s="144"/>
      <c r="R588" s="144"/>
      <c r="S588" s="144"/>
    </row>
    <row r="589" spans="1:19" ht="14.25" customHeight="1">
      <c r="A589" s="630"/>
      <c r="B589" s="631"/>
      <c r="C589" s="1127"/>
      <c r="D589" s="632"/>
      <c r="E589" s="1127"/>
      <c r="F589" s="633">
        <f t="shared" si="59"/>
        <v>0</v>
      </c>
      <c r="G589" s="632"/>
      <c r="H589" s="1127"/>
      <c r="I589" s="633">
        <f t="shared" si="60"/>
        <v>0</v>
      </c>
      <c r="J589" s="633">
        <f t="shared" si="61"/>
        <v>0</v>
      </c>
      <c r="K589" s="633">
        <f t="shared" si="62"/>
        <v>0</v>
      </c>
      <c r="L589" s="1127"/>
      <c r="M589" s="1127"/>
      <c r="N589" s="1691">
        <f t="shared" si="57"/>
        <v>0</v>
      </c>
      <c r="O589" s="634">
        <f t="shared" si="58"/>
        <v>0</v>
      </c>
      <c r="P589" s="144"/>
      <c r="Q589" s="144"/>
      <c r="R589" s="144"/>
      <c r="S589" s="144"/>
    </row>
    <row r="590" spans="1:19" ht="14.25" customHeight="1">
      <c r="A590" s="630"/>
      <c r="B590" s="631"/>
      <c r="C590" s="1127"/>
      <c r="D590" s="632"/>
      <c r="E590" s="1127"/>
      <c r="F590" s="633">
        <f t="shared" si="59"/>
        <v>0</v>
      </c>
      <c r="G590" s="632"/>
      <c r="H590" s="1127"/>
      <c r="I590" s="633">
        <f t="shared" si="60"/>
        <v>0</v>
      </c>
      <c r="J590" s="633">
        <f t="shared" si="61"/>
        <v>0</v>
      </c>
      <c r="K590" s="633">
        <f t="shared" si="62"/>
        <v>0</v>
      </c>
      <c r="L590" s="1127"/>
      <c r="M590" s="1127"/>
      <c r="N590" s="1691">
        <f t="shared" si="57"/>
        <v>0</v>
      </c>
      <c r="O590" s="634">
        <f t="shared" si="58"/>
        <v>0</v>
      </c>
      <c r="P590" s="144"/>
      <c r="Q590" s="144"/>
      <c r="R590" s="144"/>
      <c r="S590" s="144"/>
    </row>
    <row r="591" spans="1:19" ht="14.25" customHeight="1">
      <c r="A591" s="630"/>
      <c r="B591" s="631"/>
      <c r="C591" s="1127"/>
      <c r="D591" s="632"/>
      <c r="E591" s="1127"/>
      <c r="F591" s="633">
        <f t="shared" si="59"/>
        <v>0</v>
      </c>
      <c r="G591" s="632"/>
      <c r="H591" s="1127"/>
      <c r="I591" s="633">
        <f t="shared" si="60"/>
        <v>0</v>
      </c>
      <c r="J591" s="633">
        <f t="shared" si="61"/>
        <v>0</v>
      </c>
      <c r="K591" s="633">
        <f t="shared" si="62"/>
        <v>0</v>
      </c>
      <c r="L591" s="1127"/>
      <c r="M591" s="1127"/>
      <c r="N591" s="1691">
        <f t="shared" si="57"/>
        <v>0</v>
      </c>
      <c r="O591" s="634">
        <f t="shared" si="58"/>
        <v>0</v>
      </c>
      <c r="P591" s="144"/>
      <c r="Q591" s="144"/>
      <c r="R591" s="144"/>
      <c r="S591" s="144"/>
    </row>
    <row r="592" spans="1:19" ht="14.25" customHeight="1">
      <c r="A592" s="630"/>
      <c r="B592" s="631"/>
      <c r="C592" s="1127"/>
      <c r="D592" s="632"/>
      <c r="E592" s="1127"/>
      <c r="F592" s="633">
        <f t="shared" si="59"/>
        <v>0</v>
      </c>
      <c r="G592" s="632"/>
      <c r="H592" s="1127"/>
      <c r="I592" s="633">
        <f t="shared" si="60"/>
        <v>0</v>
      </c>
      <c r="J592" s="633">
        <f t="shared" si="61"/>
        <v>0</v>
      </c>
      <c r="K592" s="633">
        <f t="shared" si="62"/>
        <v>0</v>
      </c>
      <c r="L592" s="1127"/>
      <c r="M592" s="1127"/>
      <c r="N592" s="1691">
        <f t="shared" si="57"/>
        <v>0</v>
      </c>
      <c r="O592" s="634">
        <f t="shared" si="58"/>
        <v>0</v>
      </c>
      <c r="P592" s="144"/>
      <c r="Q592" s="144"/>
      <c r="R592" s="144"/>
      <c r="S592" s="144"/>
    </row>
    <row r="593" spans="1:19" ht="14.25" customHeight="1">
      <c r="A593" s="630"/>
      <c r="B593" s="631"/>
      <c r="C593" s="1127"/>
      <c r="D593" s="632"/>
      <c r="E593" s="1127"/>
      <c r="F593" s="633">
        <f t="shared" si="59"/>
        <v>0</v>
      </c>
      <c r="G593" s="632"/>
      <c r="H593" s="1127"/>
      <c r="I593" s="633">
        <f t="shared" si="60"/>
        <v>0</v>
      </c>
      <c r="J593" s="633">
        <f t="shared" si="61"/>
        <v>0</v>
      </c>
      <c r="K593" s="633">
        <f t="shared" si="62"/>
        <v>0</v>
      </c>
      <c r="L593" s="1127"/>
      <c r="M593" s="1127"/>
      <c r="N593" s="1691">
        <f t="shared" si="57"/>
        <v>0</v>
      </c>
      <c r="O593" s="634">
        <f t="shared" si="58"/>
        <v>0</v>
      </c>
      <c r="P593" s="144"/>
      <c r="Q593" s="144"/>
      <c r="R593" s="144"/>
      <c r="S593" s="144"/>
    </row>
    <row r="594" spans="1:19" ht="14.25" customHeight="1">
      <c r="A594" s="630"/>
      <c r="B594" s="631"/>
      <c r="C594" s="1127"/>
      <c r="D594" s="632"/>
      <c r="E594" s="1127"/>
      <c r="F594" s="633">
        <f t="shared" si="59"/>
        <v>0</v>
      </c>
      <c r="G594" s="632"/>
      <c r="H594" s="1127"/>
      <c r="I594" s="633">
        <f t="shared" si="60"/>
        <v>0</v>
      </c>
      <c r="J594" s="633">
        <f t="shared" si="61"/>
        <v>0</v>
      </c>
      <c r="K594" s="633">
        <f t="shared" si="62"/>
        <v>0</v>
      </c>
      <c r="L594" s="1127"/>
      <c r="M594" s="1127"/>
      <c r="N594" s="1691">
        <f t="shared" si="57"/>
        <v>0</v>
      </c>
      <c r="O594" s="634">
        <f t="shared" si="58"/>
        <v>0</v>
      </c>
      <c r="P594" s="144"/>
      <c r="Q594" s="144"/>
      <c r="R594" s="144"/>
      <c r="S594" s="144"/>
    </row>
    <row r="595" spans="1:19" ht="14.25" customHeight="1">
      <c r="A595" s="630"/>
      <c r="B595" s="631"/>
      <c r="C595" s="1127"/>
      <c r="D595" s="632"/>
      <c r="E595" s="1127"/>
      <c r="F595" s="633">
        <f t="shared" si="59"/>
        <v>0</v>
      </c>
      <c r="G595" s="632"/>
      <c r="H595" s="1127"/>
      <c r="I595" s="633">
        <f t="shared" si="60"/>
        <v>0</v>
      </c>
      <c r="J595" s="633">
        <f t="shared" si="61"/>
        <v>0</v>
      </c>
      <c r="K595" s="633">
        <f t="shared" si="62"/>
        <v>0</v>
      </c>
      <c r="L595" s="1127"/>
      <c r="M595" s="1127"/>
      <c r="N595" s="1691">
        <f t="shared" si="57"/>
        <v>0</v>
      </c>
      <c r="O595" s="634">
        <f t="shared" si="58"/>
        <v>0</v>
      </c>
      <c r="P595" s="144"/>
      <c r="Q595" s="144"/>
      <c r="R595" s="144"/>
      <c r="S595" s="144"/>
    </row>
    <row r="596" spans="1:19" ht="14.25" customHeight="1">
      <c r="A596" s="630"/>
      <c r="B596" s="631"/>
      <c r="C596" s="1127"/>
      <c r="D596" s="632"/>
      <c r="E596" s="1127"/>
      <c r="F596" s="633">
        <f t="shared" si="59"/>
        <v>0</v>
      </c>
      <c r="G596" s="632"/>
      <c r="H596" s="1127"/>
      <c r="I596" s="633">
        <f t="shared" si="60"/>
        <v>0</v>
      </c>
      <c r="J596" s="633">
        <f t="shared" si="61"/>
        <v>0</v>
      </c>
      <c r="K596" s="633">
        <f t="shared" si="62"/>
        <v>0</v>
      </c>
      <c r="L596" s="1127"/>
      <c r="M596" s="1127"/>
      <c r="N596" s="1691">
        <f t="shared" si="57"/>
        <v>0</v>
      </c>
      <c r="O596" s="634">
        <f t="shared" si="58"/>
        <v>0</v>
      </c>
      <c r="P596" s="144"/>
      <c r="Q596" s="144"/>
      <c r="R596" s="144"/>
      <c r="S596" s="144"/>
    </row>
    <row r="597" spans="1:19" ht="14.25" customHeight="1">
      <c r="A597" s="630"/>
      <c r="B597" s="631"/>
      <c r="C597" s="1127"/>
      <c r="D597" s="632"/>
      <c r="E597" s="1127"/>
      <c r="F597" s="633">
        <f t="shared" si="59"/>
        <v>0</v>
      </c>
      <c r="G597" s="632"/>
      <c r="H597" s="1127"/>
      <c r="I597" s="633">
        <f t="shared" si="60"/>
        <v>0</v>
      </c>
      <c r="J597" s="633">
        <f t="shared" si="61"/>
        <v>0</v>
      </c>
      <c r="K597" s="633">
        <f t="shared" si="62"/>
        <v>0</v>
      </c>
      <c r="L597" s="1127"/>
      <c r="M597" s="1127"/>
      <c r="N597" s="1691">
        <f t="shared" si="57"/>
        <v>0</v>
      </c>
      <c r="O597" s="634">
        <f t="shared" si="58"/>
        <v>0</v>
      </c>
      <c r="P597" s="144"/>
      <c r="Q597" s="144"/>
      <c r="R597" s="144"/>
      <c r="S597" s="144"/>
    </row>
    <row r="598" spans="1:19" ht="14.25" customHeight="1">
      <c r="A598" s="630"/>
      <c r="B598" s="631"/>
      <c r="C598" s="1127"/>
      <c r="D598" s="632"/>
      <c r="E598" s="1127"/>
      <c r="F598" s="633">
        <f t="shared" si="59"/>
        <v>0</v>
      </c>
      <c r="G598" s="632"/>
      <c r="H598" s="1127"/>
      <c r="I598" s="633">
        <f t="shared" si="60"/>
        <v>0</v>
      </c>
      <c r="J598" s="633">
        <f t="shared" si="61"/>
        <v>0</v>
      </c>
      <c r="K598" s="633">
        <f t="shared" si="62"/>
        <v>0</v>
      </c>
      <c r="L598" s="1127"/>
      <c r="M598" s="1127"/>
      <c r="N598" s="1691">
        <f t="shared" si="57"/>
        <v>0</v>
      </c>
      <c r="O598" s="634">
        <f t="shared" si="58"/>
        <v>0</v>
      </c>
      <c r="P598" s="144"/>
      <c r="Q598" s="144"/>
      <c r="R598" s="144"/>
      <c r="S598" s="144"/>
    </row>
    <row r="599" spans="1:19" ht="14.25" customHeight="1">
      <c r="A599" s="630"/>
      <c r="B599" s="631"/>
      <c r="C599" s="1127"/>
      <c r="D599" s="632"/>
      <c r="E599" s="1127"/>
      <c r="F599" s="633">
        <f t="shared" si="59"/>
        <v>0</v>
      </c>
      <c r="G599" s="632"/>
      <c r="H599" s="1127"/>
      <c r="I599" s="633">
        <f t="shared" si="60"/>
        <v>0</v>
      </c>
      <c r="J599" s="633">
        <f t="shared" si="61"/>
        <v>0</v>
      </c>
      <c r="K599" s="633">
        <f t="shared" si="62"/>
        <v>0</v>
      </c>
      <c r="L599" s="1127"/>
      <c r="M599" s="1127"/>
      <c r="N599" s="1691">
        <f t="shared" si="57"/>
        <v>0</v>
      </c>
      <c r="O599" s="634">
        <f t="shared" si="58"/>
        <v>0</v>
      </c>
      <c r="P599" s="144"/>
      <c r="Q599" s="144"/>
      <c r="R599" s="144"/>
      <c r="S599" s="144"/>
    </row>
    <row r="600" spans="1:19" ht="14.25" customHeight="1">
      <c r="A600" s="630"/>
      <c r="B600" s="631"/>
      <c r="C600" s="1127"/>
      <c r="D600" s="632"/>
      <c r="E600" s="1127"/>
      <c r="F600" s="633">
        <f t="shared" si="59"/>
        <v>0</v>
      </c>
      <c r="G600" s="632"/>
      <c r="H600" s="1127"/>
      <c r="I600" s="633">
        <f t="shared" si="60"/>
        <v>0</v>
      </c>
      <c r="J600" s="633">
        <f t="shared" si="61"/>
        <v>0</v>
      </c>
      <c r="K600" s="633">
        <f t="shared" si="62"/>
        <v>0</v>
      </c>
      <c r="L600" s="1127"/>
      <c r="M600" s="1127"/>
      <c r="N600" s="1691">
        <f t="shared" si="57"/>
        <v>0</v>
      </c>
      <c r="O600" s="634">
        <f t="shared" si="58"/>
        <v>0</v>
      </c>
      <c r="P600" s="144"/>
      <c r="Q600" s="144"/>
      <c r="R600" s="144"/>
      <c r="S600" s="144"/>
    </row>
    <row r="601" spans="1:19" ht="14.25" customHeight="1">
      <c r="A601" s="630"/>
      <c r="B601" s="631"/>
      <c r="C601" s="1127"/>
      <c r="D601" s="632"/>
      <c r="E601" s="1127"/>
      <c r="F601" s="633">
        <f t="shared" si="59"/>
        <v>0</v>
      </c>
      <c r="G601" s="632"/>
      <c r="H601" s="1127"/>
      <c r="I601" s="633">
        <f t="shared" si="60"/>
        <v>0</v>
      </c>
      <c r="J601" s="633">
        <f t="shared" si="61"/>
        <v>0</v>
      </c>
      <c r="K601" s="633">
        <f t="shared" si="62"/>
        <v>0</v>
      </c>
      <c r="L601" s="1127"/>
      <c r="M601" s="1127"/>
      <c r="N601" s="1691">
        <f t="shared" si="57"/>
        <v>0</v>
      </c>
      <c r="O601" s="634">
        <f t="shared" si="58"/>
        <v>0</v>
      </c>
      <c r="P601" s="144"/>
      <c r="Q601" s="144"/>
      <c r="R601" s="144"/>
      <c r="S601" s="144"/>
    </row>
    <row r="602" spans="1:19" ht="14.25" customHeight="1">
      <c r="A602" s="630"/>
      <c r="B602" s="631"/>
      <c r="C602" s="1127"/>
      <c r="D602" s="632"/>
      <c r="E602" s="1127"/>
      <c r="F602" s="633">
        <f t="shared" si="59"/>
        <v>0</v>
      </c>
      <c r="G602" s="632"/>
      <c r="H602" s="1127"/>
      <c r="I602" s="633">
        <f t="shared" si="60"/>
        <v>0</v>
      </c>
      <c r="J602" s="633">
        <f t="shared" si="61"/>
        <v>0</v>
      </c>
      <c r="K602" s="633">
        <f t="shared" si="62"/>
        <v>0</v>
      </c>
      <c r="L602" s="1127"/>
      <c r="M602" s="1127"/>
      <c r="N602" s="1691">
        <f t="shared" si="57"/>
        <v>0</v>
      </c>
      <c r="O602" s="634">
        <f t="shared" si="58"/>
        <v>0</v>
      </c>
      <c r="P602" s="144"/>
      <c r="Q602" s="144"/>
      <c r="R602" s="144"/>
      <c r="S602" s="144"/>
    </row>
    <row r="603" spans="1:19" ht="14.25" customHeight="1">
      <c r="A603" s="630"/>
      <c r="B603" s="631"/>
      <c r="C603" s="1127"/>
      <c r="D603" s="632"/>
      <c r="E603" s="1127"/>
      <c r="F603" s="633">
        <f t="shared" si="59"/>
        <v>0</v>
      </c>
      <c r="G603" s="632"/>
      <c r="H603" s="1127"/>
      <c r="I603" s="633">
        <f t="shared" si="60"/>
        <v>0</v>
      </c>
      <c r="J603" s="633">
        <f t="shared" si="61"/>
        <v>0</v>
      </c>
      <c r="K603" s="633">
        <f t="shared" si="62"/>
        <v>0</v>
      </c>
      <c r="L603" s="1127"/>
      <c r="M603" s="1127"/>
      <c r="N603" s="1691">
        <f t="shared" si="57"/>
        <v>0</v>
      </c>
      <c r="O603" s="634">
        <f t="shared" si="58"/>
        <v>0</v>
      </c>
      <c r="P603" s="144"/>
      <c r="Q603" s="144"/>
      <c r="R603" s="144"/>
      <c r="S603" s="144"/>
    </row>
    <row r="604" spans="1:19" ht="14.25" customHeight="1">
      <c r="A604" s="630"/>
      <c r="B604" s="631"/>
      <c r="C604" s="1127"/>
      <c r="D604" s="632"/>
      <c r="E604" s="1127"/>
      <c r="F604" s="633">
        <f t="shared" si="59"/>
        <v>0</v>
      </c>
      <c r="G604" s="632"/>
      <c r="H604" s="1127"/>
      <c r="I604" s="633">
        <f t="shared" si="60"/>
        <v>0</v>
      </c>
      <c r="J604" s="633">
        <f t="shared" si="61"/>
        <v>0</v>
      </c>
      <c r="K604" s="633">
        <f t="shared" si="62"/>
        <v>0</v>
      </c>
      <c r="L604" s="1127"/>
      <c r="M604" s="1127"/>
      <c r="N604" s="1691">
        <f t="shared" si="57"/>
        <v>0</v>
      </c>
      <c r="O604" s="634">
        <f t="shared" si="58"/>
        <v>0</v>
      </c>
      <c r="P604" s="144"/>
      <c r="Q604" s="144"/>
      <c r="R604" s="144"/>
      <c r="S604" s="144"/>
    </row>
    <row r="605" spans="1:19" ht="14.25" customHeight="1">
      <c r="A605" s="630"/>
      <c r="B605" s="631"/>
      <c r="C605" s="1127"/>
      <c r="D605" s="632"/>
      <c r="E605" s="1127"/>
      <c r="F605" s="633">
        <f t="shared" si="59"/>
        <v>0</v>
      </c>
      <c r="G605" s="632"/>
      <c r="H605" s="1127"/>
      <c r="I605" s="633">
        <f t="shared" si="60"/>
        <v>0</v>
      </c>
      <c r="J605" s="633">
        <f t="shared" si="61"/>
        <v>0</v>
      </c>
      <c r="K605" s="633">
        <f t="shared" si="62"/>
        <v>0</v>
      </c>
      <c r="L605" s="1127"/>
      <c r="M605" s="1127"/>
      <c r="N605" s="1691">
        <f t="shared" si="57"/>
        <v>0</v>
      </c>
      <c r="O605" s="634">
        <f t="shared" si="58"/>
        <v>0</v>
      </c>
      <c r="P605" s="144"/>
      <c r="Q605" s="144"/>
      <c r="R605" s="144"/>
      <c r="S605" s="144"/>
    </row>
    <row r="606" spans="1:19" ht="14.25" customHeight="1">
      <c r="A606" s="630"/>
      <c r="B606" s="631"/>
      <c r="C606" s="1127"/>
      <c r="D606" s="632"/>
      <c r="E606" s="1127"/>
      <c r="F606" s="633">
        <f t="shared" si="59"/>
        <v>0</v>
      </c>
      <c r="G606" s="632"/>
      <c r="H606" s="1127"/>
      <c r="I606" s="633">
        <f t="shared" si="60"/>
        <v>0</v>
      </c>
      <c r="J606" s="633">
        <f t="shared" si="61"/>
        <v>0</v>
      </c>
      <c r="K606" s="633">
        <f t="shared" si="62"/>
        <v>0</v>
      </c>
      <c r="L606" s="1127"/>
      <c r="M606" s="1127"/>
      <c r="N606" s="1691">
        <f t="shared" si="57"/>
        <v>0</v>
      </c>
      <c r="O606" s="634">
        <f t="shared" si="58"/>
        <v>0</v>
      </c>
      <c r="P606" s="144"/>
      <c r="Q606" s="144"/>
      <c r="R606" s="144"/>
      <c r="S606" s="144"/>
    </row>
    <row r="607" spans="1:19" ht="14.25" customHeight="1">
      <c r="A607" s="630"/>
      <c r="B607" s="631"/>
      <c r="C607" s="1127"/>
      <c r="D607" s="632"/>
      <c r="E607" s="1127"/>
      <c r="F607" s="633">
        <f t="shared" si="59"/>
        <v>0</v>
      </c>
      <c r="G607" s="632"/>
      <c r="H607" s="1127"/>
      <c r="I607" s="633">
        <f t="shared" si="60"/>
        <v>0</v>
      </c>
      <c r="J607" s="633">
        <f t="shared" si="61"/>
        <v>0</v>
      </c>
      <c r="K607" s="633">
        <f t="shared" si="62"/>
        <v>0</v>
      </c>
      <c r="L607" s="1127"/>
      <c r="M607" s="1127"/>
      <c r="N607" s="1691">
        <f t="shared" si="57"/>
        <v>0</v>
      </c>
      <c r="O607" s="634">
        <f t="shared" si="58"/>
        <v>0</v>
      </c>
      <c r="P607" s="144"/>
      <c r="Q607" s="144"/>
      <c r="R607" s="144"/>
      <c r="S607" s="144"/>
    </row>
    <row r="608" spans="1:19" ht="14.25" customHeight="1">
      <c r="A608" s="630"/>
      <c r="B608" s="631"/>
      <c r="C608" s="1127"/>
      <c r="D608" s="632"/>
      <c r="E608" s="1127"/>
      <c r="F608" s="633">
        <f t="shared" si="59"/>
        <v>0</v>
      </c>
      <c r="G608" s="632"/>
      <c r="H608" s="1127"/>
      <c r="I608" s="633">
        <f t="shared" si="60"/>
        <v>0</v>
      </c>
      <c r="J608" s="633">
        <f t="shared" si="61"/>
        <v>0</v>
      </c>
      <c r="K608" s="633">
        <f t="shared" si="62"/>
        <v>0</v>
      </c>
      <c r="L608" s="1127"/>
      <c r="M608" s="1127"/>
      <c r="N608" s="1691">
        <f t="shared" si="57"/>
        <v>0</v>
      </c>
      <c r="O608" s="634">
        <f t="shared" si="58"/>
        <v>0</v>
      </c>
      <c r="P608" s="144"/>
      <c r="Q608" s="144"/>
      <c r="R608" s="144"/>
      <c r="S608" s="144"/>
    </row>
    <row r="609" spans="1:19" ht="14.25" customHeight="1">
      <c r="A609" s="630"/>
      <c r="B609" s="631"/>
      <c r="C609" s="1127"/>
      <c r="D609" s="632"/>
      <c r="E609" s="1127"/>
      <c r="F609" s="633">
        <f t="shared" si="59"/>
        <v>0</v>
      </c>
      <c r="G609" s="632"/>
      <c r="H609" s="1127"/>
      <c r="I609" s="633">
        <f t="shared" si="60"/>
        <v>0</v>
      </c>
      <c r="J609" s="633">
        <f t="shared" si="61"/>
        <v>0</v>
      </c>
      <c r="K609" s="633">
        <f t="shared" si="62"/>
        <v>0</v>
      </c>
      <c r="L609" s="1127"/>
      <c r="M609" s="1127"/>
      <c r="N609" s="1691">
        <f t="shared" si="57"/>
        <v>0</v>
      </c>
      <c r="O609" s="634">
        <f t="shared" si="58"/>
        <v>0</v>
      </c>
      <c r="P609" s="144"/>
      <c r="Q609" s="144"/>
      <c r="R609" s="144"/>
      <c r="S609" s="144"/>
    </row>
    <row r="610" spans="1:19" ht="14.25" customHeight="1">
      <c r="A610" s="630"/>
      <c r="B610" s="631"/>
      <c r="C610" s="1127"/>
      <c r="D610" s="632"/>
      <c r="E610" s="1127"/>
      <c r="F610" s="633">
        <f t="shared" si="59"/>
        <v>0</v>
      </c>
      <c r="G610" s="632"/>
      <c r="H610" s="1127"/>
      <c r="I610" s="633">
        <f t="shared" si="60"/>
        <v>0</v>
      </c>
      <c r="J610" s="633">
        <f t="shared" si="61"/>
        <v>0</v>
      </c>
      <c r="K610" s="633">
        <f t="shared" si="62"/>
        <v>0</v>
      </c>
      <c r="L610" s="1127"/>
      <c r="M610" s="1127"/>
      <c r="N610" s="1691">
        <f t="shared" si="57"/>
        <v>0</v>
      </c>
      <c r="O610" s="634">
        <f t="shared" si="58"/>
        <v>0</v>
      </c>
      <c r="P610" s="144"/>
      <c r="Q610" s="144"/>
      <c r="R610" s="144"/>
      <c r="S610" s="144"/>
    </row>
    <row r="611" spans="1:19" ht="14.25" customHeight="1">
      <c r="A611" s="630"/>
      <c r="B611" s="631"/>
      <c r="C611" s="1127"/>
      <c r="D611" s="632"/>
      <c r="E611" s="1127"/>
      <c r="F611" s="633">
        <f t="shared" si="59"/>
        <v>0</v>
      </c>
      <c r="G611" s="632"/>
      <c r="H611" s="1127"/>
      <c r="I611" s="633">
        <f t="shared" si="60"/>
        <v>0</v>
      </c>
      <c r="J611" s="633">
        <f t="shared" si="61"/>
        <v>0</v>
      </c>
      <c r="K611" s="633">
        <f t="shared" si="62"/>
        <v>0</v>
      </c>
      <c r="L611" s="1127"/>
      <c r="M611" s="1127"/>
      <c r="N611" s="1691">
        <f t="shared" si="57"/>
        <v>0</v>
      </c>
      <c r="O611" s="634">
        <f t="shared" si="58"/>
        <v>0</v>
      </c>
      <c r="P611" s="144"/>
      <c r="Q611" s="144"/>
      <c r="R611" s="144"/>
      <c r="S611" s="144"/>
    </row>
    <row r="612" spans="1:19" ht="14.25" customHeight="1">
      <c r="A612" s="630"/>
      <c r="B612" s="631"/>
      <c r="C612" s="1127"/>
      <c r="D612" s="632"/>
      <c r="E612" s="1127"/>
      <c r="F612" s="633">
        <f t="shared" si="59"/>
        <v>0</v>
      </c>
      <c r="G612" s="632"/>
      <c r="H612" s="1127"/>
      <c r="I612" s="633">
        <f t="shared" si="60"/>
        <v>0</v>
      </c>
      <c r="J612" s="633">
        <f t="shared" si="61"/>
        <v>0</v>
      </c>
      <c r="K612" s="633">
        <f t="shared" si="62"/>
        <v>0</v>
      </c>
      <c r="L612" s="1127"/>
      <c r="M612" s="1127"/>
      <c r="N612" s="1691">
        <f t="shared" si="57"/>
        <v>0</v>
      </c>
      <c r="O612" s="634">
        <f t="shared" si="58"/>
        <v>0</v>
      </c>
      <c r="P612" s="144"/>
      <c r="Q612" s="144"/>
      <c r="R612" s="144"/>
      <c r="S612" s="144"/>
    </row>
    <row r="613" spans="1:19" ht="14.25" customHeight="1">
      <c r="A613" s="630"/>
      <c r="B613" s="631"/>
      <c r="C613" s="1127"/>
      <c r="D613" s="632"/>
      <c r="E613" s="1127"/>
      <c r="F613" s="633">
        <f t="shared" si="59"/>
        <v>0</v>
      </c>
      <c r="G613" s="632"/>
      <c r="H613" s="1127"/>
      <c r="I613" s="633">
        <f t="shared" si="60"/>
        <v>0</v>
      </c>
      <c r="J613" s="633">
        <f t="shared" si="61"/>
        <v>0</v>
      </c>
      <c r="K613" s="633">
        <f t="shared" si="62"/>
        <v>0</v>
      </c>
      <c r="L613" s="1127"/>
      <c r="M613" s="1127"/>
      <c r="N613" s="1691">
        <f t="shared" si="57"/>
        <v>0</v>
      </c>
      <c r="O613" s="634">
        <f t="shared" si="58"/>
        <v>0</v>
      </c>
      <c r="P613" s="144"/>
      <c r="Q613" s="144"/>
      <c r="R613" s="144"/>
      <c r="S613" s="144"/>
    </row>
    <row r="614" spans="1:19" ht="14.25" customHeight="1">
      <c r="A614" s="630"/>
      <c r="B614" s="631"/>
      <c r="C614" s="1127"/>
      <c r="D614" s="632"/>
      <c r="E614" s="1127"/>
      <c r="F614" s="633">
        <f t="shared" si="59"/>
        <v>0</v>
      </c>
      <c r="G614" s="632"/>
      <c r="H614" s="1127"/>
      <c r="I614" s="633">
        <f t="shared" si="60"/>
        <v>0</v>
      </c>
      <c r="J614" s="633">
        <f t="shared" si="61"/>
        <v>0</v>
      </c>
      <c r="K614" s="633">
        <f t="shared" si="62"/>
        <v>0</v>
      </c>
      <c r="L614" s="1127"/>
      <c r="M614" s="1127"/>
      <c r="N614" s="1691">
        <f t="shared" si="57"/>
        <v>0</v>
      </c>
      <c r="O614" s="634">
        <f t="shared" si="58"/>
        <v>0</v>
      </c>
      <c r="P614" s="144"/>
      <c r="Q614" s="144"/>
      <c r="R614" s="144"/>
      <c r="S614" s="144"/>
    </row>
    <row r="615" spans="1:19" ht="14.25" customHeight="1">
      <c r="A615" s="630"/>
      <c r="B615" s="631"/>
      <c r="C615" s="1127"/>
      <c r="D615" s="632"/>
      <c r="E615" s="1127"/>
      <c r="F615" s="633">
        <f t="shared" si="59"/>
        <v>0</v>
      </c>
      <c r="G615" s="632"/>
      <c r="H615" s="1127"/>
      <c r="I615" s="633">
        <f t="shared" si="60"/>
        <v>0</v>
      </c>
      <c r="J615" s="633">
        <f t="shared" si="61"/>
        <v>0</v>
      </c>
      <c r="K615" s="633">
        <f t="shared" si="62"/>
        <v>0</v>
      </c>
      <c r="L615" s="1127"/>
      <c r="M615" s="1127"/>
      <c r="N615" s="1691">
        <f t="shared" si="57"/>
        <v>0</v>
      </c>
      <c r="O615" s="634">
        <f t="shared" si="58"/>
        <v>0</v>
      </c>
      <c r="P615" s="144"/>
      <c r="Q615" s="144"/>
      <c r="R615" s="144"/>
      <c r="S615" s="144"/>
    </row>
    <row r="616" spans="1:19" ht="14.25" customHeight="1">
      <c r="A616" s="630"/>
      <c r="B616" s="631"/>
      <c r="C616" s="1127"/>
      <c r="D616" s="632"/>
      <c r="E616" s="1127"/>
      <c r="F616" s="633">
        <f t="shared" si="59"/>
        <v>0</v>
      </c>
      <c r="G616" s="632"/>
      <c r="H616" s="1127"/>
      <c r="I616" s="633">
        <f t="shared" si="60"/>
        <v>0</v>
      </c>
      <c r="J616" s="633">
        <f t="shared" si="61"/>
        <v>0</v>
      </c>
      <c r="K616" s="633">
        <f t="shared" si="62"/>
        <v>0</v>
      </c>
      <c r="L616" s="1127"/>
      <c r="M616" s="1127"/>
      <c r="N616" s="1691">
        <f t="shared" si="57"/>
        <v>0</v>
      </c>
      <c r="O616" s="634">
        <f t="shared" si="58"/>
        <v>0</v>
      </c>
      <c r="P616" s="144"/>
      <c r="Q616" s="144"/>
      <c r="R616" s="144"/>
      <c r="S616" s="144"/>
    </row>
    <row r="617" spans="1:19" ht="14.25" customHeight="1">
      <c r="A617" s="630"/>
      <c r="B617" s="631"/>
      <c r="C617" s="1127"/>
      <c r="D617" s="632"/>
      <c r="E617" s="1127"/>
      <c r="F617" s="633">
        <f t="shared" si="59"/>
        <v>0</v>
      </c>
      <c r="G617" s="632"/>
      <c r="H617" s="1127"/>
      <c r="I617" s="633">
        <f t="shared" si="60"/>
        <v>0</v>
      </c>
      <c r="J617" s="633">
        <f t="shared" si="61"/>
        <v>0</v>
      </c>
      <c r="K617" s="633">
        <f t="shared" si="62"/>
        <v>0</v>
      </c>
      <c r="L617" s="1127"/>
      <c r="M617" s="1127"/>
      <c r="N617" s="1691">
        <f t="shared" si="57"/>
        <v>0</v>
      </c>
      <c r="O617" s="634">
        <f t="shared" si="58"/>
        <v>0</v>
      </c>
      <c r="P617" s="144"/>
      <c r="Q617" s="144"/>
      <c r="R617" s="144"/>
      <c r="S617" s="144"/>
    </row>
    <row r="618" spans="1:19" ht="14.25" customHeight="1">
      <c r="A618" s="630"/>
      <c r="B618" s="631"/>
      <c r="C618" s="1127"/>
      <c r="D618" s="632"/>
      <c r="E618" s="1127"/>
      <c r="F618" s="633">
        <f t="shared" si="59"/>
        <v>0</v>
      </c>
      <c r="G618" s="632"/>
      <c r="H618" s="1127"/>
      <c r="I618" s="633">
        <f t="shared" si="60"/>
        <v>0</v>
      </c>
      <c r="J618" s="633">
        <f t="shared" si="61"/>
        <v>0</v>
      </c>
      <c r="K618" s="633">
        <f t="shared" si="62"/>
        <v>0</v>
      </c>
      <c r="L618" s="1127"/>
      <c r="M618" s="1127"/>
      <c r="N618" s="1691">
        <f t="shared" si="57"/>
        <v>0</v>
      </c>
      <c r="O618" s="634">
        <f t="shared" si="58"/>
        <v>0</v>
      </c>
      <c r="P618" s="144"/>
      <c r="Q618" s="144"/>
      <c r="R618" s="144"/>
      <c r="S618" s="144"/>
    </row>
    <row r="619" spans="1:19" ht="14.25" customHeight="1">
      <c r="A619" s="630"/>
      <c r="B619" s="631"/>
      <c r="C619" s="1127"/>
      <c r="D619" s="632"/>
      <c r="E619" s="1127"/>
      <c r="F619" s="633">
        <f t="shared" si="59"/>
        <v>0</v>
      </c>
      <c r="G619" s="632"/>
      <c r="H619" s="1127"/>
      <c r="I619" s="633">
        <f t="shared" si="60"/>
        <v>0</v>
      </c>
      <c r="J619" s="633">
        <f t="shared" si="61"/>
        <v>0</v>
      </c>
      <c r="K619" s="633">
        <f t="shared" si="62"/>
        <v>0</v>
      </c>
      <c r="L619" s="1127"/>
      <c r="M619" s="1127"/>
      <c r="N619" s="1691">
        <f t="shared" si="57"/>
        <v>0</v>
      </c>
      <c r="O619" s="634">
        <f t="shared" si="58"/>
        <v>0</v>
      </c>
      <c r="P619" s="144"/>
      <c r="Q619" s="144"/>
      <c r="R619" s="144"/>
      <c r="S619" s="144"/>
    </row>
    <row r="620" spans="1:19" ht="14.25" customHeight="1">
      <c r="A620" s="630"/>
      <c r="B620" s="631"/>
      <c r="C620" s="1127"/>
      <c r="D620" s="632"/>
      <c r="E620" s="1127"/>
      <c r="F620" s="633">
        <f t="shared" si="59"/>
        <v>0</v>
      </c>
      <c r="G620" s="632"/>
      <c r="H620" s="1127"/>
      <c r="I620" s="633">
        <f t="shared" si="60"/>
        <v>0</v>
      </c>
      <c r="J620" s="633">
        <f t="shared" si="61"/>
        <v>0</v>
      </c>
      <c r="K620" s="633">
        <f t="shared" si="62"/>
        <v>0</v>
      </c>
      <c r="L620" s="1127"/>
      <c r="M620" s="1127"/>
      <c r="N620" s="1691">
        <f t="shared" si="57"/>
        <v>0</v>
      </c>
      <c r="O620" s="634">
        <f t="shared" si="58"/>
        <v>0</v>
      </c>
      <c r="P620" s="144"/>
      <c r="Q620" s="144"/>
      <c r="R620" s="144"/>
      <c r="S620" s="144"/>
    </row>
    <row r="621" spans="1:19" ht="14.25" customHeight="1">
      <c r="A621" s="630"/>
      <c r="B621" s="631"/>
      <c r="C621" s="1127"/>
      <c r="D621" s="632"/>
      <c r="E621" s="1127"/>
      <c r="F621" s="633">
        <f t="shared" si="59"/>
        <v>0</v>
      </c>
      <c r="G621" s="632"/>
      <c r="H621" s="1127"/>
      <c r="I621" s="633">
        <f t="shared" si="60"/>
        <v>0</v>
      </c>
      <c r="J621" s="633">
        <f t="shared" si="61"/>
        <v>0</v>
      </c>
      <c r="K621" s="633">
        <f t="shared" si="62"/>
        <v>0</v>
      </c>
      <c r="L621" s="1127"/>
      <c r="M621" s="1127"/>
      <c r="N621" s="1691">
        <f t="shared" si="57"/>
        <v>0</v>
      </c>
      <c r="O621" s="634">
        <f t="shared" si="58"/>
        <v>0</v>
      </c>
      <c r="P621" s="144"/>
      <c r="Q621" s="144"/>
      <c r="R621" s="144"/>
      <c r="S621" s="144"/>
    </row>
    <row r="622" spans="1:19" ht="14.25" customHeight="1">
      <c r="A622" s="630"/>
      <c r="B622" s="631"/>
      <c r="C622" s="1127"/>
      <c r="D622" s="632"/>
      <c r="E622" s="1127"/>
      <c r="F622" s="633">
        <f t="shared" si="59"/>
        <v>0</v>
      </c>
      <c r="G622" s="632"/>
      <c r="H622" s="1127"/>
      <c r="I622" s="633">
        <f t="shared" si="60"/>
        <v>0</v>
      </c>
      <c r="J622" s="633">
        <f t="shared" si="61"/>
        <v>0</v>
      </c>
      <c r="K622" s="633">
        <f t="shared" si="62"/>
        <v>0</v>
      </c>
      <c r="L622" s="1127"/>
      <c r="M622" s="1127"/>
      <c r="N622" s="1691">
        <f t="shared" si="57"/>
        <v>0</v>
      </c>
      <c r="O622" s="634">
        <f t="shared" si="58"/>
        <v>0</v>
      </c>
      <c r="P622" s="144"/>
      <c r="Q622" s="144"/>
      <c r="R622" s="144"/>
      <c r="S622" s="144"/>
    </row>
    <row r="623" spans="1:19" ht="14.25" customHeight="1">
      <c r="A623" s="630"/>
      <c r="B623" s="631"/>
      <c r="C623" s="1127"/>
      <c r="D623" s="632"/>
      <c r="E623" s="1127"/>
      <c r="F623" s="633">
        <f t="shared" si="59"/>
        <v>0</v>
      </c>
      <c r="G623" s="632"/>
      <c r="H623" s="1127"/>
      <c r="I623" s="633">
        <f t="shared" si="60"/>
        <v>0</v>
      </c>
      <c r="J623" s="633">
        <f t="shared" si="61"/>
        <v>0</v>
      </c>
      <c r="K623" s="633">
        <f t="shared" si="62"/>
        <v>0</v>
      </c>
      <c r="L623" s="1127"/>
      <c r="M623" s="1127"/>
      <c r="N623" s="1691">
        <f t="shared" si="57"/>
        <v>0</v>
      </c>
      <c r="O623" s="634">
        <f t="shared" si="58"/>
        <v>0</v>
      </c>
      <c r="P623" s="144"/>
      <c r="Q623" s="144"/>
      <c r="R623" s="144"/>
      <c r="S623" s="144"/>
    </row>
    <row r="624" spans="1:19" ht="14.25" customHeight="1">
      <c r="A624" s="630"/>
      <c r="B624" s="631"/>
      <c r="C624" s="1127"/>
      <c r="D624" s="632"/>
      <c r="E624" s="1127"/>
      <c r="F624" s="633">
        <f t="shared" si="59"/>
        <v>0</v>
      </c>
      <c r="G624" s="632"/>
      <c r="H624" s="1127"/>
      <c r="I624" s="633">
        <f t="shared" si="60"/>
        <v>0</v>
      </c>
      <c r="J624" s="633">
        <f t="shared" si="61"/>
        <v>0</v>
      </c>
      <c r="K624" s="633">
        <f t="shared" si="62"/>
        <v>0</v>
      </c>
      <c r="L624" s="1127"/>
      <c r="M624" s="1127"/>
      <c r="N624" s="1691">
        <f t="shared" si="57"/>
        <v>0</v>
      </c>
      <c r="O624" s="634">
        <f t="shared" si="58"/>
        <v>0</v>
      </c>
      <c r="P624" s="144"/>
      <c r="Q624" s="144"/>
      <c r="R624" s="144"/>
      <c r="S624" s="144"/>
    </row>
    <row r="625" spans="1:19" ht="14.25" customHeight="1">
      <c r="A625" s="630"/>
      <c r="B625" s="631"/>
      <c r="C625" s="1127"/>
      <c r="D625" s="632"/>
      <c r="E625" s="1127"/>
      <c r="F625" s="633">
        <f t="shared" si="59"/>
        <v>0</v>
      </c>
      <c r="G625" s="632"/>
      <c r="H625" s="1127"/>
      <c r="I625" s="633">
        <f t="shared" si="60"/>
        <v>0</v>
      </c>
      <c r="J625" s="633">
        <f t="shared" si="61"/>
        <v>0</v>
      </c>
      <c r="K625" s="633">
        <f t="shared" si="62"/>
        <v>0</v>
      </c>
      <c r="L625" s="1127"/>
      <c r="M625" s="1127"/>
      <c r="N625" s="1691">
        <f t="shared" si="57"/>
        <v>0</v>
      </c>
      <c r="O625" s="634">
        <f t="shared" si="58"/>
        <v>0</v>
      </c>
      <c r="P625" s="144"/>
      <c r="Q625" s="144"/>
      <c r="R625" s="144"/>
      <c r="S625" s="144"/>
    </row>
    <row r="626" spans="1:19" ht="14.25" customHeight="1">
      <c r="A626" s="630"/>
      <c r="B626" s="631"/>
      <c r="C626" s="1127"/>
      <c r="D626" s="632"/>
      <c r="E626" s="1127"/>
      <c r="F626" s="633">
        <f t="shared" si="59"/>
        <v>0</v>
      </c>
      <c r="G626" s="632"/>
      <c r="H626" s="1127"/>
      <c r="I626" s="633">
        <f t="shared" si="60"/>
        <v>0</v>
      </c>
      <c r="J626" s="633">
        <f t="shared" si="61"/>
        <v>0</v>
      </c>
      <c r="K626" s="633">
        <f t="shared" si="62"/>
        <v>0</v>
      </c>
      <c r="L626" s="1127"/>
      <c r="M626" s="1127"/>
      <c r="N626" s="1691">
        <f t="shared" si="57"/>
        <v>0</v>
      </c>
      <c r="O626" s="634">
        <f t="shared" si="58"/>
        <v>0</v>
      </c>
      <c r="P626" s="144"/>
      <c r="Q626" s="144"/>
      <c r="R626" s="144"/>
      <c r="S626" s="144"/>
    </row>
    <row r="627" spans="1:19" ht="14.25" customHeight="1">
      <c r="A627" s="630"/>
      <c r="B627" s="631"/>
      <c r="C627" s="1127"/>
      <c r="D627" s="632"/>
      <c r="E627" s="1127"/>
      <c r="F627" s="633">
        <f t="shared" si="59"/>
        <v>0</v>
      </c>
      <c r="G627" s="632"/>
      <c r="H627" s="1127"/>
      <c r="I627" s="633">
        <f t="shared" si="60"/>
        <v>0</v>
      </c>
      <c r="J627" s="633">
        <f t="shared" si="61"/>
        <v>0</v>
      </c>
      <c r="K627" s="633">
        <f t="shared" si="62"/>
        <v>0</v>
      </c>
      <c r="L627" s="1127"/>
      <c r="M627" s="1127"/>
      <c r="N627" s="1691">
        <f t="shared" si="57"/>
        <v>0</v>
      </c>
      <c r="O627" s="634">
        <f t="shared" si="58"/>
        <v>0</v>
      </c>
      <c r="P627" s="144"/>
      <c r="Q627" s="144"/>
      <c r="R627" s="144"/>
      <c r="S627" s="144"/>
    </row>
    <row r="628" spans="1:19" ht="14.25" customHeight="1">
      <c r="A628" s="630"/>
      <c r="B628" s="631"/>
      <c r="C628" s="1127"/>
      <c r="D628" s="632"/>
      <c r="E628" s="1127"/>
      <c r="F628" s="633">
        <f t="shared" si="59"/>
        <v>0</v>
      </c>
      <c r="G628" s="632"/>
      <c r="H628" s="1127"/>
      <c r="I628" s="633">
        <f t="shared" si="60"/>
        <v>0</v>
      </c>
      <c r="J628" s="633">
        <f t="shared" si="61"/>
        <v>0</v>
      </c>
      <c r="K628" s="633">
        <f t="shared" si="62"/>
        <v>0</v>
      </c>
      <c r="L628" s="1127"/>
      <c r="M628" s="1127"/>
      <c r="N628" s="1691">
        <f t="shared" si="57"/>
        <v>0</v>
      </c>
      <c r="O628" s="634">
        <f t="shared" si="58"/>
        <v>0</v>
      </c>
      <c r="P628" s="144"/>
      <c r="Q628" s="144"/>
      <c r="R628" s="144"/>
      <c r="S628" s="144"/>
    </row>
    <row r="629" spans="1:19" ht="14.25" customHeight="1">
      <c r="A629" s="630"/>
      <c r="B629" s="631"/>
      <c r="C629" s="1127"/>
      <c r="D629" s="632"/>
      <c r="E629" s="1127"/>
      <c r="F629" s="633">
        <f t="shared" si="59"/>
        <v>0</v>
      </c>
      <c r="G629" s="632"/>
      <c r="H629" s="1127"/>
      <c r="I629" s="633">
        <f t="shared" si="60"/>
        <v>0</v>
      </c>
      <c r="J629" s="633">
        <f t="shared" si="61"/>
        <v>0</v>
      </c>
      <c r="K629" s="633">
        <f t="shared" si="62"/>
        <v>0</v>
      </c>
      <c r="L629" s="1127"/>
      <c r="M629" s="1127"/>
      <c r="N629" s="1691">
        <f t="shared" si="57"/>
        <v>0</v>
      </c>
      <c r="O629" s="634">
        <f t="shared" si="58"/>
        <v>0</v>
      </c>
      <c r="P629" s="144"/>
      <c r="Q629" s="144"/>
      <c r="R629" s="144"/>
      <c r="S629" s="144"/>
    </row>
    <row r="630" spans="1:19" ht="14.25" customHeight="1">
      <c r="A630" s="630"/>
      <c r="B630" s="631"/>
      <c r="C630" s="1127"/>
      <c r="D630" s="632"/>
      <c r="E630" s="1127"/>
      <c r="F630" s="633">
        <f t="shared" si="59"/>
        <v>0</v>
      </c>
      <c r="G630" s="632"/>
      <c r="H630" s="1127"/>
      <c r="I630" s="633">
        <f t="shared" si="60"/>
        <v>0</v>
      </c>
      <c r="J630" s="633">
        <f t="shared" si="61"/>
        <v>0</v>
      </c>
      <c r="K630" s="633">
        <f t="shared" si="62"/>
        <v>0</v>
      </c>
      <c r="L630" s="1127"/>
      <c r="M630" s="1127"/>
      <c r="N630" s="1691">
        <f t="shared" si="57"/>
        <v>0</v>
      </c>
      <c r="O630" s="634">
        <f t="shared" si="58"/>
        <v>0</v>
      </c>
      <c r="P630" s="144"/>
      <c r="Q630" s="144"/>
      <c r="R630" s="144"/>
      <c r="S630" s="144"/>
    </row>
    <row r="631" spans="1:19" ht="14.25" customHeight="1">
      <c r="A631" s="630"/>
      <c r="B631" s="631"/>
      <c r="C631" s="1127"/>
      <c r="D631" s="632"/>
      <c r="E631" s="1127"/>
      <c r="F631" s="633">
        <f t="shared" si="59"/>
        <v>0</v>
      </c>
      <c r="G631" s="632"/>
      <c r="H631" s="1127"/>
      <c r="I631" s="633">
        <f t="shared" si="60"/>
        <v>0</v>
      </c>
      <c r="J631" s="633">
        <f t="shared" si="61"/>
        <v>0</v>
      </c>
      <c r="K631" s="633">
        <f t="shared" si="62"/>
        <v>0</v>
      </c>
      <c r="L631" s="1127"/>
      <c r="M631" s="1127"/>
      <c r="N631" s="1691">
        <f t="shared" si="57"/>
        <v>0</v>
      </c>
      <c r="O631" s="634">
        <f t="shared" si="58"/>
        <v>0</v>
      </c>
      <c r="P631" s="144"/>
      <c r="Q631" s="144"/>
      <c r="R631" s="144"/>
      <c r="S631" s="144"/>
    </row>
    <row r="632" spans="1:19" ht="14.25" customHeight="1">
      <c r="A632" s="630"/>
      <c r="B632" s="631"/>
      <c r="C632" s="1127"/>
      <c r="D632" s="632"/>
      <c r="E632" s="1127"/>
      <c r="F632" s="633">
        <f t="shared" si="59"/>
        <v>0</v>
      </c>
      <c r="G632" s="632"/>
      <c r="H632" s="1127"/>
      <c r="I632" s="633">
        <f t="shared" si="60"/>
        <v>0</v>
      </c>
      <c r="J632" s="633">
        <f t="shared" si="61"/>
        <v>0</v>
      </c>
      <c r="K632" s="633">
        <f t="shared" si="62"/>
        <v>0</v>
      </c>
      <c r="L632" s="1127"/>
      <c r="M632" s="1127"/>
      <c r="N632" s="1691">
        <f t="shared" si="57"/>
        <v>0</v>
      </c>
      <c r="O632" s="634">
        <f t="shared" si="58"/>
        <v>0</v>
      </c>
      <c r="P632" s="144"/>
      <c r="Q632" s="144"/>
      <c r="R632" s="144"/>
      <c r="S632" s="144"/>
    </row>
    <row r="633" spans="1:19" ht="14.25" customHeight="1">
      <c r="A633" s="630"/>
      <c r="B633" s="631"/>
      <c r="C633" s="1127"/>
      <c r="D633" s="632"/>
      <c r="E633" s="1127"/>
      <c r="F633" s="633">
        <f t="shared" si="59"/>
        <v>0</v>
      </c>
      <c r="G633" s="632"/>
      <c r="H633" s="1127"/>
      <c r="I633" s="633">
        <f t="shared" si="60"/>
        <v>0</v>
      </c>
      <c r="J633" s="633">
        <f t="shared" si="61"/>
        <v>0</v>
      </c>
      <c r="K633" s="633">
        <f t="shared" si="62"/>
        <v>0</v>
      </c>
      <c r="L633" s="1127"/>
      <c r="M633" s="1127"/>
      <c r="N633" s="1691">
        <f t="shared" si="57"/>
        <v>0</v>
      </c>
      <c r="O633" s="634">
        <f t="shared" si="58"/>
        <v>0</v>
      </c>
      <c r="P633" s="144"/>
      <c r="Q633" s="144"/>
      <c r="R633" s="144"/>
      <c r="S633" s="144"/>
    </row>
    <row r="634" spans="1:19" ht="14.25" customHeight="1">
      <c r="A634" s="630"/>
      <c r="B634" s="631"/>
      <c r="C634" s="1127"/>
      <c r="D634" s="632"/>
      <c r="E634" s="1127"/>
      <c r="F634" s="633">
        <f t="shared" si="59"/>
        <v>0</v>
      </c>
      <c r="G634" s="632"/>
      <c r="H634" s="1127"/>
      <c r="I634" s="633">
        <f t="shared" si="60"/>
        <v>0</v>
      </c>
      <c r="J634" s="633">
        <f t="shared" si="61"/>
        <v>0</v>
      </c>
      <c r="K634" s="633">
        <f t="shared" si="62"/>
        <v>0</v>
      </c>
      <c r="L634" s="1127"/>
      <c r="M634" s="1127"/>
      <c r="N634" s="1691">
        <f t="shared" si="57"/>
        <v>0</v>
      </c>
      <c r="O634" s="634">
        <f t="shared" si="58"/>
        <v>0</v>
      </c>
      <c r="P634" s="144"/>
      <c r="Q634" s="144"/>
      <c r="R634" s="144"/>
      <c r="S634" s="144"/>
    </row>
    <row r="635" spans="1:19" ht="14.25" customHeight="1">
      <c r="A635" s="630"/>
      <c r="B635" s="631"/>
      <c r="C635" s="1127"/>
      <c r="D635" s="632"/>
      <c r="E635" s="1127"/>
      <c r="F635" s="633">
        <f t="shared" si="59"/>
        <v>0</v>
      </c>
      <c r="G635" s="632"/>
      <c r="H635" s="1127"/>
      <c r="I635" s="633">
        <f t="shared" si="60"/>
        <v>0</v>
      </c>
      <c r="J635" s="633">
        <f t="shared" si="61"/>
        <v>0</v>
      </c>
      <c r="K635" s="633">
        <f t="shared" si="62"/>
        <v>0</v>
      </c>
      <c r="L635" s="1127"/>
      <c r="M635" s="1127"/>
      <c r="N635" s="1691">
        <f t="shared" si="57"/>
        <v>0</v>
      </c>
      <c r="O635" s="634">
        <f t="shared" si="58"/>
        <v>0</v>
      </c>
      <c r="P635" s="144"/>
      <c r="Q635" s="144"/>
      <c r="R635" s="144"/>
      <c r="S635" s="144"/>
    </row>
    <row r="636" spans="1:19" ht="14.25" customHeight="1">
      <c r="A636" s="630"/>
      <c r="B636" s="631"/>
      <c r="C636" s="1127"/>
      <c r="D636" s="632"/>
      <c r="E636" s="1127"/>
      <c r="F636" s="633">
        <f t="shared" si="59"/>
        <v>0</v>
      </c>
      <c r="G636" s="632"/>
      <c r="H636" s="1127"/>
      <c r="I636" s="633">
        <f t="shared" si="60"/>
        <v>0</v>
      </c>
      <c r="J636" s="633">
        <f t="shared" si="61"/>
        <v>0</v>
      </c>
      <c r="K636" s="633">
        <f t="shared" si="62"/>
        <v>0</v>
      </c>
      <c r="L636" s="1127"/>
      <c r="M636" s="1127"/>
      <c r="N636" s="1691">
        <f t="shared" si="57"/>
        <v>0</v>
      </c>
      <c r="O636" s="634">
        <f t="shared" si="58"/>
        <v>0</v>
      </c>
      <c r="P636" s="144"/>
      <c r="Q636" s="144"/>
      <c r="R636" s="144"/>
      <c r="S636" s="144"/>
    </row>
    <row r="637" spans="1:19" ht="14.25" customHeight="1">
      <c r="A637" s="630"/>
      <c r="B637" s="631"/>
      <c r="C637" s="1127"/>
      <c r="D637" s="632"/>
      <c r="E637" s="1127"/>
      <c r="F637" s="633">
        <f t="shared" si="59"/>
        <v>0</v>
      </c>
      <c r="G637" s="632"/>
      <c r="H637" s="1127"/>
      <c r="I637" s="633">
        <f t="shared" si="60"/>
        <v>0</v>
      </c>
      <c r="J637" s="633">
        <f t="shared" si="61"/>
        <v>0</v>
      </c>
      <c r="K637" s="633">
        <f t="shared" si="62"/>
        <v>0</v>
      </c>
      <c r="L637" s="1127"/>
      <c r="M637" s="1127"/>
      <c r="N637" s="1691">
        <f t="shared" si="57"/>
        <v>0</v>
      </c>
      <c r="O637" s="634">
        <f t="shared" si="58"/>
        <v>0</v>
      </c>
      <c r="P637" s="144"/>
      <c r="Q637" s="144"/>
      <c r="R637" s="144"/>
      <c r="S637" s="144"/>
    </row>
    <row r="638" spans="1:19" ht="14.25" customHeight="1">
      <c r="A638" s="630"/>
      <c r="B638" s="631"/>
      <c r="C638" s="1127"/>
      <c r="D638" s="632"/>
      <c r="E638" s="1127"/>
      <c r="F638" s="633">
        <f t="shared" si="59"/>
        <v>0</v>
      </c>
      <c r="G638" s="632"/>
      <c r="H638" s="1127"/>
      <c r="I638" s="633">
        <f t="shared" si="60"/>
        <v>0</v>
      </c>
      <c r="J638" s="633">
        <f t="shared" si="61"/>
        <v>0</v>
      </c>
      <c r="K638" s="633">
        <f t="shared" si="62"/>
        <v>0</v>
      </c>
      <c r="L638" s="1127"/>
      <c r="M638" s="1127"/>
      <c r="N638" s="1691">
        <f t="shared" si="57"/>
        <v>0</v>
      </c>
      <c r="O638" s="634">
        <f t="shared" si="58"/>
        <v>0</v>
      </c>
      <c r="P638" s="144"/>
      <c r="Q638" s="144"/>
      <c r="R638" s="144"/>
      <c r="S638" s="144"/>
    </row>
    <row r="639" spans="1:19" ht="14.25" customHeight="1">
      <c r="A639" s="630"/>
      <c r="B639" s="631"/>
      <c r="C639" s="1127"/>
      <c r="D639" s="632"/>
      <c r="E639" s="1127"/>
      <c r="F639" s="633">
        <f t="shared" si="59"/>
        <v>0</v>
      </c>
      <c r="G639" s="632"/>
      <c r="H639" s="1127"/>
      <c r="I639" s="633">
        <f t="shared" si="60"/>
        <v>0</v>
      </c>
      <c r="J639" s="633">
        <f t="shared" si="61"/>
        <v>0</v>
      </c>
      <c r="K639" s="633">
        <f t="shared" si="62"/>
        <v>0</v>
      </c>
      <c r="L639" s="1127"/>
      <c r="M639" s="1127"/>
      <c r="N639" s="1691">
        <f t="shared" si="57"/>
        <v>0</v>
      </c>
      <c r="O639" s="634">
        <f t="shared" si="58"/>
        <v>0</v>
      </c>
      <c r="P639" s="144"/>
      <c r="Q639" s="144"/>
      <c r="R639" s="144"/>
      <c r="S639" s="144"/>
    </row>
    <row r="640" spans="1:19" ht="14.25" customHeight="1">
      <c r="A640" s="630"/>
      <c r="B640" s="631"/>
      <c r="C640" s="1127"/>
      <c r="D640" s="632"/>
      <c r="E640" s="1127"/>
      <c r="F640" s="633">
        <f t="shared" si="59"/>
        <v>0</v>
      </c>
      <c r="G640" s="632"/>
      <c r="H640" s="1127"/>
      <c r="I640" s="633">
        <f t="shared" si="60"/>
        <v>0</v>
      </c>
      <c r="J640" s="633">
        <f t="shared" si="61"/>
        <v>0</v>
      </c>
      <c r="K640" s="633">
        <f t="shared" si="62"/>
        <v>0</v>
      </c>
      <c r="L640" s="1127"/>
      <c r="M640" s="1127"/>
      <c r="N640" s="1691">
        <f t="shared" si="57"/>
        <v>0</v>
      </c>
      <c r="O640" s="634">
        <f t="shared" si="58"/>
        <v>0</v>
      </c>
      <c r="P640" s="144"/>
      <c r="Q640" s="144"/>
      <c r="R640" s="144"/>
      <c r="S640" s="144"/>
    </row>
    <row r="641" spans="1:19" ht="14.25" customHeight="1">
      <c r="A641" s="630"/>
      <c r="B641" s="631"/>
      <c r="C641" s="1127"/>
      <c r="D641" s="632"/>
      <c r="E641" s="1127"/>
      <c r="F641" s="633">
        <f t="shared" si="59"/>
        <v>0</v>
      </c>
      <c r="G641" s="632"/>
      <c r="H641" s="1127"/>
      <c r="I641" s="633">
        <f t="shared" si="60"/>
        <v>0</v>
      </c>
      <c r="J641" s="633">
        <f t="shared" si="61"/>
        <v>0</v>
      </c>
      <c r="K641" s="633">
        <f t="shared" si="62"/>
        <v>0</v>
      </c>
      <c r="L641" s="1127"/>
      <c r="M641" s="1127"/>
      <c r="N641" s="1691">
        <f t="shared" si="57"/>
        <v>0</v>
      </c>
      <c r="O641" s="634">
        <f t="shared" si="58"/>
        <v>0</v>
      </c>
      <c r="P641" s="144"/>
      <c r="Q641" s="144"/>
      <c r="R641" s="144"/>
      <c r="S641" s="144"/>
    </row>
    <row r="642" spans="1:19" ht="14.25" customHeight="1">
      <c r="A642" s="630"/>
      <c r="B642" s="631"/>
      <c r="C642" s="1127"/>
      <c r="D642" s="632"/>
      <c r="E642" s="1127"/>
      <c r="F642" s="633">
        <f t="shared" si="59"/>
        <v>0</v>
      </c>
      <c r="G642" s="632"/>
      <c r="H642" s="1127"/>
      <c r="I642" s="633">
        <f t="shared" si="60"/>
        <v>0</v>
      </c>
      <c r="J642" s="633">
        <f t="shared" si="61"/>
        <v>0</v>
      </c>
      <c r="K642" s="633">
        <f t="shared" si="62"/>
        <v>0</v>
      </c>
      <c r="L642" s="1127"/>
      <c r="M642" s="1127"/>
      <c r="N642" s="1691">
        <f t="shared" si="57"/>
        <v>0</v>
      </c>
      <c r="O642" s="634">
        <f t="shared" si="58"/>
        <v>0</v>
      </c>
      <c r="P642" s="144"/>
      <c r="Q642" s="144"/>
      <c r="R642" s="144"/>
      <c r="S642" s="144"/>
    </row>
    <row r="643" spans="1:19" ht="14.25" customHeight="1">
      <c r="A643" s="630"/>
      <c r="B643" s="631"/>
      <c r="C643" s="1127"/>
      <c r="D643" s="632"/>
      <c r="E643" s="1127"/>
      <c r="F643" s="633">
        <f t="shared" si="59"/>
        <v>0</v>
      </c>
      <c r="G643" s="632"/>
      <c r="H643" s="1127"/>
      <c r="I643" s="633">
        <f t="shared" si="60"/>
        <v>0</v>
      </c>
      <c r="J643" s="633">
        <f t="shared" si="61"/>
        <v>0</v>
      </c>
      <c r="K643" s="633">
        <f t="shared" si="62"/>
        <v>0</v>
      </c>
      <c r="L643" s="1127"/>
      <c r="M643" s="1127"/>
      <c r="N643" s="1691">
        <f t="shared" si="57"/>
        <v>0</v>
      </c>
      <c r="O643" s="634">
        <f t="shared" si="58"/>
        <v>0</v>
      </c>
      <c r="P643" s="144"/>
      <c r="Q643" s="144"/>
      <c r="R643" s="144"/>
      <c r="S643" s="144"/>
    </row>
    <row r="644" spans="1:19" ht="14.25" customHeight="1">
      <c r="A644" s="630"/>
      <c r="B644" s="631"/>
      <c r="C644" s="1127"/>
      <c r="D644" s="632"/>
      <c r="E644" s="1127"/>
      <c r="F644" s="633">
        <f t="shared" si="59"/>
        <v>0</v>
      </c>
      <c r="G644" s="632"/>
      <c r="H644" s="1127"/>
      <c r="I644" s="633">
        <f t="shared" si="60"/>
        <v>0</v>
      </c>
      <c r="J644" s="633">
        <f t="shared" si="61"/>
        <v>0</v>
      </c>
      <c r="K644" s="633">
        <f t="shared" si="62"/>
        <v>0</v>
      </c>
      <c r="L644" s="1127"/>
      <c r="M644" s="1127"/>
      <c r="N644" s="1691">
        <f t="shared" si="57"/>
        <v>0</v>
      </c>
      <c r="O644" s="634">
        <f t="shared" si="58"/>
        <v>0</v>
      </c>
      <c r="P644" s="144"/>
      <c r="Q644" s="144"/>
      <c r="R644" s="144"/>
      <c r="S644" s="144"/>
    </row>
    <row r="645" spans="1:19" ht="14.25" customHeight="1">
      <c r="A645" s="630"/>
      <c r="B645" s="631"/>
      <c r="C645" s="1127"/>
      <c r="D645" s="632"/>
      <c r="E645" s="1127"/>
      <c r="F645" s="633">
        <f t="shared" si="59"/>
        <v>0</v>
      </c>
      <c r="G645" s="632"/>
      <c r="H645" s="1127"/>
      <c r="I645" s="633">
        <f t="shared" si="60"/>
        <v>0</v>
      </c>
      <c r="J645" s="633">
        <f t="shared" si="61"/>
        <v>0</v>
      </c>
      <c r="K645" s="633">
        <f t="shared" si="62"/>
        <v>0</v>
      </c>
      <c r="L645" s="1127"/>
      <c r="M645" s="1127"/>
      <c r="N645" s="1691">
        <f t="shared" si="57"/>
        <v>0</v>
      </c>
      <c r="O645" s="634">
        <f t="shared" si="58"/>
        <v>0</v>
      </c>
      <c r="P645" s="144"/>
      <c r="Q645" s="144"/>
      <c r="R645" s="144"/>
      <c r="S645" s="144"/>
    </row>
    <row r="646" spans="1:19" ht="14.25" customHeight="1">
      <c r="A646" s="630"/>
      <c r="B646" s="631"/>
      <c r="C646" s="1127"/>
      <c r="D646" s="632"/>
      <c r="E646" s="1127"/>
      <c r="F646" s="633">
        <f t="shared" si="59"/>
        <v>0</v>
      </c>
      <c r="G646" s="632"/>
      <c r="H646" s="1127"/>
      <c r="I646" s="633">
        <f t="shared" si="60"/>
        <v>0</v>
      </c>
      <c r="J646" s="633">
        <f t="shared" si="61"/>
        <v>0</v>
      </c>
      <c r="K646" s="633">
        <f t="shared" si="62"/>
        <v>0</v>
      </c>
      <c r="L646" s="1127"/>
      <c r="M646" s="1127"/>
      <c r="N646" s="1691">
        <f t="shared" si="57"/>
        <v>0</v>
      </c>
      <c r="O646" s="634">
        <f t="shared" si="58"/>
        <v>0</v>
      </c>
      <c r="P646" s="144"/>
      <c r="Q646" s="144"/>
      <c r="R646" s="144"/>
      <c r="S646" s="144"/>
    </row>
    <row r="647" spans="1:19" ht="14.25" customHeight="1">
      <c r="A647" s="630"/>
      <c r="B647" s="631"/>
      <c r="C647" s="1127"/>
      <c r="D647" s="632"/>
      <c r="E647" s="1127"/>
      <c r="F647" s="633">
        <f t="shared" si="59"/>
        <v>0</v>
      </c>
      <c r="G647" s="632"/>
      <c r="H647" s="1127"/>
      <c r="I647" s="633">
        <f t="shared" si="60"/>
        <v>0</v>
      </c>
      <c r="J647" s="633">
        <f t="shared" si="61"/>
        <v>0</v>
      </c>
      <c r="K647" s="633">
        <f t="shared" si="62"/>
        <v>0</v>
      </c>
      <c r="L647" s="1127"/>
      <c r="M647" s="1127"/>
      <c r="N647" s="1691">
        <f t="shared" si="57"/>
        <v>0</v>
      </c>
      <c r="O647" s="634">
        <f t="shared" si="58"/>
        <v>0</v>
      </c>
      <c r="P647" s="144"/>
      <c r="Q647" s="144"/>
      <c r="R647" s="144"/>
      <c r="S647" s="144"/>
    </row>
    <row r="648" spans="1:19" ht="14.25" customHeight="1">
      <c r="A648" s="630"/>
      <c r="B648" s="631"/>
      <c r="C648" s="1127"/>
      <c r="D648" s="632"/>
      <c r="E648" s="1127"/>
      <c r="F648" s="633">
        <f t="shared" si="59"/>
        <v>0</v>
      </c>
      <c r="G648" s="632"/>
      <c r="H648" s="1127"/>
      <c r="I648" s="633">
        <f t="shared" si="60"/>
        <v>0</v>
      </c>
      <c r="J648" s="633">
        <f t="shared" si="61"/>
        <v>0</v>
      </c>
      <c r="K648" s="633">
        <f t="shared" si="62"/>
        <v>0</v>
      </c>
      <c r="L648" s="1127"/>
      <c r="M648" s="1127"/>
      <c r="N648" s="1691">
        <f t="shared" si="57"/>
        <v>0</v>
      </c>
      <c r="O648" s="634">
        <f t="shared" si="58"/>
        <v>0</v>
      </c>
      <c r="P648" s="144"/>
      <c r="Q648" s="144"/>
      <c r="R648" s="144"/>
      <c r="S648" s="144"/>
    </row>
    <row r="649" spans="1:19" ht="14.25" customHeight="1">
      <c r="A649" s="630"/>
      <c r="B649" s="631"/>
      <c r="C649" s="1127"/>
      <c r="D649" s="632"/>
      <c r="E649" s="1127"/>
      <c r="F649" s="633">
        <f t="shared" si="59"/>
        <v>0</v>
      </c>
      <c r="G649" s="632"/>
      <c r="H649" s="1127"/>
      <c r="I649" s="633">
        <f t="shared" si="60"/>
        <v>0</v>
      </c>
      <c r="J649" s="633">
        <f t="shared" si="61"/>
        <v>0</v>
      </c>
      <c r="K649" s="633">
        <f t="shared" si="62"/>
        <v>0</v>
      </c>
      <c r="L649" s="1127"/>
      <c r="M649" s="1127"/>
      <c r="N649" s="1691">
        <f t="shared" si="57"/>
        <v>0</v>
      </c>
      <c r="O649" s="634">
        <f t="shared" si="58"/>
        <v>0</v>
      </c>
      <c r="P649" s="144"/>
      <c r="Q649" s="144"/>
      <c r="R649" s="144"/>
      <c r="S649" s="144"/>
    </row>
    <row r="650" spans="1:19" ht="14.25" customHeight="1">
      <c r="A650" s="630"/>
      <c r="B650" s="631"/>
      <c r="C650" s="1127"/>
      <c r="D650" s="632"/>
      <c r="E650" s="1127"/>
      <c r="F650" s="633">
        <f t="shared" si="59"/>
        <v>0</v>
      </c>
      <c r="G650" s="632"/>
      <c r="H650" s="1127"/>
      <c r="I650" s="633">
        <f t="shared" si="60"/>
        <v>0</v>
      </c>
      <c r="J650" s="633">
        <f t="shared" si="61"/>
        <v>0</v>
      </c>
      <c r="K650" s="633">
        <f t="shared" si="62"/>
        <v>0</v>
      </c>
      <c r="L650" s="1127"/>
      <c r="M650" s="1127"/>
      <c r="N650" s="1691">
        <f t="shared" ref="N650:N713" si="63">IF(M650&lt;&gt;0,ROUND(B650*K650,2)+M650,IF(ABS(ROUND(K650*B650,2)-L650)&lt;3,L650,MIN(ROUND(K650*B650,2),L650)))</f>
        <v>0</v>
      </c>
      <c r="O650" s="634">
        <f t="shared" ref="O650:O713" si="64">IF(ISERROR(L650-N650),"",IF(ABS(L650-N650)&lt;3,0,L650-N650))</f>
        <v>0</v>
      </c>
      <c r="P650" s="144"/>
      <c r="Q650" s="144"/>
      <c r="R650" s="144"/>
      <c r="S650" s="144"/>
    </row>
    <row r="651" spans="1:19" ht="14.25" customHeight="1">
      <c r="A651" s="630"/>
      <c r="B651" s="631"/>
      <c r="C651" s="1127"/>
      <c r="D651" s="632"/>
      <c r="E651" s="1127"/>
      <c r="F651" s="633">
        <f t="shared" ref="F651:F714" si="65">E651*(12-MONTH(D651))/12</f>
        <v>0</v>
      </c>
      <c r="G651" s="632"/>
      <c r="H651" s="1127"/>
      <c r="I651" s="633">
        <f t="shared" ref="I651:I714" si="66">H651*(12-MONTH(G651))/12</f>
        <v>0</v>
      </c>
      <c r="J651" s="633">
        <f t="shared" ref="J651:J714" si="67">C651+E651-H651</f>
        <v>0</v>
      </c>
      <c r="K651" s="633">
        <f t="shared" ref="K651:K714" si="68">C651+F651-I651</f>
        <v>0</v>
      </c>
      <c r="L651" s="1127"/>
      <c r="M651" s="1127"/>
      <c r="N651" s="1691">
        <f t="shared" si="63"/>
        <v>0</v>
      </c>
      <c r="O651" s="634">
        <f t="shared" si="64"/>
        <v>0</v>
      </c>
      <c r="P651" s="144"/>
      <c r="Q651" s="144"/>
      <c r="R651" s="144"/>
      <c r="S651" s="144"/>
    </row>
    <row r="652" spans="1:19" ht="14.25" customHeight="1">
      <c r="A652" s="630"/>
      <c r="B652" s="631"/>
      <c r="C652" s="1127"/>
      <c r="D652" s="632"/>
      <c r="E652" s="1127"/>
      <c r="F652" s="633">
        <f t="shared" si="65"/>
        <v>0</v>
      </c>
      <c r="G652" s="632"/>
      <c r="H652" s="1127"/>
      <c r="I652" s="633">
        <f t="shared" si="66"/>
        <v>0</v>
      </c>
      <c r="J652" s="633">
        <f t="shared" si="67"/>
        <v>0</v>
      </c>
      <c r="K652" s="633">
        <f t="shared" si="68"/>
        <v>0</v>
      </c>
      <c r="L652" s="1127"/>
      <c r="M652" s="1127"/>
      <c r="N652" s="1691">
        <f t="shared" si="63"/>
        <v>0</v>
      </c>
      <c r="O652" s="634">
        <f t="shared" si="64"/>
        <v>0</v>
      </c>
      <c r="P652" s="144"/>
      <c r="Q652" s="144"/>
      <c r="R652" s="144"/>
      <c r="S652" s="144"/>
    </row>
    <row r="653" spans="1:19" ht="14.25" customHeight="1">
      <c r="A653" s="630"/>
      <c r="B653" s="631"/>
      <c r="C653" s="1127"/>
      <c r="D653" s="632"/>
      <c r="E653" s="1127"/>
      <c r="F653" s="633">
        <f t="shared" si="65"/>
        <v>0</v>
      </c>
      <c r="G653" s="632"/>
      <c r="H653" s="1127"/>
      <c r="I653" s="633">
        <f t="shared" si="66"/>
        <v>0</v>
      </c>
      <c r="J653" s="633">
        <f t="shared" si="67"/>
        <v>0</v>
      </c>
      <c r="K653" s="633">
        <f t="shared" si="68"/>
        <v>0</v>
      </c>
      <c r="L653" s="1127"/>
      <c r="M653" s="1127"/>
      <c r="N653" s="1691">
        <f t="shared" si="63"/>
        <v>0</v>
      </c>
      <c r="O653" s="634">
        <f t="shared" si="64"/>
        <v>0</v>
      </c>
      <c r="P653" s="144"/>
      <c r="Q653" s="144"/>
      <c r="R653" s="144"/>
      <c r="S653" s="144"/>
    </row>
    <row r="654" spans="1:19" ht="14.25" customHeight="1">
      <c r="A654" s="630"/>
      <c r="B654" s="631"/>
      <c r="C654" s="1127"/>
      <c r="D654" s="632"/>
      <c r="E654" s="1127"/>
      <c r="F654" s="633">
        <f t="shared" si="65"/>
        <v>0</v>
      </c>
      <c r="G654" s="632"/>
      <c r="H654" s="1127"/>
      <c r="I654" s="633">
        <f t="shared" si="66"/>
        <v>0</v>
      </c>
      <c r="J654" s="633">
        <f t="shared" si="67"/>
        <v>0</v>
      </c>
      <c r="K654" s="633">
        <f t="shared" si="68"/>
        <v>0</v>
      </c>
      <c r="L654" s="1127"/>
      <c r="M654" s="1127"/>
      <c r="N654" s="1691">
        <f t="shared" si="63"/>
        <v>0</v>
      </c>
      <c r="O654" s="634">
        <f t="shared" si="64"/>
        <v>0</v>
      </c>
      <c r="P654" s="144"/>
      <c r="Q654" s="144"/>
      <c r="R654" s="144"/>
      <c r="S654" s="144"/>
    </row>
    <row r="655" spans="1:19" ht="14.25" customHeight="1">
      <c r="A655" s="630"/>
      <c r="B655" s="631"/>
      <c r="C655" s="1127"/>
      <c r="D655" s="632"/>
      <c r="E655" s="1127"/>
      <c r="F655" s="633">
        <f t="shared" si="65"/>
        <v>0</v>
      </c>
      <c r="G655" s="632"/>
      <c r="H655" s="1127"/>
      <c r="I655" s="633">
        <f t="shared" si="66"/>
        <v>0</v>
      </c>
      <c r="J655" s="633">
        <f t="shared" si="67"/>
        <v>0</v>
      </c>
      <c r="K655" s="633">
        <f t="shared" si="68"/>
        <v>0</v>
      </c>
      <c r="L655" s="1127"/>
      <c r="M655" s="1127"/>
      <c r="N655" s="1691">
        <f t="shared" si="63"/>
        <v>0</v>
      </c>
      <c r="O655" s="634">
        <f t="shared" si="64"/>
        <v>0</v>
      </c>
      <c r="P655" s="144"/>
      <c r="Q655" s="144"/>
      <c r="R655" s="144"/>
      <c r="S655" s="144"/>
    </row>
    <row r="656" spans="1:19" ht="14.25" customHeight="1">
      <c r="A656" s="630"/>
      <c r="B656" s="631"/>
      <c r="C656" s="1127"/>
      <c r="D656" s="632"/>
      <c r="E656" s="1127"/>
      <c r="F656" s="633">
        <f t="shared" si="65"/>
        <v>0</v>
      </c>
      <c r="G656" s="632"/>
      <c r="H656" s="1127"/>
      <c r="I656" s="633">
        <f t="shared" si="66"/>
        <v>0</v>
      </c>
      <c r="J656" s="633">
        <f t="shared" si="67"/>
        <v>0</v>
      </c>
      <c r="K656" s="633">
        <f t="shared" si="68"/>
        <v>0</v>
      </c>
      <c r="L656" s="1127"/>
      <c r="M656" s="1127"/>
      <c r="N656" s="1691">
        <f t="shared" si="63"/>
        <v>0</v>
      </c>
      <c r="O656" s="634">
        <f t="shared" si="64"/>
        <v>0</v>
      </c>
      <c r="P656" s="144"/>
      <c r="Q656" s="144"/>
      <c r="R656" s="144"/>
      <c r="S656" s="144"/>
    </row>
    <row r="657" spans="1:19" ht="14.25" customHeight="1">
      <c r="A657" s="630"/>
      <c r="B657" s="631"/>
      <c r="C657" s="1127"/>
      <c r="D657" s="632"/>
      <c r="E657" s="1127"/>
      <c r="F657" s="633">
        <f t="shared" si="65"/>
        <v>0</v>
      </c>
      <c r="G657" s="632"/>
      <c r="H657" s="1127"/>
      <c r="I657" s="633">
        <f t="shared" si="66"/>
        <v>0</v>
      </c>
      <c r="J657" s="633">
        <f t="shared" si="67"/>
        <v>0</v>
      </c>
      <c r="K657" s="633">
        <f t="shared" si="68"/>
        <v>0</v>
      </c>
      <c r="L657" s="1127"/>
      <c r="M657" s="1127"/>
      <c r="N657" s="1691">
        <f t="shared" si="63"/>
        <v>0</v>
      </c>
      <c r="O657" s="634">
        <f t="shared" si="64"/>
        <v>0</v>
      </c>
      <c r="P657" s="144"/>
      <c r="Q657" s="144"/>
      <c r="R657" s="144"/>
      <c r="S657" s="144"/>
    </row>
    <row r="658" spans="1:19" ht="14.25" customHeight="1">
      <c r="A658" s="630"/>
      <c r="B658" s="631"/>
      <c r="C658" s="1127"/>
      <c r="D658" s="632"/>
      <c r="E658" s="1127"/>
      <c r="F658" s="633">
        <f t="shared" si="65"/>
        <v>0</v>
      </c>
      <c r="G658" s="632"/>
      <c r="H658" s="1127"/>
      <c r="I658" s="633">
        <f t="shared" si="66"/>
        <v>0</v>
      </c>
      <c r="J658" s="633">
        <f t="shared" si="67"/>
        <v>0</v>
      </c>
      <c r="K658" s="633">
        <f t="shared" si="68"/>
        <v>0</v>
      </c>
      <c r="L658" s="1127"/>
      <c r="M658" s="1127"/>
      <c r="N658" s="1691">
        <f t="shared" si="63"/>
        <v>0</v>
      </c>
      <c r="O658" s="634">
        <f t="shared" si="64"/>
        <v>0</v>
      </c>
      <c r="P658" s="144"/>
      <c r="Q658" s="144"/>
      <c r="R658" s="144"/>
      <c r="S658" s="144"/>
    </row>
    <row r="659" spans="1:19" ht="14.25" customHeight="1">
      <c r="A659" s="630"/>
      <c r="B659" s="631"/>
      <c r="C659" s="1127"/>
      <c r="D659" s="632"/>
      <c r="E659" s="1127"/>
      <c r="F659" s="633">
        <f t="shared" si="65"/>
        <v>0</v>
      </c>
      <c r="G659" s="632"/>
      <c r="H659" s="1127"/>
      <c r="I659" s="633">
        <f t="shared" si="66"/>
        <v>0</v>
      </c>
      <c r="J659" s="633">
        <f t="shared" si="67"/>
        <v>0</v>
      </c>
      <c r="K659" s="633">
        <f t="shared" si="68"/>
        <v>0</v>
      </c>
      <c r="L659" s="1127"/>
      <c r="M659" s="1127"/>
      <c r="N659" s="1691">
        <f t="shared" si="63"/>
        <v>0</v>
      </c>
      <c r="O659" s="634">
        <f t="shared" si="64"/>
        <v>0</v>
      </c>
      <c r="P659" s="144"/>
      <c r="Q659" s="144"/>
      <c r="R659" s="144"/>
      <c r="S659" s="144"/>
    </row>
    <row r="660" spans="1:19" ht="14.25" customHeight="1">
      <c r="A660" s="630"/>
      <c r="B660" s="631"/>
      <c r="C660" s="1127"/>
      <c r="D660" s="632"/>
      <c r="E660" s="1127"/>
      <c r="F660" s="633">
        <f t="shared" si="65"/>
        <v>0</v>
      </c>
      <c r="G660" s="632"/>
      <c r="H660" s="1127"/>
      <c r="I660" s="633">
        <f t="shared" si="66"/>
        <v>0</v>
      </c>
      <c r="J660" s="633">
        <f t="shared" si="67"/>
        <v>0</v>
      </c>
      <c r="K660" s="633">
        <f t="shared" si="68"/>
        <v>0</v>
      </c>
      <c r="L660" s="1127"/>
      <c r="M660" s="1127"/>
      <c r="N660" s="1691">
        <f t="shared" si="63"/>
        <v>0</v>
      </c>
      <c r="O660" s="634">
        <f t="shared" si="64"/>
        <v>0</v>
      </c>
      <c r="P660" s="144"/>
      <c r="Q660" s="144"/>
      <c r="R660" s="144"/>
      <c r="S660" s="144"/>
    </row>
    <row r="661" spans="1:19" ht="14.25" customHeight="1">
      <c r="A661" s="630"/>
      <c r="B661" s="631"/>
      <c r="C661" s="1127"/>
      <c r="D661" s="632"/>
      <c r="E661" s="1127"/>
      <c r="F661" s="633">
        <f t="shared" si="65"/>
        <v>0</v>
      </c>
      <c r="G661" s="632"/>
      <c r="H661" s="1127"/>
      <c r="I661" s="633">
        <f t="shared" si="66"/>
        <v>0</v>
      </c>
      <c r="J661" s="633">
        <f t="shared" si="67"/>
        <v>0</v>
      </c>
      <c r="K661" s="633">
        <f t="shared" si="68"/>
        <v>0</v>
      </c>
      <c r="L661" s="1127"/>
      <c r="M661" s="1127"/>
      <c r="N661" s="1691">
        <f t="shared" si="63"/>
        <v>0</v>
      </c>
      <c r="O661" s="634">
        <f t="shared" si="64"/>
        <v>0</v>
      </c>
      <c r="P661" s="144"/>
      <c r="Q661" s="144"/>
      <c r="R661" s="144"/>
      <c r="S661" s="144"/>
    </row>
    <row r="662" spans="1:19" ht="14.25" customHeight="1">
      <c r="A662" s="630"/>
      <c r="B662" s="631"/>
      <c r="C662" s="1127"/>
      <c r="D662" s="632"/>
      <c r="E662" s="1127"/>
      <c r="F662" s="633">
        <f t="shared" si="65"/>
        <v>0</v>
      </c>
      <c r="G662" s="632"/>
      <c r="H662" s="1127"/>
      <c r="I662" s="633">
        <f t="shared" si="66"/>
        <v>0</v>
      </c>
      <c r="J662" s="633">
        <f t="shared" si="67"/>
        <v>0</v>
      </c>
      <c r="K662" s="633">
        <f t="shared" si="68"/>
        <v>0</v>
      </c>
      <c r="L662" s="1127"/>
      <c r="M662" s="1127"/>
      <c r="N662" s="1691">
        <f t="shared" si="63"/>
        <v>0</v>
      </c>
      <c r="O662" s="634">
        <f t="shared" si="64"/>
        <v>0</v>
      </c>
      <c r="P662" s="144"/>
      <c r="Q662" s="144"/>
      <c r="R662" s="144"/>
      <c r="S662" s="144"/>
    </row>
    <row r="663" spans="1:19" ht="14.25" customHeight="1">
      <c r="A663" s="630"/>
      <c r="B663" s="631"/>
      <c r="C663" s="1127"/>
      <c r="D663" s="632"/>
      <c r="E663" s="1127"/>
      <c r="F663" s="633">
        <f t="shared" si="65"/>
        <v>0</v>
      </c>
      <c r="G663" s="632"/>
      <c r="H663" s="1127"/>
      <c r="I663" s="633">
        <f t="shared" si="66"/>
        <v>0</v>
      </c>
      <c r="J663" s="633">
        <f t="shared" si="67"/>
        <v>0</v>
      </c>
      <c r="K663" s="633">
        <f t="shared" si="68"/>
        <v>0</v>
      </c>
      <c r="L663" s="1127"/>
      <c r="M663" s="1127"/>
      <c r="N663" s="1691">
        <f t="shared" si="63"/>
        <v>0</v>
      </c>
      <c r="O663" s="634">
        <f t="shared" si="64"/>
        <v>0</v>
      </c>
      <c r="P663" s="144"/>
      <c r="Q663" s="144"/>
      <c r="R663" s="144"/>
      <c r="S663" s="144"/>
    </row>
    <row r="664" spans="1:19" ht="14.25" customHeight="1">
      <c r="A664" s="630"/>
      <c r="B664" s="631"/>
      <c r="C664" s="1127"/>
      <c r="D664" s="632"/>
      <c r="E664" s="1127"/>
      <c r="F664" s="633">
        <f t="shared" si="65"/>
        <v>0</v>
      </c>
      <c r="G664" s="632"/>
      <c r="H664" s="1127"/>
      <c r="I664" s="633">
        <f t="shared" si="66"/>
        <v>0</v>
      </c>
      <c r="J664" s="633">
        <f t="shared" si="67"/>
        <v>0</v>
      </c>
      <c r="K664" s="633">
        <f t="shared" si="68"/>
        <v>0</v>
      </c>
      <c r="L664" s="1127"/>
      <c r="M664" s="1127"/>
      <c r="N664" s="1691">
        <f t="shared" si="63"/>
        <v>0</v>
      </c>
      <c r="O664" s="634">
        <f t="shared" si="64"/>
        <v>0</v>
      </c>
      <c r="P664" s="144"/>
      <c r="Q664" s="144"/>
      <c r="R664" s="144"/>
      <c r="S664" s="144"/>
    </row>
    <row r="665" spans="1:19" ht="14.25" customHeight="1">
      <c r="A665" s="630"/>
      <c r="B665" s="631"/>
      <c r="C665" s="1127"/>
      <c r="D665" s="632"/>
      <c r="E665" s="1127"/>
      <c r="F665" s="633">
        <f t="shared" si="65"/>
        <v>0</v>
      </c>
      <c r="G665" s="632"/>
      <c r="H665" s="1127"/>
      <c r="I665" s="633">
        <f t="shared" si="66"/>
        <v>0</v>
      </c>
      <c r="J665" s="633">
        <f t="shared" si="67"/>
        <v>0</v>
      </c>
      <c r="K665" s="633">
        <f t="shared" si="68"/>
        <v>0</v>
      </c>
      <c r="L665" s="1127"/>
      <c r="M665" s="1127"/>
      <c r="N665" s="1691">
        <f t="shared" si="63"/>
        <v>0</v>
      </c>
      <c r="O665" s="634">
        <f t="shared" si="64"/>
        <v>0</v>
      </c>
      <c r="P665" s="144"/>
      <c r="Q665" s="144"/>
      <c r="R665" s="144"/>
      <c r="S665" s="144"/>
    </row>
    <row r="666" spans="1:19" ht="14.25" customHeight="1">
      <c r="A666" s="630"/>
      <c r="B666" s="631"/>
      <c r="C666" s="1127"/>
      <c r="D666" s="632"/>
      <c r="E666" s="1127"/>
      <c r="F666" s="633">
        <f t="shared" si="65"/>
        <v>0</v>
      </c>
      <c r="G666" s="632"/>
      <c r="H666" s="1127"/>
      <c r="I666" s="633">
        <f t="shared" si="66"/>
        <v>0</v>
      </c>
      <c r="J666" s="633">
        <f t="shared" si="67"/>
        <v>0</v>
      </c>
      <c r="K666" s="633">
        <f t="shared" si="68"/>
        <v>0</v>
      </c>
      <c r="L666" s="1127"/>
      <c r="M666" s="1127"/>
      <c r="N666" s="1691">
        <f t="shared" si="63"/>
        <v>0</v>
      </c>
      <c r="O666" s="634">
        <f t="shared" si="64"/>
        <v>0</v>
      </c>
      <c r="P666" s="144"/>
      <c r="Q666" s="144"/>
      <c r="R666" s="144"/>
      <c r="S666" s="144"/>
    </row>
    <row r="667" spans="1:19" ht="14.25" customHeight="1">
      <c r="A667" s="630"/>
      <c r="B667" s="631"/>
      <c r="C667" s="1127"/>
      <c r="D667" s="632"/>
      <c r="E667" s="1127"/>
      <c r="F667" s="633">
        <f t="shared" si="65"/>
        <v>0</v>
      </c>
      <c r="G667" s="632"/>
      <c r="H667" s="1127"/>
      <c r="I667" s="633">
        <f t="shared" si="66"/>
        <v>0</v>
      </c>
      <c r="J667" s="633">
        <f t="shared" si="67"/>
        <v>0</v>
      </c>
      <c r="K667" s="633">
        <f t="shared" si="68"/>
        <v>0</v>
      </c>
      <c r="L667" s="1127"/>
      <c r="M667" s="1127"/>
      <c r="N667" s="1691">
        <f t="shared" si="63"/>
        <v>0</v>
      </c>
      <c r="O667" s="634">
        <f t="shared" si="64"/>
        <v>0</v>
      </c>
      <c r="P667" s="144"/>
      <c r="Q667" s="144"/>
      <c r="R667" s="144"/>
      <c r="S667" s="144"/>
    </row>
    <row r="668" spans="1:19" ht="14.25" customHeight="1">
      <c r="A668" s="630"/>
      <c r="B668" s="631"/>
      <c r="C668" s="1127"/>
      <c r="D668" s="632"/>
      <c r="E668" s="1127"/>
      <c r="F668" s="633">
        <f t="shared" si="65"/>
        <v>0</v>
      </c>
      <c r="G668" s="632"/>
      <c r="H668" s="1127"/>
      <c r="I668" s="633">
        <f t="shared" si="66"/>
        <v>0</v>
      </c>
      <c r="J668" s="633">
        <f t="shared" si="67"/>
        <v>0</v>
      </c>
      <c r="K668" s="633">
        <f t="shared" si="68"/>
        <v>0</v>
      </c>
      <c r="L668" s="1127"/>
      <c r="M668" s="1127"/>
      <c r="N668" s="1691">
        <f t="shared" si="63"/>
        <v>0</v>
      </c>
      <c r="O668" s="634">
        <f t="shared" si="64"/>
        <v>0</v>
      </c>
      <c r="P668" s="144"/>
      <c r="Q668" s="144"/>
      <c r="R668" s="144"/>
      <c r="S668" s="144"/>
    </row>
    <row r="669" spans="1:19" ht="14.25" customHeight="1">
      <c r="A669" s="630"/>
      <c r="B669" s="631"/>
      <c r="C669" s="1127"/>
      <c r="D669" s="632"/>
      <c r="E669" s="1127"/>
      <c r="F669" s="633">
        <f t="shared" si="65"/>
        <v>0</v>
      </c>
      <c r="G669" s="632"/>
      <c r="H669" s="1127"/>
      <c r="I669" s="633">
        <f t="shared" si="66"/>
        <v>0</v>
      </c>
      <c r="J669" s="633">
        <f t="shared" si="67"/>
        <v>0</v>
      </c>
      <c r="K669" s="633">
        <f t="shared" si="68"/>
        <v>0</v>
      </c>
      <c r="L669" s="1127"/>
      <c r="M669" s="1127"/>
      <c r="N669" s="1691">
        <f t="shared" si="63"/>
        <v>0</v>
      </c>
      <c r="O669" s="634">
        <f t="shared" si="64"/>
        <v>0</v>
      </c>
      <c r="P669" s="144"/>
      <c r="Q669" s="144"/>
      <c r="R669" s="144"/>
      <c r="S669" s="144"/>
    </row>
    <row r="670" spans="1:19" ht="14.25" customHeight="1">
      <c r="A670" s="630"/>
      <c r="B670" s="631"/>
      <c r="C670" s="1127"/>
      <c r="D670" s="632"/>
      <c r="E670" s="1127"/>
      <c r="F670" s="633">
        <f t="shared" si="65"/>
        <v>0</v>
      </c>
      <c r="G670" s="632"/>
      <c r="H670" s="1127"/>
      <c r="I670" s="633">
        <f t="shared" si="66"/>
        <v>0</v>
      </c>
      <c r="J670" s="633">
        <f t="shared" si="67"/>
        <v>0</v>
      </c>
      <c r="K670" s="633">
        <f t="shared" si="68"/>
        <v>0</v>
      </c>
      <c r="L670" s="1127"/>
      <c r="M670" s="1127"/>
      <c r="N670" s="1691">
        <f t="shared" si="63"/>
        <v>0</v>
      </c>
      <c r="O670" s="634">
        <f t="shared" si="64"/>
        <v>0</v>
      </c>
      <c r="P670" s="144"/>
      <c r="Q670" s="144"/>
      <c r="R670" s="144"/>
      <c r="S670" s="144"/>
    </row>
    <row r="671" spans="1:19" ht="14.25" customHeight="1">
      <c r="A671" s="630"/>
      <c r="B671" s="631"/>
      <c r="C671" s="1127"/>
      <c r="D671" s="632"/>
      <c r="E671" s="1127"/>
      <c r="F671" s="633">
        <f t="shared" si="65"/>
        <v>0</v>
      </c>
      <c r="G671" s="632"/>
      <c r="H671" s="1127"/>
      <c r="I671" s="633">
        <f t="shared" si="66"/>
        <v>0</v>
      </c>
      <c r="J671" s="633">
        <f t="shared" si="67"/>
        <v>0</v>
      </c>
      <c r="K671" s="633">
        <f t="shared" si="68"/>
        <v>0</v>
      </c>
      <c r="L671" s="1127"/>
      <c r="M671" s="1127"/>
      <c r="N671" s="1691">
        <f t="shared" si="63"/>
        <v>0</v>
      </c>
      <c r="O671" s="634">
        <f t="shared" si="64"/>
        <v>0</v>
      </c>
      <c r="P671" s="144"/>
      <c r="Q671" s="144"/>
      <c r="R671" s="144"/>
      <c r="S671" s="144"/>
    </row>
    <row r="672" spans="1:19" ht="14.25" customHeight="1">
      <c r="A672" s="630"/>
      <c r="B672" s="631"/>
      <c r="C672" s="1127"/>
      <c r="D672" s="632"/>
      <c r="E672" s="1127"/>
      <c r="F672" s="633">
        <f t="shared" si="65"/>
        <v>0</v>
      </c>
      <c r="G672" s="632"/>
      <c r="H672" s="1127"/>
      <c r="I672" s="633">
        <f t="shared" si="66"/>
        <v>0</v>
      </c>
      <c r="J672" s="633">
        <f t="shared" si="67"/>
        <v>0</v>
      </c>
      <c r="K672" s="633">
        <f t="shared" si="68"/>
        <v>0</v>
      </c>
      <c r="L672" s="1127"/>
      <c r="M672" s="1127"/>
      <c r="N672" s="1691">
        <f t="shared" si="63"/>
        <v>0</v>
      </c>
      <c r="O672" s="634">
        <f t="shared" si="64"/>
        <v>0</v>
      </c>
      <c r="P672" s="144"/>
      <c r="Q672" s="144"/>
      <c r="R672" s="144"/>
      <c r="S672" s="144"/>
    </row>
    <row r="673" spans="1:19" ht="14.25" customHeight="1">
      <c r="A673" s="630"/>
      <c r="B673" s="631"/>
      <c r="C673" s="1127"/>
      <c r="D673" s="632"/>
      <c r="E673" s="1127"/>
      <c r="F673" s="633">
        <f t="shared" si="65"/>
        <v>0</v>
      </c>
      <c r="G673" s="632"/>
      <c r="H673" s="1127"/>
      <c r="I673" s="633">
        <f t="shared" si="66"/>
        <v>0</v>
      </c>
      <c r="J673" s="633">
        <f t="shared" si="67"/>
        <v>0</v>
      </c>
      <c r="K673" s="633">
        <f t="shared" si="68"/>
        <v>0</v>
      </c>
      <c r="L673" s="1127"/>
      <c r="M673" s="1127"/>
      <c r="N673" s="1691">
        <f t="shared" si="63"/>
        <v>0</v>
      </c>
      <c r="O673" s="634">
        <f t="shared" si="64"/>
        <v>0</v>
      </c>
      <c r="P673" s="144"/>
      <c r="Q673" s="144"/>
      <c r="R673" s="144"/>
      <c r="S673" s="144"/>
    </row>
    <row r="674" spans="1:19" ht="14.25" customHeight="1">
      <c r="A674" s="630"/>
      <c r="B674" s="631"/>
      <c r="C674" s="1127"/>
      <c r="D674" s="632"/>
      <c r="E674" s="1127"/>
      <c r="F674" s="633">
        <f t="shared" si="65"/>
        <v>0</v>
      </c>
      <c r="G674" s="632"/>
      <c r="H674" s="1127"/>
      <c r="I674" s="633">
        <f t="shared" si="66"/>
        <v>0</v>
      </c>
      <c r="J674" s="633">
        <f t="shared" si="67"/>
        <v>0</v>
      </c>
      <c r="K674" s="633">
        <f t="shared" si="68"/>
        <v>0</v>
      </c>
      <c r="L674" s="1127"/>
      <c r="M674" s="1127"/>
      <c r="N674" s="1691">
        <f t="shared" si="63"/>
        <v>0</v>
      </c>
      <c r="O674" s="634">
        <f t="shared" si="64"/>
        <v>0</v>
      </c>
      <c r="P674" s="144"/>
      <c r="Q674" s="144"/>
      <c r="R674" s="144"/>
      <c r="S674" s="144"/>
    </row>
    <row r="675" spans="1:19" ht="14.25" customHeight="1">
      <c r="A675" s="630"/>
      <c r="B675" s="631"/>
      <c r="C675" s="1127"/>
      <c r="D675" s="632"/>
      <c r="E675" s="1127"/>
      <c r="F675" s="633">
        <f t="shared" si="65"/>
        <v>0</v>
      </c>
      <c r="G675" s="632"/>
      <c r="H675" s="1127"/>
      <c r="I675" s="633">
        <f t="shared" si="66"/>
        <v>0</v>
      </c>
      <c r="J675" s="633">
        <f t="shared" si="67"/>
        <v>0</v>
      </c>
      <c r="K675" s="633">
        <f t="shared" si="68"/>
        <v>0</v>
      </c>
      <c r="L675" s="1127"/>
      <c r="M675" s="1127"/>
      <c r="N675" s="1691">
        <f t="shared" si="63"/>
        <v>0</v>
      </c>
      <c r="O675" s="634">
        <f t="shared" si="64"/>
        <v>0</v>
      </c>
      <c r="P675" s="144"/>
      <c r="Q675" s="144"/>
      <c r="R675" s="144"/>
      <c r="S675" s="144"/>
    </row>
    <row r="676" spans="1:19" ht="14.25" customHeight="1">
      <c r="A676" s="630"/>
      <c r="B676" s="631"/>
      <c r="C676" s="1127"/>
      <c r="D676" s="632"/>
      <c r="E676" s="1127"/>
      <c r="F676" s="633">
        <f t="shared" si="65"/>
        <v>0</v>
      </c>
      <c r="G676" s="632"/>
      <c r="H676" s="1127"/>
      <c r="I676" s="633">
        <f t="shared" si="66"/>
        <v>0</v>
      </c>
      <c r="J676" s="633">
        <f t="shared" si="67"/>
        <v>0</v>
      </c>
      <c r="K676" s="633">
        <f t="shared" si="68"/>
        <v>0</v>
      </c>
      <c r="L676" s="1127"/>
      <c r="M676" s="1127"/>
      <c r="N676" s="1691">
        <f t="shared" si="63"/>
        <v>0</v>
      </c>
      <c r="O676" s="634">
        <f t="shared" si="64"/>
        <v>0</v>
      </c>
      <c r="P676" s="144"/>
      <c r="Q676" s="144"/>
      <c r="R676" s="144"/>
      <c r="S676" s="144"/>
    </row>
    <row r="677" spans="1:19" ht="14.25" customHeight="1">
      <c r="A677" s="630"/>
      <c r="B677" s="631"/>
      <c r="C677" s="1127"/>
      <c r="D677" s="632"/>
      <c r="E677" s="1127"/>
      <c r="F677" s="633">
        <f t="shared" si="65"/>
        <v>0</v>
      </c>
      <c r="G677" s="632"/>
      <c r="H677" s="1127"/>
      <c r="I677" s="633">
        <f t="shared" si="66"/>
        <v>0</v>
      </c>
      <c r="J677" s="633">
        <f t="shared" si="67"/>
        <v>0</v>
      </c>
      <c r="K677" s="633">
        <f t="shared" si="68"/>
        <v>0</v>
      </c>
      <c r="L677" s="1127"/>
      <c r="M677" s="1127"/>
      <c r="N677" s="1691">
        <f t="shared" si="63"/>
        <v>0</v>
      </c>
      <c r="O677" s="634">
        <f t="shared" si="64"/>
        <v>0</v>
      </c>
      <c r="P677" s="144"/>
      <c r="Q677" s="144"/>
      <c r="R677" s="144"/>
      <c r="S677" s="144"/>
    </row>
    <row r="678" spans="1:19" ht="14.25" customHeight="1">
      <c r="A678" s="630"/>
      <c r="B678" s="631"/>
      <c r="C678" s="1127"/>
      <c r="D678" s="632"/>
      <c r="E678" s="1127"/>
      <c r="F678" s="633">
        <f t="shared" si="65"/>
        <v>0</v>
      </c>
      <c r="G678" s="632"/>
      <c r="H678" s="1127"/>
      <c r="I678" s="633">
        <f t="shared" si="66"/>
        <v>0</v>
      </c>
      <c r="J678" s="633">
        <f t="shared" si="67"/>
        <v>0</v>
      </c>
      <c r="K678" s="633">
        <f t="shared" si="68"/>
        <v>0</v>
      </c>
      <c r="L678" s="1127"/>
      <c r="M678" s="1127"/>
      <c r="N678" s="1691">
        <f t="shared" si="63"/>
        <v>0</v>
      </c>
      <c r="O678" s="634">
        <f t="shared" si="64"/>
        <v>0</v>
      </c>
      <c r="P678" s="144"/>
      <c r="Q678" s="144"/>
      <c r="R678" s="144"/>
      <c r="S678" s="144"/>
    </row>
    <row r="679" spans="1:19" ht="14.25" customHeight="1">
      <c r="A679" s="630"/>
      <c r="B679" s="631"/>
      <c r="C679" s="1127"/>
      <c r="D679" s="632"/>
      <c r="E679" s="1127"/>
      <c r="F679" s="633">
        <f t="shared" si="65"/>
        <v>0</v>
      </c>
      <c r="G679" s="632"/>
      <c r="H679" s="1127"/>
      <c r="I679" s="633">
        <f t="shared" si="66"/>
        <v>0</v>
      </c>
      <c r="J679" s="633">
        <f t="shared" si="67"/>
        <v>0</v>
      </c>
      <c r="K679" s="633">
        <f t="shared" si="68"/>
        <v>0</v>
      </c>
      <c r="L679" s="1127"/>
      <c r="M679" s="1127"/>
      <c r="N679" s="1691">
        <f t="shared" si="63"/>
        <v>0</v>
      </c>
      <c r="O679" s="634">
        <f t="shared" si="64"/>
        <v>0</v>
      </c>
      <c r="P679" s="144"/>
      <c r="Q679" s="144"/>
      <c r="R679" s="144"/>
      <c r="S679" s="144"/>
    </row>
    <row r="680" spans="1:19" ht="14.25" customHeight="1">
      <c r="A680" s="630"/>
      <c r="B680" s="631"/>
      <c r="C680" s="1127"/>
      <c r="D680" s="632"/>
      <c r="E680" s="1127"/>
      <c r="F680" s="633">
        <f t="shared" si="65"/>
        <v>0</v>
      </c>
      <c r="G680" s="632"/>
      <c r="H680" s="1127"/>
      <c r="I680" s="633">
        <f t="shared" si="66"/>
        <v>0</v>
      </c>
      <c r="J680" s="633">
        <f t="shared" si="67"/>
        <v>0</v>
      </c>
      <c r="K680" s="633">
        <f t="shared" si="68"/>
        <v>0</v>
      </c>
      <c r="L680" s="1127"/>
      <c r="M680" s="1127"/>
      <c r="N680" s="1691">
        <f t="shared" si="63"/>
        <v>0</v>
      </c>
      <c r="O680" s="634">
        <f t="shared" si="64"/>
        <v>0</v>
      </c>
      <c r="P680" s="144"/>
      <c r="Q680" s="144"/>
      <c r="R680" s="144"/>
      <c r="S680" s="144"/>
    </row>
    <row r="681" spans="1:19" ht="14.25" customHeight="1">
      <c r="A681" s="630"/>
      <c r="B681" s="631"/>
      <c r="C681" s="1127"/>
      <c r="D681" s="632"/>
      <c r="E681" s="1127"/>
      <c r="F681" s="633">
        <f t="shared" si="65"/>
        <v>0</v>
      </c>
      <c r="G681" s="632"/>
      <c r="H681" s="1127"/>
      <c r="I681" s="633">
        <f t="shared" si="66"/>
        <v>0</v>
      </c>
      <c r="J681" s="633">
        <f t="shared" si="67"/>
        <v>0</v>
      </c>
      <c r="K681" s="633">
        <f t="shared" si="68"/>
        <v>0</v>
      </c>
      <c r="L681" s="1127"/>
      <c r="M681" s="1127"/>
      <c r="N681" s="1691">
        <f t="shared" si="63"/>
        <v>0</v>
      </c>
      <c r="O681" s="634">
        <f t="shared" si="64"/>
        <v>0</v>
      </c>
      <c r="P681" s="144"/>
      <c r="Q681" s="144"/>
      <c r="R681" s="144"/>
      <c r="S681" s="144"/>
    </row>
    <row r="682" spans="1:19" ht="14.25" customHeight="1">
      <c r="A682" s="630"/>
      <c r="B682" s="631"/>
      <c r="C682" s="1127"/>
      <c r="D682" s="632"/>
      <c r="E682" s="1127"/>
      <c r="F682" s="633">
        <f t="shared" si="65"/>
        <v>0</v>
      </c>
      <c r="G682" s="632"/>
      <c r="H682" s="1127"/>
      <c r="I682" s="633">
        <f t="shared" si="66"/>
        <v>0</v>
      </c>
      <c r="J682" s="633">
        <f t="shared" si="67"/>
        <v>0</v>
      </c>
      <c r="K682" s="633">
        <f t="shared" si="68"/>
        <v>0</v>
      </c>
      <c r="L682" s="1127"/>
      <c r="M682" s="1127"/>
      <c r="N682" s="1691">
        <f t="shared" si="63"/>
        <v>0</v>
      </c>
      <c r="O682" s="634">
        <f t="shared" si="64"/>
        <v>0</v>
      </c>
      <c r="P682" s="144"/>
      <c r="Q682" s="144"/>
      <c r="R682" s="144"/>
      <c r="S682" s="144"/>
    </row>
    <row r="683" spans="1:19" ht="14.25" customHeight="1">
      <c r="A683" s="630"/>
      <c r="B683" s="631"/>
      <c r="C683" s="1127"/>
      <c r="D683" s="632"/>
      <c r="E683" s="1127"/>
      <c r="F683" s="633">
        <f t="shared" si="65"/>
        <v>0</v>
      </c>
      <c r="G683" s="632"/>
      <c r="H683" s="1127"/>
      <c r="I683" s="633">
        <f t="shared" si="66"/>
        <v>0</v>
      </c>
      <c r="J683" s="633">
        <f t="shared" si="67"/>
        <v>0</v>
      </c>
      <c r="K683" s="633">
        <f t="shared" si="68"/>
        <v>0</v>
      </c>
      <c r="L683" s="1127"/>
      <c r="M683" s="1127"/>
      <c r="N683" s="1691">
        <f t="shared" si="63"/>
        <v>0</v>
      </c>
      <c r="O683" s="634">
        <f t="shared" si="64"/>
        <v>0</v>
      </c>
      <c r="P683" s="144"/>
      <c r="Q683" s="144"/>
      <c r="R683" s="144"/>
      <c r="S683" s="144"/>
    </row>
    <row r="684" spans="1:19" ht="14.25" customHeight="1">
      <c r="A684" s="630"/>
      <c r="B684" s="631"/>
      <c r="C684" s="1127"/>
      <c r="D684" s="632"/>
      <c r="E684" s="1127"/>
      <c r="F684" s="633">
        <f t="shared" si="65"/>
        <v>0</v>
      </c>
      <c r="G684" s="632"/>
      <c r="H684" s="1127"/>
      <c r="I684" s="633">
        <f t="shared" si="66"/>
        <v>0</v>
      </c>
      <c r="J684" s="633">
        <f t="shared" si="67"/>
        <v>0</v>
      </c>
      <c r="K684" s="633">
        <f t="shared" si="68"/>
        <v>0</v>
      </c>
      <c r="L684" s="1127"/>
      <c r="M684" s="1127"/>
      <c r="N684" s="1691">
        <f t="shared" si="63"/>
        <v>0</v>
      </c>
      <c r="O684" s="634">
        <f t="shared" si="64"/>
        <v>0</v>
      </c>
      <c r="P684" s="144"/>
      <c r="Q684" s="144"/>
      <c r="R684" s="144"/>
      <c r="S684" s="144"/>
    </row>
    <row r="685" spans="1:19" ht="14.25" customHeight="1">
      <c r="A685" s="630"/>
      <c r="B685" s="631"/>
      <c r="C685" s="1127"/>
      <c r="D685" s="632"/>
      <c r="E685" s="1127"/>
      <c r="F685" s="633">
        <f t="shared" si="65"/>
        <v>0</v>
      </c>
      <c r="G685" s="632"/>
      <c r="H685" s="1127"/>
      <c r="I685" s="633">
        <f t="shared" si="66"/>
        <v>0</v>
      </c>
      <c r="J685" s="633">
        <f t="shared" si="67"/>
        <v>0</v>
      </c>
      <c r="K685" s="633">
        <f t="shared" si="68"/>
        <v>0</v>
      </c>
      <c r="L685" s="1127"/>
      <c r="M685" s="1127"/>
      <c r="N685" s="1691">
        <f t="shared" si="63"/>
        <v>0</v>
      </c>
      <c r="O685" s="634">
        <f t="shared" si="64"/>
        <v>0</v>
      </c>
      <c r="P685" s="144"/>
      <c r="Q685" s="144"/>
      <c r="R685" s="144"/>
      <c r="S685" s="144"/>
    </row>
    <row r="686" spans="1:19" ht="14.25" customHeight="1">
      <c r="A686" s="630"/>
      <c r="B686" s="631"/>
      <c r="C686" s="1127"/>
      <c r="D686" s="632"/>
      <c r="E686" s="1127"/>
      <c r="F686" s="633">
        <f t="shared" si="65"/>
        <v>0</v>
      </c>
      <c r="G686" s="632"/>
      <c r="H686" s="1127"/>
      <c r="I686" s="633">
        <f t="shared" si="66"/>
        <v>0</v>
      </c>
      <c r="J686" s="633">
        <f t="shared" si="67"/>
        <v>0</v>
      </c>
      <c r="K686" s="633">
        <f t="shared" si="68"/>
        <v>0</v>
      </c>
      <c r="L686" s="1127"/>
      <c r="M686" s="1127"/>
      <c r="N686" s="1691">
        <f t="shared" si="63"/>
        <v>0</v>
      </c>
      <c r="O686" s="634">
        <f t="shared" si="64"/>
        <v>0</v>
      </c>
      <c r="P686" s="144"/>
      <c r="Q686" s="144"/>
      <c r="R686" s="144"/>
      <c r="S686" s="144"/>
    </row>
    <row r="687" spans="1:19" ht="14.25" customHeight="1">
      <c r="A687" s="630"/>
      <c r="B687" s="631"/>
      <c r="C687" s="1127"/>
      <c r="D687" s="632"/>
      <c r="E687" s="1127"/>
      <c r="F687" s="633">
        <f t="shared" si="65"/>
        <v>0</v>
      </c>
      <c r="G687" s="632"/>
      <c r="H687" s="1127"/>
      <c r="I687" s="633">
        <f t="shared" si="66"/>
        <v>0</v>
      </c>
      <c r="J687" s="633">
        <f t="shared" si="67"/>
        <v>0</v>
      </c>
      <c r="K687" s="633">
        <f t="shared" si="68"/>
        <v>0</v>
      </c>
      <c r="L687" s="1127"/>
      <c r="M687" s="1127"/>
      <c r="N687" s="1691">
        <f t="shared" si="63"/>
        <v>0</v>
      </c>
      <c r="O687" s="634">
        <f t="shared" si="64"/>
        <v>0</v>
      </c>
      <c r="P687" s="144"/>
      <c r="Q687" s="144"/>
      <c r="R687" s="144"/>
      <c r="S687" s="144"/>
    </row>
    <row r="688" spans="1:19" ht="14.25" customHeight="1">
      <c r="A688" s="630"/>
      <c r="B688" s="631"/>
      <c r="C688" s="1127"/>
      <c r="D688" s="632"/>
      <c r="E688" s="1127"/>
      <c r="F688" s="633">
        <f t="shared" si="65"/>
        <v>0</v>
      </c>
      <c r="G688" s="632"/>
      <c r="H688" s="1127"/>
      <c r="I688" s="633">
        <f t="shared" si="66"/>
        <v>0</v>
      </c>
      <c r="J688" s="633">
        <f t="shared" si="67"/>
        <v>0</v>
      </c>
      <c r="K688" s="633">
        <f t="shared" si="68"/>
        <v>0</v>
      </c>
      <c r="L688" s="1127"/>
      <c r="M688" s="1127"/>
      <c r="N688" s="1691">
        <f t="shared" si="63"/>
        <v>0</v>
      </c>
      <c r="O688" s="634">
        <f t="shared" si="64"/>
        <v>0</v>
      </c>
      <c r="P688" s="144"/>
      <c r="Q688" s="144"/>
      <c r="R688" s="144"/>
      <c r="S688" s="144"/>
    </row>
    <row r="689" spans="1:19" ht="14.25" customHeight="1">
      <c r="A689" s="630"/>
      <c r="B689" s="631"/>
      <c r="C689" s="1127"/>
      <c r="D689" s="632"/>
      <c r="E689" s="1127"/>
      <c r="F689" s="633">
        <f t="shared" si="65"/>
        <v>0</v>
      </c>
      <c r="G689" s="632"/>
      <c r="H689" s="1127"/>
      <c r="I689" s="633">
        <f t="shared" si="66"/>
        <v>0</v>
      </c>
      <c r="J689" s="633">
        <f t="shared" si="67"/>
        <v>0</v>
      </c>
      <c r="K689" s="633">
        <f t="shared" si="68"/>
        <v>0</v>
      </c>
      <c r="L689" s="1127"/>
      <c r="M689" s="1127"/>
      <c r="N689" s="1691">
        <f t="shared" si="63"/>
        <v>0</v>
      </c>
      <c r="O689" s="634">
        <f t="shared" si="64"/>
        <v>0</v>
      </c>
      <c r="P689" s="144"/>
      <c r="Q689" s="144"/>
      <c r="R689" s="144"/>
      <c r="S689" s="144"/>
    </row>
    <row r="690" spans="1:19" ht="14.25" customHeight="1">
      <c r="A690" s="630"/>
      <c r="B690" s="631"/>
      <c r="C690" s="1127"/>
      <c r="D690" s="632"/>
      <c r="E690" s="1127"/>
      <c r="F690" s="633">
        <f t="shared" si="65"/>
        <v>0</v>
      </c>
      <c r="G690" s="632"/>
      <c r="H690" s="1127"/>
      <c r="I690" s="633">
        <f t="shared" si="66"/>
        <v>0</v>
      </c>
      <c r="J690" s="633">
        <f t="shared" si="67"/>
        <v>0</v>
      </c>
      <c r="K690" s="633">
        <f t="shared" si="68"/>
        <v>0</v>
      </c>
      <c r="L690" s="1127"/>
      <c r="M690" s="1127"/>
      <c r="N690" s="1691">
        <f t="shared" si="63"/>
        <v>0</v>
      </c>
      <c r="O690" s="634">
        <f t="shared" si="64"/>
        <v>0</v>
      </c>
      <c r="P690" s="144"/>
      <c r="Q690" s="144"/>
      <c r="R690" s="144"/>
      <c r="S690" s="144"/>
    </row>
    <row r="691" spans="1:19" ht="14.25" customHeight="1">
      <c r="A691" s="630"/>
      <c r="B691" s="631"/>
      <c r="C691" s="1127"/>
      <c r="D691" s="632"/>
      <c r="E691" s="1127"/>
      <c r="F691" s="633">
        <f t="shared" si="65"/>
        <v>0</v>
      </c>
      <c r="G691" s="632"/>
      <c r="H691" s="1127"/>
      <c r="I691" s="633">
        <f t="shared" si="66"/>
        <v>0</v>
      </c>
      <c r="J691" s="633">
        <f t="shared" si="67"/>
        <v>0</v>
      </c>
      <c r="K691" s="633">
        <f t="shared" si="68"/>
        <v>0</v>
      </c>
      <c r="L691" s="1127"/>
      <c r="M691" s="1127"/>
      <c r="N691" s="1691">
        <f t="shared" si="63"/>
        <v>0</v>
      </c>
      <c r="O691" s="634">
        <f t="shared" si="64"/>
        <v>0</v>
      </c>
      <c r="P691" s="144"/>
      <c r="Q691" s="144"/>
      <c r="R691" s="144"/>
      <c r="S691" s="144"/>
    </row>
    <row r="692" spans="1:19" ht="14.25" customHeight="1">
      <c r="A692" s="630"/>
      <c r="B692" s="631"/>
      <c r="C692" s="1127"/>
      <c r="D692" s="632"/>
      <c r="E692" s="1127"/>
      <c r="F692" s="633">
        <f t="shared" si="65"/>
        <v>0</v>
      </c>
      <c r="G692" s="632"/>
      <c r="H692" s="1127"/>
      <c r="I692" s="633">
        <f t="shared" si="66"/>
        <v>0</v>
      </c>
      <c r="J692" s="633">
        <f t="shared" si="67"/>
        <v>0</v>
      </c>
      <c r="K692" s="633">
        <f t="shared" si="68"/>
        <v>0</v>
      </c>
      <c r="L692" s="1127"/>
      <c r="M692" s="1127"/>
      <c r="N692" s="1691">
        <f t="shared" si="63"/>
        <v>0</v>
      </c>
      <c r="O692" s="634">
        <f t="shared" si="64"/>
        <v>0</v>
      </c>
      <c r="P692" s="144"/>
      <c r="Q692" s="144"/>
      <c r="R692" s="144"/>
      <c r="S692" s="144"/>
    </row>
    <row r="693" spans="1:19" ht="14.25" customHeight="1">
      <c r="A693" s="630"/>
      <c r="B693" s="631"/>
      <c r="C693" s="1127"/>
      <c r="D693" s="632"/>
      <c r="E693" s="1127"/>
      <c r="F693" s="633">
        <f t="shared" si="65"/>
        <v>0</v>
      </c>
      <c r="G693" s="632"/>
      <c r="H693" s="1127"/>
      <c r="I693" s="633">
        <f t="shared" si="66"/>
        <v>0</v>
      </c>
      <c r="J693" s="633">
        <f t="shared" si="67"/>
        <v>0</v>
      </c>
      <c r="K693" s="633">
        <f t="shared" si="68"/>
        <v>0</v>
      </c>
      <c r="L693" s="1127"/>
      <c r="M693" s="1127"/>
      <c r="N693" s="1691">
        <f t="shared" si="63"/>
        <v>0</v>
      </c>
      <c r="O693" s="634">
        <f t="shared" si="64"/>
        <v>0</v>
      </c>
      <c r="P693" s="144"/>
      <c r="Q693" s="144"/>
      <c r="R693" s="144"/>
      <c r="S693" s="144"/>
    </row>
    <row r="694" spans="1:19" ht="14.25" customHeight="1">
      <c r="A694" s="630"/>
      <c r="B694" s="631"/>
      <c r="C694" s="1127"/>
      <c r="D694" s="632"/>
      <c r="E694" s="1127"/>
      <c r="F694" s="633">
        <f t="shared" si="65"/>
        <v>0</v>
      </c>
      <c r="G694" s="632"/>
      <c r="H694" s="1127"/>
      <c r="I694" s="633">
        <f t="shared" si="66"/>
        <v>0</v>
      </c>
      <c r="J694" s="633">
        <f t="shared" si="67"/>
        <v>0</v>
      </c>
      <c r="K694" s="633">
        <f t="shared" si="68"/>
        <v>0</v>
      </c>
      <c r="L694" s="1127"/>
      <c r="M694" s="1127"/>
      <c r="N694" s="1691">
        <f t="shared" si="63"/>
        <v>0</v>
      </c>
      <c r="O694" s="634">
        <f t="shared" si="64"/>
        <v>0</v>
      </c>
      <c r="P694" s="144"/>
      <c r="Q694" s="144"/>
      <c r="R694" s="144"/>
      <c r="S694" s="144"/>
    </row>
    <row r="695" spans="1:19" ht="14.25" customHeight="1">
      <c r="A695" s="630"/>
      <c r="B695" s="631"/>
      <c r="C695" s="1127"/>
      <c r="D695" s="632"/>
      <c r="E695" s="1127"/>
      <c r="F695" s="633">
        <f t="shared" si="65"/>
        <v>0</v>
      </c>
      <c r="G695" s="632"/>
      <c r="H695" s="1127"/>
      <c r="I695" s="633">
        <f t="shared" si="66"/>
        <v>0</v>
      </c>
      <c r="J695" s="633">
        <f t="shared" si="67"/>
        <v>0</v>
      </c>
      <c r="K695" s="633">
        <f t="shared" si="68"/>
        <v>0</v>
      </c>
      <c r="L695" s="1127"/>
      <c r="M695" s="1127"/>
      <c r="N695" s="1691">
        <f t="shared" si="63"/>
        <v>0</v>
      </c>
      <c r="O695" s="634">
        <f t="shared" si="64"/>
        <v>0</v>
      </c>
      <c r="P695" s="144"/>
      <c r="Q695" s="144"/>
      <c r="R695" s="144"/>
      <c r="S695" s="144"/>
    </row>
    <row r="696" spans="1:19" ht="14.25" customHeight="1">
      <c r="A696" s="630"/>
      <c r="B696" s="631"/>
      <c r="C696" s="1127"/>
      <c r="D696" s="632"/>
      <c r="E696" s="1127"/>
      <c r="F696" s="633">
        <f t="shared" si="65"/>
        <v>0</v>
      </c>
      <c r="G696" s="632"/>
      <c r="H696" s="1127"/>
      <c r="I696" s="633">
        <f t="shared" si="66"/>
        <v>0</v>
      </c>
      <c r="J696" s="633">
        <f t="shared" si="67"/>
        <v>0</v>
      </c>
      <c r="K696" s="633">
        <f t="shared" si="68"/>
        <v>0</v>
      </c>
      <c r="L696" s="1127"/>
      <c r="M696" s="1127"/>
      <c r="N696" s="1691">
        <f t="shared" si="63"/>
        <v>0</v>
      </c>
      <c r="O696" s="634">
        <f t="shared" si="64"/>
        <v>0</v>
      </c>
      <c r="P696" s="144"/>
      <c r="Q696" s="144"/>
      <c r="R696" s="144"/>
      <c r="S696" s="144"/>
    </row>
    <row r="697" spans="1:19" ht="14.25" customHeight="1">
      <c r="A697" s="630"/>
      <c r="B697" s="631"/>
      <c r="C697" s="1127"/>
      <c r="D697" s="632"/>
      <c r="E697" s="1127"/>
      <c r="F697" s="633">
        <f t="shared" si="65"/>
        <v>0</v>
      </c>
      <c r="G697" s="632"/>
      <c r="H697" s="1127"/>
      <c r="I697" s="633">
        <f t="shared" si="66"/>
        <v>0</v>
      </c>
      <c r="J697" s="633">
        <f t="shared" si="67"/>
        <v>0</v>
      </c>
      <c r="K697" s="633">
        <f t="shared" si="68"/>
        <v>0</v>
      </c>
      <c r="L697" s="1127"/>
      <c r="M697" s="1127"/>
      <c r="N697" s="1691">
        <f t="shared" si="63"/>
        <v>0</v>
      </c>
      <c r="O697" s="634">
        <f t="shared" si="64"/>
        <v>0</v>
      </c>
      <c r="P697" s="144"/>
      <c r="Q697" s="144"/>
      <c r="R697" s="144"/>
      <c r="S697" s="144"/>
    </row>
    <row r="698" spans="1:19" ht="14.25" customHeight="1">
      <c r="A698" s="630"/>
      <c r="B698" s="631"/>
      <c r="C698" s="1127"/>
      <c r="D698" s="632"/>
      <c r="E698" s="1127"/>
      <c r="F698" s="633">
        <f t="shared" si="65"/>
        <v>0</v>
      </c>
      <c r="G698" s="632"/>
      <c r="H698" s="1127"/>
      <c r="I698" s="633">
        <f t="shared" si="66"/>
        <v>0</v>
      </c>
      <c r="J698" s="633">
        <f t="shared" si="67"/>
        <v>0</v>
      </c>
      <c r="K698" s="633">
        <f t="shared" si="68"/>
        <v>0</v>
      </c>
      <c r="L698" s="1127"/>
      <c r="M698" s="1127"/>
      <c r="N698" s="1691">
        <f t="shared" si="63"/>
        <v>0</v>
      </c>
      <c r="O698" s="634">
        <f t="shared" si="64"/>
        <v>0</v>
      </c>
      <c r="P698" s="144"/>
      <c r="Q698" s="144"/>
      <c r="R698" s="144"/>
      <c r="S698" s="144"/>
    </row>
    <row r="699" spans="1:19" ht="14.25" customHeight="1">
      <c r="A699" s="630"/>
      <c r="B699" s="631"/>
      <c r="C699" s="1127"/>
      <c r="D699" s="632"/>
      <c r="E699" s="1127"/>
      <c r="F699" s="633">
        <f t="shared" si="65"/>
        <v>0</v>
      </c>
      <c r="G699" s="632"/>
      <c r="H699" s="1127"/>
      <c r="I699" s="633">
        <f t="shared" si="66"/>
        <v>0</v>
      </c>
      <c r="J699" s="633">
        <f t="shared" si="67"/>
        <v>0</v>
      </c>
      <c r="K699" s="633">
        <f t="shared" si="68"/>
        <v>0</v>
      </c>
      <c r="L699" s="1127"/>
      <c r="M699" s="1127"/>
      <c r="N699" s="1691">
        <f t="shared" si="63"/>
        <v>0</v>
      </c>
      <c r="O699" s="634">
        <f t="shared" si="64"/>
        <v>0</v>
      </c>
      <c r="P699" s="144"/>
      <c r="Q699" s="144"/>
      <c r="R699" s="144"/>
      <c r="S699" s="144"/>
    </row>
    <row r="700" spans="1:19" ht="14.25" customHeight="1">
      <c r="A700" s="630"/>
      <c r="B700" s="631"/>
      <c r="C700" s="1127"/>
      <c r="D700" s="632"/>
      <c r="E700" s="1127"/>
      <c r="F700" s="633">
        <f t="shared" si="65"/>
        <v>0</v>
      </c>
      <c r="G700" s="632"/>
      <c r="H700" s="1127"/>
      <c r="I700" s="633">
        <f t="shared" si="66"/>
        <v>0</v>
      </c>
      <c r="J700" s="633">
        <f t="shared" si="67"/>
        <v>0</v>
      </c>
      <c r="K700" s="633">
        <f t="shared" si="68"/>
        <v>0</v>
      </c>
      <c r="L700" s="1127"/>
      <c r="M700" s="1127"/>
      <c r="N700" s="1691">
        <f t="shared" si="63"/>
        <v>0</v>
      </c>
      <c r="O700" s="634">
        <f t="shared" si="64"/>
        <v>0</v>
      </c>
      <c r="P700" s="144"/>
      <c r="Q700" s="144"/>
      <c r="R700" s="144"/>
      <c r="S700" s="144"/>
    </row>
    <row r="701" spans="1:19" ht="14.25" customHeight="1">
      <c r="A701" s="630"/>
      <c r="B701" s="631"/>
      <c r="C701" s="1127"/>
      <c r="D701" s="632"/>
      <c r="E701" s="1127"/>
      <c r="F701" s="633">
        <f t="shared" si="65"/>
        <v>0</v>
      </c>
      <c r="G701" s="632"/>
      <c r="H701" s="1127"/>
      <c r="I701" s="633">
        <f t="shared" si="66"/>
        <v>0</v>
      </c>
      <c r="J701" s="633">
        <f t="shared" si="67"/>
        <v>0</v>
      </c>
      <c r="K701" s="633">
        <f t="shared" si="68"/>
        <v>0</v>
      </c>
      <c r="L701" s="1127"/>
      <c r="M701" s="1127"/>
      <c r="N701" s="1691">
        <f t="shared" si="63"/>
        <v>0</v>
      </c>
      <c r="O701" s="634">
        <f t="shared" si="64"/>
        <v>0</v>
      </c>
      <c r="P701" s="144"/>
      <c r="Q701" s="144"/>
      <c r="R701" s="144"/>
      <c r="S701" s="144"/>
    </row>
    <row r="702" spans="1:19" ht="14.25" customHeight="1">
      <c r="A702" s="630"/>
      <c r="B702" s="631"/>
      <c r="C702" s="1127"/>
      <c r="D702" s="632"/>
      <c r="E702" s="1127"/>
      <c r="F702" s="633">
        <f t="shared" si="65"/>
        <v>0</v>
      </c>
      <c r="G702" s="632"/>
      <c r="H702" s="1127"/>
      <c r="I702" s="633">
        <f t="shared" si="66"/>
        <v>0</v>
      </c>
      <c r="J702" s="633">
        <f t="shared" si="67"/>
        <v>0</v>
      </c>
      <c r="K702" s="633">
        <f t="shared" si="68"/>
        <v>0</v>
      </c>
      <c r="L702" s="1127"/>
      <c r="M702" s="1127"/>
      <c r="N702" s="1691">
        <f t="shared" si="63"/>
        <v>0</v>
      </c>
      <c r="O702" s="634">
        <f t="shared" si="64"/>
        <v>0</v>
      </c>
      <c r="P702" s="144"/>
      <c r="Q702" s="144"/>
      <c r="R702" s="144"/>
      <c r="S702" s="144"/>
    </row>
    <row r="703" spans="1:19" ht="14.25" customHeight="1">
      <c r="A703" s="630"/>
      <c r="B703" s="631"/>
      <c r="C703" s="1127"/>
      <c r="D703" s="632"/>
      <c r="E703" s="1127"/>
      <c r="F703" s="633">
        <f t="shared" si="65"/>
        <v>0</v>
      </c>
      <c r="G703" s="632"/>
      <c r="H703" s="1127"/>
      <c r="I703" s="633">
        <f t="shared" si="66"/>
        <v>0</v>
      </c>
      <c r="J703" s="633">
        <f t="shared" si="67"/>
        <v>0</v>
      </c>
      <c r="K703" s="633">
        <f t="shared" si="68"/>
        <v>0</v>
      </c>
      <c r="L703" s="1127"/>
      <c r="M703" s="1127"/>
      <c r="N703" s="1691">
        <f t="shared" si="63"/>
        <v>0</v>
      </c>
      <c r="O703" s="634">
        <f t="shared" si="64"/>
        <v>0</v>
      </c>
      <c r="P703" s="144"/>
      <c r="Q703" s="144"/>
      <c r="R703" s="144"/>
      <c r="S703" s="144"/>
    </row>
    <row r="704" spans="1:19" ht="14.25" customHeight="1">
      <c r="A704" s="630"/>
      <c r="B704" s="631"/>
      <c r="C704" s="1127"/>
      <c r="D704" s="632"/>
      <c r="E704" s="1127"/>
      <c r="F704" s="633">
        <f t="shared" si="65"/>
        <v>0</v>
      </c>
      <c r="G704" s="632"/>
      <c r="H704" s="1127"/>
      <c r="I704" s="633">
        <f t="shared" si="66"/>
        <v>0</v>
      </c>
      <c r="J704" s="633">
        <f t="shared" si="67"/>
        <v>0</v>
      </c>
      <c r="K704" s="633">
        <f t="shared" si="68"/>
        <v>0</v>
      </c>
      <c r="L704" s="1127"/>
      <c r="M704" s="1127"/>
      <c r="N704" s="1691">
        <f t="shared" si="63"/>
        <v>0</v>
      </c>
      <c r="O704" s="634">
        <f t="shared" si="64"/>
        <v>0</v>
      </c>
      <c r="P704" s="144"/>
      <c r="Q704" s="144"/>
      <c r="R704" s="144"/>
      <c r="S704" s="144"/>
    </row>
    <row r="705" spans="1:19" ht="14.25" customHeight="1">
      <c r="A705" s="630"/>
      <c r="B705" s="631"/>
      <c r="C705" s="1127"/>
      <c r="D705" s="632"/>
      <c r="E705" s="1127"/>
      <c r="F705" s="633">
        <f t="shared" si="65"/>
        <v>0</v>
      </c>
      <c r="G705" s="632"/>
      <c r="H705" s="1127"/>
      <c r="I705" s="633">
        <f t="shared" si="66"/>
        <v>0</v>
      </c>
      <c r="J705" s="633">
        <f t="shared" si="67"/>
        <v>0</v>
      </c>
      <c r="K705" s="633">
        <f t="shared" si="68"/>
        <v>0</v>
      </c>
      <c r="L705" s="1127"/>
      <c r="M705" s="1127"/>
      <c r="N705" s="1691">
        <f t="shared" si="63"/>
        <v>0</v>
      </c>
      <c r="O705" s="634">
        <f t="shared" si="64"/>
        <v>0</v>
      </c>
      <c r="P705" s="144"/>
      <c r="Q705" s="144"/>
      <c r="R705" s="144"/>
      <c r="S705" s="144"/>
    </row>
    <row r="706" spans="1:19" ht="14.25" customHeight="1">
      <c r="A706" s="630"/>
      <c r="B706" s="631"/>
      <c r="C706" s="1127"/>
      <c r="D706" s="632"/>
      <c r="E706" s="1127"/>
      <c r="F706" s="633">
        <f t="shared" si="65"/>
        <v>0</v>
      </c>
      <c r="G706" s="632"/>
      <c r="H706" s="1127"/>
      <c r="I706" s="633">
        <f t="shared" si="66"/>
        <v>0</v>
      </c>
      <c r="J706" s="633">
        <f t="shared" si="67"/>
        <v>0</v>
      </c>
      <c r="K706" s="633">
        <f t="shared" si="68"/>
        <v>0</v>
      </c>
      <c r="L706" s="1127"/>
      <c r="M706" s="1127"/>
      <c r="N706" s="1691">
        <f t="shared" si="63"/>
        <v>0</v>
      </c>
      <c r="O706" s="634">
        <f t="shared" si="64"/>
        <v>0</v>
      </c>
      <c r="P706" s="144"/>
      <c r="Q706" s="144"/>
      <c r="R706" s="144"/>
      <c r="S706" s="144"/>
    </row>
    <row r="707" spans="1:19" ht="14.25" customHeight="1">
      <c r="A707" s="630"/>
      <c r="B707" s="631"/>
      <c r="C707" s="1127"/>
      <c r="D707" s="632"/>
      <c r="E707" s="1127"/>
      <c r="F707" s="633">
        <f t="shared" si="65"/>
        <v>0</v>
      </c>
      <c r="G707" s="632"/>
      <c r="H707" s="1127"/>
      <c r="I707" s="633">
        <f t="shared" si="66"/>
        <v>0</v>
      </c>
      <c r="J707" s="633">
        <f t="shared" si="67"/>
        <v>0</v>
      </c>
      <c r="K707" s="633">
        <f t="shared" si="68"/>
        <v>0</v>
      </c>
      <c r="L707" s="1127"/>
      <c r="M707" s="1127"/>
      <c r="N707" s="1691">
        <f t="shared" si="63"/>
        <v>0</v>
      </c>
      <c r="O707" s="634">
        <f t="shared" si="64"/>
        <v>0</v>
      </c>
      <c r="P707" s="144"/>
      <c r="Q707" s="144"/>
      <c r="R707" s="144"/>
      <c r="S707" s="144"/>
    </row>
    <row r="708" spans="1:19" ht="14.25" customHeight="1">
      <c r="A708" s="630"/>
      <c r="B708" s="631"/>
      <c r="C708" s="1127"/>
      <c r="D708" s="632"/>
      <c r="E708" s="1127"/>
      <c r="F708" s="633">
        <f t="shared" si="65"/>
        <v>0</v>
      </c>
      <c r="G708" s="632"/>
      <c r="H708" s="1127"/>
      <c r="I708" s="633">
        <f t="shared" si="66"/>
        <v>0</v>
      </c>
      <c r="J708" s="633">
        <f t="shared" si="67"/>
        <v>0</v>
      </c>
      <c r="K708" s="633">
        <f t="shared" si="68"/>
        <v>0</v>
      </c>
      <c r="L708" s="1127"/>
      <c r="M708" s="1127"/>
      <c r="N708" s="1691">
        <f t="shared" si="63"/>
        <v>0</v>
      </c>
      <c r="O708" s="634">
        <f t="shared" si="64"/>
        <v>0</v>
      </c>
      <c r="P708" s="144"/>
      <c r="Q708" s="144"/>
      <c r="R708" s="144"/>
      <c r="S708" s="144"/>
    </row>
    <row r="709" spans="1:19" ht="14.25" customHeight="1">
      <c r="A709" s="630"/>
      <c r="B709" s="631"/>
      <c r="C709" s="1127"/>
      <c r="D709" s="632"/>
      <c r="E709" s="1127"/>
      <c r="F709" s="633">
        <f t="shared" si="65"/>
        <v>0</v>
      </c>
      <c r="G709" s="632"/>
      <c r="H709" s="1127"/>
      <c r="I709" s="633">
        <f t="shared" si="66"/>
        <v>0</v>
      </c>
      <c r="J709" s="633">
        <f t="shared" si="67"/>
        <v>0</v>
      </c>
      <c r="K709" s="633">
        <f t="shared" si="68"/>
        <v>0</v>
      </c>
      <c r="L709" s="1127"/>
      <c r="M709" s="1127"/>
      <c r="N709" s="1691">
        <f t="shared" si="63"/>
        <v>0</v>
      </c>
      <c r="O709" s="634">
        <f t="shared" si="64"/>
        <v>0</v>
      </c>
      <c r="P709" s="144"/>
      <c r="Q709" s="144"/>
      <c r="R709" s="144"/>
      <c r="S709" s="144"/>
    </row>
    <row r="710" spans="1:19" ht="14.25" customHeight="1">
      <c r="A710" s="630"/>
      <c r="B710" s="631"/>
      <c r="C710" s="1127"/>
      <c r="D710" s="632"/>
      <c r="E710" s="1127"/>
      <c r="F710" s="633">
        <f t="shared" si="65"/>
        <v>0</v>
      </c>
      <c r="G710" s="632"/>
      <c r="H710" s="1127"/>
      <c r="I710" s="633">
        <f t="shared" si="66"/>
        <v>0</v>
      </c>
      <c r="J710" s="633">
        <f t="shared" si="67"/>
        <v>0</v>
      </c>
      <c r="K710" s="633">
        <f t="shared" si="68"/>
        <v>0</v>
      </c>
      <c r="L710" s="1127"/>
      <c r="M710" s="1127"/>
      <c r="N710" s="1691">
        <f t="shared" si="63"/>
        <v>0</v>
      </c>
      <c r="O710" s="634">
        <f t="shared" si="64"/>
        <v>0</v>
      </c>
      <c r="P710" s="144"/>
      <c r="Q710" s="144"/>
      <c r="R710" s="144"/>
      <c r="S710" s="144"/>
    </row>
    <row r="711" spans="1:19" ht="14.25" customHeight="1">
      <c r="A711" s="630"/>
      <c r="B711" s="631"/>
      <c r="C711" s="1127"/>
      <c r="D711" s="632"/>
      <c r="E711" s="1127"/>
      <c r="F711" s="633">
        <f t="shared" si="65"/>
        <v>0</v>
      </c>
      <c r="G711" s="632"/>
      <c r="H711" s="1127"/>
      <c r="I711" s="633">
        <f t="shared" si="66"/>
        <v>0</v>
      </c>
      <c r="J711" s="633">
        <f t="shared" si="67"/>
        <v>0</v>
      </c>
      <c r="K711" s="633">
        <f t="shared" si="68"/>
        <v>0</v>
      </c>
      <c r="L711" s="1127"/>
      <c r="M711" s="1127"/>
      <c r="N711" s="1691">
        <f t="shared" si="63"/>
        <v>0</v>
      </c>
      <c r="O711" s="634">
        <f t="shared" si="64"/>
        <v>0</v>
      </c>
      <c r="P711" s="144"/>
      <c r="Q711" s="144"/>
      <c r="R711" s="144"/>
      <c r="S711" s="144"/>
    </row>
    <row r="712" spans="1:19" ht="14.25" customHeight="1">
      <c r="A712" s="630"/>
      <c r="B712" s="631"/>
      <c r="C712" s="1127"/>
      <c r="D712" s="632"/>
      <c r="E712" s="1127"/>
      <c r="F712" s="633">
        <f t="shared" si="65"/>
        <v>0</v>
      </c>
      <c r="G712" s="632"/>
      <c r="H712" s="1127"/>
      <c r="I712" s="633">
        <f t="shared" si="66"/>
        <v>0</v>
      </c>
      <c r="J712" s="633">
        <f t="shared" si="67"/>
        <v>0</v>
      </c>
      <c r="K712" s="633">
        <f t="shared" si="68"/>
        <v>0</v>
      </c>
      <c r="L712" s="1127"/>
      <c r="M712" s="1127"/>
      <c r="N712" s="1691">
        <f t="shared" si="63"/>
        <v>0</v>
      </c>
      <c r="O712" s="634">
        <f t="shared" si="64"/>
        <v>0</v>
      </c>
      <c r="P712" s="144"/>
      <c r="Q712" s="144"/>
      <c r="R712" s="144"/>
      <c r="S712" s="144"/>
    </row>
    <row r="713" spans="1:19" ht="14.25" customHeight="1">
      <c r="A713" s="630"/>
      <c r="B713" s="631"/>
      <c r="C713" s="1127"/>
      <c r="D713" s="632"/>
      <c r="E713" s="1127"/>
      <c r="F713" s="633">
        <f t="shared" si="65"/>
        <v>0</v>
      </c>
      <c r="G713" s="632"/>
      <c r="H713" s="1127"/>
      <c r="I713" s="633">
        <f t="shared" si="66"/>
        <v>0</v>
      </c>
      <c r="J713" s="633">
        <f t="shared" si="67"/>
        <v>0</v>
      </c>
      <c r="K713" s="633">
        <f t="shared" si="68"/>
        <v>0</v>
      </c>
      <c r="L713" s="1127"/>
      <c r="M713" s="1127"/>
      <c r="N713" s="1691">
        <f t="shared" si="63"/>
        <v>0</v>
      </c>
      <c r="O713" s="634">
        <f t="shared" si="64"/>
        <v>0</v>
      </c>
      <c r="P713" s="144"/>
      <c r="Q713" s="144"/>
      <c r="R713" s="144"/>
      <c r="S713" s="144"/>
    </row>
    <row r="714" spans="1:19" ht="14.25" customHeight="1">
      <c r="A714" s="630"/>
      <c r="B714" s="631"/>
      <c r="C714" s="1127"/>
      <c r="D714" s="632"/>
      <c r="E714" s="1127"/>
      <c r="F714" s="633">
        <f t="shared" si="65"/>
        <v>0</v>
      </c>
      <c r="G714" s="632"/>
      <c r="H714" s="1127"/>
      <c r="I714" s="633">
        <f t="shared" si="66"/>
        <v>0</v>
      </c>
      <c r="J714" s="633">
        <f t="shared" si="67"/>
        <v>0</v>
      </c>
      <c r="K714" s="633">
        <f t="shared" si="68"/>
        <v>0</v>
      </c>
      <c r="L714" s="1127"/>
      <c r="M714" s="1127"/>
      <c r="N714" s="1691">
        <f t="shared" ref="N714:N777" si="69">IF(M714&lt;&gt;0,ROUND(B714*K714,2)+M714,IF(ABS(ROUND(K714*B714,2)-L714)&lt;3,L714,MIN(ROUND(K714*B714,2),L714)))</f>
        <v>0</v>
      </c>
      <c r="O714" s="634">
        <f t="shared" ref="O714:O777" si="70">IF(ISERROR(L714-N714),"",IF(ABS(L714-N714)&lt;3,0,L714-N714))</f>
        <v>0</v>
      </c>
      <c r="P714" s="144"/>
      <c r="Q714" s="144"/>
      <c r="R714" s="144"/>
      <c r="S714" s="144"/>
    </row>
    <row r="715" spans="1:19" ht="14.25" customHeight="1">
      <c r="A715" s="630"/>
      <c r="B715" s="631"/>
      <c r="C715" s="1127"/>
      <c r="D715" s="632"/>
      <c r="E715" s="1127"/>
      <c r="F715" s="633">
        <f t="shared" ref="F715:F778" si="71">E715*(12-MONTH(D715))/12</f>
        <v>0</v>
      </c>
      <c r="G715" s="632"/>
      <c r="H715" s="1127"/>
      <c r="I715" s="633">
        <f t="shared" ref="I715:I778" si="72">H715*(12-MONTH(G715))/12</f>
        <v>0</v>
      </c>
      <c r="J715" s="633">
        <f t="shared" ref="J715:J778" si="73">C715+E715-H715</f>
        <v>0</v>
      </c>
      <c r="K715" s="633">
        <f t="shared" ref="K715:K778" si="74">C715+F715-I715</f>
        <v>0</v>
      </c>
      <c r="L715" s="1127"/>
      <c r="M715" s="1127"/>
      <c r="N715" s="1691">
        <f t="shared" si="69"/>
        <v>0</v>
      </c>
      <c r="O715" s="634">
        <f t="shared" si="70"/>
        <v>0</v>
      </c>
      <c r="P715" s="144"/>
      <c r="Q715" s="144"/>
      <c r="R715" s="144"/>
      <c r="S715" s="144"/>
    </row>
    <row r="716" spans="1:19" ht="14.25" customHeight="1">
      <c r="A716" s="630"/>
      <c r="B716" s="631"/>
      <c r="C716" s="1127"/>
      <c r="D716" s="632"/>
      <c r="E716" s="1127"/>
      <c r="F716" s="633">
        <f t="shared" si="71"/>
        <v>0</v>
      </c>
      <c r="G716" s="632"/>
      <c r="H716" s="1127"/>
      <c r="I716" s="633">
        <f t="shared" si="72"/>
        <v>0</v>
      </c>
      <c r="J716" s="633">
        <f t="shared" si="73"/>
        <v>0</v>
      </c>
      <c r="K716" s="633">
        <f t="shared" si="74"/>
        <v>0</v>
      </c>
      <c r="L716" s="1127"/>
      <c r="M716" s="1127"/>
      <c r="N716" s="1691">
        <f t="shared" si="69"/>
        <v>0</v>
      </c>
      <c r="O716" s="634">
        <f t="shared" si="70"/>
        <v>0</v>
      </c>
      <c r="P716" s="144"/>
      <c r="Q716" s="144"/>
      <c r="R716" s="144"/>
      <c r="S716" s="144"/>
    </row>
    <row r="717" spans="1:19" ht="14.25" customHeight="1">
      <c r="A717" s="630"/>
      <c r="B717" s="631"/>
      <c r="C717" s="1127"/>
      <c r="D717" s="632"/>
      <c r="E717" s="1127"/>
      <c r="F717" s="633">
        <f t="shared" si="71"/>
        <v>0</v>
      </c>
      <c r="G717" s="632"/>
      <c r="H717" s="1127"/>
      <c r="I717" s="633">
        <f t="shared" si="72"/>
        <v>0</v>
      </c>
      <c r="J717" s="633">
        <f t="shared" si="73"/>
        <v>0</v>
      </c>
      <c r="K717" s="633">
        <f t="shared" si="74"/>
        <v>0</v>
      </c>
      <c r="L717" s="1127"/>
      <c r="M717" s="1127"/>
      <c r="N717" s="1691">
        <f t="shared" si="69"/>
        <v>0</v>
      </c>
      <c r="O717" s="634">
        <f t="shared" si="70"/>
        <v>0</v>
      </c>
      <c r="P717" s="144"/>
      <c r="Q717" s="144"/>
      <c r="R717" s="144"/>
      <c r="S717" s="144"/>
    </row>
    <row r="718" spans="1:19" ht="14.25" customHeight="1">
      <c r="A718" s="630"/>
      <c r="B718" s="631"/>
      <c r="C718" s="1127"/>
      <c r="D718" s="632"/>
      <c r="E718" s="1127"/>
      <c r="F718" s="633">
        <f t="shared" si="71"/>
        <v>0</v>
      </c>
      <c r="G718" s="632"/>
      <c r="H718" s="1127"/>
      <c r="I718" s="633">
        <f t="shared" si="72"/>
        <v>0</v>
      </c>
      <c r="J718" s="633">
        <f t="shared" si="73"/>
        <v>0</v>
      </c>
      <c r="K718" s="633">
        <f t="shared" si="74"/>
        <v>0</v>
      </c>
      <c r="L718" s="1127"/>
      <c r="M718" s="1127"/>
      <c r="N718" s="1691">
        <f t="shared" si="69"/>
        <v>0</v>
      </c>
      <c r="O718" s="634">
        <f t="shared" si="70"/>
        <v>0</v>
      </c>
      <c r="P718" s="144"/>
      <c r="Q718" s="144"/>
      <c r="R718" s="144"/>
      <c r="S718" s="144"/>
    </row>
    <row r="719" spans="1:19" ht="14.25" customHeight="1">
      <c r="A719" s="630"/>
      <c r="B719" s="631"/>
      <c r="C719" s="1127"/>
      <c r="D719" s="632"/>
      <c r="E719" s="1127"/>
      <c r="F719" s="633">
        <f t="shared" si="71"/>
        <v>0</v>
      </c>
      <c r="G719" s="632"/>
      <c r="H719" s="1127"/>
      <c r="I719" s="633">
        <f t="shared" si="72"/>
        <v>0</v>
      </c>
      <c r="J719" s="633">
        <f t="shared" si="73"/>
        <v>0</v>
      </c>
      <c r="K719" s="633">
        <f t="shared" si="74"/>
        <v>0</v>
      </c>
      <c r="L719" s="1127"/>
      <c r="M719" s="1127"/>
      <c r="N719" s="1691">
        <f t="shared" si="69"/>
        <v>0</v>
      </c>
      <c r="O719" s="634">
        <f t="shared" si="70"/>
        <v>0</v>
      </c>
      <c r="P719" s="144"/>
      <c r="Q719" s="144"/>
      <c r="R719" s="144"/>
      <c r="S719" s="144"/>
    </row>
    <row r="720" spans="1:19" ht="14.25" customHeight="1">
      <c r="A720" s="630"/>
      <c r="B720" s="631"/>
      <c r="C720" s="1127"/>
      <c r="D720" s="632"/>
      <c r="E720" s="1127"/>
      <c r="F720" s="633">
        <f t="shared" si="71"/>
        <v>0</v>
      </c>
      <c r="G720" s="632"/>
      <c r="H720" s="1127"/>
      <c r="I720" s="633">
        <f t="shared" si="72"/>
        <v>0</v>
      </c>
      <c r="J720" s="633">
        <f t="shared" si="73"/>
        <v>0</v>
      </c>
      <c r="K720" s="633">
        <f t="shared" si="74"/>
        <v>0</v>
      </c>
      <c r="L720" s="1127"/>
      <c r="M720" s="1127"/>
      <c r="N720" s="1691">
        <f t="shared" si="69"/>
        <v>0</v>
      </c>
      <c r="O720" s="634">
        <f t="shared" si="70"/>
        <v>0</v>
      </c>
      <c r="P720" s="144"/>
      <c r="Q720" s="144"/>
      <c r="R720" s="144"/>
      <c r="S720" s="144"/>
    </row>
    <row r="721" spans="1:19" ht="14.25" customHeight="1">
      <c r="A721" s="630"/>
      <c r="B721" s="631"/>
      <c r="C721" s="1127"/>
      <c r="D721" s="632"/>
      <c r="E721" s="1127"/>
      <c r="F721" s="633">
        <f t="shared" si="71"/>
        <v>0</v>
      </c>
      <c r="G721" s="632"/>
      <c r="H721" s="1127"/>
      <c r="I721" s="633">
        <f t="shared" si="72"/>
        <v>0</v>
      </c>
      <c r="J721" s="633">
        <f t="shared" si="73"/>
        <v>0</v>
      </c>
      <c r="K721" s="633">
        <f t="shared" si="74"/>
        <v>0</v>
      </c>
      <c r="L721" s="1127"/>
      <c r="M721" s="1127"/>
      <c r="N721" s="1691">
        <f t="shared" si="69"/>
        <v>0</v>
      </c>
      <c r="O721" s="634">
        <f t="shared" si="70"/>
        <v>0</v>
      </c>
      <c r="P721" s="144"/>
      <c r="Q721" s="144"/>
      <c r="R721" s="144"/>
      <c r="S721" s="144"/>
    </row>
    <row r="722" spans="1:19" ht="14.25" customHeight="1">
      <c r="A722" s="630"/>
      <c r="B722" s="631"/>
      <c r="C722" s="1127"/>
      <c r="D722" s="632"/>
      <c r="E722" s="1127"/>
      <c r="F722" s="633">
        <f t="shared" si="71"/>
        <v>0</v>
      </c>
      <c r="G722" s="632"/>
      <c r="H722" s="1127"/>
      <c r="I722" s="633">
        <f t="shared" si="72"/>
        <v>0</v>
      </c>
      <c r="J722" s="633">
        <f t="shared" si="73"/>
        <v>0</v>
      </c>
      <c r="K722" s="633">
        <f t="shared" si="74"/>
        <v>0</v>
      </c>
      <c r="L722" s="1127"/>
      <c r="M722" s="1127"/>
      <c r="N722" s="1691">
        <f t="shared" si="69"/>
        <v>0</v>
      </c>
      <c r="O722" s="634">
        <f t="shared" si="70"/>
        <v>0</v>
      </c>
      <c r="P722" s="144"/>
      <c r="Q722" s="144"/>
      <c r="R722" s="144"/>
      <c r="S722" s="144"/>
    </row>
    <row r="723" spans="1:19" ht="14.25" customHeight="1">
      <c r="A723" s="630"/>
      <c r="B723" s="631"/>
      <c r="C723" s="1127"/>
      <c r="D723" s="632"/>
      <c r="E723" s="1127"/>
      <c r="F723" s="633">
        <f t="shared" si="71"/>
        <v>0</v>
      </c>
      <c r="G723" s="632"/>
      <c r="H723" s="1127"/>
      <c r="I723" s="633">
        <f t="shared" si="72"/>
        <v>0</v>
      </c>
      <c r="J723" s="633">
        <f t="shared" si="73"/>
        <v>0</v>
      </c>
      <c r="K723" s="633">
        <f t="shared" si="74"/>
        <v>0</v>
      </c>
      <c r="L723" s="1127"/>
      <c r="M723" s="1127"/>
      <c r="N723" s="1691">
        <f t="shared" si="69"/>
        <v>0</v>
      </c>
      <c r="O723" s="634">
        <f t="shared" si="70"/>
        <v>0</v>
      </c>
      <c r="P723" s="144"/>
      <c r="Q723" s="144"/>
      <c r="R723" s="144"/>
      <c r="S723" s="144"/>
    </row>
    <row r="724" spans="1:19" ht="14.25" customHeight="1">
      <c r="A724" s="630"/>
      <c r="B724" s="631"/>
      <c r="C724" s="1127"/>
      <c r="D724" s="632"/>
      <c r="E724" s="1127"/>
      <c r="F724" s="633">
        <f t="shared" si="71"/>
        <v>0</v>
      </c>
      <c r="G724" s="632"/>
      <c r="H724" s="1127"/>
      <c r="I724" s="633">
        <f t="shared" si="72"/>
        <v>0</v>
      </c>
      <c r="J724" s="633">
        <f t="shared" si="73"/>
        <v>0</v>
      </c>
      <c r="K724" s="633">
        <f t="shared" si="74"/>
        <v>0</v>
      </c>
      <c r="L724" s="1127"/>
      <c r="M724" s="1127"/>
      <c r="N724" s="1691">
        <f t="shared" si="69"/>
        <v>0</v>
      </c>
      <c r="O724" s="634">
        <f t="shared" si="70"/>
        <v>0</v>
      </c>
      <c r="P724" s="144"/>
      <c r="Q724" s="144"/>
      <c r="R724" s="144"/>
      <c r="S724" s="144"/>
    </row>
    <row r="725" spans="1:19" ht="14.25" customHeight="1">
      <c r="A725" s="630"/>
      <c r="B725" s="631"/>
      <c r="C725" s="1127"/>
      <c r="D725" s="632"/>
      <c r="E725" s="1127"/>
      <c r="F725" s="633">
        <f t="shared" si="71"/>
        <v>0</v>
      </c>
      <c r="G725" s="632"/>
      <c r="H725" s="1127"/>
      <c r="I725" s="633">
        <f t="shared" si="72"/>
        <v>0</v>
      </c>
      <c r="J725" s="633">
        <f t="shared" si="73"/>
        <v>0</v>
      </c>
      <c r="K725" s="633">
        <f t="shared" si="74"/>
        <v>0</v>
      </c>
      <c r="L725" s="1127"/>
      <c r="M725" s="1127"/>
      <c r="N725" s="1691">
        <f t="shared" si="69"/>
        <v>0</v>
      </c>
      <c r="O725" s="634">
        <f t="shared" si="70"/>
        <v>0</v>
      </c>
      <c r="P725" s="144"/>
      <c r="Q725" s="144"/>
      <c r="R725" s="144"/>
      <c r="S725" s="144"/>
    </row>
    <row r="726" spans="1:19" ht="14.25" customHeight="1">
      <c r="A726" s="630"/>
      <c r="B726" s="631"/>
      <c r="C726" s="1127"/>
      <c r="D726" s="632"/>
      <c r="E726" s="1127"/>
      <c r="F726" s="633">
        <f t="shared" si="71"/>
        <v>0</v>
      </c>
      <c r="G726" s="632"/>
      <c r="H726" s="1127"/>
      <c r="I726" s="633">
        <f t="shared" si="72"/>
        <v>0</v>
      </c>
      <c r="J726" s="633">
        <f t="shared" si="73"/>
        <v>0</v>
      </c>
      <c r="K726" s="633">
        <f t="shared" si="74"/>
        <v>0</v>
      </c>
      <c r="L726" s="1127"/>
      <c r="M726" s="1127"/>
      <c r="N726" s="1691">
        <f t="shared" si="69"/>
        <v>0</v>
      </c>
      <c r="O726" s="634">
        <f t="shared" si="70"/>
        <v>0</v>
      </c>
      <c r="P726" s="144"/>
      <c r="Q726" s="144"/>
      <c r="R726" s="144"/>
      <c r="S726" s="144"/>
    </row>
    <row r="727" spans="1:19" ht="14.25" customHeight="1">
      <c r="A727" s="630"/>
      <c r="B727" s="631"/>
      <c r="C727" s="1127"/>
      <c r="D727" s="632"/>
      <c r="E727" s="1127"/>
      <c r="F727" s="633">
        <f t="shared" si="71"/>
        <v>0</v>
      </c>
      <c r="G727" s="632"/>
      <c r="H727" s="1127"/>
      <c r="I727" s="633">
        <f t="shared" si="72"/>
        <v>0</v>
      </c>
      <c r="J727" s="633">
        <f t="shared" si="73"/>
        <v>0</v>
      </c>
      <c r="K727" s="633">
        <f t="shared" si="74"/>
        <v>0</v>
      </c>
      <c r="L727" s="1127"/>
      <c r="M727" s="1127"/>
      <c r="N727" s="1691">
        <f t="shared" si="69"/>
        <v>0</v>
      </c>
      <c r="O727" s="634">
        <f t="shared" si="70"/>
        <v>0</v>
      </c>
      <c r="P727" s="144"/>
      <c r="Q727" s="144"/>
      <c r="R727" s="144"/>
      <c r="S727" s="144"/>
    </row>
    <row r="728" spans="1:19" ht="14.25" customHeight="1">
      <c r="A728" s="630"/>
      <c r="B728" s="631"/>
      <c r="C728" s="1127"/>
      <c r="D728" s="632"/>
      <c r="E728" s="1127"/>
      <c r="F728" s="633">
        <f t="shared" si="71"/>
        <v>0</v>
      </c>
      <c r="G728" s="632"/>
      <c r="H728" s="1127"/>
      <c r="I728" s="633">
        <f t="shared" si="72"/>
        <v>0</v>
      </c>
      <c r="J728" s="633">
        <f t="shared" si="73"/>
        <v>0</v>
      </c>
      <c r="K728" s="633">
        <f t="shared" si="74"/>
        <v>0</v>
      </c>
      <c r="L728" s="1127"/>
      <c r="M728" s="1127"/>
      <c r="N728" s="1691">
        <f t="shared" si="69"/>
        <v>0</v>
      </c>
      <c r="O728" s="634">
        <f t="shared" si="70"/>
        <v>0</v>
      </c>
      <c r="P728" s="144"/>
      <c r="Q728" s="144"/>
      <c r="R728" s="144"/>
      <c r="S728" s="144"/>
    </row>
    <row r="729" spans="1:19" ht="14.25" customHeight="1">
      <c r="A729" s="630"/>
      <c r="B729" s="631"/>
      <c r="C729" s="1127"/>
      <c r="D729" s="632"/>
      <c r="E729" s="1127"/>
      <c r="F729" s="633">
        <f t="shared" si="71"/>
        <v>0</v>
      </c>
      <c r="G729" s="632"/>
      <c r="H729" s="1127"/>
      <c r="I729" s="633">
        <f t="shared" si="72"/>
        <v>0</v>
      </c>
      <c r="J729" s="633">
        <f t="shared" si="73"/>
        <v>0</v>
      </c>
      <c r="K729" s="633">
        <f t="shared" si="74"/>
        <v>0</v>
      </c>
      <c r="L729" s="1127"/>
      <c r="M729" s="1127"/>
      <c r="N729" s="1691">
        <f t="shared" si="69"/>
        <v>0</v>
      </c>
      <c r="O729" s="634">
        <f t="shared" si="70"/>
        <v>0</v>
      </c>
      <c r="P729" s="144"/>
      <c r="Q729" s="144"/>
      <c r="R729" s="144"/>
      <c r="S729" s="144"/>
    </row>
    <row r="730" spans="1:19" ht="14.25" customHeight="1">
      <c r="A730" s="630"/>
      <c r="B730" s="631"/>
      <c r="C730" s="1127"/>
      <c r="D730" s="632"/>
      <c r="E730" s="1127"/>
      <c r="F730" s="633">
        <f t="shared" si="71"/>
        <v>0</v>
      </c>
      <c r="G730" s="632"/>
      <c r="H730" s="1127"/>
      <c r="I730" s="633">
        <f t="shared" si="72"/>
        <v>0</v>
      </c>
      <c r="J730" s="633">
        <f t="shared" si="73"/>
        <v>0</v>
      </c>
      <c r="K730" s="633">
        <f t="shared" si="74"/>
        <v>0</v>
      </c>
      <c r="L730" s="1127"/>
      <c r="M730" s="1127"/>
      <c r="N730" s="1691">
        <f t="shared" si="69"/>
        <v>0</v>
      </c>
      <c r="O730" s="634">
        <f t="shared" si="70"/>
        <v>0</v>
      </c>
      <c r="P730" s="144"/>
      <c r="Q730" s="144"/>
      <c r="R730" s="144"/>
      <c r="S730" s="144"/>
    </row>
    <row r="731" spans="1:19" ht="14.25" customHeight="1">
      <c r="A731" s="630"/>
      <c r="B731" s="631"/>
      <c r="C731" s="1127"/>
      <c r="D731" s="632"/>
      <c r="E731" s="1127"/>
      <c r="F731" s="633">
        <f t="shared" si="71"/>
        <v>0</v>
      </c>
      <c r="G731" s="632"/>
      <c r="H731" s="1127"/>
      <c r="I731" s="633">
        <f t="shared" si="72"/>
        <v>0</v>
      </c>
      <c r="J731" s="633">
        <f t="shared" si="73"/>
        <v>0</v>
      </c>
      <c r="K731" s="633">
        <f t="shared" si="74"/>
        <v>0</v>
      </c>
      <c r="L731" s="1127"/>
      <c r="M731" s="1127"/>
      <c r="N731" s="1691">
        <f t="shared" si="69"/>
        <v>0</v>
      </c>
      <c r="O731" s="634">
        <f t="shared" si="70"/>
        <v>0</v>
      </c>
      <c r="P731" s="144"/>
      <c r="Q731" s="144"/>
      <c r="R731" s="144"/>
      <c r="S731" s="144"/>
    </row>
    <row r="732" spans="1:19" ht="14.25" customHeight="1">
      <c r="A732" s="630"/>
      <c r="B732" s="631"/>
      <c r="C732" s="1127"/>
      <c r="D732" s="632"/>
      <c r="E732" s="1127"/>
      <c r="F732" s="633">
        <f t="shared" si="71"/>
        <v>0</v>
      </c>
      <c r="G732" s="632"/>
      <c r="H732" s="1127"/>
      <c r="I732" s="633">
        <f t="shared" si="72"/>
        <v>0</v>
      </c>
      <c r="J732" s="633">
        <f t="shared" si="73"/>
        <v>0</v>
      </c>
      <c r="K732" s="633">
        <f t="shared" si="74"/>
        <v>0</v>
      </c>
      <c r="L732" s="1127"/>
      <c r="M732" s="1127"/>
      <c r="N732" s="1691">
        <f t="shared" si="69"/>
        <v>0</v>
      </c>
      <c r="O732" s="634">
        <f t="shared" si="70"/>
        <v>0</v>
      </c>
      <c r="P732" s="144"/>
      <c r="Q732" s="144"/>
      <c r="R732" s="144"/>
      <c r="S732" s="144"/>
    </row>
    <row r="733" spans="1:19" ht="14.25" customHeight="1">
      <c r="A733" s="630"/>
      <c r="B733" s="631"/>
      <c r="C733" s="1127"/>
      <c r="D733" s="632"/>
      <c r="E733" s="1127"/>
      <c r="F733" s="633">
        <f t="shared" si="71"/>
        <v>0</v>
      </c>
      <c r="G733" s="632"/>
      <c r="H733" s="1127"/>
      <c r="I733" s="633">
        <f t="shared" si="72"/>
        <v>0</v>
      </c>
      <c r="J733" s="633">
        <f t="shared" si="73"/>
        <v>0</v>
      </c>
      <c r="K733" s="633">
        <f t="shared" si="74"/>
        <v>0</v>
      </c>
      <c r="L733" s="1127"/>
      <c r="M733" s="1127"/>
      <c r="N733" s="1691">
        <f t="shared" si="69"/>
        <v>0</v>
      </c>
      <c r="O733" s="634">
        <f t="shared" si="70"/>
        <v>0</v>
      </c>
      <c r="P733" s="144"/>
      <c r="Q733" s="144"/>
      <c r="R733" s="144"/>
      <c r="S733" s="144"/>
    </row>
    <row r="734" spans="1:19" ht="14.25" customHeight="1">
      <c r="A734" s="630"/>
      <c r="B734" s="631"/>
      <c r="C734" s="1127"/>
      <c r="D734" s="632"/>
      <c r="E734" s="1127"/>
      <c r="F734" s="633">
        <f t="shared" si="71"/>
        <v>0</v>
      </c>
      <c r="G734" s="632"/>
      <c r="H734" s="1127"/>
      <c r="I734" s="633">
        <f t="shared" si="72"/>
        <v>0</v>
      </c>
      <c r="J734" s="633">
        <f t="shared" si="73"/>
        <v>0</v>
      </c>
      <c r="K734" s="633">
        <f t="shared" si="74"/>
        <v>0</v>
      </c>
      <c r="L734" s="1127"/>
      <c r="M734" s="1127"/>
      <c r="N734" s="1691">
        <f t="shared" si="69"/>
        <v>0</v>
      </c>
      <c r="O734" s="634">
        <f t="shared" si="70"/>
        <v>0</v>
      </c>
      <c r="P734" s="144"/>
      <c r="Q734" s="144"/>
      <c r="R734" s="144"/>
      <c r="S734" s="144"/>
    </row>
    <row r="735" spans="1:19" ht="14.25" customHeight="1">
      <c r="A735" s="630"/>
      <c r="B735" s="631"/>
      <c r="C735" s="1127"/>
      <c r="D735" s="632"/>
      <c r="E735" s="1127"/>
      <c r="F735" s="633">
        <f t="shared" si="71"/>
        <v>0</v>
      </c>
      <c r="G735" s="632"/>
      <c r="H735" s="1127"/>
      <c r="I735" s="633">
        <f t="shared" si="72"/>
        <v>0</v>
      </c>
      <c r="J735" s="633">
        <f t="shared" si="73"/>
        <v>0</v>
      </c>
      <c r="K735" s="633">
        <f t="shared" si="74"/>
        <v>0</v>
      </c>
      <c r="L735" s="1127"/>
      <c r="M735" s="1127"/>
      <c r="N735" s="1691">
        <f t="shared" si="69"/>
        <v>0</v>
      </c>
      <c r="O735" s="634">
        <f t="shared" si="70"/>
        <v>0</v>
      </c>
      <c r="P735" s="144"/>
      <c r="Q735" s="144"/>
      <c r="R735" s="144"/>
      <c r="S735" s="144"/>
    </row>
    <row r="736" spans="1:19" ht="14.25" customHeight="1">
      <c r="A736" s="630"/>
      <c r="B736" s="631"/>
      <c r="C736" s="1127"/>
      <c r="D736" s="632"/>
      <c r="E736" s="1127"/>
      <c r="F736" s="633">
        <f t="shared" si="71"/>
        <v>0</v>
      </c>
      <c r="G736" s="632"/>
      <c r="H736" s="1127"/>
      <c r="I736" s="633">
        <f t="shared" si="72"/>
        <v>0</v>
      </c>
      <c r="J736" s="633">
        <f t="shared" si="73"/>
        <v>0</v>
      </c>
      <c r="K736" s="633">
        <f t="shared" si="74"/>
        <v>0</v>
      </c>
      <c r="L736" s="1127"/>
      <c r="M736" s="1127"/>
      <c r="N736" s="1691">
        <f t="shared" si="69"/>
        <v>0</v>
      </c>
      <c r="O736" s="634">
        <f t="shared" si="70"/>
        <v>0</v>
      </c>
      <c r="P736" s="144"/>
      <c r="Q736" s="144"/>
      <c r="R736" s="144"/>
      <c r="S736" s="144"/>
    </row>
    <row r="737" spans="1:19" ht="14.25" customHeight="1">
      <c r="A737" s="630"/>
      <c r="B737" s="631"/>
      <c r="C737" s="1127"/>
      <c r="D737" s="632"/>
      <c r="E737" s="1127"/>
      <c r="F737" s="633">
        <f t="shared" si="71"/>
        <v>0</v>
      </c>
      <c r="G737" s="632"/>
      <c r="H737" s="1127"/>
      <c r="I737" s="633">
        <f t="shared" si="72"/>
        <v>0</v>
      </c>
      <c r="J737" s="633">
        <f t="shared" si="73"/>
        <v>0</v>
      </c>
      <c r="K737" s="633">
        <f t="shared" si="74"/>
        <v>0</v>
      </c>
      <c r="L737" s="1127"/>
      <c r="M737" s="1127"/>
      <c r="N737" s="1691">
        <f t="shared" si="69"/>
        <v>0</v>
      </c>
      <c r="O737" s="634">
        <f t="shared" si="70"/>
        <v>0</v>
      </c>
      <c r="P737" s="144"/>
      <c r="Q737" s="144"/>
      <c r="R737" s="144"/>
      <c r="S737" s="144"/>
    </row>
    <row r="738" spans="1:19" ht="14.25" customHeight="1">
      <c r="A738" s="630"/>
      <c r="B738" s="631"/>
      <c r="C738" s="1127"/>
      <c r="D738" s="632"/>
      <c r="E738" s="1127"/>
      <c r="F738" s="633">
        <f t="shared" si="71"/>
        <v>0</v>
      </c>
      <c r="G738" s="632"/>
      <c r="H738" s="1127"/>
      <c r="I738" s="633">
        <f t="shared" si="72"/>
        <v>0</v>
      </c>
      <c r="J738" s="633">
        <f t="shared" si="73"/>
        <v>0</v>
      </c>
      <c r="K738" s="633">
        <f t="shared" si="74"/>
        <v>0</v>
      </c>
      <c r="L738" s="1127"/>
      <c r="M738" s="1127"/>
      <c r="N738" s="1691">
        <f t="shared" si="69"/>
        <v>0</v>
      </c>
      <c r="O738" s="634">
        <f t="shared" si="70"/>
        <v>0</v>
      </c>
      <c r="P738" s="144"/>
      <c r="Q738" s="144"/>
      <c r="R738" s="144"/>
      <c r="S738" s="144"/>
    </row>
    <row r="739" spans="1:19" ht="14.25" customHeight="1">
      <c r="A739" s="630"/>
      <c r="B739" s="631"/>
      <c r="C739" s="1127"/>
      <c r="D739" s="632"/>
      <c r="E739" s="1127"/>
      <c r="F739" s="633">
        <f t="shared" si="71"/>
        <v>0</v>
      </c>
      <c r="G739" s="632"/>
      <c r="H739" s="1127"/>
      <c r="I739" s="633">
        <f t="shared" si="72"/>
        <v>0</v>
      </c>
      <c r="J739" s="633">
        <f t="shared" si="73"/>
        <v>0</v>
      </c>
      <c r="K739" s="633">
        <f t="shared" si="74"/>
        <v>0</v>
      </c>
      <c r="L739" s="1127"/>
      <c r="M739" s="1127"/>
      <c r="N739" s="1691">
        <f t="shared" si="69"/>
        <v>0</v>
      </c>
      <c r="O739" s="634">
        <f t="shared" si="70"/>
        <v>0</v>
      </c>
      <c r="P739" s="144"/>
      <c r="Q739" s="144"/>
      <c r="R739" s="144"/>
      <c r="S739" s="144"/>
    </row>
    <row r="740" spans="1:19" ht="14.25" customHeight="1">
      <c r="A740" s="630"/>
      <c r="B740" s="631"/>
      <c r="C740" s="1127"/>
      <c r="D740" s="632"/>
      <c r="E740" s="1127"/>
      <c r="F740" s="633">
        <f t="shared" si="71"/>
        <v>0</v>
      </c>
      <c r="G740" s="632"/>
      <c r="H740" s="1127"/>
      <c r="I740" s="633">
        <f t="shared" si="72"/>
        <v>0</v>
      </c>
      <c r="J740" s="633">
        <f t="shared" si="73"/>
        <v>0</v>
      </c>
      <c r="K740" s="633">
        <f t="shared" si="74"/>
        <v>0</v>
      </c>
      <c r="L740" s="1127"/>
      <c r="M740" s="1127"/>
      <c r="N740" s="1691">
        <f t="shared" si="69"/>
        <v>0</v>
      </c>
      <c r="O740" s="634">
        <f t="shared" si="70"/>
        <v>0</v>
      </c>
      <c r="P740" s="144"/>
      <c r="Q740" s="144"/>
      <c r="R740" s="144"/>
      <c r="S740" s="144"/>
    </row>
    <row r="741" spans="1:19" ht="14.25" customHeight="1">
      <c r="A741" s="630"/>
      <c r="B741" s="631"/>
      <c r="C741" s="1127"/>
      <c r="D741" s="632"/>
      <c r="E741" s="1127"/>
      <c r="F741" s="633">
        <f t="shared" si="71"/>
        <v>0</v>
      </c>
      <c r="G741" s="632"/>
      <c r="H741" s="1127"/>
      <c r="I741" s="633">
        <f t="shared" si="72"/>
        <v>0</v>
      </c>
      <c r="J741" s="633">
        <f t="shared" si="73"/>
        <v>0</v>
      </c>
      <c r="K741" s="633">
        <f t="shared" si="74"/>
        <v>0</v>
      </c>
      <c r="L741" s="1127"/>
      <c r="M741" s="1127"/>
      <c r="N741" s="1691">
        <f t="shared" si="69"/>
        <v>0</v>
      </c>
      <c r="O741" s="634">
        <f t="shared" si="70"/>
        <v>0</v>
      </c>
      <c r="P741" s="144"/>
      <c r="Q741" s="144"/>
      <c r="R741" s="144"/>
      <c r="S741" s="144"/>
    </row>
    <row r="742" spans="1:19" ht="14.25" customHeight="1">
      <c r="A742" s="630"/>
      <c r="B742" s="631"/>
      <c r="C742" s="1127"/>
      <c r="D742" s="632"/>
      <c r="E742" s="1127"/>
      <c r="F742" s="633">
        <f t="shared" si="71"/>
        <v>0</v>
      </c>
      <c r="G742" s="632"/>
      <c r="H742" s="1127"/>
      <c r="I742" s="633">
        <f t="shared" si="72"/>
        <v>0</v>
      </c>
      <c r="J742" s="633">
        <f t="shared" si="73"/>
        <v>0</v>
      </c>
      <c r="K742" s="633">
        <f t="shared" si="74"/>
        <v>0</v>
      </c>
      <c r="L742" s="1127"/>
      <c r="M742" s="1127"/>
      <c r="N742" s="1691">
        <f t="shared" si="69"/>
        <v>0</v>
      </c>
      <c r="O742" s="634">
        <f t="shared" si="70"/>
        <v>0</v>
      </c>
      <c r="P742" s="144"/>
      <c r="Q742" s="144"/>
      <c r="R742" s="144"/>
      <c r="S742" s="144"/>
    </row>
    <row r="743" spans="1:19" ht="14.25" customHeight="1">
      <c r="A743" s="630"/>
      <c r="B743" s="631"/>
      <c r="C743" s="1127"/>
      <c r="D743" s="632"/>
      <c r="E743" s="1127"/>
      <c r="F743" s="633">
        <f t="shared" si="71"/>
        <v>0</v>
      </c>
      <c r="G743" s="632"/>
      <c r="H743" s="1127"/>
      <c r="I743" s="633">
        <f t="shared" si="72"/>
        <v>0</v>
      </c>
      <c r="J743" s="633">
        <f t="shared" si="73"/>
        <v>0</v>
      </c>
      <c r="K743" s="633">
        <f t="shared" si="74"/>
        <v>0</v>
      </c>
      <c r="L743" s="1127"/>
      <c r="M743" s="1127"/>
      <c r="N743" s="1691">
        <f t="shared" si="69"/>
        <v>0</v>
      </c>
      <c r="O743" s="634">
        <f t="shared" si="70"/>
        <v>0</v>
      </c>
      <c r="P743" s="144"/>
      <c r="Q743" s="144"/>
      <c r="R743" s="144"/>
      <c r="S743" s="144"/>
    </row>
    <row r="744" spans="1:19" ht="14.25" customHeight="1">
      <c r="A744" s="630"/>
      <c r="B744" s="631"/>
      <c r="C744" s="1127"/>
      <c r="D744" s="632"/>
      <c r="E744" s="1127"/>
      <c r="F744" s="633">
        <f t="shared" si="71"/>
        <v>0</v>
      </c>
      <c r="G744" s="632"/>
      <c r="H744" s="1127"/>
      <c r="I744" s="633">
        <f t="shared" si="72"/>
        <v>0</v>
      </c>
      <c r="J744" s="633">
        <f t="shared" si="73"/>
        <v>0</v>
      </c>
      <c r="K744" s="633">
        <f t="shared" si="74"/>
        <v>0</v>
      </c>
      <c r="L744" s="1127"/>
      <c r="M744" s="1127"/>
      <c r="N744" s="1691">
        <f t="shared" si="69"/>
        <v>0</v>
      </c>
      <c r="O744" s="634">
        <f t="shared" si="70"/>
        <v>0</v>
      </c>
      <c r="P744" s="144"/>
      <c r="Q744" s="144"/>
      <c r="R744" s="144"/>
      <c r="S744" s="144"/>
    </row>
    <row r="745" spans="1:19" ht="14.25" customHeight="1">
      <c r="A745" s="630"/>
      <c r="B745" s="631"/>
      <c r="C745" s="1127"/>
      <c r="D745" s="632"/>
      <c r="E745" s="1127"/>
      <c r="F745" s="633">
        <f t="shared" si="71"/>
        <v>0</v>
      </c>
      <c r="G745" s="632"/>
      <c r="H745" s="1127"/>
      <c r="I745" s="633">
        <f t="shared" si="72"/>
        <v>0</v>
      </c>
      <c r="J745" s="633">
        <f t="shared" si="73"/>
        <v>0</v>
      </c>
      <c r="K745" s="633">
        <f t="shared" si="74"/>
        <v>0</v>
      </c>
      <c r="L745" s="1127"/>
      <c r="M745" s="1127"/>
      <c r="N745" s="1691">
        <f t="shared" si="69"/>
        <v>0</v>
      </c>
      <c r="O745" s="634">
        <f t="shared" si="70"/>
        <v>0</v>
      </c>
      <c r="P745" s="144"/>
      <c r="Q745" s="144"/>
      <c r="R745" s="144"/>
      <c r="S745" s="144"/>
    </row>
    <row r="746" spans="1:19" ht="14.25" customHeight="1">
      <c r="A746" s="630"/>
      <c r="B746" s="631"/>
      <c r="C746" s="1127"/>
      <c r="D746" s="632"/>
      <c r="E746" s="1127"/>
      <c r="F746" s="633">
        <f t="shared" si="71"/>
        <v>0</v>
      </c>
      <c r="G746" s="632"/>
      <c r="H746" s="1127"/>
      <c r="I746" s="633">
        <f t="shared" si="72"/>
        <v>0</v>
      </c>
      <c r="J746" s="633">
        <f t="shared" si="73"/>
        <v>0</v>
      </c>
      <c r="K746" s="633">
        <f t="shared" si="74"/>
        <v>0</v>
      </c>
      <c r="L746" s="1127"/>
      <c r="M746" s="1127"/>
      <c r="N746" s="1691">
        <f t="shared" si="69"/>
        <v>0</v>
      </c>
      <c r="O746" s="634">
        <f t="shared" si="70"/>
        <v>0</v>
      </c>
      <c r="P746" s="144"/>
      <c r="Q746" s="144"/>
      <c r="R746" s="144"/>
      <c r="S746" s="144"/>
    </row>
    <row r="747" spans="1:19" ht="14.25" customHeight="1">
      <c r="A747" s="630"/>
      <c r="B747" s="631"/>
      <c r="C747" s="1127"/>
      <c r="D747" s="632"/>
      <c r="E747" s="1127"/>
      <c r="F747" s="633">
        <f t="shared" si="71"/>
        <v>0</v>
      </c>
      <c r="G747" s="632"/>
      <c r="H747" s="1127"/>
      <c r="I747" s="633">
        <f t="shared" si="72"/>
        <v>0</v>
      </c>
      <c r="J747" s="633">
        <f t="shared" si="73"/>
        <v>0</v>
      </c>
      <c r="K747" s="633">
        <f t="shared" si="74"/>
        <v>0</v>
      </c>
      <c r="L747" s="1127"/>
      <c r="M747" s="1127"/>
      <c r="N747" s="1691">
        <f t="shared" si="69"/>
        <v>0</v>
      </c>
      <c r="O747" s="634">
        <f t="shared" si="70"/>
        <v>0</v>
      </c>
      <c r="P747" s="144"/>
      <c r="Q747" s="144"/>
      <c r="R747" s="144"/>
      <c r="S747" s="144"/>
    </row>
    <row r="748" spans="1:19" ht="14.25" customHeight="1">
      <c r="A748" s="630"/>
      <c r="B748" s="631"/>
      <c r="C748" s="1127"/>
      <c r="D748" s="632"/>
      <c r="E748" s="1127"/>
      <c r="F748" s="633">
        <f t="shared" si="71"/>
        <v>0</v>
      </c>
      <c r="G748" s="632"/>
      <c r="H748" s="1127"/>
      <c r="I748" s="633">
        <f t="shared" si="72"/>
        <v>0</v>
      </c>
      <c r="J748" s="633">
        <f t="shared" si="73"/>
        <v>0</v>
      </c>
      <c r="K748" s="633">
        <f t="shared" si="74"/>
        <v>0</v>
      </c>
      <c r="L748" s="1127"/>
      <c r="M748" s="1127"/>
      <c r="N748" s="1691">
        <f t="shared" si="69"/>
        <v>0</v>
      </c>
      <c r="O748" s="634">
        <f t="shared" si="70"/>
        <v>0</v>
      </c>
      <c r="P748" s="144"/>
      <c r="Q748" s="144"/>
      <c r="R748" s="144"/>
      <c r="S748" s="144"/>
    </row>
    <row r="749" spans="1:19" ht="14.25" customHeight="1">
      <c r="A749" s="630"/>
      <c r="B749" s="631"/>
      <c r="C749" s="1127"/>
      <c r="D749" s="632"/>
      <c r="E749" s="1127"/>
      <c r="F749" s="633">
        <f t="shared" si="71"/>
        <v>0</v>
      </c>
      <c r="G749" s="632"/>
      <c r="H749" s="1127"/>
      <c r="I749" s="633">
        <f t="shared" si="72"/>
        <v>0</v>
      </c>
      <c r="J749" s="633">
        <f t="shared" si="73"/>
        <v>0</v>
      </c>
      <c r="K749" s="633">
        <f t="shared" si="74"/>
        <v>0</v>
      </c>
      <c r="L749" s="1127"/>
      <c r="M749" s="1127"/>
      <c r="N749" s="1691">
        <f t="shared" si="69"/>
        <v>0</v>
      </c>
      <c r="O749" s="634">
        <f t="shared" si="70"/>
        <v>0</v>
      </c>
      <c r="P749" s="144"/>
      <c r="Q749" s="144"/>
      <c r="R749" s="144"/>
      <c r="S749" s="144"/>
    </row>
    <row r="750" spans="1:19" ht="14.25" customHeight="1">
      <c r="A750" s="630"/>
      <c r="B750" s="631"/>
      <c r="C750" s="1127"/>
      <c r="D750" s="632"/>
      <c r="E750" s="1127"/>
      <c r="F750" s="633">
        <f t="shared" si="71"/>
        <v>0</v>
      </c>
      <c r="G750" s="632"/>
      <c r="H750" s="1127"/>
      <c r="I750" s="633">
        <f t="shared" si="72"/>
        <v>0</v>
      </c>
      <c r="J750" s="633">
        <f t="shared" si="73"/>
        <v>0</v>
      </c>
      <c r="K750" s="633">
        <f t="shared" si="74"/>
        <v>0</v>
      </c>
      <c r="L750" s="1127"/>
      <c r="M750" s="1127"/>
      <c r="N750" s="1691">
        <f t="shared" si="69"/>
        <v>0</v>
      </c>
      <c r="O750" s="634">
        <f t="shared" si="70"/>
        <v>0</v>
      </c>
      <c r="P750" s="144"/>
      <c r="Q750" s="144"/>
      <c r="R750" s="144"/>
      <c r="S750" s="144"/>
    </row>
    <row r="751" spans="1:19" ht="14.25" customHeight="1">
      <c r="A751" s="630"/>
      <c r="B751" s="631"/>
      <c r="C751" s="1127"/>
      <c r="D751" s="632"/>
      <c r="E751" s="1127"/>
      <c r="F751" s="633">
        <f t="shared" si="71"/>
        <v>0</v>
      </c>
      <c r="G751" s="632"/>
      <c r="H751" s="1127"/>
      <c r="I751" s="633">
        <f t="shared" si="72"/>
        <v>0</v>
      </c>
      <c r="J751" s="633">
        <f t="shared" si="73"/>
        <v>0</v>
      </c>
      <c r="K751" s="633">
        <f t="shared" si="74"/>
        <v>0</v>
      </c>
      <c r="L751" s="1127"/>
      <c r="M751" s="1127"/>
      <c r="N751" s="1691">
        <f t="shared" si="69"/>
        <v>0</v>
      </c>
      <c r="O751" s="634">
        <f t="shared" si="70"/>
        <v>0</v>
      </c>
      <c r="P751" s="144"/>
      <c r="Q751" s="144"/>
      <c r="R751" s="144"/>
      <c r="S751" s="144"/>
    </row>
    <row r="752" spans="1:19" ht="14.25" customHeight="1">
      <c r="A752" s="630"/>
      <c r="B752" s="631"/>
      <c r="C752" s="1127"/>
      <c r="D752" s="632"/>
      <c r="E752" s="1127"/>
      <c r="F752" s="633">
        <f t="shared" si="71"/>
        <v>0</v>
      </c>
      <c r="G752" s="632"/>
      <c r="H752" s="1127"/>
      <c r="I752" s="633">
        <f t="shared" si="72"/>
        <v>0</v>
      </c>
      <c r="J752" s="633">
        <f t="shared" si="73"/>
        <v>0</v>
      </c>
      <c r="K752" s="633">
        <f t="shared" si="74"/>
        <v>0</v>
      </c>
      <c r="L752" s="1127"/>
      <c r="M752" s="1127"/>
      <c r="N752" s="1691">
        <f t="shared" si="69"/>
        <v>0</v>
      </c>
      <c r="O752" s="634">
        <f t="shared" si="70"/>
        <v>0</v>
      </c>
      <c r="P752" s="144"/>
      <c r="Q752" s="144"/>
      <c r="R752" s="144"/>
      <c r="S752" s="144"/>
    </row>
    <row r="753" spans="1:19" ht="14.25" customHeight="1">
      <c r="A753" s="630"/>
      <c r="B753" s="631"/>
      <c r="C753" s="1127"/>
      <c r="D753" s="632"/>
      <c r="E753" s="1127"/>
      <c r="F753" s="633">
        <f t="shared" si="71"/>
        <v>0</v>
      </c>
      <c r="G753" s="632"/>
      <c r="H753" s="1127"/>
      <c r="I753" s="633">
        <f t="shared" si="72"/>
        <v>0</v>
      </c>
      <c r="J753" s="633">
        <f t="shared" si="73"/>
        <v>0</v>
      </c>
      <c r="K753" s="633">
        <f t="shared" si="74"/>
        <v>0</v>
      </c>
      <c r="L753" s="1127"/>
      <c r="M753" s="1127"/>
      <c r="N753" s="1691">
        <f t="shared" si="69"/>
        <v>0</v>
      </c>
      <c r="O753" s="634">
        <f t="shared" si="70"/>
        <v>0</v>
      </c>
      <c r="P753" s="144"/>
      <c r="Q753" s="144"/>
      <c r="R753" s="144"/>
      <c r="S753" s="144"/>
    </row>
    <row r="754" spans="1:19" ht="14.25" customHeight="1">
      <c r="A754" s="630"/>
      <c r="B754" s="631"/>
      <c r="C754" s="1127"/>
      <c r="D754" s="632"/>
      <c r="E754" s="1127"/>
      <c r="F754" s="633">
        <f t="shared" si="71"/>
        <v>0</v>
      </c>
      <c r="G754" s="632"/>
      <c r="H754" s="1127"/>
      <c r="I754" s="633">
        <f t="shared" si="72"/>
        <v>0</v>
      </c>
      <c r="J754" s="633">
        <f t="shared" si="73"/>
        <v>0</v>
      </c>
      <c r="K754" s="633">
        <f t="shared" si="74"/>
        <v>0</v>
      </c>
      <c r="L754" s="1127"/>
      <c r="M754" s="1127"/>
      <c r="N754" s="1691">
        <f t="shared" si="69"/>
        <v>0</v>
      </c>
      <c r="O754" s="634">
        <f t="shared" si="70"/>
        <v>0</v>
      </c>
      <c r="P754" s="144"/>
      <c r="Q754" s="144"/>
      <c r="R754" s="144"/>
      <c r="S754" s="144"/>
    </row>
    <row r="755" spans="1:19" ht="14.25" customHeight="1">
      <c r="A755" s="630"/>
      <c r="B755" s="631"/>
      <c r="C755" s="1127"/>
      <c r="D755" s="632"/>
      <c r="E755" s="1127"/>
      <c r="F755" s="633">
        <f t="shared" si="71"/>
        <v>0</v>
      </c>
      <c r="G755" s="632"/>
      <c r="H755" s="1127"/>
      <c r="I755" s="633">
        <f t="shared" si="72"/>
        <v>0</v>
      </c>
      <c r="J755" s="633">
        <f t="shared" si="73"/>
        <v>0</v>
      </c>
      <c r="K755" s="633">
        <f t="shared" si="74"/>
        <v>0</v>
      </c>
      <c r="L755" s="1127"/>
      <c r="M755" s="1127"/>
      <c r="N755" s="1691">
        <f t="shared" si="69"/>
        <v>0</v>
      </c>
      <c r="O755" s="634">
        <f t="shared" si="70"/>
        <v>0</v>
      </c>
      <c r="P755" s="144"/>
      <c r="Q755" s="144"/>
      <c r="R755" s="144"/>
      <c r="S755" s="144"/>
    </row>
    <row r="756" spans="1:19" ht="14.25" customHeight="1">
      <c r="A756" s="630"/>
      <c r="B756" s="631"/>
      <c r="C756" s="1127"/>
      <c r="D756" s="632"/>
      <c r="E756" s="1127"/>
      <c r="F756" s="633">
        <f t="shared" si="71"/>
        <v>0</v>
      </c>
      <c r="G756" s="632"/>
      <c r="H756" s="1127"/>
      <c r="I756" s="633">
        <f t="shared" si="72"/>
        <v>0</v>
      </c>
      <c r="J756" s="633">
        <f t="shared" si="73"/>
        <v>0</v>
      </c>
      <c r="K756" s="633">
        <f t="shared" si="74"/>
        <v>0</v>
      </c>
      <c r="L756" s="1127"/>
      <c r="M756" s="1127"/>
      <c r="N756" s="1691">
        <f t="shared" si="69"/>
        <v>0</v>
      </c>
      <c r="O756" s="634">
        <f t="shared" si="70"/>
        <v>0</v>
      </c>
      <c r="P756" s="144"/>
      <c r="Q756" s="144"/>
      <c r="R756" s="144"/>
      <c r="S756" s="144"/>
    </row>
    <row r="757" spans="1:19" ht="14.25" customHeight="1">
      <c r="A757" s="630"/>
      <c r="B757" s="631"/>
      <c r="C757" s="1127"/>
      <c r="D757" s="632"/>
      <c r="E757" s="1127"/>
      <c r="F757" s="633">
        <f t="shared" si="71"/>
        <v>0</v>
      </c>
      <c r="G757" s="632"/>
      <c r="H757" s="1127"/>
      <c r="I757" s="633">
        <f t="shared" si="72"/>
        <v>0</v>
      </c>
      <c r="J757" s="633">
        <f t="shared" si="73"/>
        <v>0</v>
      </c>
      <c r="K757" s="633">
        <f t="shared" si="74"/>
        <v>0</v>
      </c>
      <c r="L757" s="1127"/>
      <c r="M757" s="1127"/>
      <c r="N757" s="1691">
        <f t="shared" si="69"/>
        <v>0</v>
      </c>
      <c r="O757" s="634">
        <f t="shared" si="70"/>
        <v>0</v>
      </c>
      <c r="P757" s="144"/>
      <c r="Q757" s="144"/>
      <c r="R757" s="144"/>
      <c r="S757" s="144"/>
    </row>
    <row r="758" spans="1:19" ht="14.25" customHeight="1">
      <c r="A758" s="630"/>
      <c r="B758" s="631"/>
      <c r="C758" s="1127"/>
      <c r="D758" s="632"/>
      <c r="E758" s="1127"/>
      <c r="F758" s="633">
        <f t="shared" si="71"/>
        <v>0</v>
      </c>
      <c r="G758" s="632"/>
      <c r="H758" s="1127"/>
      <c r="I758" s="633">
        <f t="shared" si="72"/>
        <v>0</v>
      </c>
      <c r="J758" s="633">
        <f t="shared" si="73"/>
        <v>0</v>
      </c>
      <c r="K758" s="633">
        <f t="shared" si="74"/>
        <v>0</v>
      </c>
      <c r="L758" s="1127"/>
      <c r="M758" s="1127"/>
      <c r="N758" s="1691">
        <f t="shared" si="69"/>
        <v>0</v>
      </c>
      <c r="O758" s="634">
        <f t="shared" si="70"/>
        <v>0</v>
      </c>
      <c r="P758" s="144"/>
      <c r="Q758" s="144"/>
      <c r="R758" s="144"/>
      <c r="S758" s="144"/>
    </row>
    <row r="759" spans="1:19" ht="14.25" customHeight="1">
      <c r="A759" s="630"/>
      <c r="B759" s="631"/>
      <c r="C759" s="1127"/>
      <c r="D759" s="632"/>
      <c r="E759" s="1127"/>
      <c r="F759" s="633">
        <f t="shared" si="71"/>
        <v>0</v>
      </c>
      <c r="G759" s="632"/>
      <c r="H759" s="1127"/>
      <c r="I759" s="633">
        <f t="shared" si="72"/>
        <v>0</v>
      </c>
      <c r="J759" s="633">
        <f t="shared" si="73"/>
        <v>0</v>
      </c>
      <c r="K759" s="633">
        <f t="shared" si="74"/>
        <v>0</v>
      </c>
      <c r="L759" s="1127"/>
      <c r="M759" s="1127"/>
      <c r="N759" s="1691">
        <f t="shared" si="69"/>
        <v>0</v>
      </c>
      <c r="O759" s="634">
        <f t="shared" si="70"/>
        <v>0</v>
      </c>
      <c r="P759" s="144"/>
      <c r="Q759" s="144"/>
      <c r="R759" s="144"/>
      <c r="S759" s="144"/>
    </row>
    <row r="760" spans="1:19" ht="14.25" customHeight="1">
      <c r="A760" s="630"/>
      <c r="B760" s="631"/>
      <c r="C760" s="1127"/>
      <c r="D760" s="632"/>
      <c r="E760" s="1127"/>
      <c r="F760" s="633">
        <f t="shared" si="71"/>
        <v>0</v>
      </c>
      <c r="G760" s="632"/>
      <c r="H760" s="1127"/>
      <c r="I760" s="633">
        <f t="shared" si="72"/>
        <v>0</v>
      </c>
      <c r="J760" s="633">
        <f t="shared" si="73"/>
        <v>0</v>
      </c>
      <c r="K760" s="633">
        <f t="shared" si="74"/>
        <v>0</v>
      </c>
      <c r="L760" s="1127"/>
      <c r="M760" s="1127"/>
      <c r="N760" s="1691">
        <f t="shared" si="69"/>
        <v>0</v>
      </c>
      <c r="O760" s="634">
        <f t="shared" si="70"/>
        <v>0</v>
      </c>
      <c r="P760" s="144"/>
      <c r="Q760" s="144"/>
      <c r="R760" s="144"/>
      <c r="S760" s="144"/>
    </row>
    <row r="761" spans="1:19" ht="14.25" customHeight="1">
      <c r="A761" s="630"/>
      <c r="B761" s="631"/>
      <c r="C761" s="1127"/>
      <c r="D761" s="632"/>
      <c r="E761" s="1127"/>
      <c r="F761" s="633">
        <f t="shared" si="71"/>
        <v>0</v>
      </c>
      <c r="G761" s="632"/>
      <c r="H761" s="1127"/>
      <c r="I761" s="633">
        <f t="shared" si="72"/>
        <v>0</v>
      </c>
      <c r="J761" s="633">
        <f t="shared" si="73"/>
        <v>0</v>
      </c>
      <c r="K761" s="633">
        <f t="shared" si="74"/>
        <v>0</v>
      </c>
      <c r="L761" s="1127"/>
      <c r="M761" s="1127"/>
      <c r="N761" s="1691">
        <f t="shared" si="69"/>
        <v>0</v>
      </c>
      <c r="O761" s="634">
        <f t="shared" si="70"/>
        <v>0</v>
      </c>
      <c r="P761" s="144"/>
      <c r="Q761" s="144"/>
      <c r="R761" s="144"/>
      <c r="S761" s="144"/>
    </row>
    <row r="762" spans="1:19" ht="14.25" customHeight="1">
      <c r="A762" s="630"/>
      <c r="B762" s="631"/>
      <c r="C762" s="1127"/>
      <c r="D762" s="632"/>
      <c r="E762" s="1127"/>
      <c r="F762" s="633">
        <f t="shared" si="71"/>
        <v>0</v>
      </c>
      <c r="G762" s="632"/>
      <c r="H762" s="1127"/>
      <c r="I762" s="633">
        <f t="shared" si="72"/>
        <v>0</v>
      </c>
      <c r="J762" s="633">
        <f t="shared" si="73"/>
        <v>0</v>
      </c>
      <c r="K762" s="633">
        <f t="shared" si="74"/>
        <v>0</v>
      </c>
      <c r="L762" s="1127"/>
      <c r="M762" s="1127"/>
      <c r="N762" s="1691">
        <f t="shared" si="69"/>
        <v>0</v>
      </c>
      <c r="O762" s="634">
        <f t="shared" si="70"/>
        <v>0</v>
      </c>
      <c r="P762" s="144"/>
      <c r="Q762" s="144"/>
      <c r="R762" s="144"/>
      <c r="S762" s="144"/>
    </row>
    <row r="763" spans="1:19" ht="14.25" customHeight="1">
      <c r="A763" s="630"/>
      <c r="B763" s="631"/>
      <c r="C763" s="1127"/>
      <c r="D763" s="632"/>
      <c r="E763" s="1127"/>
      <c r="F763" s="633">
        <f t="shared" si="71"/>
        <v>0</v>
      </c>
      <c r="G763" s="632"/>
      <c r="H763" s="1127"/>
      <c r="I763" s="633">
        <f t="shared" si="72"/>
        <v>0</v>
      </c>
      <c r="J763" s="633">
        <f t="shared" si="73"/>
        <v>0</v>
      </c>
      <c r="K763" s="633">
        <f t="shared" si="74"/>
        <v>0</v>
      </c>
      <c r="L763" s="1127"/>
      <c r="M763" s="1127"/>
      <c r="N763" s="1691">
        <f t="shared" si="69"/>
        <v>0</v>
      </c>
      <c r="O763" s="634">
        <f t="shared" si="70"/>
        <v>0</v>
      </c>
      <c r="P763" s="144"/>
      <c r="Q763" s="144"/>
      <c r="R763" s="144"/>
      <c r="S763" s="144"/>
    </row>
    <row r="764" spans="1:19" ht="14.25" customHeight="1">
      <c r="A764" s="630"/>
      <c r="B764" s="631"/>
      <c r="C764" s="1127"/>
      <c r="D764" s="632"/>
      <c r="E764" s="1127"/>
      <c r="F764" s="633">
        <f t="shared" si="71"/>
        <v>0</v>
      </c>
      <c r="G764" s="632"/>
      <c r="H764" s="1127"/>
      <c r="I764" s="633">
        <f t="shared" si="72"/>
        <v>0</v>
      </c>
      <c r="J764" s="633">
        <f t="shared" si="73"/>
        <v>0</v>
      </c>
      <c r="K764" s="633">
        <f t="shared" si="74"/>
        <v>0</v>
      </c>
      <c r="L764" s="1127"/>
      <c r="M764" s="1127"/>
      <c r="N764" s="1691">
        <f t="shared" si="69"/>
        <v>0</v>
      </c>
      <c r="O764" s="634">
        <f t="shared" si="70"/>
        <v>0</v>
      </c>
      <c r="P764" s="144"/>
      <c r="Q764" s="144"/>
      <c r="R764" s="144"/>
      <c r="S764" s="144"/>
    </row>
    <row r="765" spans="1:19" ht="14.25" customHeight="1">
      <c r="A765" s="630"/>
      <c r="B765" s="631"/>
      <c r="C765" s="1127"/>
      <c r="D765" s="632"/>
      <c r="E765" s="1127"/>
      <c r="F765" s="633">
        <f t="shared" si="71"/>
        <v>0</v>
      </c>
      <c r="G765" s="632"/>
      <c r="H765" s="1127"/>
      <c r="I765" s="633">
        <f t="shared" si="72"/>
        <v>0</v>
      </c>
      <c r="J765" s="633">
        <f t="shared" si="73"/>
        <v>0</v>
      </c>
      <c r="K765" s="633">
        <f t="shared" si="74"/>
        <v>0</v>
      </c>
      <c r="L765" s="1127"/>
      <c r="M765" s="1127"/>
      <c r="N765" s="1691">
        <f t="shared" si="69"/>
        <v>0</v>
      </c>
      <c r="O765" s="634">
        <f t="shared" si="70"/>
        <v>0</v>
      </c>
      <c r="P765" s="144"/>
      <c r="Q765" s="144"/>
      <c r="R765" s="144"/>
      <c r="S765" s="144"/>
    </row>
    <row r="766" spans="1:19" ht="14.25" customHeight="1">
      <c r="A766" s="630"/>
      <c r="B766" s="631"/>
      <c r="C766" s="1127"/>
      <c r="D766" s="632"/>
      <c r="E766" s="1127"/>
      <c r="F766" s="633">
        <f t="shared" si="71"/>
        <v>0</v>
      </c>
      <c r="G766" s="632"/>
      <c r="H766" s="1127"/>
      <c r="I766" s="633">
        <f t="shared" si="72"/>
        <v>0</v>
      </c>
      <c r="J766" s="633">
        <f t="shared" si="73"/>
        <v>0</v>
      </c>
      <c r="K766" s="633">
        <f t="shared" si="74"/>
        <v>0</v>
      </c>
      <c r="L766" s="1127"/>
      <c r="M766" s="1127"/>
      <c r="N766" s="1691">
        <f t="shared" si="69"/>
        <v>0</v>
      </c>
      <c r="O766" s="634">
        <f t="shared" si="70"/>
        <v>0</v>
      </c>
      <c r="P766" s="144"/>
      <c r="Q766" s="144"/>
      <c r="R766" s="144"/>
      <c r="S766" s="144"/>
    </row>
    <row r="767" spans="1:19" ht="14.25" customHeight="1">
      <c r="A767" s="630"/>
      <c r="B767" s="631"/>
      <c r="C767" s="1127"/>
      <c r="D767" s="632"/>
      <c r="E767" s="1127"/>
      <c r="F767" s="633">
        <f t="shared" si="71"/>
        <v>0</v>
      </c>
      <c r="G767" s="632"/>
      <c r="H767" s="1127"/>
      <c r="I767" s="633">
        <f t="shared" si="72"/>
        <v>0</v>
      </c>
      <c r="J767" s="633">
        <f t="shared" si="73"/>
        <v>0</v>
      </c>
      <c r="K767" s="633">
        <f t="shared" si="74"/>
        <v>0</v>
      </c>
      <c r="L767" s="1127"/>
      <c r="M767" s="1127"/>
      <c r="N767" s="1691">
        <f t="shared" si="69"/>
        <v>0</v>
      </c>
      <c r="O767" s="634">
        <f t="shared" si="70"/>
        <v>0</v>
      </c>
      <c r="P767" s="144"/>
      <c r="Q767" s="144"/>
      <c r="R767" s="144"/>
      <c r="S767" s="144"/>
    </row>
    <row r="768" spans="1:19" ht="14.25" customHeight="1">
      <c r="A768" s="630"/>
      <c r="B768" s="631"/>
      <c r="C768" s="1127"/>
      <c r="D768" s="632"/>
      <c r="E768" s="1127"/>
      <c r="F768" s="633">
        <f t="shared" si="71"/>
        <v>0</v>
      </c>
      <c r="G768" s="632"/>
      <c r="H768" s="1127"/>
      <c r="I768" s="633">
        <f t="shared" si="72"/>
        <v>0</v>
      </c>
      <c r="J768" s="633">
        <f t="shared" si="73"/>
        <v>0</v>
      </c>
      <c r="K768" s="633">
        <f t="shared" si="74"/>
        <v>0</v>
      </c>
      <c r="L768" s="1127"/>
      <c r="M768" s="1127"/>
      <c r="N768" s="1691">
        <f t="shared" si="69"/>
        <v>0</v>
      </c>
      <c r="O768" s="634">
        <f t="shared" si="70"/>
        <v>0</v>
      </c>
      <c r="P768" s="144"/>
      <c r="Q768" s="144"/>
      <c r="R768" s="144"/>
      <c r="S768" s="144"/>
    </row>
    <row r="769" spans="1:19" ht="14.25" customHeight="1">
      <c r="A769" s="630"/>
      <c r="B769" s="631"/>
      <c r="C769" s="1127"/>
      <c r="D769" s="632"/>
      <c r="E769" s="1127"/>
      <c r="F769" s="633">
        <f t="shared" si="71"/>
        <v>0</v>
      </c>
      <c r="G769" s="632"/>
      <c r="H769" s="1127"/>
      <c r="I769" s="633">
        <f t="shared" si="72"/>
        <v>0</v>
      </c>
      <c r="J769" s="633">
        <f t="shared" si="73"/>
        <v>0</v>
      </c>
      <c r="K769" s="633">
        <f t="shared" si="74"/>
        <v>0</v>
      </c>
      <c r="L769" s="1127"/>
      <c r="M769" s="1127"/>
      <c r="N769" s="1691">
        <f t="shared" si="69"/>
        <v>0</v>
      </c>
      <c r="O769" s="634">
        <f t="shared" si="70"/>
        <v>0</v>
      </c>
      <c r="P769" s="144"/>
      <c r="Q769" s="144"/>
      <c r="R769" s="144"/>
      <c r="S769" s="144"/>
    </row>
    <row r="770" spans="1:19" ht="14.25" customHeight="1">
      <c r="A770" s="630"/>
      <c r="B770" s="631"/>
      <c r="C770" s="1127"/>
      <c r="D770" s="632"/>
      <c r="E770" s="1127"/>
      <c r="F770" s="633">
        <f t="shared" si="71"/>
        <v>0</v>
      </c>
      <c r="G770" s="632"/>
      <c r="H770" s="1127"/>
      <c r="I770" s="633">
        <f t="shared" si="72"/>
        <v>0</v>
      </c>
      <c r="J770" s="633">
        <f t="shared" si="73"/>
        <v>0</v>
      </c>
      <c r="K770" s="633">
        <f t="shared" si="74"/>
        <v>0</v>
      </c>
      <c r="L770" s="1127"/>
      <c r="M770" s="1127"/>
      <c r="N770" s="1691">
        <f t="shared" si="69"/>
        <v>0</v>
      </c>
      <c r="O770" s="634">
        <f t="shared" si="70"/>
        <v>0</v>
      </c>
      <c r="P770" s="144"/>
      <c r="Q770" s="144"/>
      <c r="R770" s="144"/>
      <c r="S770" s="144"/>
    </row>
    <row r="771" spans="1:19" ht="14.25" customHeight="1">
      <c r="A771" s="630"/>
      <c r="B771" s="631"/>
      <c r="C771" s="1127"/>
      <c r="D771" s="632"/>
      <c r="E771" s="1127"/>
      <c r="F771" s="633">
        <f t="shared" si="71"/>
        <v>0</v>
      </c>
      <c r="G771" s="632"/>
      <c r="H771" s="1127"/>
      <c r="I771" s="633">
        <f t="shared" si="72"/>
        <v>0</v>
      </c>
      <c r="J771" s="633">
        <f t="shared" si="73"/>
        <v>0</v>
      </c>
      <c r="K771" s="633">
        <f t="shared" si="74"/>
        <v>0</v>
      </c>
      <c r="L771" s="1127"/>
      <c r="M771" s="1127"/>
      <c r="N771" s="1691">
        <f t="shared" si="69"/>
        <v>0</v>
      </c>
      <c r="O771" s="634">
        <f t="shared" si="70"/>
        <v>0</v>
      </c>
      <c r="P771" s="144"/>
      <c r="Q771" s="144"/>
      <c r="R771" s="144"/>
      <c r="S771" s="144"/>
    </row>
    <row r="772" spans="1:19" ht="14.25" customHeight="1">
      <c r="A772" s="630"/>
      <c r="B772" s="631"/>
      <c r="C772" s="1127"/>
      <c r="D772" s="632"/>
      <c r="E772" s="1127"/>
      <c r="F772" s="633">
        <f t="shared" si="71"/>
        <v>0</v>
      </c>
      <c r="G772" s="632"/>
      <c r="H772" s="1127"/>
      <c r="I772" s="633">
        <f t="shared" si="72"/>
        <v>0</v>
      </c>
      <c r="J772" s="633">
        <f t="shared" si="73"/>
        <v>0</v>
      </c>
      <c r="K772" s="633">
        <f t="shared" si="74"/>
        <v>0</v>
      </c>
      <c r="L772" s="1127"/>
      <c r="M772" s="1127"/>
      <c r="N772" s="1691">
        <f t="shared" si="69"/>
        <v>0</v>
      </c>
      <c r="O772" s="634">
        <f t="shared" si="70"/>
        <v>0</v>
      </c>
      <c r="P772" s="144"/>
      <c r="Q772" s="144"/>
      <c r="R772" s="144"/>
      <c r="S772" s="144"/>
    </row>
    <row r="773" spans="1:19" ht="14.25" customHeight="1">
      <c r="A773" s="630"/>
      <c r="B773" s="631"/>
      <c r="C773" s="1127"/>
      <c r="D773" s="632"/>
      <c r="E773" s="1127"/>
      <c r="F773" s="633">
        <f t="shared" si="71"/>
        <v>0</v>
      </c>
      <c r="G773" s="632"/>
      <c r="H773" s="1127"/>
      <c r="I773" s="633">
        <f t="shared" si="72"/>
        <v>0</v>
      </c>
      <c r="J773" s="633">
        <f t="shared" si="73"/>
        <v>0</v>
      </c>
      <c r="K773" s="633">
        <f t="shared" si="74"/>
        <v>0</v>
      </c>
      <c r="L773" s="1127"/>
      <c r="M773" s="1127"/>
      <c r="N773" s="1691">
        <f t="shared" si="69"/>
        <v>0</v>
      </c>
      <c r="O773" s="634">
        <f t="shared" si="70"/>
        <v>0</v>
      </c>
      <c r="P773" s="144"/>
      <c r="Q773" s="144"/>
      <c r="R773" s="144"/>
      <c r="S773" s="144"/>
    </row>
    <row r="774" spans="1:19" ht="14.25" customHeight="1">
      <c r="A774" s="630"/>
      <c r="B774" s="631"/>
      <c r="C774" s="1127"/>
      <c r="D774" s="632"/>
      <c r="E774" s="1127"/>
      <c r="F774" s="633">
        <f t="shared" si="71"/>
        <v>0</v>
      </c>
      <c r="G774" s="632"/>
      <c r="H774" s="1127"/>
      <c r="I774" s="633">
        <f t="shared" si="72"/>
        <v>0</v>
      </c>
      <c r="J774" s="633">
        <f t="shared" si="73"/>
        <v>0</v>
      </c>
      <c r="K774" s="633">
        <f t="shared" si="74"/>
        <v>0</v>
      </c>
      <c r="L774" s="1127"/>
      <c r="M774" s="1127"/>
      <c r="N774" s="1691">
        <f t="shared" si="69"/>
        <v>0</v>
      </c>
      <c r="O774" s="634">
        <f t="shared" si="70"/>
        <v>0</v>
      </c>
      <c r="P774" s="144"/>
      <c r="Q774" s="144"/>
      <c r="R774" s="144"/>
      <c r="S774" s="144"/>
    </row>
    <row r="775" spans="1:19" ht="14.25" customHeight="1">
      <c r="A775" s="630"/>
      <c r="B775" s="631"/>
      <c r="C775" s="1127"/>
      <c r="D775" s="632"/>
      <c r="E775" s="1127"/>
      <c r="F775" s="633">
        <f t="shared" si="71"/>
        <v>0</v>
      </c>
      <c r="G775" s="632"/>
      <c r="H775" s="1127"/>
      <c r="I775" s="633">
        <f t="shared" si="72"/>
        <v>0</v>
      </c>
      <c r="J775" s="633">
        <f t="shared" si="73"/>
        <v>0</v>
      </c>
      <c r="K775" s="633">
        <f t="shared" si="74"/>
        <v>0</v>
      </c>
      <c r="L775" s="1127"/>
      <c r="M775" s="1127"/>
      <c r="N775" s="1691">
        <f t="shared" si="69"/>
        <v>0</v>
      </c>
      <c r="O775" s="634">
        <f t="shared" si="70"/>
        <v>0</v>
      </c>
      <c r="P775" s="144"/>
      <c r="Q775" s="144"/>
      <c r="R775" s="144"/>
      <c r="S775" s="144"/>
    </row>
    <row r="776" spans="1:19" ht="14.25" customHeight="1">
      <c r="A776" s="630"/>
      <c r="B776" s="631"/>
      <c r="C776" s="1127"/>
      <c r="D776" s="632"/>
      <c r="E776" s="1127"/>
      <c r="F776" s="633">
        <f t="shared" si="71"/>
        <v>0</v>
      </c>
      <c r="G776" s="632"/>
      <c r="H776" s="1127"/>
      <c r="I776" s="633">
        <f t="shared" si="72"/>
        <v>0</v>
      </c>
      <c r="J776" s="633">
        <f t="shared" si="73"/>
        <v>0</v>
      </c>
      <c r="K776" s="633">
        <f t="shared" si="74"/>
        <v>0</v>
      </c>
      <c r="L776" s="1127"/>
      <c r="M776" s="1127"/>
      <c r="N776" s="1691">
        <f t="shared" si="69"/>
        <v>0</v>
      </c>
      <c r="O776" s="634">
        <f t="shared" si="70"/>
        <v>0</v>
      </c>
      <c r="P776" s="144"/>
      <c r="Q776" s="144"/>
      <c r="R776" s="144"/>
      <c r="S776" s="144"/>
    </row>
    <row r="777" spans="1:19" ht="14.25" customHeight="1">
      <c r="A777" s="630"/>
      <c r="B777" s="631"/>
      <c r="C777" s="1127"/>
      <c r="D777" s="632"/>
      <c r="E777" s="1127"/>
      <c r="F777" s="633">
        <f t="shared" si="71"/>
        <v>0</v>
      </c>
      <c r="G777" s="632"/>
      <c r="H777" s="1127"/>
      <c r="I777" s="633">
        <f t="shared" si="72"/>
        <v>0</v>
      </c>
      <c r="J777" s="633">
        <f t="shared" si="73"/>
        <v>0</v>
      </c>
      <c r="K777" s="633">
        <f t="shared" si="74"/>
        <v>0</v>
      </c>
      <c r="L777" s="1127"/>
      <c r="M777" s="1127"/>
      <c r="N777" s="1691">
        <f t="shared" si="69"/>
        <v>0</v>
      </c>
      <c r="O777" s="634">
        <f t="shared" si="70"/>
        <v>0</v>
      </c>
      <c r="P777" s="144"/>
      <c r="Q777" s="144"/>
      <c r="R777" s="144"/>
      <c r="S777" s="144"/>
    </row>
    <row r="778" spans="1:19" ht="14.25" customHeight="1">
      <c r="A778" s="630"/>
      <c r="B778" s="631"/>
      <c r="C778" s="1127"/>
      <c r="D778" s="632"/>
      <c r="E778" s="1127"/>
      <c r="F778" s="633">
        <f t="shared" si="71"/>
        <v>0</v>
      </c>
      <c r="G778" s="632"/>
      <c r="H778" s="1127"/>
      <c r="I778" s="633">
        <f t="shared" si="72"/>
        <v>0</v>
      </c>
      <c r="J778" s="633">
        <f t="shared" si="73"/>
        <v>0</v>
      </c>
      <c r="K778" s="633">
        <f t="shared" si="74"/>
        <v>0</v>
      </c>
      <c r="L778" s="1127"/>
      <c r="M778" s="1127"/>
      <c r="N778" s="1691">
        <f t="shared" ref="N778:N841" si="75">IF(M778&lt;&gt;0,ROUND(B778*K778,2)+M778,IF(ABS(ROUND(K778*B778,2)-L778)&lt;3,L778,MIN(ROUND(K778*B778,2),L778)))</f>
        <v>0</v>
      </c>
      <c r="O778" s="634">
        <f t="shared" ref="O778:O841" si="76">IF(ISERROR(L778-N778),"",IF(ABS(L778-N778)&lt;3,0,L778-N778))</f>
        <v>0</v>
      </c>
      <c r="P778" s="144"/>
      <c r="Q778" s="144"/>
      <c r="R778" s="144"/>
      <c r="S778" s="144"/>
    </row>
    <row r="779" spans="1:19" ht="14.25" customHeight="1">
      <c r="A779" s="630"/>
      <c r="B779" s="631"/>
      <c r="C779" s="1127"/>
      <c r="D779" s="632"/>
      <c r="E779" s="1127"/>
      <c r="F779" s="633">
        <f t="shared" ref="F779:F842" si="77">E779*(12-MONTH(D779))/12</f>
        <v>0</v>
      </c>
      <c r="G779" s="632"/>
      <c r="H779" s="1127"/>
      <c r="I779" s="633">
        <f t="shared" ref="I779:I842" si="78">H779*(12-MONTH(G779))/12</f>
        <v>0</v>
      </c>
      <c r="J779" s="633">
        <f t="shared" ref="J779:J842" si="79">C779+E779-H779</f>
        <v>0</v>
      </c>
      <c r="K779" s="633">
        <f t="shared" ref="K779:K842" si="80">C779+F779-I779</f>
        <v>0</v>
      </c>
      <c r="L779" s="1127"/>
      <c r="M779" s="1127"/>
      <c r="N779" s="1691">
        <f t="shared" si="75"/>
        <v>0</v>
      </c>
      <c r="O779" s="634">
        <f t="shared" si="76"/>
        <v>0</v>
      </c>
      <c r="P779" s="144"/>
      <c r="Q779" s="144"/>
      <c r="R779" s="144"/>
      <c r="S779" s="144"/>
    </row>
    <row r="780" spans="1:19" ht="14.25" customHeight="1">
      <c r="A780" s="630"/>
      <c r="B780" s="631"/>
      <c r="C780" s="1127"/>
      <c r="D780" s="632"/>
      <c r="E780" s="1127"/>
      <c r="F780" s="633">
        <f t="shared" si="77"/>
        <v>0</v>
      </c>
      <c r="G780" s="632"/>
      <c r="H780" s="1127"/>
      <c r="I780" s="633">
        <f t="shared" si="78"/>
        <v>0</v>
      </c>
      <c r="J780" s="633">
        <f t="shared" si="79"/>
        <v>0</v>
      </c>
      <c r="K780" s="633">
        <f t="shared" si="80"/>
        <v>0</v>
      </c>
      <c r="L780" s="1127"/>
      <c r="M780" s="1127"/>
      <c r="N780" s="1691">
        <f t="shared" si="75"/>
        <v>0</v>
      </c>
      <c r="O780" s="634">
        <f t="shared" si="76"/>
        <v>0</v>
      </c>
      <c r="P780" s="144"/>
      <c r="Q780" s="144"/>
      <c r="R780" s="144"/>
      <c r="S780" s="144"/>
    </row>
    <row r="781" spans="1:19" ht="14.25" customHeight="1">
      <c r="A781" s="630"/>
      <c r="B781" s="631"/>
      <c r="C781" s="1127"/>
      <c r="D781" s="632"/>
      <c r="E781" s="1127"/>
      <c r="F781" s="633">
        <f t="shared" si="77"/>
        <v>0</v>
      </c>
      <c r="G781" s="632"/>
      <c r="H781" s="1127"/>
      <c r="I781" s="633">
        <f t="shared" si="78"/>
        <v>0</v>
      </c>
      <c r="J781" s="633">
        <f t="shared" si="79"/>
        <v>0</v>
      </c>
      <c r="K781" s="633">
        <f t="shared" si="80"/>
        <v>0</v>
      </c>
      <c r="L781" s="1127"/>
      <c r="M781" s="1127"/>
      <c r="N781" s="1691">
        <f t="shared" si="75"/>
        <v>0</v>
      </c>
      <c r="O781" s="634">
        <f t="shared" si="76"/>
        <v>0</v>
      </c>
      <c r="P781" s="144"/>
      <c r="Q781" s="144"/>
      <c r="R781" s="144"/>
      <c r="S781" s="144"/>
    </row>
    <row r="782" spans="1:19" ht="14.25" customHeight="1">
      <c r="A782" s="630"/>
      <c r="B782" s="631"/>
      <c r="C782" s="1127"/>
      <c r="D782" s="632"/>
      <c r="E782" s="1127"/>
      <c r="F782" s="633">
        <f t="shared" si="77"/>
        <v>0</v>
      </c>
      <c r="G782" s="632"/>
      <c r="H782" s="1127"/>
      <c r="I782" s="633">
        <f t="shared" si="78"/>
        <v>0</v>
      </c>
      <c r="J782" s="633">
        <f t="shared" si="79"/>
        <v>0</v>
      </c>
      <c r="K782" s="633">
        <f t="shared" si="80"/>
        <v>0</v>
      </c>
      <c r="L782" s="1127"/>
      <c r="M782" s="1127"/>
      <c r="N782" s="1691">
        <f t="shared" si="75"/>
        <v>0</v>
      </c>
      <c r="O782" s="634">
        <f t="shared" si="76"/>
        <v>0</v>
      </c>
      <c r="P782" s="144"/>
      <c r="Q782" s="144"/>
      <c r="R782" s="144"/>
      <c r="S782" s="144"/>
    </row>
    <row r="783" spans="1:19" ht="14.25" customHeight="1">
      <c r="A783" s="630"/>
      <c r="B783" s="631"/>
      <c r="C783" s="1127"/>
      <c r="D783" s="632"/>
      <c r="E783" s="1127"/>
      <c r="F783" s="633">
        <f t="shared" si="77"/>
        <v>0</v>
      </c>
      <c r="G783" s="632"/>
      <c r="H783" s="1127"/>
      <c r="I783" s="633">
        <f t="shared" si="78"/>
        <v>0</v>
      </c>
      <c r="J783" s="633">
        <f t="shared" si="79"/>
        <v>0</v>
      </c>
      <c r="K783" s="633">
        <f t="shared" si="80"/>
        <v>0</v>
      </c>
      <c r="L783" s="1127"/>
      <c r="M783" s="1127"/>
      <c r="N783" s="1691">
        <f t="shared" si="75"/>
        <v>0</v>
      </c>
      <c r="O783" s="634">
        <f t="shared" si="76"/>
        <v>0</v>
      </c>
      <c r="P783" s="144"/>
      <c r="Q783" s="144"/>
      <c r="R783" s="144"/>
      <c r="S783" s="144"/>
    </row>
    <row r="784" spans="1:19" ht="14.25" customHeight="1">
      <c r="A784" s="630"/>
      <c r="B784" s="631"/>
      <c r="C784" s="1127"/>
      <c r="D784" s="632"/>
      <c r="E784" s="1127"/>
      <c r="F784" s="633">
        <f t="shared" si="77"/>
        <v>0</v>
      </c>
      <c r="G784" s="632"/>
      <c r="H784" s="1127"/>
      <c r="I784" s="633">
        <f t="shared" si="78"/>
        <v>0</v>
      </c>
      <c r="J784" s="633">
        <f t="shared" si="79"/>
        <v>0</v>
      </c>
      <c r="K784" s="633">
        <f t="shared" si="80"/>
        <v>0</v>
      </c>
      <c r="L784" s="1127"/>
      <c r="M784" s="1127"/>
      <c r="N784" s="1691">
        <f t="shared" si="75"/>
        <v>0</v>
      </c>
      <c r="O784" s="634">
        <f t="shared" si="76"/>
        <v>0</v>
      </c>
      <c r="P784" s="144"/>
      <c r="Q784" s="144"/>
      <c r="R784" s="144"/>
      <c r="S784" s="144"/>
    </row>
    <row r="785" spans="1:19" ht="14.25" customHeight="1">
      <c r="A785" s="630"/>
      <c r="B785" s="631"/>
      <c r="C785" s="1127"/>
      <c r="D785" s="632"/>
      <c r="E785" s="1127"/>
      <c r="F785" s="633">
        <f t="shared" si="77"/>
        <v>0</v>
      </c>
      <c r="G785" s="632"/>
      <c r="H785" s="1127"/>
      <c r="I785" s="633">
        <f t="shared" si="78"/>
        <v>0</v>
      </c>
      <c r="J785" s="633">
        <f t="shared" si="79"/>
        <v>0</v>
      </c>
      <c r="K785" s="633">
        <f t="shared" si="80"/>
        <v>0</v>
      </c>
      <c r="L785" s="1127"/>
      <c r="M785" s="1127"/>
      <c r="N785" s="1691">
        <f t="shared" si="75"/>
        <v>0</v>
      </c>
      <c r="O785" s="634">
        <f t="shared" si="76"/>
        <v>0</v>
      </c>
      <c r="P785" s="144"/>
      <c r="Q785" s="144"/>
      <c r="R785" s="144"/>
      <c r="S785" s="144"/>
    </row>
    <row r="786" spans="1:19" ht="14.25" customHeight="1">
      <c r="A786" s="630"/>
      <c r="B786" s="631"/>
      <c r="C786" s="1127"/>
      <c r="D786" s="632"/>
      <c r="E786" s="1127"/>
      <c r="F786" s="633">
        <f t="shared" si="77"/>
        <v>0</v>
      </c>
      <c r="G786" s="632"/>
      <c r="H786" s="1127"/>
      <c r="I786" s="633">
        <f t="shared" si="78"/>
        <v>0</v>
      </c>
      <c r="J786" s="633">
        <f t="shared" si="79"/>
        <v>0</v>
      </c>
      <c r="K786" s="633">
        <f t="shared" si="80"/>
        <v>0</v>
      </c>
      <c r="L786" s="1127"/>
      <c r="M786" s="1127"/>
      <c r="N786" s="1691">
        <f t="shared" si="75"/>
        <v>0</v>
      </c>
      <c r="O786" s="634">
        <f t="shared" si="76"/>
        <v>0</v>
      </c>
      <c r="P786" s="144"/>
      <c r="Q786" s="144"/>
      <c r="R786" s="144"/>
      <c r="S786" s="144"/>
    </row>
    <row r="787" spans="1:19" ht="14.25" customHeight="1">
      <c r="A787" s="630"/>
      <c r="B787" s="631"/>
      <c r="C787" s="1127"/>
      <c r="D787" s="632"/>
      <c r="E787" s="1127"/>
      <c r="F787" s="633">
        <f t="shared" si="77"/>
        <v>0</v>
      </c>
      <c r="G787" s="632"/>
      <c r="H787" s="1127"/>
      <c r="I787" s="633">
        <f t="shared" si="78"/>
        <v>0</v>
      </c>
      <c r="J787" s="633">
        <f t="shared" si="79"/>
        <v>0</v>
      </c>
      <c r="K787" s="633">
        <f t="shared" si="80"/>
        <v>0</v>
      </c>
      <c r="L787" s="1127"/>
      <c r="M787" s="1127"/>
      <c r="N787" s="1691">
        <f t="shared" si="75"/>
        <v>0</v>
      </c>
      <c r="O787" s="634">
        <f t="shared" si="76"/>
        <v>0</v>
      </c>
      <c r="P787" s="144"/>
      <c r="Q787" s="144"/>
      <c r="R787" s="144"/>
      <c r="S787" s="144"/>
    </row>
    <row r="788" spans="1:19" ht="14.25" customHeight="1">
      <c r="A788" s="630"/>
      <c r="B788" s="631"/>
      <c r="C788" s="1127"/>
      <c r="D788" s="632"/>
      <c r="E788" s="1127"/>
      <c r="F788" s="633">
        <f t="shared" si="77"/>
        <v>0</v>
      </c>
      <c r="G788" s="632"/>
      <c r="H788" s="1127"/>
      <c r="I788" s="633">
        <f t="shared" si="78"/>
        <v>0</v>
      </c>
      <c r="J788" s="633">
        <f t="shared" si="79"/>
        <v>0</v>
      </c>
      <c r="K788" s="633">
        <f t="shared" si="80"/>
        <v>0</v>
      </c>
      <c r="L788" s="1127"/>
      <c r="M788" s="1127"/>
      <c r="N788" s="1691">
        <f t="shared" si="75"/>
        <v>0</v>
      </c>
      <c r="O788" s="634">
        <f t="shared" si="76"/>
        <v>0</v>
      </c>
      <c r="P788" s="144"/>
      <c r="Q788" s="144"/>
      <c r="R788" s="144"/>
      <c r="S788" s="144"/>
    </row>
    <row r="789" spans="1:19" ht="14.25" customHeight="1">
      <c r="A789" s="630"/>
      <c r="B789" s="631"/>
      <c r="C789" s="1127"/>
      <c r="D789" s="632"/>
      <c r="E789" s="1127"/>
      <c r="F789" s="633">
        <f t="shared" si="77"/>
        <v>0</v>
      </c>
      <c r="G789" s="632"/>
      <c r="H789" s="1127"/>
      <c r="I789" s="633">
        <f t="shared" si="78"/>
        <v>0</v>
      </c>
      <c r="J789" s="633">
        <f t="shared" si="79"/>
        <v>0</v>
      </c>
      <c r="K789" s="633">
        <f t="shared" si="80"/>
        <v>0</v>
      </c>
      <c r="L789" s="1127"/>
      <c r="M789" s="1127"/>
      <c r="N789" s="1691">
        <f t="shared" si="75"/>
        <v>0</v>
      </c>
      <c r="O789" s="634">
        <f t="shared" si="76"/>
        <v>0</v>
      </c>
      <c r="P789" s="144"/>
      <c r="Q789" s="144"/>
      <c r="R789" s="144"/>
      <c r="S789" s="144"/>
    </row>
    <row r="790" spans="1:19" ht="14.25" customHeight="1">
      <c r="A790" s="630"/>
      <c r="B790" s="631"/>
      <c r="C790" s="1127"/>
      <c r="D790" s="632"/>
      <c r="E790" s="1127"/>
      <c r="F790" s="633">
        <f t="shared" si="77"/>
        <v>0</v>
      </c>
      <c r="G790" s="632"/>
      <c r="H790" s="1127"/>
      <c r="I790" s="633">
        <f t="shared" si="78"/>
        <v>0</v>
      </c>
      <c r="J790" s="633">
        <f t="shared" si="79"/>
        <v>0</v>
      </c>
      <c r="K790" s="633">
        <f t="shared" si="80"/>
        <v>0</v>
      </c>
      <c r="L790" s="1127"/>
      <c r="M790" s="1127"/>
      <c r="N790" s="1691">
        <f t="shared" si="75"/>
        <v>0</v>
      </c>
      <c r="O790" s="634">
        <f t="shared" si="76"/>
        <v>0</v>
      </c>
      <c r="P790" s="144"/>
      <c r="Q790" s="144"/>
      <c r="R790" s="144"/>
      <c r="S790" s="144"/>
    </row>
    <row r="791" spans="1:19" ht="14.25" customHeight="1">
      <c r="A791" s="630"/>
      <c r="B791" s="631"/>
      <c r="C791" s="1127"/>
      <c r="D791" s="632"/>
      <c r="E791" s="1127"/>
      <c r="F791" s="633">
        <f t="shared" si="77"/>
        <v>0</v>
      </c>
      <c r="G791" s="632"/>
      <c r="H791" s="1127"/>
      <c r="I791" s="633">
        <f t="shared" si="78"/>
        <v>0</v>
      </c>
      <c r="J791" s="633">
        <f t="shared" si="79"/>
        <v>0</v>
      </c>
      <c r="K791" s="633">
        <f t="shared" si="80"/>
        <v>0</v>
      </c>
      <c r="L791" s="1127"/>
      <c r="M791" s="1127"/>
      <c r="N791" s="1691">
        <f t="shared" si="75"/>
        <v>0</v>
      </c>
      <c r="O791" s="634">
        <f t="shared" si="76"/>
        <v>0</v>
      </c>
      <c r="P791" s="144"/>
      <c r="Q791" s="144"/>
      <c r="R791" s="144"/>
      <c r="S791" s="144"/>
    </row>
    <row r="792" spans="1:19" ht="14.25" customHeight="1">
      <c r="A792" s="630"/>
      <c r="B792" s="631"/>
      <c r="C792" s="1127"/>
      <c r="D792" s="632"/>
      <c r="E792" s="1127"/>
      <c r="F792" s="633">
        <f t="shared" si="77"/>
        <v>0</v>
      </c>
      <c r="G792" s="632"/>
      <c r="H792" s="1127"/>
      <c r="I792" s="633">
        <f t="shared" si="78"/>
        <v>0</v>
      </c>
      <c r="J792" s="633">
        <f t="shared" si="79"/>
        <v>0</v>
      </c>
      <c r="K792" s="633">
        <f t="shared" si="80"/>
        <v>0</v>
      </c>
      <c r="L792" s="1127"/>
      <c r="M792" s="1127"/>
      <c r="N792" s="1691">
        <f t="shared" si="75"/>
        <v>0</v>
      </c>
      <c r="O792" s="634">
        <f t="shared" si="76"/>
        <v>0</v>
      </c>
      <c r="P792" s="144"/>
      <c r="Q792" s="144"/>
      <c r="R792" s="144"/>
      <c r="S792" s="144"/>
    </row>
    <row r="793" spans="1:19" ht="14.25" customHeight="1">
      <c r="A793" s="630"/>
      <c r="B793" s="631"/>
      <c r="C793" s="1127"/>
      <c r="D793" s="632"/>
      <c r="E793" s="1127"/>
      <c r="F793" s="633">
        <f t="shared" si="77"/>
        <v>0</v>
      </c>
      <c r="G793" s="632"/>
      <c r="H793" s="1127"/>
      <c r="I793" s="633">
        <f t="shared" si="78"/>
        <v>0</v>
      </c>
      <c r="J793" s="633">
        <f t="shared" si="79"/>
        <v>0</v>
      </c>
      <c r="K793" s="633">
        <f t="shared" si="80"/>
        <v>0</v>
      </c>
      <c r="L793" s="1127"/>
      <c r="M793" s="1127"/>
      <c r="N793" s="1691">
        <f t="shared" si="75"/>
        <v>0</v>
      </c>
      <c r="O793" s="634">
        <f t="shared" si="76"/>
        <v>0</v>
      </c>
      <c r="P793" s="144"/>
      <c r="Q793" s="144"/>
      <c r="R793" s="144"/>
      <c r="S793" s="144"/>
    </row>
    <row r="794" spans="1:19" ht="14.25" customHeight="1">
      <c r="A794" s="630"/>
      <c r="B794" s="631"/>
      <c r="C794" s="1127"/>
      <c r="D794" s="632"/>
      <c r="E794" s="1127"/>
      <c r="F794" s="633">
        <f t="shared" si="77"/>
        <v>0</v>
      </c>
      <c r="G794" s="632"/>
      <c r="H794" s="1127"/>
      <c r="I794" s="633">
        <f t="shared" si="78"/>
        <v>0</v>
      </c>
      <c r="J794" s="633">
        <f t="shared" si="79"/>
        <v>0</v>
      </c>
      <c r="K794" s="633">
        <f t="shared" si="80"/>
        <v>0</v>
      </c>
      <c r="L794" s="1127"/>
      <c r="M794" s="1127"/>
      <c r="N794" s="1691">
        <f t="shared" si="75"/>
        <v>0</v>
      </c>
      <c r="O794" s="634">
        <f t="shared" si="76"/>
        <v>0</v>
      </c>
      <c r="P794" s="144"/>
      <c r="Q794" s="144"/>
      <c r="R794" s="144"/>
      <c r="S794" s="144"/>
    </row>
    <row r="795" spans="1:19" ht="14.25" customHeight="1">
      <c r="A795" s="630"/>
      <c r="B795" s="631"/>
      <c r="C795" s="1127"/>
      <c r="D795" s="632"/>
      <c r="E795" s="1127"/>
      <c r="F795" s="633">
        <f t="shared" si="77"/>
        <v>0</v>
      </c>
      <c r="G795" s="632"/>
      <c r="H795" s="1127"/>
      <c r="I795" s="633">
        <f t="shared" si="78"/>
        <v>0</v>
      </c>
      <c r="J795" s="633">
        <f t="shared" si="79"/>
        <v>0</v>
      </c>
      <c r="K795" s="633">
        <f t="shared" si="80"/>
        <v>0</v>
      </c>
      <c r="L795" s="1127"/>
      <c r="M795" s="1127"/>
      <c r="N795" s="1691">
        <f t="shared" si="75"/>
        <v>0</v>
      </c>
      <c r="O795" s="634">
        <f t="shared" si="76"/>
        <v>0</v>
      </c>
      <c r="P795" s="144"/>
      <c r="Q795" s="144"/>
      <c r="R795" s="144"/>
      <c r="S795" s="144"/>
    </row>
    <row r="796" spans="1:19" ht="14.25" customHeight="1">
      <c r="A796" s="630"/>
      <c r="B796" s="631"/>
      <c r="C796" s="1127"/>
      <c r="D796" s="632"/>
      <c r="E796" s="1127"/>
      <c r="F796" s="633">
        <f t="shared" si="77"/>
        <v>0</v>
      </c>
      <c r="G796" s="632"/>
      <c r="H796" s="1127"/>
      <c r="I796" s="633">
        <f t="shared" si="78"/>
        <v>0</v>
      </c>
      <c r="J796" s="633">
        <f t="shared" si="79"/>
        <v>0</v>
      </c>
      <c r="K796" s="633">
        <f t="shared" si="80"/>
        <v>0</v>
      </c>
      <c r="L796" s="1127"/>
      <c r="M796" s="1127"/>
      <c r="N796" s="1691">
        <f t="shared" si="75"/>
        <v>0</v>
      </c>
      <c r="O796" s="634">
        <f t="shared" si="76"/>
        <v>0</v>
      </c>
      <c r="P796" s="144"/>
      <c r="Q796" s="144"/>
      <c r="R796" s="144"/>
      <c r="S796" s="144"/>
    </row>
    <row r="797" spans="1:19" ht="14.25" customHeight="1">
      <c r="A797" s="630"/>
      <c r="B797" s="631"/>
      <c r="C797" s="1127"/>
      <c r="D797" s="632"/>
      <c r="E797" s="1127"/>
      <c r="F797" s="633">
        <f t="shared" si="77"/>
        <v>0</v>
      </c>
      <c r="G797" s="632"/>
      <c r="H797" s="1127"/>
      <c r="I797" s="633">
        <f t="shared" si="78"/>
        <v>0</v>
      </c>
      <c r="J797" s="633">
        <f t="shared" si="79"/>
        <v>0</v>
      </c>
      <c r="K797" s="633">
        <f t="shared" si="80"/>
        <v>0</v>
      </c>
      <c r="L797" s="1127"/>
      <c r="M797" s="1127"/>
      <c r="N797" s="1691">
        <f t="shared" si="75"/>
        <v>0</v>
      </c>
      <c r="O797" s="634">
        <f t="shared" si="76"/>
        <v>0</v>
      </c>
      <c r="P797" s="144"/>
      <c r="Q797" s="144"/>
      <c r="R797" s="144"/>
      <c r="S797" s="144"/>
    </row>
    <row r="798" spans="1:19" ht="14.25" customHeight="1">
      <c r="A798" s="630"/>
      <c r="B798" s="631"/>
      <c r="C798" s="1127"/>
      <c r="D798" s="632"/>
      <c r="E798" s="1127"/>
      <c r="F798" s="633">
        <f t="shared" si="77"/>
        <v>0</v>
      </c>
      <c r="G798" s="632"/>
      <c r="H798" s="1127"/>
      <c r="I798" s="633">
        <f t="shared" si="78"/>
        <v>0</v>
      </c>
      <c r="J798" s="633">
        <f t="shared" si="79"/>
        <v>0</v>
      </c>
      <c r="K798" s="633">
        <f t="shared" si="80"/>
        <v>0</v>
      </c>
      <c r="L798" s="1127"/>
      <c r="M798" s="1127"/>
      <c r="N798" s="1691">
        <f t="shared" si="75"/>
        <v>0</v>
      </c>
      <c r="O798" s="634">
        <f t="shared" si="76"/>
        <v>0</v>
      </c>
      <c r="P798" s="144"/>
      <c r="Q798" s="144"/>
      <c r="R798" s="144"/>
      <c r="S798" s="144"/>
    </row>
    <row r="799" spans="1:19" ht="14.25" customHeight="1">
      <c r="A799" s="630"/>
      <c r="B799" s="631"/>
      <c r="C799" s="1127"/>
      <c r="D799" s="632"/>
      <c r="E799" s="1127"/>
      <c r="F799" s="633">
        <f t="shared" si="77"/>
        <v>0</v>
      </c>
      <c r="G799" s="632"/>
      <c r="H799" s="1127"/>
      <c r="I799" s="633">
        <f t="shared" si="78"/>
        <v>0</v>
      </c>
      <c r="J799" s="633">
        <f t="shared" si="79"/>
        <v>0</v>
      </c>
      <c r="K799" s="633">
        <f t="shared" si="80"/>
        <v>0</v>
      </c>
      <c r="L799" s="1127"/>
      <c r="M799" s="1127"/>
      <c r="N799" s="1691">
        <f t="shared" si="75"/>
        <v>0</v>
      </c>
      <c r="O799" s="634">
        <f t="shared" si="76"/>
        <v>0</v>
      </c>
      <c r="P799" s="144"/>
      <c r="Q799" s="144"/>
      <c r="R799" s="144"/>
      <c r="S799" s="144"/>
    </row>
    <row r="800" spans="1:19" ht="14.25" customHeight="1">
      <c r="A800" s="630"/>
      <c r="B800" s="631"/>
      <c r="C800" s="1127"/>
      <c r="D800" s="632"/>
      <c r="E800" s="1127"/>
      <c r="F800" s="633">
        <f t="shared" si="77"/>
        <v>0</v>
      </c>
      <c r="G800" s="632"/>
      <c r="H800" s="1127"/>
      <c r="I800" s="633">
        <f t="shared" si="78"/>
        <v>0</v>
      </c>
      <c r="J800" s="633">
        <f t="shared" si="79"/>
        <v>0</v>
      </c>
      <c r="K800" s="633">
        <f t="shared" si="80"/>
        <v>0</v>
      </c>
      <c r="L800" s="1127"/>
      <c r="M800" s="1127"/>
      <c r="N800" s="1691">
        <f t="shared" si="75"/>
        <v>0</v>
      </c>
      <c r="O800" s="634">
        <f t="shared" si="76"/>
        <v>0</v>
      </c>
      <c r="P800" s="144"/>
      <c r="Q800" s="144"/>
      <c r="R800" s="144"/>
      <c r="S800" s="144"/>
    </row>
    <row r="801" spans="1:19" ht="14.25" customHeight="1">
      <c r="A801" s="630"/>
      <c r="B801" s="631"/>
      <c r="C801" s="1127"/>
      <c r="D801" s="632"/>
      <c r="E801" s="1127"/>
      <c r="F801" s="633">
        <f t="shared" si="77"/>
        <v>0</v>
      </c>
      <c r="G801" s="632"/>
      <c r="H801" s="1127"/>
      <c r="I801" s="633">
        <f t="shared" si="78"/>
        <v>0</v>
      </c>
      <c r="J801" s="633">
        <f t="shared" si="79"/>
        <v>0</v>
      </c>
      <c r="K801" s="633">
        <f t="shared" si="80"/>
        <v>0</v>
      </c>
      <c r="L801" s="1127"/>
      <c r="M801" s="1127"/>
      <c r="N801" s="1691">
        <f t="shared" si="75"/>
        <v>0</v>
      </c>
      <c r="O801" s="634">
        <f t="shared" si="76"/>
        <v>0</v>
      </c>
      <c r="P801" s="144"/>
      <c r="Q801" s="144"/>
      <c r="R801" s="144"/>
      <c r="S801" s="144"/>
    </row>
    <row r="802" spans="1:19" ht="14.25" customHeight="1">
      <c r="A802" s="630"/>
      <c r="B802" s="631"/>
      <c r="C802" s="1127"/>
      <c r="D802" s="632"/>
      <c r="E802" s="1127"/>
      <c r="F802" s="633">
        <f t="shared" si="77"/>
        <v>0</v>
      </c>
      <c r="G802" s="632"/>
      <c r="H802" s="1127"/>
      <c r="I802" s="633">
        <f t="shared" si="78"/>
        <v>0</v>
      </c>
      <c r="J802" s="633">
        <f t="shared" si="79"/>
        <v>0</v>
      </c>
      <c r="K802" s="633">
        <f t="shared" si="80"/>
        <v>0</v>
      </c>
      <c r="L802" s="1127"/>
      <c r="M802" s="1127"/>
      <c r="N802" s="1691">
        <f t="shared" si="75"/>
        <v>0</v>
      </c>
      <c r="O802" s="634">
        <f t="shared" si="76"/>
        <v>0</v>
      </c>
      <c r="P802" s="144"/>
      <c r="Q802" s="144"/>
      <c r="R802" s="144"/>
      <c r="S802" s="144"/>
    </row>
    <row r="803" spans="1:19" ht="14.25" customHeight="1">
      <c r="A803" s="630"/>
      <c r="B803" s="631"/>
      <c r="C803" s="1127"/>
      <c r="D803" s="632"/>
      <c r="E803" s="1127"/>
      <c r="F803" s="633">
        <f t="shared" si="77"/>
        <v>0</v>
      </c>
      <c r="G803" s="632"/>
      <c r="H803" s="1127"/>
      <c r="I803" s="633">
        <f t="shared" si="78"/>
        <v>0</v>
      </c>
      <c r="J803" s="633">
        <f t="shared" si="79"/>
        <v>0</v>
      </c>
      <c r="K803" s="633">
        <f t="shared" si="80"/>
        <v>0</v>
      </c>
      <c r="L803" s="1127"/>
      <c r="M803" s="1127"/>
      <c r="N803" s="1691">
        <f t="shared" si="75"/>
        <v>0</v>
      </c>
      <c r="O803" s="634">
        <f t="shared" si="76"/>
        <v>0</v>
      </c>
      <c r="P803" s="144"/>
      <c r="Q803" s="144"/>
      <c r="R803" s="144"/>
      <c r="S803" s="144"/>
    </row>
    <row r="804" spans="1:19" ht="14.25" customHeight="1">
      <c r="A804" s="630"/>
      <c r="B804" s="631"/>
      <c r="C804" s="1127"/>
      <c r="D804" s="632"/>
      <c r="E804" s="1127"/>
      <c r="F804" s="633">
        <f t="shared" si="77"/>
        <v>0</v>
      </c>
      <c r="G804" s="632"/>
      <c r="H804" s="1127"/>
      <c r="I804" s="633">
        <f t="shared" si="78"/>
        <v>0</v>
      </c>
      <c r="J804" s="633">
        <f t="shared" si="79"/>
        <v>0</v>
      </c>
      <c r="K804" s="633">
        <f t="shared" si="80"/>
        <v>0</v>
      </c>
      <c r="L804" s="1127"/>
      <c r="M804" s="1127"/>
      <c r="N804" s="1691">
        <f t="shared" si="75"/>
        <v>0</v>
      </c>
      <c r="O804" s="634">
        <f t="shared" si="76"/>
        <v>0</v>
      </c>
      <c r="P804" s="144"/>
      <c r="Q804" s="144"/>
      <c r="R804" s="144"/>
      <c r="S804" s="144"/>
    </row>
    <row r="805" spans="1:19" ht="14.25" customHeight="1">
      <c r="A805" s="630"/>
      <c r="B805" s="631"/>
      <c r="C805" s="1127"/>
      <c r="D805" s="632"/>
      <c r="E805" s="1127"/>
      <c r="F805" s="633">
        <f t="shared" si="77"/>
        <v>0</v>
      </c>
      <c r="G805" s="632"/>
      <c r="H805" s="1127"/>
      <c r="I805" s="633">
        <f t="shared" si="78"/>
        <v>0</v>
      </c>
      <c r="J805" s="633">
        <f t="shared" si="79"/>
        <v>0</v>
      </c>
      <c r="K805" s="633">
        <f t="shared" si="80"/>
        <v>0</v>
      </c>
      <c r="L805" s="1127"/>
      <c r="M805" s="1127"/>
      <c r="N805" s="1691">
        <f t="shared" si="75"/>
        <v>0</v>
      </c>
      <c r="O805" s="634">
        <f t="shared" si="76"/>
        <v>0</v>
      </c>
      <c r="P805" s="144"/>
      <c r="Q805" s="144"/>
      <c r="R805" s="144"/>
      <c r="S805" s="144"/>
    </row>
    <row r="806" spans="1:19" ht="14.25" customHeight="1">
      <c r="A806" s="630"/>
      <c r="B806" s="631"/>
      <c r="C806" s="1127"/>
      <c r="D806" s="632"/>
      <c r="E806" s="1127"/>
      <c r="F806" s="633">
        <f t="shared" si="77"/>
        <v>0</v>
      </c>
      <c r="G806" s="632"/>
      <c r="H806" s="1127"/>
      <c r="I806" s="633">
        <f t="shared" si="78"/>
        <v>0</v>
      </c>
      <c r="J806" s="633">
        <f t="shared" si="79"/>
        <v>0</v>
      </c>
      <c r="K806" s="633">
        <f t="shared" si="80"/>
        <v>0</v>
      </c>
      <c r="L806" s="1127"/>
      <c r="M806" s="1127"/>
      <c r="N806" s="1691">
        <f t="shared" si="75"/>
        <v>0</v>
      </c>
      <c r="O806" s="634">
        <f t="shared" si="76"/>
        <v>0</v>
      </c>
      <c r="P806" s="144"/>
      <c r="Q806" s="144"/>
      <c r="R806" s="144"/>
      <c r="S806" s="144"/>
    </row>
    <row r="807" spans="1:19" ht="14.25" customHeight="1">
      <c r="A807" s="630"/>
      <c r="B807" s="631"/>
      <c r="C807" s="1127"/>
      <c r="D807" s="632"/>
      <c r="E807" s="1127"/>
      <c r="F807" s="633">
        <f t="shared" si="77"/>
        <v>0</v>
      </c>
      <c r="G807" s="632"/>
      <c r="H807" s="1127"/>
      <c r="I807" s="633">
        <f t="shared" si="78"/>
        <v>0</v>
      </c>
      <c r="J807" s="633">
        <f t="shared" si="79"/>
        <v>0</v>
      </c>
      <c r="K807" s="633">
        <f t="shared" si="80"/>
        <v>0</v>
      </c>
      <c r="L807" s="1127"/>
      <c r="M807" s="1127"/>
      <c r="N807" s="1691">
        <f t="shared" si="75"/>
        <v>0</v>
      </c>
      <c r="O807" s="634">
        <f t="shared" si="76"/>
        <v>0</v>
      </c>
      <c r="P807" s="144"/>
      <c r="Q807" s="144"/>
      <c r="R807" s="144"/>
      <c r="S807" s="144"/>
    </row>
    <row r="808" spans="1:19" ht="14.25" customHeight="1">
      <c r="A808" s="630"/>
      <c r="B808" s="631"/>
      <c r="C808" s="1127"/>
      <c r="D808" s="632"/>
      <c r="E808" s="1127"/>
      <c r="F808" s="633">
        <f t="shared" si="77"/>
        <v>0</v>
      </c>
      <c r="G808" s="632"/>
      <c r="H808" s="1127"/>
      <c r="I808" s="633">
        <f t="shared" si="78"/>
        <v>0</v>
      </c>
      <c r="J808" s="633">
        <f t="shared" si="79"/>
        <v>0</v>
      </c>
      <c r="K808" s="633">
        <f t="shared" si="80"/>
        <v>0</v>
      </c>
      <c r="L808" s="1127"/>
      <c r="M808" s="1127"/>
      <c r="N808" s="1691">
        <f t="shared" si="75"/>
        <v>0</v>
      </c>
      <c r="O808" s="634">
        <f t="shared" si="76"/>
        <v>0</v>
      </c>
      <c r="P808" s="144"/>
      <c r="Q808" s="144"/>
      <c r="R808" s="144"/>
      <c r="S808" s="144"/>
    </row>
    <row r="809" spans="1:19" ht="14.25" customHeight="1">
      <c r="A809" s="630"/>
      <c r="B809" s="631"/>
      <c r="C809" s="1127"/>
      <c r="D809" s="632"/>
      <c r="E809" s="1127"/>
      <c r="F809" s="633">
        <f t="shared" si="77"/>
        <v>0</v>
      </c>
      <c r="G809" s="632"/>
      <c r="H809" s="1127"/>
      <c r="I809" s="633">
        <f t="shared" si="78"/>
        <v>0</v>
      </c>
      <c r="J809" s="633">
        <f t="shared" si="79"/>
        <v>0</v>
      </c>
      <c r="K809" s="633">
        <f t="shared" si="80"/>
        <v>0</v>
      </c>
      <c r="L809" s="1127"/>
      <c r="M809" s="1127"/>
      <c r="N809" s="1691">
        <f t="shared" si="75"/>
        <v>0</v>
      </c>
      <c r="O809" s="634">
        <f t="shared" si="76"/>
        <v>0</v>
      </c>
      <c r="P809" s="144"/>
      <c r="Q809" s="144"/>
      <c r="R809" s="144"/>
      <c r="S809" s="144"/>
    </row>
    <row r="810" spans="1:19" ht="14.25" customHeight="1">
      <c r="A810" s="630"/>
      <c r="B810" s="631"/>
      <c r="C810" s="1127"/>
      <c r="D810" s="632"/>
      <c r="E810" s="1127"/>
      <c r="F810" s="633">
        <f t="shared" si="77"/>
        <v>0</v>
      </c>
      <c r="G810" s="632"/>
      <c r="H810" s="1127"/>
      <c r="I810" s="633">
        <f t="shared" si="78"/>
        <v>0</v>
      </c>
      <c r="J810" s="633">
        <f t="shared" si="79"/>
        <v>0</v>
      </c>
      <c r="K810" s="633">
        <f t="shared" si="80"/>
        <v>0</v>
      </c>
      <c r="L810" s="1127"/>
      <c r="M810" s="1127"/>
      <c r="N810" s="1691">
        <f t="shared" si="75"/>
        <v>0</v>
      </c>
      <c r="O810" s="634">
        <f t="shared" si="76"/>
        <v>0</v>
      </c>
      <c r="P810" s="144"/>
      <c r="Q810" s="144"/>
      <c r="R810" s="144"/>
      <c r="S810" s="144"/>
    </row>
    <row r="811" spans="1:19" ht="14.25" customHeight="1">
      <c r="A811" s="630"/>
      <c r="B811" s="631"/>
      <c r="C811" s="1127"/>
      <c r="D811" s="632"/>
      <c r="E811" s="1127"/>
      <c r="F811" s="633">
        <f t="shared" si="77"/>
        <v>0</v>
      </c>
      <c r="G811" s="632"/>
      <c r="H811" s="1127"/>
      <c r="I811" s="633">
        <f t="shared" si="78"/>
        <v>0</v>
      </c>
      <c r="J811" s="633">
        <f t="shared" si="79"/>
        <v>0</v>
      </c>
      <c r="K811" s="633">
        <f t="shared" si="80"/>
        <v>0</v>
      </c>
      <c r="L811" s="1127"/>
      <c r="M811" s="1127"/>
      <c r="N811" s="1691">
        <f t="shared" si="75"/>
        <v>0</v>
      </c>
      <c r="O811" s="634">
        <f t="shared" si="76"/>
        <v>0</v>
      </c>
      <c r="P811" s="144"/>
      <c r="Q811" s="144"/>
      <c r="R811" s="144"/>
      <c r="S811" s="144"/>
    </row>
    <row r="812" spans="1:19" ht="14.25" customHeight="1">
      <c r="A812" s="630"/>
      <c r="B812" s="631"/>
      <c r="C812" s="1127"/>
      <c r="D812" s="632"/>
      <c r="E812" s="1127"/>
      <c r="F812" s="633">
        <f t="shared" si="77"/>
        <v>0</v>
      </c>
      <c r="G812" s="632"/>
      <c r="H812" s="1127"/>
      <c r="I812" s="633">
        <f t="shared" si="78"/>
        <v>0</v>
      </c>
      <c r="J812" s="633">
        <f t="shared" si="79"/>
        <v>0</v>
      </c>
      <c r="K812" s="633">
        <f t="shared" si="80"/>
        <v>0</v>
      </c>
      <c r="L812" s="1127"/>
      <c r="M812" s="1127"/>
      <c r="N812" s="1691">
        <f t="shared" si="75"/>
        <v>0</v>
      </c>
      <c r="O812" s="634">
        <f t="shared" si="76"/>
        <v>0</v>
      </c>
      <c r="P812" s="144"/>
      <c r="Q812" s="144"/>
      <c r="R812" s="144"/>
      <c r="S812" s="144"/>
    </row>
    <row r="813" spans="1:19" ht="14.25" customHeight="1">
      <c r="A813" s="630"/>
      <c r="B813" s="631"/>
      <c r="C813" s="1127"/>
      <c r="D813" s="632"/>
      <c r="E813" s="1127"/>
      <c r="F813" s="633">
        <f t="shared" si="77"/>
        <v>0</v>
      </c>
      <c r="G813" s="632"/>
      <c r="H813" s="1127"/>
      <c r="I813" s="633">
        <f t="shared" si="78"/>
        <v>0</v>
      </c>
      <c r="J813" s="633">
        <f t="shared" si="79"/>
        <v>0</v>
      </c>
      <c r="K813" s="633">
        <f t="shared" si="80"/>
        <v>0</v>
      </c>
      <c r="L813" s="1127"/>
      <c r="M813" s="1127"/>
      <c r="N813" s="1691">
        <f t="shared" si="75"/>
        <v>0</v>
      </c>
      <c r="O813" s="634">
        <f t="shared" si="76"/>
        <v>0</v>
      </c>
      <c r="P813" s="144"/>
      <c r="Q813" s="144"/>
      <c r="R813" s="144"/>
      <c r="S813" s="144"/>
    </row>
    <row r="814" spans="1:19" ht="14.25" customHeight="1">
      <c r="A814" s="630"/>
      <c r="B814" s="631"/>
      <c r="C814" s="1127"/>
      <c r="D814" s="632"/>
      <c r="E814" s="1127"/>
      <c r="F814" s="633">
        <f t="shared" si="77"/>
        <v>0</v>
      </c>
      <c r="G814" s="632"/>
      <c r="H814" s="1127"/>
      <c r="I814" s="633">
        <f t="shared" si="78"/>
        <v>0</v>
      </c>
      <c r="J814" s="633">
        <f t="shared" si="79"/>
        <v>0</v>
      </c>
      <c r="K814" s="633">
        <f t="shared" si="80"/>
        <v>0</v>
      </c>
      <c r="L814" s="1127"/>
      <c r="M814" s="1127"/>
      <c r="N814" s="1691">
        <f t="shared" si="75"/>
        <v>0</v>
      </c>
      <c r="O814" s="634">
        <f t="shared" si="76"/>
        <v>0</v>
      </c>
      <c r="P814" s="144"/>
      <c r="Q814" s="144"/>
      <c r="R814" s="144"/>
      <c r="S814" s="144"/>
    </row>
    <row r="815" spans="1:19" ht="14.25" customHeight="1">
      <c r="A815" s="630"/>
      <c r="B815" s="631"/>
      <c r="C815" s="1127"/>
      <c r="D815" s="632"/>
      <c r="E815" s="1127"/>
      <c r="F815" s="633">
        <f t="shared" si="77"/>
        <v>0</v>
      </c>
      <c r="G815" s="632"/>
      <c r="H815" s="1127"/>
      <c r="I815" s="633">
        <f t="shared" si="78"/>
        <v>0</v>
      </c>
      <c r="J815" s="633">
        <f t="shared" si="79"/>
        <v>0</v>
      </c>
      <c r="K815" s="633">
        <f t="shared" si="80"/>
        <v>0</v>
      </c>
      <c r="L815" s="1127"/>
      <c r="M815" s="1127"/>
      <c r="N815" s="1691">
        <f t="shared" si="75"/>
        <v>0</v>
      </c>
      <c r="O815" s="634">
        <f t="shared" si="76"/>
        <v>0</v>
      </c>
      <c r="P815" s="144"/>
      <c r="Q815" s="144"/>
      <c r="R815" s="144"/>
      <c r="S815" s="144"/>
    </row>
    <row r="816" spans="1:19" ht="14.25" customHeight="1">
      <c r="A816" s="630"/>
      <c r="B816" s="631"/>
      <c r="C816" s="1127"/>
      <c r="D816" s="632"/>
      <c r="E816" s="1127"/>
      <c r="F816" s="633">
        <f t="shared" si="77"/>
        <v>0</v>
      </c>
      <c r="G816" s="632"/>
      <c r="H816" s="1127"/>
      <c r="I816" s="633">
        <f t="shared" si="78"/>
        <v>0</v>
      </c>
      <c r="J816" s="633">
        <f t="shared" si="79"/>
        <v>0</v>
      </c>
      <c r="K816" s="633">
        <f t="shared" si="80"/>
        <v>0</v>
      </c>
      <c r="L816" s="1127"/>
      <c r="M816" s="1127"/>
      <c r="N816" s="1691">
        <f t="shared" si="75"/>
        <v>0</v>
      </c>
      <c r="O816" s="634">
        <f t="shared" si="76"/>
        <v>0</v>
      </c>
      <c r="P816" s="144"/>
      <c r="Q816" s="144"/>
      <c r="R816" s="144"/>
      <c r="S816" s="144"/>
    </row>
    <row r="817" spans="1:19" ht="14.25" customHeight="1">
      <c r="A817" s="630"/>
      <c r="B817" s="631"/>
      <c r="C817" s="1127"/>
      <c r="D817" s="632"/>
      <c r="E817" s="1127"/>
      <c r="F817" s="633">
        <f t="shared" si="77"/>
        <v>0</v>
      </c>
      <c r="G817" s="632"/>
      <c r="H817" s="1127"/>
      <c r="I817" s="633">
        <f t="shared" si="78"/>
        <v>0</v>
      </c>
      <c r="J817" s="633">
        <f t="shared" si="79"/>
        <v>0</v>
      </c>
      <c r="K817" s="633">
        <f t="shared" si="80"/>
        <v>0</v>
      </c>
      <c r="L817" s="1127"/>
      <c r="M817" s="1127"/>
      <c r="N817" s="1691">
        <f t="shared" si="75"/>
        <v>0</v>
      </c>
      <c r="O817" s="634">
        <f t="shared" si="76"/>
        <v>0</v>
      </c>
      <c r="P817" s="144"/>
      <c r="Q817" s="144"/>
      <c r="R817" s="144"/>
      <c r="S817" s="144"/>
    </row>
    <row r="818" spans="1:19" ht="14.25" customHeight="1">
      <c r="A818" s="630"/>
      <c r="B818" s="631"/>
      <c r="C818" s="1127"/>
      <c r="D818" s="632"/>
      <c r="E818" s="1127"/>
      <c r="F818" s="633">
        <f t="shared" si="77"/>
        <v>0</v>
      </c>
      <c r="G818" s="632"/>
      <c r="H818" s="1127"/>
      <c r="I818" s="633">
        <f t="shared" si="78"/>
        <v>0</v>
      </c>
      <c r="J818" s="633">
        <f t="shared" si="79"/>
        <v>0</v>
      </c>
      <c r="K818" s="633">
        <f t="shared" si="80"/>
        <v>0</v>
      </c>
      <c r="L818" s="1127"/>
      <c r="M818" s="1127"/>
      <c r="N818" s="1691">
        <f t="shared" si="75"/>
        <v>0</v>
      </c>
      <c r="O818" s="634">
        <f t="shared" si="76"/>
        <v>0</v>
      </c>
      <c r="P818" s="144"/>
      <c r="Q818" s="144"/>
      <c r="R818" s="144"/>
      <c r="S818" s="144"/>
    </row>
    <row r="819" spans="1:19" ht="14.25" customHeight="1">
      <c r="A819" s="630"/>
      <c r="B819" s="631"/>
      <c r="C819" s="1127"/>
      <c r="D819" s="632"/>
      <c r="E819" s="1127"/>
      <c r="F819" s="633">
        <f t="shared" si="77"/>
        <v>0</v>
      </c>
      <c r="G819" s="632"/>
      <c r="H819" s="1127"/>
      <c r="I819" s="633">
        <f t="shared" si="78"/>
        <v>0</v>
      </c>
      <c r="J819" s="633">
        <f t="shared" si="79"/>
        <v>0</v>
      </c>
      <c r="K819" s="633">
        <f t="shared" si="80"/>
        <v>0</v>
      </c>
      <c r="L819" s="1127"/>
      <c r="M819" s="1127"/>
      <c r="N819" s="1691">
        <f t="shared" si="75"/>
        <v>0</v>
      </c>
      <c r="O819" s="634">
        <f t="shared" si="76"/>
        <v>0</v>
      </c>
      <c r="P819" s="144"/>
      <c r="Q819" s="144"/>
      <c r="R819" s="144"/>
      <c r="S819" s="144"/>
    </row>
    <row r="820" spans="1:19" ht="14.25" customHeight="1">
      <c r="A820" s="630"/>
      <c r="B820" s="631"/>
      <c r="C820" s="1127"/>
      <c r="D820" s="632"/>
      <c r="E820" s="1127"/>
      <c r="F820" s="633">
        <f t="shared" si="77"/>
        <v>0</v>
      </c>
      <c r="G820" s="632"/>
      <c r="H820" s="1127"/>
      <c r="I820" s="633">
        <f t="shared" si="78"/>
        <v>0</v>
      </c>
      <c r="J820" s="633">
        <f t="shared" si="79"/>
        <v>0</v>
      </c>
      <c r="K820" s="633">
        <f t="shared" si="80"/>
        <v>0</v>
      </c>
      <c r="L820" s="1127"/>
      <c r="M820" s="1127"/>
      <c r="N820" s="1691">
        <f t="shared" si="75"/>
        <v>0</v>
      </c>
      <c r="O820" s="634">
        <f t="shared" si="76"/>
        <v>0</v>
      </c>
      <c r="P820" s="144"/>
      <c r="Q820" s="144"/>
      <c r="R820" s="144"/>
      <c r="S820" s="144"/>
    </row>
    <row r="821" spans="1:19" ht="14.25" customHeight="1">
      <c r="A821" s="630"/>
      <c r="B821" s="631"/>
      <c r="C821" s="1127"/>
      <c r="D821" s="632"/>
      <c r="E821" s="1127"/>
      <c r="F821" s="633">
        <f t="shared" si="77"/>
        <v>0</v>
      </c>
      <c r="G821" s="632"/>
      <c r="H821" s="1127"/>
      <c r="I821" s="633">
        <f t="shared" si="78"/>
        <v>0</v>
      </c>
      <c r="J821" s="633">
        <f t="shared" si="79"/>
        <v>0</v>
      </c>
      <c r="K821" s="633">
        <f t="shared" si="80"/>
        <v>0</v>
      </c>
      <c r="L821" s="1127"/>
      <c r="M821" s="1127"/>
      <c r="N821" s="1691">
        <f t="shared" si="75"/>
        <v>0</v>
      </c>
      <c r="O821" s="634">
        <f t="shared" si="76"/>
        <v>0</v>
      </c>
      <c r="P821" s="144"/>
      <c r="Q821" s="144"/>
      <c r="R821" s="144"/>
      <c r="S821" s="144"/>
    </row>
    <row r="822" spans="1:19" ht="14.25" customHeight="1">
      <c r="A822" s="630"/>
      <c r="B822" s="631"/>
      <c r="C822" s="1127"/>
      <c r="D822" s="632"/>
      <c r="E822" s="1127"/>
      <c r="F822" s="633">
        <f t="shared" si="77"/>
        <v>0</v>
      </c>
      <c r="G822" s="632"/>
      <c r="H822" s="1127"/>
      <c r="I822" s="633">
        <f t="shared" si="78"/>
        <v>0</v>
      </c>
      <c r="J822" s="633">
        <f t="shared" si="79"/>
        <v>0</v>
      </c>
      <c r="K822" s="633">
        <f t="shared" si="80"/>
        <v>0</v>
      </c>
      <c r="L822" s="1127"/>
      <c r="M822" s="1127"/>
      <c r="N822" s="1691">
        <f t="shared" si="75"/>
        <v>0</v>
      </c>
      <c r="O822" s="634">
        <f t="shared" si="76"/>
        <v>0</v>
      </c>
      <c r="P822" s="144"/>
      <c r="Q822" s="144"/>
      <c r="R822" s="144"/>
      <c r="S822" s="144"/>
    </row>
    <row r="823" spans="1:19" ht="14.25" customHeight="1">
      <c r="A823" s="630"/>
      <c r="B823" s="631"/>
      <c r="C823" s="1127"/>
      <c r="D823" s="632"/>
      <c r="E823" s="1127"/>
      <c r="F823" s="633">
        <f t="shared" si="77"/>
        <v>0</v>
      </c>
      <c r="G823" s="632"/>
      <c r="H823" s="1127"/>
      <c r="I823" s="633">
        <f t="shared" si="78"/>
        <v>0</v>
      </c>
      <c r="J823" s="633">
        <f t="shared" si="79"/>
        <v>0</v>
      </c>
      <c r="K823" s="633">
        <f t="shared" si="80"/>
        <v>0</v>
      </c>
      <c r="L823" s="1127"/>
      <c r="M823" s="1127"/>
      <c r="N823" s="1691">
        <f t="shared" si="75"/>
        <v>0</v>
      </c>
      <c r="O823" s="634">
        <f t="shared" si="76"/>
        <v>0</v>
      </c>
      <c r="P823" s="144"/>
      <c r="Q823" s="144"/>
      <c r="R823" s="144"/>
      <c r="S823" s="144"/>
    </row>
    <row r="824" spans="1:19" ht="14.25" customHeight="1">
      <c r="A824" s="630"/>
      <c r="B824" s="631"/>
      <c r="C824" s="1127"/>
      <c r="D824" s="632"/>
      <c r="E824" s="1127"/>
      <c r="F824" s="633">
        <f t="shared" si="77"/>
        <v>0</v>
      </c>
      <c r="G824" s="632"/>
      <c r="H824" s="1127"/>
      <c r="I824" s="633">
        <f t="shared" si="78"/>
        <v>0</v>
      </c>
      <c r="J824" s="633">
        <f t="shared" si="79"/>
        <v>0</v>
      </c>
      <c r="K824" s="633">
        <f t="shared" si="80"/>
        <v>0</v>
      </c>
      <c r="L824" s="1127"/>
      <c r="M824" s="1127"/>
      <c r="N824" s="1691">
        <f t="shared" si="75"/>
        <v>0</v>
      </c>
      <c r="O824" s="634">
        <f t="shared" si="76"/>
        <v>0</v>
      </c>
      <c r="P824" s="144"/>
      <c r="Q824" s="144"/>
      <c r="R824" s="144"/>
      <c r="S824" s="144"/>
    </row>
    <row r="825" spans="1:19" ht="14.25" customHeight="1">
      <c r="A825" s="630"/>
      <c r="B825" s="631"/>
      <c r="C825" s="1127"/>
      <c r="D825" s="632"/>
      <c r="E825" s="1127"/>
      <c r="F825" s="633">
        <f t="shared" si="77"/>
        <v>0</v>
      </c>
      <c r="G825" s="632"/>
      <c r="H825" s="1127"/>
      <c r="I825" s="633">
        <f t="shared" si="78"/>
        <v>0</v>
      </c>
      <c r="J825" s="633">
        <f t="shared" si="79"/>
        <v>0</v>
      </c>
      <c r="K825" s="633">
        <f t="shared" si="80"/>
        <v>0</v>
      </c>
      <c r="L825" s="1127"/>
      <c r="M825" s="1127"/>
      <c r="N825" s="1691">
        <f t="shared" si="75"/>
        <v>0</v>
      </c>
      <c r="O825" s="634">
        <f t="shared" si="76"/>
        <v>0</v>
      </c>
      <c r="P825" s="144"/>
      <c r="Q825" s="144"/>
      <c r="R825" s="144"/>
      <c r="S825" s="144"/>
    </row>
    <row r="826" spans="1:19" ht="14.25" customHeight="1">
      <c r="A826" s="630"/>
      <c r="B826" s="631"/>
      <c r="C826" s="1127"/>
      <c r="D826" s="632"/>
      <c r="E826" s="1127"/>
      <c r="F826" s="633">
        <f t="shared" si="77"/>
        <v>0</v>
      </c>
      <c r="G826" s="632"/>
      <c r="H826" s="1127"/>
      <c r="I826" s="633">
        <f t="shared" si="78"/>
        <v>0</v>
      </c>
      <c r="J826" s="633">
        <f t="shared" si="79"/>
        <v>0</v>
      </c>
      <c r="K826" s="633">
        <f t="shared" si="80"/>
        <v>0</v>
      </c>
      <c r="L826" s="1127"/>
      <c r="M826" s="1127"/>
      <c r="N826" s="1691">
        <f t="shared" si="75"/>
        <v>0</v>
      </c>
      <c r="O826" s="634">
        <f t="shared" si="76"/>
        <v>0</v>
      </c>
      <c r="P826" s="144"/>
      <c r="Q826" s="144"/>
      <c r="R826" s="144"/>
      <c r="S826" s="144"/>
    </row>
    <row r="827" spans="1:19" ht="14.25" customHeight="1">
      <c r="A827" s="630"/>
      <c r="B827" s="631"/>
      <c r="C827" s="1127"/>
      <c r="D827" s="632"/>
      <c r="E827" s="1127"/>
      <c r="F827" s="633">
        <f t="shared" si="77"/>
        <v>0</v>
      </c>
      <c r="G827" s="632"/>
      <c r="H827" s="1127"/>
      <c r="I827" s="633">
        <f t="shared" si="78"/>
        <v>0</v>
      </c>
      <c r="J827" s="633">
        <f t="shared" si="79"/>
        <v>0</v>
      </c>
      <c r="K827" s="633">
        <f t="shared" si="80"/>
        <v>0</v>
      </c>
      <c r="L827" s="1127"/>
      <c r="M827" s="1127"/>
      <c r="N827" s="1691">
        <f t="shared" si="75"/>
        <v>0</v>
      </c>
      <c r="O827" s="634">
        <f t="shared" si="76"/>
        <v>0</v>
      </c>
      <c r="P827" s="144"/>
      <c r="Q827" s="144"/>
      <c r="R827" s="144"/>
      <c r="S827" s="144"/>
    </row>
    <row r="828" spans="1:19" ht="14.25" customHeight="1">
      <c r="A828" s="630"/>
      <c r="B828" s="631"/>
      <c r="C828" s="1127"/>
      <c r="D828" s="632"/>
      <c r="E828" s="1127"/>
      <c r="F828" s="633">
        <f t="shared" si="77"/>
        <v>0</v>
      </c>
      <c r="G828" s="632"/>
      <c r="H828" s="1127"/>
      <c r="I828" s="633">
        <f t="shared" si="78"/>
        <v>0</v>
      </c>
      <c r="J828" s="633">
        <f t="shared" si="79"/>
        <v>0</v>
      </c>
      <c r="K828" s="633">
        <f t="shared" si="80"/>
        <v>0</v>
      </c>
      <c r="L828" s="1127"/>
      <c r="M828" s="1127"/>
      <c r="N828" s="1691">
        <f t="shared" si="75"/>
        <v>0</v>
      </c>
      <c r="O828" s="634">
        <f t="shared" si="76"/>
        <v>0</v>
      </c>
      <c r="P828" s="144"/>
      <c r="Q828" s="144"/>
      <c r="R828" s="144"/>
      <c r="S828" s="144"/>
    </row>
    <row r="829" spans="1:19" ht="14.25" customHeight="1">
      <c r="A829" s="630"/>
      <c r="B829" s="631"/>
      <c r="C829" s="1127"/>
      <c r="D829" s="632"/>
      <c r="E829" s="1127"/>
      <c r="F829" s="633">
        <f t="shared" si="77"/>
        <v>0</v>
      </c>
      <c r="G829" s="632"/>
      <c r="H829" s="1127"/>
      <c r="I829" s="633">
        <f t="shared" si="78"/>
        <v>0</v>
      </c>
      <c r="J829" s="633">
        <f t="shared" si="79"/>
        <v>0</v>
      </c>
      <c r="K829" s="633">
        <f t="shared" si="80"/>
        <v>0</v>
      </c>
      <c r="L829" s="1127"/>
      <c r="M829" s="1127"/>
      <c r="N829" s="1691">
        <f t="shared" si="75"/>
        <v>0</v>
      </c>
      <c r="O829" s="634">
        <f t="shared" si="76"/>
        <v>0</v>
      </c>
      <c r="P829" s="144"/>
      <c r="Q829" s="144"/>
      <c r="R829" s="144"/>
      <c r="S829" s="144"/>
    </row>
    <row r="830" spans="1:19" ht="14.25" customHeight="1">
      <c r="A830" s="630"/>
      <c r="B830" s="631"/>
      <c r="C830" s="1127"/>
      <c r="D830" s="632"/>
      <c r="E830" s="1127"/>
      <c r="F830" s="633">
        <f t="shared" si="77"/>
        <v>0</v>
      </c>
      <c r="G830" s="632"/>
      <c r="H830" s="1127"/>
      <c r="I830" s="633">
        <f t="shared" si="78"/>
        <v>0</v>
      </c>
      <c r="J830" s="633">
        <f t="shared" si="79"/>
        <v>0</v>
      </c>
      <c r="K830" s="633">
        <f t="shared" si="80"/>
        <v>0</v>
      </c>
      <c r="L830" s="1127"/>
      <c r="M830" s="1127"/>
      <c r="N830" s="1691">
        <f t="shared" si="75"/>
        <v>0</v>
      </c>
      <c r="O830" s="634">
        <f t="shared" si="76"/>
        <v>0</v>
      </c>
      <c r="P830" s="144"/>
      <c r="Q830" s="144"/>
      <c r="R830" s="144"/>
      <c r="S830" s="144"/>
    </row>
    <row r="831" spans="1:19" ht="14.25" customHeight="1">
      <c r="A831" s="630"/>
      <c r="B831" s="631"/>
      <c r="C831" s="1127"/>
      <c r="D831" s="632"/>
      <c r="E831" s="1127"/>
      <c r="F831" s="633">
        <f t="shared" si="77"/>
        <v>0</v>
      </c>
      <c r="G831" s="632"/>
      <c r="H831" s="1127"/>
      <c r="I831" s="633">
        <f t="shared" si="78"/>
        <v>0</v>
      </c>
      <c r="J831" s="633">
        <f t="shared" si="79"/>
        <v>0</v>
      </c>
      <c r="K831" s="633">
        <f t="shared" si="80"/>
        <v>0</v>
      </c>
      <c r="L831" s="1127"/>
      <c r="M831" s="1127"/>
      <c r="N831" s="1691">
        <f t="shared" si="75"/>
        <v>0</v>
      </c>
      <c r="O831" s="634">
        <f t="shared" si="76"/>
        <v>0</v>
      </c>
      <c r="P831" s="144"/>
      <c r="Q831" s="144"/>
      <c r="R831" s="144"/>
      <c r="S831" s="144"/>
    </row>
    <row r="832" spans="1:19" ht="14.25" customHeight="1">
      <c r="A832" s="630"/>
      <c r="B832" s="631"/>
      <c r="C832" s="1127"/>
      <c r="D832" s="632"/>
      <c r="E832" s="1127"/>
      <c r="F832" s="633">
        <f t="shared" si="77"/>
        <v>0</v>
      </c>
      <c r="G832" s="632"/>
      <c r="H832" s="1127"/>
      <c r="I832" s="633">
        <f t="shared" si="78"/>
        <v>0</v>
      </c>
      <c r="J832" s="633">
        <f t="shared" si="79"/>
        <v>0</v>
      </c>
      <c r="K832" s="633">
        <f t="shared" si="80"/>
        <v>0</v>
      </c>
      <c r="L832" s="1127"/>
      <c r="M832" s="1127"/>
      <c r="N832" s="1691">
        <f t="shared" si="75"/>
        <v>0</v>
      </c>
      <c r="O832" s="634">
        <f t="shared" si="76"/>
        <v>0</v>
      </c>
      <c r="P832" s="144"/>
      <c r="Q832" s="144"/>
      <c r="R832" s="144"/>
      <c r="S832" s="144"/>
    </row>
    <row r="833" spans="1:19" ht="14.25" customHeight="1">
      <c r="A833" s="630"/>
      <c r="B833" s="631"/>
      <c r="C833" s="1127"/>
      <c r="D833" s="632"/>
      <c r="E833" s="1127"/>
      <c r="F833" s="633">
        <f t="shared" si="77"/>
        <v>0</v>
      </c>
      <c r="G833" s="632"/>
      <c r="H833" s="1127"/>
      <c r="I833" s="633">
        <f t="shared" si="78"/>
        <v>0</v>
      </c>
      <c r="J833" s="633">
        <f t="shared" si="79"/>
        <v>0</v>
      </c>
      <c r="K833" s="633">
        <f t="shared" si="80"/>
        <v>0</v>
      </c>
      <c r="L833" s="1127"/>
      <c r="M833" s="1127"/>
      <c r="N833" s="1691">
        <f t="shared" si="75"/>
        <v>0</v>
      </c>
      <c r="O833" s="634">
        <f t="shared" si="76"/>
        <v>0</v>
      </c>
      <c r="P833" s="144"/>
      <c r="Q833" s="144"/>
      <c r="R833" s="144"/>
      <c r="S833" s="144"/>
    </row>
    <row r="834" spans="1:19" ht="14.25" customHeight="1">
      <c r="A834" s="630"/>
      <c r="B834" s="631"/>
      <c r="C834" s="1127"/>
      <c r="D834" s="632"/>
      <c r="E834" s="1127"/>
      <c r="F834" s="633">
        <f t="shared" si="77"/>
        <v>0</v>
      </c>
      <c r="G834" s="632"/>
      <c r="H834" s="1127"/>
      <c r="I834" s="633">
        <f t="shared" si="78"/>
        <v>0</v>
      </c>
      <c r="J834" s="633">
        <f t="shared" si="79"/>
        <v>0</v>
      </c>
      <c r="K834" s="633">
        <f t="shared" si="80"/>
        <v>0</v>
      </c>
      <c r="L834" s="1127"/>
      <c r="M834" s="1127"/>
      <c r="N834" s="1691">
        <f t="shared" si="75"/>
        <v>0</v>
      </c>
      <c r="O834" s="634">
        <f t="shared" si="76"/>
        <v>0</v>
      </c>
      <c r="P834" s="144"/>
      <c r="Q834" s="144"/>
      <c r="R834" s="144"/>
      <c r="S834" s="144"/>
    </row>
    <row r="835" spans="1:19" ht="14.25" customHeight="1">
      <c r="A835" s="630"/>
      <c r="B835" s="631"/>
      <c r="C835" s="1127"/>
      <c r="D835" s="632"/>
      <c r="E835" s="1127"/>
      <c r="F835" s="633">
        <f t="shared" si="77"/>
        <v>0</v>
      </c>
      <c r="G835" s="632"/>
      <c r="H835" s="1127"/>
      <c r="I835" s="633">
        <f t="shared" si="78"/>
        <v>0</v>
      </c>
      <c r="J835" s="633">
        <f t="shared" si="79"/>
        <v>0</v>
      </c>
      <c r="K835" s="633">
        <f t="shared" si="80"/>
        <v>0</v>
      </c>
      <c r="L835" s="1127"/>
      <c r="M835" s="1127"/>
      <c r="N835" s="1691">
        <f t="shared" si="75"/>
        <v>0</v>
      </c>
      <c r="O835" s="634">
        <f t="shared" si="76"/>
        <v>0</v>
      </c>
      <c r="P835" s="144"/>
      <c r="Q835" s="144"/>
      <c r="R835" s="144"/>
      <c r="S835" s="144"/>
    </row>
    <row r="836" spans="1:19" ht="14.25" customHeight="1">
      <c r="A836" s="630"/>
      <c r="B836" s="631"/>
      <c r="C836" s="1127"/>
      <c r="D836" s="632"/>
      <c r="E836" s="1127"/>
      <c r="F836" s="633">
        <f t="shared" si="77"/>
        <v>0</v>
      </c>
      <c r="G836" s="632"/>
      <c r="H836" s="1127"/>
      <c r="I836" s="633">
        <f t="shared" si="78"/>
        <v>0</v>
      </c>
      <c r="J836" s="633">
        <f t="shared" si="79"/>
        <v>0</v>
      </c>
      <c r="K836" s="633">
        <f t="shared" si="80"/>
        <v>0</v>
      </c>
      <c r="L836" s="1127"/>
      <c r="M836" s="1127"/>
      <c r="N836" s="1691">
        <f t="shared" si="75"/>
        <v>0</v>
      </c>
      <c r="O836" s="634">
        <f t="shared" si="76"/>
        <v>0</v>
      </c>
      <c r="P836" s="144"/>
      <c r="Q836" s="144"/>
      <c r="R836" s="144"/>
      <c r="S836" s="144"/>
    </row>
    <row r="837" spans="1:19" ht="14.25" customHeight="1">
      <c r="A837" s="630"/>
      <c r="B837" s="631"/>
      <c r="C837" s="1127"/>
      <c r="D837" s="632"/>
      <c r="E837" s="1127"/>
      <c r="F837" s="633">
        <f t="shared" si="77"/>
        <v>0</v>
      </c>
      <c r="G837" s="632"/>
      <c r="H837" s="1127"/>
      <c r="I837" s="633">
        <f t="shared" si="78"/>
        <v>0</v>
      </c>
      <c r="J837" s="633">
        <f t="shared" si="79"/>
        <v>0</v>
      </c>
      <c r="K837" s="633">
        <f t="shared" si="80"/>
        <v>0</v>
      </c>
      <c r="L837" s="1127"/>
      <c r="M837" s="1127"/>
      <c r="N837" s="1691">
        <f t="shared" si="75"/>
        <v>0</v>
      </c>
      <c r="O837" s="634">
        <f t="shared" si="76"/>
        <v>0</v>
      </c>
      <c r="P837" s="144"/>
      <c r="Q837" s="144"/>
      <c r="R837" s="144"/>
      <c r="S837" s="144"/>
    </row>
    <row r="838" spans="1:19" ht="14.25" customHeight="1">
      <c r="A838" s="630"/>
      <c r="B838" s="631"/>
      <c r="C838" s="1127"/>
      <c r="D838" s="632"/>
      <c r="E838" s="1127"/>
      <c r="F838" s="633">
        <f t="shared" si="77"/>
        <v>0</v>
      </c>
      <c r="G838" s="632"/>
      <c r="H838" s="1127"/>
      <c r="I838" s="633">
        <f t="shared" si="78"/>
        <v>0</v>
      </c>
      <c r="J838" s="633">
        <f t="shared" si="79"/>
        <v>0</v>
      </c>
      <c r="K838" s="633">
        <f t="shared" si="80"/>
        <v>0</v>
      </c>
      <c r="L838" s="1127"/>
      <c r="M838" s="1127"/>
      <c r="N838" s="1691">
        <f t="shared" si="75"/>
        <v>0</v>
      </c>
      <c r="O838" s="634">
        <f t="shared" si="76"/>
        <v>0</v>
      </c>
      <c r="P838" s="144"/>
      <c r="Q838" s="144"/>
      <c r="R838" s="144"/>
      <c r="S838" s="144"/>
    </row>
    <row r="839" spans="1:19" ht="14.25" customHeight="1">
      <c r="A839" s="630"/>
      <c r="B839" s="631"/>
      <c r="C839" s="1127"/>
      <c r="D839" s="632"/>
      <c r="E839" s="1127"/>
      <c r="F839" s="633">
        <f t="shared" si="77"/>
        <v>0</v>
      </c>
      <c r="G839" s="632"/>
      <c r="H839" s="1127"/>
      <c r="I839" s="633">
        <f t="shared" si="78"/>
        <v>0</v>
      </c>
      <c r="J839" s="633">
        <f t="shared" si="79"/>
        <v>0</v>
      </c>
      <c r="K839" s="633">
        <f t="shared" si="80"/>
        <v>0</v>
      </c>
      <c r="L839" s="1127"/>
      <c r="M839" s="1127"/>
      <c r="N839" s="1691">
        <f t="shared" si="75"/>
        <v>0</v>
      </c>
      <c r="O839" s="634">
        <f t="shared" si="76"/>
        <v>0</v>
      </c>
      <c r="P839" s="144"/>
      <c r="Q839" s="144"/>
      <c r="R839" s="144"/>
      <c r="S839" s="144"/>
    </row>
    <row r="840" spans="1:19" ht="14.25" customHeight="1">
      <c r="A840" s="630"/>
      <c r="B840" s="631"/>
      <c r="C840" s="1127"/>
      <c r="D840" s="632"/>
      <c r="E840" s="1127"/>
      <c r="F840" s="633">
        <f t="shared" si="77"/>
        <v>0</v>
      </c>
      <c r="G840" s="632"/>
      <c r="H840" s="1127"/>
      <c r="I840" s="633">
        <f t="shared" si="78"/>
        <v>0</v>
      </c>
      <c r="J840" s="633">
        <f t="shared" si="79"/>
        <v>0</v>
      </c>
      <c r="K840" s="633">
        <f t="shared" si="80"/>
        <v>0</v>
      </c>
      <c r="L840" s="1127"/>
      <c r="M840" s="1127"/>
      <c r="N840" s="1691">
        <f t="shared" si="75"/>
        <v>0</v>
      </c>
      <c r="O840" s="634">
        <f t="shared" si="76"/>
        <v>0</v>
      </c>
      <c r="P840" s="144"/>
      <c r="Q840" s="144"/>
      <c r="R840" s="144"/>
      <c r="S840" s="144"/>
    </row>
    <row r="841" spans="1:19" ht="14.25" customHeight="1">
      <c r="A841" s="630"/>
      <c r="B841" s="631"/>
      <c r="C841" s="1127"/>
      <c r="D841" s="632"/>
      <c r="E841" s="1127"/>
      <c r="F841" s="633">
        <f t="shared" si="77"/>
        <v>0</v>
      </c>
      <c r="G841" s="632"/>
      <c r="H841" s="1127"/>
      <c r="I841" s="633">
        <f t="shared" si="78"/>
        <v>0</v>
      </c>
      <c r="J841" s="633">
        <f t="shared" si="79"/>
        <v>0</v>
      </c>
      <c r="K841" s="633">
        <f t="shared" si="80"/>
        <v>0</v>
      </c>
      <c r="L841" s="1127"/>
      <c r="M841" s="1127"/>
      <c r="N841" s="1691">
        <f t="shared" si="75"/>
        <v>0</v>
      </c>
      <c r="O841" s="634">
        <f t="shared" si="76"/>
        <v>0</v>
      </c>
      <c r="P841" s="144"/>
      <c r="Q841" s="144"/>
      <c r="R841" s="144"/>
      <c r="S841" s="144"/>
    </row>
    <row r="842" spans="1:19" ht="14.25" customHeight="1">
      <c r="A842" s="630"/>
      <c r="B842" s="631"/>
      <c r="C842" s="1127"/>
      <c r="D842" s="632"/>
      <c r="E842" s="1127"/>
      <c r="F842" s="633">
        <f t="shared" si="77"/>
        <v>0</v>
      </c>
      <c r="G842" s="632"/>
      <c r="H842" s="1127"/>
      <c r="I842" s="633">
        <f t="shared" si="78"/>
        <v>0</v>
      </c>
      <c r="J842" s="633">
        <f t="shared" si="79"/>
        <v>0</v>
      </c>
      <c r="K842" s="633">
        <f t="shared" si="80"/>
        <v>0</v>
      </c>
      <c r="L842" s="1127"/>
      <c r="M842" s="1127"/>
      <c r="N842" s="1691">
        <f t="shared" ref="N842:N905" si="81">IF(M842&lt;&gt;0,ROUND(B842*K842,2)+M842,IF(ABS(ROUND(K842*B842,2)-L842)&lt;3,L842,MIN(ROUND(K842*B842,2),L842)))</f>
        <v>0</v>
      </c>
      <c r="O842" s="634">
        <f t="shared" ref="O842:O905" si="82">IF(ISERROR(L842-N842),"",IF(ABS(L842-N842)&lt;3,0,L842-N842))</f>
        <v>0</v>
      </c>
      <c r="P842" s="144"/>
      <c r="Q842" s="144"/>
      <c r="R842" s="144"/>
      <c r="S842" s="144"/>
    </row>
    <row r="843" spans="1:19" ht="14.25" customHeight="1">
      <c r="A843" s="630"/>
      <c r="B843" s="631"/>
      <c r="C843" s="1127"/>
      <c r="D843" s="632"/>
      <c r="E843" s="1127"/>
      <c r="F843" s="633">
        <f t="shared" ref="F843:F906" si="83">E843*(12-MONTH(D843))/12</f>
        <v>0</v>
      </c>
      <c r="G843" s="632"/>
      <c r="H843" s="1127"/>
      <c r="I843" s="633">
        <f t="shared" ref="I843:I906" si="84">H843*(12-MONTH(G843))/12</f>
        <v>0</v>
      </c>
      <c r="J843" s="633">
        <f t="shared" ref="J843:J906" si="85">C843+E843-H843</f>
        <v>0</v>
      </c>
      <c r="K843" s="633">
        <f t="shared" ref="K843:K906" si="86">C843+F843-I843</f>
        <v>0</v>
      </c>
      <c r="L843" s="1127"/>
      <c r="M843" s="1127"/>
      <c r="N843" s="1691">
        <f t="shared" si="81"/>
        <v>0</v>
      </c>
      <c r="O843" s="634">
        <f t="shared" si="82"/>
        <v>0</v>
      </c>
      <c r="P843" s="144"/>
      <c r="Q843" s="144"/>
      <c r="R843" s="144"/>
      <c r="S843" s="144"/>
    </row>
    <row r="844" spans="1:19" ht="14.25" customHeight="1">
      <c r="A844" s="630"/>
      <c r="B844" s="631"/>
      <c r="C844" s="1127"/>
      <c r="D844" s="632"/>
      <c r="E844" s="1127"/>
      <c r="F844" s="633">
        <f t="shared" si="83"/>
        <v>0</v>
      </c>
      <c r="G844" s="632"/>
      <c r="H844" s="1127"/>
      <c r="I844" s="633">
        <f t="shared" si="84"/>
        <v>0</v>
      </c>
      <c r="J844" s="633">
        <f t="shared" si="85"/>
        <v>0</v>
      </c>
      <c r="K844" s="633">
        <f t="shared" si="86"/>
        <v>0</v>
      </c>
      <c r="L844" s="1127"/>
      <c r="M844" s="1127"/>
      <c r="N844" s="1691">
        <f t="shared" si="81"/>
        <v>0</v>
      </c>
      <c r="O844" s="634">
        <f t="shared" si="82"/>
        <v>0</v>
      </c>
      <c r="P844" s="144"/>
      <c r="Q844" s="144"/>
      <c r="R844" s="144"/>
      <c r="S844" s="144"/>
    </row>
    <row r="845" spans="1:19" ht="14.25" customHeight="1">
      <c r="A845" s="630"/>
      <c r="B845" s="631"/>
      <c r="C845" s="1127"/>
      <c r="D845" s="632"/>
      <c r="E845" s="1127"/>
      <c r="F845" s="633">
        <f t="shared" si="83"/>
        <v>0</v>
      </c>
      <c r="G845" s="632"/>
      <c r="H845" s="1127"/>
      <c r="I845" s="633">
        <f t="shared" si="84"/>
        <v>0</v>
      </c>
      <c r="J845" s="633">
        <f t="shared" si="85"/>
        <v>0</v>
      </c>
      <c r="K845" s="633">
        <f t="shared" si="86"/>
        <v>0</v>
      </c>
      <c r="L845" s="1127"/>
      <c r="M845" s="1127"/>
      <c r="N845" s="1691">
        <f t="shared" si="81"/>
        <v>0</v>
      </c>
      <c r="O845" s="634">
        <f t="shared" si="82"/>
        <v>0</v>
      </c>
      <c r="P845" s="144"/>
      <c r="Q845" s="144"/>
      <c r="R845" s="144"/>
      <c r="S845" s="144"/>
    </row>
    <row r="846" spans="1:19" ht="14.25" customHeight="1">
      <c r="A846" s="630"/>
      <c r="B846" s="631"/>
      <c r="C846" s="1127"/>
      <c r="D846" s="632"/>
      <c r="E846" s="1127"/>
      <c r="F846" s="633">
        <f t="shared" si="83"/>
        <v>0</v>
      </c>
      <c r="G846" s="632"/>
      <c r="H846" s="1127"/>
      <c r="I846" s="633">
        <f t="shared" si="84"/>
        <v>0</v>
      </c>
      <c r="J846" s="633">
        <f t="shared" si="85"/>
        <v>0</v>
      </c>
      <c r="K846" s="633">
        <f t="shared" si="86"/>
        <v>0</v>
      </c>
      <c r="L846" s="1127"/>
      <c r="M846" s="1127"/>
      <c r="N846" s="1691">
        <f t="shared" si="81"/>
        <v>0</v>
      </c>
      <c r="O846" s="634">
        <f t="shared" si="82"/>
        <v>0</v>
      </c>
      <c r="P846" s="144"/>
      <c r="Q846" s="144"/>
      <c r="R846" s="144"/>
      <c r="S846" s="144"/>
    </row>
    <row r="847" spans="1:19" ht="14.25" customHeight="1">
      <c r="A847" s="630"/>
      <c r="B847" s="631"/>
      <c r="C847" s="1127"/>
      <c r="D847" s="632"/>
      <c r="E847" s="1127"/>
      <c r="F847" s="633">
        <f t="shared" si="83"/>
        <v>0</v>
      </c>
      <c r="G847" s="632"/>
      <c r="H847" s="1127"/>
      <c r="I847" s="633">
        <f t="shared" si="84"/>
        <v>0</v>
      </c>
      <c r="J847" s="633">
        <f t="shared" si="85"/>
        <v>0</v>
      </c>
      <c r="K847" s="633">
        <f t="shared" si="86"/>
        <v>0</v>
      </c>
      <c r="L847" s="1127"/>
      <c r="M847" s="1127"/>
      <c r="N847" s="1691">
        <f t="shared" si="81"/>
        <v>0</v>
      </c>
      <c r="O847" s="634">
        <f t="shared" si="82"/>
        <v>0</v>
      </c>
      <c r="P847" s="144"/>
      <c r="Q847" s="144"/>
      <c r="R847" s="144"/>
      <c r="S847" s="144"/>
    </row>
    <row r="848" spans="1:19" ht="14.25" customHeight="1">
      <c r="A848" s="630"/>
      <c r="B848" s="631"/>
      <c r="C848" s="1127"/>
      <c r="D848" s="632"/>
      <c r="E848" s="1127"/>
      <c r="F848" s="633">
        <f t="shared" si="83"/>
        <v>0</v>
      </c>
      <c r="G848" s="632"/>
      <c r="H848" s="1127"/>
      <c r="I848" s="633">
        <f t="shared" si="84"/>
        <v>0</v>
      </c>
      <c r="J848" s="633">
        <f t="shared" si="85"/>
        <v>0</v>
      </c>
      <c r="K848" s="633">
        <f t="shared" si="86"/>
        <v>0</v>
      </c>
      <c r="L848" s="1127"/>
      <c r="M848" s="1127"/>
      <c r="N848" s="1691">
        <f t="shared" si="81"/>
        <v>0</v>
      </c>
      <c r="O848" s="634">
        <f t="shared" si="82"/>
        <v>0</v>
      </c>
      <c r="P848" s="144"/>
      <c r="Q848" s="144"/>
      <c r="R848" s="144"/>
      <c r="S848" s="144"/>
    </row>
    <row r="849" spans="1:19" ht="14.25" customHeight="1">
      <c r="A849" s="630"/>
      <c r="B849" s="631"/>
      <c r="C849" s="1127"/>
      <c r="D849" s="632"/>
      <c r="E849" s="1127"/>
      <c r="F849" s="633">
        <f t="shared" si="83"/>
        <v>0</v>
      </c>
      <c r="G849" s="632"/>
      <c r="H849" s="1127"/>
      <c r="I849" s="633">
        <f t="shared" si="84"/>
        <v>0</v>
      </c>
      <c r="J849" s="633">
        <f t="shared" si="85"/>
        <v>0</v>
      </c>
      <c r="K849" s="633">
        <f t="shared" si="86"/>
        <v>0</v>
      </c>
      <c r="L849" s="1127"/>
      <c r="M849" s="1127"/>
      <c r="N849" s="1691">
        <f t="shared" si="81"/>
        <v>0</v>
      </c>
      <c r="O849" s="634">
        <f t="shared" si="82"/>
        <v>0</v>
      </c>
      <c r="P849" s="144"/>
      <c r="Q849" s="144"/>
      <c r="R849" s="144"/>
      <c r="S849" s="144"/>
    </row>
    <row r="850" spans="1:19" ht="14.25" customHeight="1">
      <c r="A850" s="630"/>
      <c r="B850" s="631"/>
      <c r="C850" s="1127"/>
      <c r="D850" s="632"/>
      <c r="E850" s="1127"/>
      <c r="F850" s="633">
        <f t="shared" si="83"/>
        <v>0</v>
      </c>
      <c r="G850" s="632"/>
      <c r="H850" s="1127"/>
      <c r="I850" s="633">
        <f t="shared" si="84"/>
        <v>0</v>
      </c>
      <c r="J850" s="633">
        <f t="shared" si="85"/>
        <v>0</v>
      </c>
      <c r="K850" s="633">
        <f t="shared" si="86"/>
        <v>0</v>
      </c>
      <c r="L850" s="1127"/>
      <c r="M850" s="1127"/>
      <c r="N850" s="1691">
        <f t="shared" si="81"/>
        <v>0</v>
      </c>
      <c r="O850" s="634">
        <f t="shared" si="82"/>
        <v>0</v>
      </c>
      <c r="P850" s="144"/>
      <c r="Q850" s="144"/>
      <c r="R850" s="144"/>
      <c r="S850" s="144"/>
    </row>
    <row r="851" spans="1:19" ht="14.25" customHeight="1">
      <c r="A851" s="630"/>
      <c r="B851" s="631"/>
      <c r="C851" s="1127"/>
      <c r="D851" s="632"/>
      <c r="E851" s="1127"/>
      <c r="F851" s="633">
        <f t="shared" si="83"/>
        <v>0</v>
      </c>
      <c r="G851" s="632"/>
      <c r="H851" s="1127"/>
      <c r="I851" s="633">
        <f t="shared" si="84"/>
        <v>0</v>
      </c>
      <c r="J851" s="633">
        <f t="shared" si="85"/>
        <v>0</v>
      </c>
      <c r="K851" s="633">
        <f t="shared" si="86"/>
        <v>0</v>
      </c>
      <c r="L851" s="1127"/>
      <c r="M851" s="1127"/>
      <c r="N851" s="1691">
        <f t="shared" si="81"/>
        <v>0</v>
      </c>
      <c r="O851" s="634">
        <f t="shared" si="82"/>
        <v>0</v>
      </c>
      <c r="P851" s="144"/>
      <c r="Q851" s="144"/>
      <c r="R851" s="144"/>
      <c r="S851" s="144"/>
    </row>
    <row r="852" spans="1:19" ht="14.25" customHeight="1">
      <c r="A852" s="630"/>
      <c r="B852" s="631"/>
      <c r="C852" s="1127"/>
      <c r="D852" s="632"/>
      <c r="E852" s="1127"/>
      <c r="F852" s="633">
        <f t="shared" si="83"/>
        <v>0</v>
      </c>
      <c r="G852" s="632"/>
      <c r="H852" s="1127"/>
      <c r="I852" s="633">
        <f t="shared" si="84"/>
        <v>0</v>
      </c>
      <c r="J852" s="633">
        <f t="shared" si="85"/>
        <v>0</v>
      </c>
      <c r="K852" s="633">
        <f t="shared" si="86"/>
        <v>0</v>
      </c>
      <c r="L852" s="1127"/>
      <c r="M852" s="1127"/>
      <c r="N852" s="1691">
        <f t="shared" si="81"/>
        <v>0</v>
      </c>
      <c r="O852" s="634">
        <f t="shared" si="82"/>
        <v>0</v>
      </c>
      <c r="P852" s="144"/>
      <c r="Q852" s="144"/>
      <c r="R852" s="144"/>
      <c r="S852" s="144"/>
    </row>
    <row r="853" spans="1:19" ht="14.25" customHeight="1">
      <c r="A853" s="630"/>
      <c r="B853" s="631"/>
      <c r="C853" s="1127"/>
      <c r="D853" s="632"/>
      <c r="E853" s="1127"/>
      <c r="F853" s="633">
        <f t="shared" si="83"/>
        <v>0</v>
      </c>
      <c r="G853" s="632"/>
      <c r="H853" s="1127"/>
      <c r="I853" s="633">
        <f t="shared" si="84"/>
        <v>0</v>
      </c>
      <c r="J853" s="633">
        <f t="shared" si="85"/>
        <v>0</v>
      </c>
      <c r="K853" s="633">
        <f t="shared" si="86"/>
        <v>0</v>
      </c>
      <c r="L853" s="1127"/>
      <c r="M853" s="1127"/>
      <c r="N853" s="1691">
        <f t="shared" si="81"/>
        <v>0</v>
      </c>
      <c r="O853" s="634">
        <f t="shared" si="82"/>
        <v>0</v>
      </c>
      <c r="P853" s="144"/>
      <c r="Q853" s="144"/>
      <c r="R853" s="144"/>
      <c r="S853" s="144"/>
    </row>
    <row r="854" spans="1:19" ht="14.25" customHeight="1">
      <c r="A854" s="630"/>
      <c r="B854" s="631"/>
      <c r="C854" s="1127"/>
      <c r="D854" s="632"/>
      <c r="E854" s="1127"/>
      <c r="F854" s="633">
        <f t="shared" si="83"/>
        <v>0</v>
      </c>
      <c r="G854" s="632"/>
      <c r="H854" s="1127"/>
      <c r="I854" s="633">
        <f t="shared" si="84"/>
        <v>0</v>
      </c>
      <c r="J854" s="633">
        <f t="shared" si="85"/>
        <v>0</v>
      </c>
      <c r="K854" s="633">
        <f t="shared" si="86"/>
        <v>0</v>
      </c>
      <c r="L854" s="1127"/>
      <c r="M854" s="1127"/>
      <c r="N854" s="1691">
        <f t="shared" si="81"/>
        <v>0</v>
      </c>
      <c r="O854" s="634">
        <f t="shared" si="82"/>
        <v>0</v>
      </c>
      <c r="P854" s="144"/>
      <c r="Q854" s="144"/>
      <c r="R854" s="144"/>
      <c r="S854" s="144"/>
    </row>
    <row r="855" spans="1:19" ht="14.25" customHeight="1">
      <c r="A855" s="630"/>
      <c r="B855" s="631"/>
      <c r="C855" s="1127"/>
      <c r="D855" s="632"/>
      <c r="E855" s="1127"/>
      <c r="F855" s="633">
        <f t="shared" si="83"/>
        <v>0</v>
      </c>
      <c r="G855" s="632"/>
      <c r="H855" s="1127"/>
      <c r="I855" s="633">
        <f t="shared" si="84"/>
        <v>0</v>
      </c>
      <c r="J855" s="633">
        <f t="shared" si="85"/>
        <v>0</v>
      </c>
      <c r="K855" s="633">
        <f t="shared" si="86"/>
        <v>0</v>
      </c>
      <c r="L855" s="1127"/>
      <c r="M855" s="1127"/>
      <c r="N855" s="1691">
        <f t="shared" si="81"/>
        <v>0</v>
      </c>
      <c r="O855" s="634">
        <f t="shared" si="82"/>
        <v>0</v>
      </c>
      <c r="P855" s="144"/>
      <c r="Q855" s="144"/>
      <c r="R855" s="144"/>
      <c r="S855" s="144"/>
    </row>
    <row r="856" spans="1:19" ht="14.25" customHeight="1">
      <c r="A856" s="630"/>
      <c r="B856" s="631"/>
      <c r="C856" s="1127"/>
      <c r="D856" s="632"/>
      <c r="E856" s="1127"/>
      <c r="F856" s="633">
        <f t="shared" si="83"/>
        <v>0</v>
      </c>
      <c r="G856" s="632"/>
      <c r="H856" s="1127"/>
      <c r="I856" s="633">
        <f t="shared" si="84"/>
        <v>0</v>
      </c>
      <c r="J856" s="633">
        <f t="shared" si="85"/>
        <v>0</v>
      </c>
      <c r="K856" s="633">
        <f t="shared" si="86"/>
        <v>0</v>
      </c>
      <c r="L856" s="1127"/>
      <c r="M856" s="1127"/>
      <c r="N856" s="1691">
        <f t="shared" si="81"/>
        <v>0</v>
      </c>
      <c r="O856" s="634">
        <f t="shared" si="82"/>
        <v>0</v>
      </c>
      <c r="P856" s="144"/>
      <c r="Q856" s="144"/>
      <c r="R856" s="144"/>
      <c r="S856" s="144"/>
    </row>
    <row r="857" spans="1:19" ht="13.8">
      <c r="A857" s="630"/>
      <c r="B857" s="631"/>
      <c r="C857" s="1127"/>
      <c r="D857" s="632"/>
      <c r="E857" s="1127"/>
      <c r="F857" s="633">
        <f t="shared" si="83"/>
        <v>0</v>
      </c>
      <c r="G857" s="632"/>
      <c r="H857" s="1127"/>
      <c r="I857" s="633">
        <f t="shared" si="84"/>
        <v>0</v>
      </c>
      <c r="J857" s="633">
        <f t="shared" si="85"/>
        <v>0</v>
      </c>
      <c r="K857" s="633">
        <f t="shared" si="86"/>
        <v>0</v>
      </c>
      <c r="L857" s="1127"/>
      <c r="M857" s="1127"/>
      <c r="N857" s="1691">
        <f t="shared" si="81"/>
        <v>0</v>
      </c>
      <c r="O857" s="634">
        <f t="shared" si="82"/>
        <v>0</v>
      </c>
      <c r="P857" s="144"/>
      <c r="Q857" s="144"/>
      <c r="R857" s="144"/>
      <c r="S857" s="144"/>
    </row>
    <row r="858" spans="1:19" ht="13.8">
      <c r="A858" s="630"/>
      <c r="B858" s="631"/>
      <c r="C858" s="1127"/>
      <c r="D858" s="632"/>
      <c r="E858" s="1127"/>
      <c r="F858" s="633">
        <f t="shared" si="83"/>
        <v>0</v>
      </c>
      <c r="G858" s="632"/>
      <c r="H858" s="1127"/>
      <c r="I858" s="633">
        <f t="shared" si="84"/>
        <v>0</v>
      </c>
      <c r="J858" s="633">
        <f t="shared" si="85"/>
        <v>0</v>
      </c>
      <c r="K858" s="633">
        <f t="shared" si="86"/>
        <v>0</v>
      </c>
      <c r="L858" s="1127"/>
      <c r="M858" s="1127"/>
      <c r="N858" s="1691">
        <f t="shared" si="81"/>
        <v>0</v>
      </c>
      <c r="O858" s="634">
        <f t="shared" si="82"/>
        <v>0</v>
      </c>
      <c r="P858" s="144"/>
      <c r="Q858" s="144"/>
      <c r="R858" s="144"/>
      <c r="S858" s="144"/>
    </row>
    <row r="859" spans="1:19" ht="13.8">
      <c r="A859" s="630"/>
      <c r="B859" s="631"/>
      <c r="C859" s="1127"/>
      <c r="D859" s="632"/>
      <c r="E859" s="1127"/>
      <c r="F859" s="633">
        <f t="shared" si="83"/>
        <v>0</v>
      </c>
      <c r="G859" s="632"/>
      <c r="H859" s="1127"/>
      <c r="I859" s="633">
        <f t="shared" si="84"/>
        <v>0</v>
      </c>
      <c r="J859" s="633">
        <f t="shared" si="85"/>
        <v>0</v>
      </c>
      <c r="K859" s="633">
        <f t="shared" si="86"/>
        <v>0</v>
      </c>
      <c r="L859" s="1127"/>
      <c r="M859" s="1127"/>
      <c r="N859" s="1691">
        <f t="shared" si="81"/>
        <v>0</v>
      </c>
      <c r="O859" s="634">
        <f t="shared" si="82"/>
        <v>0</v>
      </c>
      <c r="P859" s="144"/>
      <c r="Q859" s="144"/>
      <c r="R859" s="144"/>
      <c r="S859" s="144"/>
    </row>
    <row r="860" spans="1:19" ht="13.8">
      <c r="A860" s="630"/>
      <c r="B860" s="631"/>
      <c r="C860" s="1127"/>
      <c r="D860" s="632"/>
      <c r="E860" s="1127"/>
      <c r="F860" s="633">
        <f t="shared" si="83"/>
        <v>0</v>
      </c>
      <c r="G860" s="632"/>
      <c r="H860" s="1127"/>
      <c r="I860" s="633">
        <f t="shared" si="84"/>
        <v>0</v>
      </c>
      <c r="J860" s="633">
        <f t="shared" si="85"/>
        <v>0</v>
      </c>
      <c r="K860" s="633">
        <f t="shared" si="86"/>
        <v>0</v>
      </c>
      <c r="L860" s="1127"/>
      <c r="M860" s="1127"/>
      <c r="N860" s="1691">
        <f t="shared" si="81"/>
        <v>0</v>
      </c>
      <c r="O860" s="634">
        <f t="shared" si="82"/>
        <v>0</v>
      </c>
      <c r="P860" s="144"/>
      <c r="Q860" s="144"/>
      <c r="R860" s="144"/>
      <c r="S860" s="144"/>
    </row>
    <row r="861" spans="1:19" ht="13.8">
      <c r="A861" s="630"/>
      <c r="B861" s="631"/>
      <c r="C861" s="1127"/>
      <c r="D861" s="632"/>
      <c r="E861" s="1127"/>
      <c r="F861" s="633">
        <f t="shared" si="83"/>
        <v>0</v>
      </c>
      <c r="G861" s="632"/>
      <c r="H861" s="1127"/>
      <c r="I861" s="633">
        <f t="shared" si="84"/>
        <v>0</v>
      </c>
      <c r="J861" s="633">
        <f t="shared" si="85"/>
        <v>0</v>
      </c>
      <c r="K861" s="633">
        <f t="shared" si="86"/>
        <v>0</v>
      </c>
      <c r="L861" s="1127"/>
      <c r="M861" s="1127"/>
      <c r="N861" s="1691">
        <f t="shared" si="81"/>
        <v>0</v>
      </c>
      <c r="O861" s="634">
        <f t="shared" si="82"/>
        <v>0</v>
      </c>
      <c r="P861" s="144"/>
      <c r="Q861" s="144"/>
      <c r="R861" s="144"/>
      <c r="S861" s="144"/>
    </row>
    <row r="862" spans="1:19" ht="13.8">
      <c r="A862" s="630"/>
      <c r="B862" s="631"/>
      <c r="C862" s="1127"/>
      <c r="D862" s="632"/>
      <c r="E862" s="1127"/>
      <c r="F862" s="633">
        <f t="shared" si="83"/>
        <v>0</v>
      </c>
      <c r="G862" s="632"/>
      <c r="H862" s="1127"/>
      <c r="I862" s="633">
        <f t="shared" si="84"/>
        <v>0</v>
      </c>
      <c r="J862" s="633">
        <f t="shared" si="85"/>
        <v>0</v>
      </c>
      <c r="K862" s="633">
        <f t="shared" si="86"/>
        <v>0</v>
      </c>
      <c r="L862" s="1127"/>
      <c r="M862" s="1127"/>
      <c r="N862" s="1691">
        <f t="shared" si="81"/>
        <v>0</v>
      </c>
      <c r="O862" s="634">
        <f t="shared" si="82"/>
        <v>0</v>
      </c>
      <c r="P862" s="144"/>
      <c r="Q862" s="144"/>
      <c r="R862" s="144"/>
      <c r="S862" s="144"/>
    </row>
    <row r="863" spans="1:19" ht="13.8">
      <c r="A863" s="630"/>
      <c r="B863" s="631"/>
      <c r="C863" s="1127"/>
      <c r="D863" s="632"/>
      <c r="E863" s="1127"/>
      <c r="F863" s="633">
        <f t="shared" si="83"/>
        <v>0</v>
      </c>
      <c r="G863" s="632"/>
      <c r="H863" s="1127"/>
      <c r="I863" s="633">
        <f t="shared" si="84"/>
        <v>0</v>
      </c>
      <c r="J863" s="633">
        <f t="shared" si="85"/>
        <v>0</v>
      </c>
      <c r="K863" s="633">
        <f t="shared" si="86"/>
        <v>0</v>
      </c>
      <c r="L863" s="1127"/>
      <c r="M863" s="1127"/>
      <c r="N863" s="1691">
        <f t="shared" si="81"/>
        <v>0</v>
      </c>
      <c r="O863" s="634">
        <f t="shared" si="82"/>
        <v>0</v>
      </c>
      <c r="P863" s="144"/>
      <c r="Q863" s="144"/>
      <c r="R863" s="144"/>
      <c r="S863" s="144"/>
    </row>
    <row r="864" spans="1:19" ht="13.8">
      <c r="A864" s="630"/>
      <c r="B864" s="631"/>
      <c r="C864" s="1127"/>
      <c r="D864" s="632"/>
      <c r="E864" s="1127"/>
      <c r="F864" s="633">
        <f t="shared" si="83"/>
        <v>0</v>
      </c>
      <c r="G864" s="632"/>
      <c r="H864" s="1127"/>
      <c r="I864" s="633">
        <f t="shared" si="84"/>
        <v>0</v>
      </c>
      <c r="J864" s="633">
        <f t="shared" si="85"/>
        <v>0</v>
      </c>
      <c r="K864" s="633">
        <f t="shared" si="86"/>
        <v>0</v>
      </c>
      <c r="L864" s="1127"/>
      <c r="M864" s="1127"/>
      <c r="N864" s="1691">
        <f t="shared" si="81"/>
        <v>0</v>
      </c>
      <c r="O864" s="634">
        <f t="shared" si="82"/>
        <v>0</v>
      </c>
      <c r="P864" s="144"/>
      <c r="Q864" s="144"/>
      <c r="R864" s="144"/>
      <c r="S864" s="144"/>
    </row>
    <row r="865" spans="1:19" ht="13.8">
      <c r="A865" s="630"/>
      <c r="B865" s="631"/>
      <c r="C865" s="1127"/>
      <c r="D865" s="632"/>
      <c r="E865" s="1127"/>
      <c r="F865" s="633">
        <f t="shared" si="83"/>
        <v>0</v>
      </c>
      <c r="G865" s="632"/>
      <c r="H865" s="1127"/>
      <c r="I865" s="633">
        <f t="shared" si="84"/>
        <v>0</v>
      </c>
      <c r="J865" s="633">
        <f t="shared" si="85"/>
        <v>0</v>
      </c>
      <c r="K865" s="633">
        <f t="shared" si="86"/>
        <v>0</v>
      </c>
      <c r="L865" s="1127"/>
      <c r="M865" s="1127"/>
      <c r="N865" s="1691">
        <f t="shared" si="81"/>
        <v>0</v>
      </c>
      <c r="O865" s="634">
        <f t="shared" si="82"/>
        <v>0</v>
      </c>
      <c r="P865" s="144"/>
      <c r="Q865" s="144"/>
      <c r="R865" s="144"/>
      <c r="S865" s="144"/>
    </row>
    <row r="866" spans="1:19" ht="13.8">
      <c r="A866" s="630"/>
      <c r="B866" s="631"/>
      <c r="C866" s="1127"/>
      <c r="D866" s="632"/>
      <c r="E866" s="1127"/>
      <c r="F866" s="633">
        <f t="shared" si="83"/>
        <v>0</v>
      </c>
      <c r="G866" s="632"/>
      <c r="H866" s="1127"/>
      <c r="I866" s="633">
        <f t="shared" si="84"/>
        <v>0</v>
      </c>
      <c r="J866" s="633">
        <f t="shared" si="85"/>
        <v>0</v>
      </c>
      <c r="K866" s="633">
        <f t="shared" si="86"/>
        <v>0</v>
      </c>
      <c r="L866" s="1127"/>
      <c r="M866" s="1127"/>
      <c r="N866" s="1691">
        <f t="shared" si="81"/>
        <v>0</v>
      </c>
      <c r="O866" s="634">
        <f t="shared" si="82"/>
        <v>0</v>
      </c>
      <c r="P866" s="144"/>
      <c r="Q866" s="144"/>
      <c r="R866" s="144"/>
      <c r="S866" s="144"/>
    </row>
    <row r="867" spans="1:19" ht="13.8">
      <c r="A867" s="630"/>
      <c r="B867" s="631"/>
      <c r="C867" s="1127"/>
      <c r="D867" s="632"/>
      <c r="E867" s="1127"/>
      <c r="F867" s="633">
        <f t="shared" si="83"/>
        <v>0</v>
      </c>
      <c r="G867" s="632"/>
      <c r="H867" s="1127"/>
      <c r="I867" s="633">
        <f t="shared" si="84"/>
        <v>0</v>
      </c>
      <c r="J867" s="633">
        <f t="shared" si="85"/>
        <v>0</v>
      </c>
      <c r="K867" s="633">
        <f t="shared" si="86"/>
        <v>0</v>
      </c>
      <c r="L867" s="1127"/>
      <c r="M867" s="1127"/>
      <c r="N867" s="1691">
        <f t="shared" si="81"/>
        <v>0</v>
      </c>
      <c r="O867" s="634">
        <f t="shared" si="82"/>
        <v>0</v>
      </c>
      <c r="P867" s="144"/>
      <c r="Q867" s="144"/>
      <c r="R867" s="144"/>
      <c r="S867" s="144"/>
    </row>
    <row r="868" spans="1:19" ht="13.8">
      <c r="A868" s="630"/>
      <c r="B868" s="631"/>
      <c r="C868" s="1127"/>
      <c r="D868" s="632"/>
      <c r="E868" s="1127"/>
      <c r="F868" s="633">
        <f t="shared" si="83"/>
        <v>0</v>
      </c>
      <c r="G868" s="632"/>
      <c r="H868" s="1127"/>
      <c r="I868" s="633">
        <f t="shared" si="84"/>
        <v>0</v>
      </c>
      <c r="J868" s="633">
        <f t="shared" si="85"/>
        <v>0</v>
      </c>
      <c r="K868" s="633">
        <f t="shared" si="86"/>
        <v>0</v>
      </c>
      <c r="L868" s="1127"/>
      <c r="M868" s="1127"/>
      <c r="N868" s="1691">
        <f t="shared" si="81"/>
        <v>0</v>
      </c>
      <c r="O868" s="634">
        <f t="shared" si="82"/>
        <v>0</v>
      </c>
      <c r="P868" s="144"/>
      <c r="Q868" s="144"/>
      <c r="R868" s="144"/>
      <c r="S868" s="144"/>
    </row>
    <row r="869" spans="1:19" ht="13.8">
      <c r="A869" s="630"/>
      <c r="B869" s="631"/>
      <c r="C869" s="1127"/>
      <c r="D869" s="632"/>
      <c r="E869" s="1127"/>
      <c r="F869" s="633">
        <f t="shared" si="83"/>
        <v>0</v>
      </c>
      <c r="G869" s="632"/>
      <c r="H869" s="1127"/>
      <c r="I869" s="633">
        <f t="shared" si="84"/>
        <v>0</v>
      </c>
      <c r="J869" s="633">
        <f t="shared" si="85"/>
        <v>0</v>
      </c>
      <c r="K869" s="633">
        <f t="shared" si="86"/>
        <v>0</v>
      </c>
      <c r="L869" s="1127"/>
      <c r="M869" s="1127"/>
      <c r="N869" s="1691">
        <f t="shared" si="81"/>
        <v>0</v>
      </c>
      <c r="O869" s="634">
        <f t="shared" si="82"/>
        <v>0</v>
      </c>
      <c r="P869" s="144"/>
      <c r="Q869" s="144"/>
      <c r="R869" s="144"/>
      <c r="S869" s="144"/>
    </row>
    <row r="870" spans="1:19" ht="13.8">
      <c r="A870" s="630"/>
      <c r="B870" s="631"/>
      <c r="C870" s="1127"/>
      <c r="D870" s="632"/>
      <c r="E870" s="1127"/>
      <c r="F870" s="633">
        <f t="shared" si="83"/>
        <v>0</v>
      </c>
      <c r="G870" s="632"/>
      <c r="H870" s="1127"/>
      <c r="I870" s="633">
        <f t="shared" si="84"/>
        <v>0</v>
      </c>
      <c r="J870" s="633">
        <f t="shared" si="85"/>
        <v>0</v>
      </c>
      <c r="K870" s="633">
        <f t="shared" si="86"/>
        <v>0</v>
      </c>
      <c r="L870" s="1127"/>
      <c r="M870" s="1127"/>
      <c r="N870" s="1691">
        <f t="shared" si="81"/>
        <v>0</v>
      </c>
      <c r="O870" s="634">
        <f t="shared" si="82"/>
        <v>0</v>
      </c>
      <c r="P870" s="144"/>
      <c r="Q870" s="144"/>
      <c r="R870" s="144"/>
      <c r="S870" s="144"/>
    </row>
    <row r="871" spans="1:19" ht="13.8">
      <c r="A871" s="630"/>
      <c r="B871" s="631"/>
      <c r="C871" s="1127"/>
      <c r="D871" s="632"/>
      <c r="E871" s="1127"/>
      <c r="F871" s="633">
        <f t="shared" si="83"/>
        <v>0</v>
      </c>
      <c r="G871" s="632"/>
      <c r="H871" s="1127"/>
      <c r="I871" s="633">
        <f t="shared" si="84"/>
        <v>0</v>
      </c>
      <c r="J871" s="633">
        <f t="shared" si="85"/>
        <v>0</v>
      </c>
      <c r="K871" s="633">
        <f t="shared" si="86"/>
        <v>0</v>
      </c>
      <c r="L871" s="1127"/>
      <c r="M871" s="1127"/>
      <c r="N871" s="1691">
        <f t="shared" si="81"/>
        <v>0</v>
      </c>
      <c r="O871" s="634">
        <f t="shared" si="82"/>
        <v>0</v>
      </c>
      <c r="P871" s="144"/>
      <c r="Q871" s="144"/>
      <c r="R871" s="144"/>
      <c r="S871" s="144"/>
    </row>
    <row r="872" spans="1:19" ht="13.8">
      <c r="A872" s="630"/>
      <c r="B872" s="631"/>
      <c r="C872" s="1127"/>
      <c r="D872" s="632"/>
      <c r="E872" s="1127"/>
      <c r="F872" s="633">
        <f t="shared" si="83"/>
        <v>0</v>
      </c>
      <c r="G872" s="632"/>
      <c r="H872" s="1127"/>
      <c r="I872" s="633">
        <f t="shared" si="84"/>
        <v>0</v>
      </c>
      <c r="J872" s="633">
        <f t="shared" si="85"/>
        <v>0</v>
      </c>
      <c r="K872" s="633">
        <f t="shared" si="86"/>
        <v>0</v>
      </c>
      <c r="L872" s="1127"/>
      <c r="M872" s="1127"/>
      <c r="N872" s="1691">
        <f t="shared" si="81"/>
        <v>0</v>
      </c>
      <c r="O872" s="634">
        <f t="shared" si="82"/>
        <v>0</v>
      </c>
      <c r="P872" s="144"/>
      <c r="Q872" s="144"/>
      <c r="R872" s="144"/>
      <c r="S872" s="144"/>
    </row>
    <row r="873" spans="1:19" ht="13.8">
      <c r="A873" s="630"/>
      <c r="B873" s="631"/>
      <c r="C873" s="1127"/>
      <c r="D873" s="632"/>
      <c r="E873" s="1127"/>
      <c r="F873" s="633">
        <f t="shared" si="83"/>
        <v>0</v>
      </c>
      <c r="G873" s="632"/>
      <c r="H873" s="1127"/>
      <c r="I873" s="633">
        <f t="shared" si="84"/>
        <v>0</v>
      </c>
      <c r="J873" s="633">
        <f t="shared" si="85"/>
        <v>0</v>
      </c>
      <c r="K873" s="633">
        <f t="shared" si="86"/>
        <v>0</v>
      </c>
      <c r="L873" s="1127"/>
      <c r="M873" s="1127"/>
      <c r="N873" s="1691">
        <f t="shared" si="81"/>
        <v>0</v>
      </c>
      <c r="O873" s="634">
        <f t="shared" si="82"/>
        <v>0</v>
      </c>
      <c r="P873" s="144"/>
      <c r="Q873" s="144"/>
      <c r="R873" s="144"/>
      <c r="S873" s="144"/>
    </row>
    <row r="874" spans="1:19" ht="13.8">
      <c r="A874" s="630"/>
      <c r="B874" s="631"/>
      <c r="C874" s="1127"/>
      <c r="D874" s="632"/>
      <c r="E874" s="1127"/>
      <c r="F874" s="633">
        <f t="shared" si="83"/>
        <v>0</v>
      </c>
      <c r="G874" s="632"/>
      <c r="H874" s="1127"/>
      <c r="I874" s="633">
        <f t="shared" si="84"/>
        <v>0</v>
      </c>
      <c r="J874" s="633">
        <f t="shared" si="85"/>
        <v>0</v>
      </c>
      <c r="K874" s="633">
        <f t="shared" si="86"/>
        <v>0</v>
      </c>
      <c r="L874" s="1127"/>
      <c r="M874" s="1127"/>
      <c r="N874" s="1691">
        <f t="shared" si="81"/>
        <v>0</v>
      </c>
      <c r="O874" s="634">
        <f t="shared" si="82"/>
        <v>0</v>
      </c>
      <c r="P874" s="144"/>
      <c r="Q874" s="144"/>
      <c r="R874" s="144"/>
      <c r="S874" s="144"/>
    </row>
    <row r="875" spans="1:19" ht="13.8">
      <c r="A875" s="630"/>
      <c r="B875" s="631"/>
      <c r="C875" s="1127"/>
      <c r="D875" s="632"/>
      <c r="E875" s="1127"/>
      <c r="F875" s="633">
        <f t="shared" si="83"/>
        <v>0</v>
      </c>
      <c r="G875" s="632"/>
      <c r="H875" s="1127"/>
      <c r="I875" s="633">
        <f t="shared" si="84"/>
        <v>0</v>
      </c>
      <c r="J875" s="633">
        <f t="shared" si="85"/>
        <v>0</v>
      </c>
      <c r="K875" s="633">
        <f t="shared" si="86"/>
        <v>0</v>
      </c>
      <c r="L875" s="1127"/>
      <c r="M875" s="1127"/>
      <c r="N875" s="1691">
        <f t="shared" si="81"/>
        <v>0</v>
      </c>
      <c r="O875" s="634">
        <f t="shared" si="82"/>
        <v>0</v>
      </c>
      <c r="P875" s="144"/>
      <c r="Q875" s="144"/>
      <c r="R875" s="144"/>
      <c r="S875" s="144"/>
    </row>
    <row r="876" spans="1:19" ht="13.8">
      <c r="A876" s="630"/>
      <c r="B876" s="631"/>
      <c r="C876" s="1127"/>
      <c r="D876" s="632"/>
      <c r="E876" s="1127"/>
      <c r="F876" s="633">
        <f t="shared" si="83"/>
        <v>0</v>
      </c>
      <c r="G876" s="632"/>
      <c r="H876" s="1127"/>
      <c r="I876" s="633">
        <f t="shared" si="84"/>
        <v>0</v>
      </c>
      <c r="J876" s="633">
        <f t="shared" si="85"/>
        <v>0</v>
      </c>
      <c r="K876" s="633">
        <f t="shared" si="86"/>
        <v>0</v>
      </c>
      <c r="L876" s="1127"/>
      <c r="M876" s="1127"/>
      <c r="N876" s="1691">
        <f t="shared" si="81"/>
        <v>0</v>
      </c>
      <c r="O876" s="634">
        <f t="shared" si="82"/>
        <v>0</v>
      </c>
      <c r="P876" s="144"/>
      <c r="Q876" s="144"/>
      <c r="R876" s="144"/>
      <c r="S876" s="144"/>
    </row>
    <row r="877" spans="1:19" ht="13.8">
      <c r="A877" s="630"/>
      <c r="B877" s="631"/>
      <c r="C877" s="1127"/>
      <c r="D877" s="632"/>
      <c r="E877" s="1127"/>
      <c r="F877" s="633">
        <f t="shared" si="83"/>
        <v>0</v>
      </c>
      <c r="G877" s="632"/>
      <c r="H877" s="1127"/>
      <c r="I877" s="633">
        <f t="shared" si="84"/>
        <v>0</v>
      </c>
      <c r="J877" s="633">
        <f t="shared" si="85"/>
        <v>0</v>
      </c>
      <c r="K877" s="633">
        <f t="shared" si="86"/>
        <v>0</v>
      </c>
      <c r="L877" s="1127"/>
      <c r="M877" s="1127"/>
      <c r="N877" s="1691">
        <f t="shared" si="81"/>
        <v>0</v>
      </c>
      <c r="O877" s="634">
        <f t="shared" si="82"/>
        <v>0</v>
      </c>
      <c r="P877" s="144"/>
      <c r="Q877" s="144"/>
      <c r="R877" s="144"/>
      <c r="S877" s="144"/>
    </row>
    <row r="878" spans="1:19" ht="13.8">
      <c r="A878" s="630"/>
      <c r="B878" s="631"/>
      <c r="C878" s="1127"/>
      <c r="D878" s="632"/>
      <c r="E878" s="1127"/>
      <c r="F878" s="633">
        <f t="shared" si="83"/>
        <v>0</v>
      </c>
      <c r="G878" s="632"/>
      <c r="H878" s="1127"/>
      <c r="I878" s="633">
        <f t="shared" si="84"/>
        <v>0</v>
      </c>
      <c r="J878" s="633">
        <f t="shared" si="85"/>
        <v>0</v>
      </c>
      <c r="K878" s="633">
        <f t="shared" si="86"/>
        <v>0</v>
      </c>
      <c r="L878" s="1127"/>
      <c r="M878" s="1127"/>
      <c r="N878" s="1691">
        <f t="shared" si="81"/>
        <v>0</v>
      </c>
      <c r="O878" s="634">
        <f t="shared" si="82"/>
        <v>0</v>
      </c>
      <c r="P878" s="144"/>
      <c r="Q878" s="144"/>
      <c r="R878" s="144"/>
      <c r="S878" s="144"/>
    </row>
    <row r="879" spans="1:19" ht="13.8">
      <c r="A879" s="630"/>
      <c r="B879" s="631"/>
      <c r="C879" s="1127"/>
      <c r="D879" s="632"/>
      <c r="E879" s="1127"/>
      <c r="F879" s="633">
        <f t="shared" si="83"/>
        <v>0</v>
      </c>
      <c r="G879" s="632"/>
      <c r="H879" s="1127"/>
      <c r="I879" s="633">
        <f t="shared" si="84"/>
        <v>0</v>
      </c>
      <c r="J879" s="633">
        <f t="shared" si="85"/>
        <v>0</v>
      </c>
      <c r="K879" s="633">
        <f t="shared" si="86"/>
        <v>0</v>
      </c>
      <c r="L879" s="1127"/>
      <c r="M879" s="1127"/>
      <c r="N879" s="1691">
        <f t="shared" si="81"/>
        <v>0</v>
      </c>
      <c r="O879" s="634">
        <f t="shared" si="82"/>
        <v>0</v>
      </c>
      <c r="P879" s="144"/>
      <c r="Q879" s="144"/>
      <c r="R879" s="144"/>
      <c r="S879" s="144"/>
    </row>
    <row r="880" spans="1:19" ht="13.8">
      <c r="A880" s="630"/>
      <c r="B880" s="631"/>
      <c r="C880" s="1127"/>
      <c r="D880" s="632"/>
      <c r="E880" s="1127"/>
      <c r="F880" s="633">
        <f t="shared" si="83"/>
        <v>0</v>
      </c>
      <c r="G880" s="632"/>
      <c r="H880" s="1127"/>
      <c r="I880" s="633">
        <f t="shared" si="84"/>
        <v>0</v>
      </c>
      <c r="J880" s="633">
        <f t="shared" si="85"/>
        <v>0</v>
      </c>
      <c r="K880" s="633">
        <f t="shared" si="86"/>
        <v>0</v>
      </c>
      <c r="L880" s="1127"/>
      <c r="M880" s="1127"/>
      <c r="N880" s="1691">
        <f t="shared" si="81"/>
        <v>0</v>
      </c>
      <c r="O880" s="634">
        <f t="shared" si="82"/>
        <v>0</v>
      </c>
      <c r="P880" s="144"/>
      <c r="Q880" s="144"/>
      <c r="R880" s="144"/>
      <c r="S880" s="144"/>
    </row>
    <row r="881" spans="1:19" ht="13.8">
      <c r="A881" s="630"/>
      <c r="B881" s="631"/>
      <c r="C881" s="1127"/>
      <c r="D881" s="632"/>
      <c r="E881" s="1127"/>
      <c r="F881" s="633">
        <f t="shared" si="83"/>
        <v>0</v>
      </c>
      <c r="G881" s="632"/>
      <c r="H881" s="1127"/>
      <c r="I881" s="633">
        <f t="shared" si="84"/>
        <v>0</v>
      </c>
      <c r="J881" s="633">
        <f t="shared" si="85"/>
        <v>0</v>
      </c>
      <c r="K881" s="633">
        <f t="shared" si="86"/>
        <v>0</v>
      </c>
      <c r="L881" s="1127"/>
      <c r="M881" s="1127"/>
      <c r="N881" s="1691">
        <f t="shared" si="81"/>
        <v>0</v>
      </c>
      <c r="O881" s="634">
        <f t="shared" si="82"/>
        <v>0</v>
      </c>
      <c r="P881" s="144"/>
      <c r="Q881" s="144"/>
      <c r="R881" s="144"/>
      <c r="S881" s="144"/>
    </row>
    <row r="882" spans="1:19" ht="13.8">
      <c r="A882" s="630"/>
      <c r="B882" s="631"/>
      <c r="C882" s="1127"/>
      <c r="D882" s="632"/>
      <c r="E882" s="1127"/>
      <c r="F882" s="633">
        <f t="shared" si="83"/>
        <v>0</v>
      </c>
      <c r="G882" s="632"/>
      <c r="H882" s="1127"/>
      <c r="I882" s="633">
        <f t="shared" si="84"/>
        <v>0</v>
      </c>
      <c r="J882" s="633">
        <f t="shared" si="85"/>
        <v>0</v>
      </c>
      <c r="K882" s="633">
        <f t="shared" si="86"/>
        <v>0</v>
      </c>
      <c r="L882" s="1127"/>
      <c r="M882" s="1127"/>
      <c r="N882" s="1691">
        <f t="shared" si="81"/>
        <v>0</v>
      </c>
      <c r="O882" s="634">
        <f t="shared" si="82"/>
        <v>0</v>
      </c>
      <c r="P882" s="144"/>
      <c r="Q882" s="144"/>
      <c r="R882" s="144"/>
      <c r="S882" s="144"/>
    </row>
    <row r="883" spans="1:19" ht="13.8">
      <c r="A883" s="630"/>
      <c r="B883" s="631"/>
      <c r="C883" s="1127"/>
      <c r="D883" s="632"/>
      <c r="E883" s="1127"/>
      <c r="F883" s="633">
        <f t="shared" si="83"/>
        <v>0</v>
      </c>
      <c r="G883" s="632"/>
      <c r="H883" s="1127"/>
      <c r="I883" s="633">
        <f t="shared" si="84"/>
        <v>0</v>
      </c>
      <c r="J883" s="633">
        <f t="shared" si="85"/>
        <v>0</v>
      </c>
      <c r="K883" s="633">
        <f t="shared" si="86"/>
        <v>0</v>
      </c>
      <c r="L883" s="1127"/>
      <c r="M883" s="1127"/>
      <c r="N883" s="1691">
        <f t="shared" si="81"/>
        <v>0</v>
      </c>
      <c r="O883" s="634">
        <f t="shared" si="82"/>
        <v>0</v>
      </c>
      <c r="P883" s="144"/>
      <c r="Q883" s="144"/>
      <c r="R883" s="144"/>
      <c r="S883" s="144"/>
    </row>
    <row r="884" spans="1:19" ht="13.8">
      <c r="A884" s="630"/>
      <c r="B884" s="631"/>
      <c r="C884" s="1127"/>
      <c r="D884" s="632"/>
      <c r="E884" s="1127"/>
      <c r="F884" s="633">
        <f t="shared" si="83"/>
        <v>0</v>
      </c>
      <c r="G884" s="632"/>
      <c r="H884" s="1127"/>
      <c r="I884" s="633">
        <f t="shared" si="84"/>
        <v>0</v>
      </c>
      <c r="J884" s="633">
        <f t="shared" si="85"/>
        <v>0</v>
      </c>
      <c r="K884" s="633">
        <f t="shared" si="86"/>
        <v>0</v>
      </c>
      <c r="L884" s="1127"/>
      <c r="M884" s="1127"/>
      <c r="N884" s="1691">
        <f t="shared" si="81"/>
        <v>0</v>
      </c>
      <c r="O884" s="634">
        <f t="shared" si="82"/>
        <v>0</v>
      </c>
      <c r="P884" s="144"/>
      <c r="Q884" s="144"/>
      <c r="R884" s="144"/>
      <c r="S884" s="144"/>
    </row>
    <row r="885" spans="1:19" ht="13.8">
      <c r="A885" s="630"/>
      <c r="B885" s="631"/>
      <c r="C885" s="1127"/>
      <c r="D885" s="632"/>
      <c r="E885" s="1127"/>
      <c r="F885" s="633">
        <f t="shared" si="83"/>
        <v>0</v>
      </c>
      <c r="G885" s="632"/>
      <c r="H885" s="1127"/>
      <c r="I885" s="633">
        <f t="shared" si="84"/>
        <v>0</v>
      </c>
      <c r="J885" s="633">
        <f t="shared" si="85"/>
        <v>0</v>
      </c>
      <c r="K885" s="633">
        <f t="shared" si="86"/>
        <v>0</v>
      </c>
      <c r="L885" s="1127"/>
      <c r="M885" s="1127"/>
      <c r="N885" s="1691">
        <f t="shared" si="81"/>
        <v>0</v>
      </c>
      <c r="O885" s="634">
        <f t="shared" si="82"/>
        <v>0</v>
      </c>
      <c r="P885" s="144"/>
      <c r="Q885" s="144"/>
      <c r="R885" s="144"/>
      <c r="S885" s="144"/>
    </row>
    <row r="886" spans="1:19" ht="13.8">
      <c r="A886" s="630"/>
      <c r="B886" s="631"/>
      <c r="C886" s="1127"/>
      <c r="D886" s="632"/>
      <c r="E886" s="1127"/>
      <c r="F886" s="633">
        <f t="shared" si="83"/>
        <v>0</v>
      </c>
      <c r="G886" s="632"/>
      <c r="H886" s="1127"/>
      <c r="I886" s="633">
        <f t="shared" si="84"/>
        <v>0</v>
      </c>
      <c r="J886" s="633">
        <f t="shared" si="85"/>
        <v>0</v>
      </c>
      <c r="K886" s="633">
        <f t="shared" si="86"/>
        <v>0</v>
      </c>
      <c r="L886" s="1127"/>
      <c r="M886" s="1127"/>
      <c r="N886" s="1691">
        <f t="shared" si="81"/>
        <v>0</v>
      </c>
      <c r="O886" s="634">
        <f t="shared" si="82"/>
        <v>0</v>
      </c>
      <c r="P886" s="144"/>
      <c r="Q886" s="144"/>
      <c r="R886" s="144"/>
      <c r="S886" s="144"/>
    </row>
    <row r="887" spans="1:19" ht="13.8">
      <c r="A887" s="630"/>
      <c r="B887" s="631"/>
      <c r="C887" s="1127"/>
      <c r="D887" s="632"/>
      <c r="E887" s="1127"/>
      <c r="F887" s="633">
        <f t="shared" si="83"/>
        <v>0</v>
      </c>
      <c r="G887" s="632"/>
      <c r="H887" s="1127"/>
      <c r="I887" s="633">
        <f t="shared" si="84"/>
        <v>0</v>
      </c>
      <c r="J887" s="633">
        <f t="shared" si="85"/>
        <v>0</v>
      </c>
      <c r="K887" s="633">
        <f t="shared" si="86"/>
        <v>0</v>
      </c>
      <c r="L887" s="1127"/>
      <c r="M887" s="1127"/>
      <c r="N887" s="1691">
        <f t="shared" si="81"/>
        <v>0</v>
      </c>
      <c r="O887" s="634">
        <f t="shared" si="82"/>
        <v>0</v>
      </c>
      <c r="P887" s="144"/>
      <c r="Q887" s="144"/>
      <c r="R887" s="144"/>
      <c r="S887" s="144"/>
    </row>
    <row r="888" spans="1:19" ht="13.8">
      <c r="A888" s="630"/>
      <c r="B888" s="631"/>
      <c r="C888" s="1127"/>
      <c r="D888" s="632"/>
      <c r="E888" s="1127"/>
      <c r="F888" s="633">
        <f t="shared" si="83"/>
        <v>0</v>
      </c>
      <c r="G888" s="632"/>
      <c r="H888" s="1127"/>
      <c r="I888" s="633">
        <f t="shared" si="84"/>
        <v>0</v>
      </c>
      <c r="J888" s="633">
        <f t="shared" si="85"/>
        <v>0</v>
      </c>
      <c r="K888" s="633">
        <f t="shared" si="86"/>
        <v>0</v>
      </c>
      <c r="L888" s="1127"/>
      <c r="M888" s="1127"/>
      <c r="N888" s="1691">
        <f t="shared" si="81"/>
        <v>0</v>
      </c>
      <c r="O888" s="634">
        <f t="shared" si="82"/>
        <v>0</v>
      </c>
      <c r="P888" s="144"/>
      <c r="Q888" s="144"/>
      <c r="R888" s="144"/>
      <c r="S888" s="144"/>
    </row>
    <row r="889" spans="1:19" ht="13.8">
      <c r="A889" s="630"/>
      <c r="B889" s="631"/>
      <c r="C889" s="1127"/>
      <c r="D889" s="632"/>
      <c r="E889" s="1127"/>
      <c r="F889" s="633">
        <f t="shared" si="83"/>
        <v>0</v>
      </c>
      <c r="G889" s="632"/>
      <c r="H889" s="1127"/>
      <c r="I889" s="633">
        <f t="shared" si="84"/>
        <v>0</v>
      </c>
      <c r="J889" s="633">
        <f t="shared" si="85"/>
        <v>0</v>
      </c>
      <c r="K889" s="633">
        <f t="shared" si="86"/>
        <v>0</v>
      </c>
      <c r="L889" s="1127"/>
      <c r="M889" s="1127"/>
      <c r="N889" s="1691">
        <f t="shared" si="81"/>
        <v>0</v>
      </c>
      <c r="O889" s="634">
        <f t="shared" si="82"/>
        <v>0</v>
      </c>
      <c r="P889" s="144"/>
      <c r="Q889" s="144"/>
      <c r="R889" s="144"/>
      <c r="S889" s="144"/>
    </row>
    <row r="890" spans="1:19" ht="13.8">
      <c r="A890" s="630"/>
      <c r="B890" s="631"/>
      <c r="C890" s="1127"/>
      <c r="D890" s="632"/>
      <c r="E890" s="1127"/>
      <c r="F890" s="633">
        <f t="shared" si="83"/>
        <v>0</v>
      </c>
      <c r="G890" s="632"/>
      <c r="H890" s="1127"/>
      <c r="I890" s="633">
        <f t="shared" si="84"/>
        <v>0</v>
      </c>
      <c r="J890" s="633">
        <f t="shared" si="85"/>
        <v>0</v>
      </c>
      <c r="K890" s="633">
        <f t="shared" si="86"/>
        <v>0</v>
      </c>
      <c r="L890" s="1127"/>
      <c r="M890" s="1127"/>
      <c r="N890" s="1691">
        <f t="shared" si="81"/>
        <v>0</v>
      </c>
      <c r="O890" s="634">
        <f t="shared" si="82"/>
        <v>0</v>
      </c>
      <c r="P890" s="144"/>
      <c r="Q890" s="144"/>
      <c r="R890" s="144"/>
      <c r="S890" s="144"/>
    </row>
    <row r="891" spans="1:19" ht="13.8">
      <c r="A891" s="630"/>
      <c r="B891" s="631"/>
      <c r="C891" s="1127"/>
      <c r="D891" s="632"/>
      <c r="E891" s="1127"/>
      <c r="F891" s="633">
        <f t="shared" si="83"/>
        <v>0</v>
      </c>
      <c r="G891" s="632"/>
      <c r="H891" s="1127"/>
      <c r="I891" s="633">
        <f t="shared" si="84"/>
        <v>0</v>
      </c>
      <c r="J891" s="633">
        <f t="shared" si="85"/>
        <v>0</v>
      </c>
      <c r="K891" s="633">
        <f t="shared" si="86"/>
        <v>0</v>
      </c>
      <c r="L891" s="1127"/>
      <c r="M891" s="1127"/>
      <c r="N891" s="1691">
        <f t="shared" si="81"/>
        <v>0</v>
      </c>
      <c r="O891" s="634">
        <f t="shared" si="82"/>
        <v>0</v>
      </c>
      <c r="P891" s="144"/>
      <c r="Q891" s="144"/>
      <c r="R891" s="144"/>
      <c r="S891" s="144"/>
    </row>
    <row r="892" spans="1:19" ht="13.8">
      <c r="A892" s="630"/>
      <c r="B892" s="631"/>
      <c r="C892" s="1127"/>
      <c r="D892" s="632"/>
      <c r="E892" s="1127"/>
      <c r="F892" s="633">
        <f t="shared" si="83"/>
        <v>0</v>
      </c>
      <c r="G892" s="632"/>
      <c r="H892" s="1127"/>
      <c r="I892" s="633">
        <f t="shared" si="84"/>
        <v>0</v>
      </c>
      <c r="J892" s="633">
        <f t="shared" si="85"/>
        <v>0</v>
      </c>
      <c r="K892" s="633">
        <f t="shared" si="86"/>
        <v>0</v>
      </c>
      <c r="L892" s="1127"/>
      <c r="M892" s="1127"/>
      <c r="N892" s="1691">
        <f t="shared" si="81"/>
        <v>0</v>
      </c>
      <c r="O892" s="634">
        <f t="shared" si="82"/>
        <v>0</v>
      </c>
      <c r="P892" s="144"/>
      <c r="Q892" s="144"/>
      <c r="R892" s="144"/>
      <c r="S892" s="144"/>
    </row>
    <row r="893" spans="1:19" ht="13.8">
      <c r="A893" s="630"/>
      <c r="B893" s="631"/>
      <c r="C893" s="1127"/>
      <c r="D893" s="632"/>
      <c r="E893" s="1127"/>
      <c r="F893" s="633">
        <f t="shared" si="83"/>
        <v>0</v>
      </c>
      <c r="G893" s="632"/>
      <c r="H893" s="1127"/>
      <c r="I893" s="633">
        <f t="shared" si="84"/>
        <v>0</v>
      </c>
      <c r="J893" s="633">
        <f t="shared" si="85"/>
        <v>0</v>
      </c>
      <c r="K893" s="633">
        <f t="shared" si="86"/>
        <v>0</v>
      </c>
      <c r="L893" s="1127"/>
      <c r="M893" s="1127"/>
      <c r="N893" s="1691">
        <f t="shared" si="81"/>
        <v>0</v>
      </c>
      <c r="O893" s="634">
        <f t="shared" si="82"/>
        <v>0</v>
      </c>
      <c r="P893" s="144"/>
      <c r="Q893" s="144"/>
      <c r="R893" s="144"/>
      <c r="S893" s="144"/>
    </row>
    <row r="894" spans="1:19" ht="13.8">
      <c r="A894" s="630"/>
      <c r="B894" s="631"/>
      <c r="C894" s="1127"/>
      <c r="D894" s="632"/>
      <c r="E894" s="1127"/>
      <c r="F894" s="633">
        <f t="shared" si="83"/>
        <v>0</v>
      </c>
      <c r="G894" s="632"/>
      <c r="H894" s="1127"/>
      <c r="I894" s="633">
        <f t="shared" si="84"/>
        <v>0</v>
      </c>
      <c r="J894" s="633">
        <f t="shared" si="85"/>
        <v>0</v>
      </c>
      <c r="K894" s="633">
        <f t="shared" si="86"/>
        <v>0</v>
      </c>
      <c r="L894" s="1127"/>
      <c r="M894" s="1127"/>
      <c r="N894" s="1691">
        <f t="shared" si="81"/>
        <v>0</v>
      </c>
      <c r="O894" s="634">
        <f t="shared" si="82"/>
        <v>0</v>
      </c>
      <c r="P894" s="144"/>
      <c r="Q894" s="144"/>
      <c r="R894" s="144"/>
      <c r="S894" s="144"/>
    </row>
    <row r="895" spans="1:19" ht="13.8">
      <c r="A895" s="630"/>
      <c r="B895" s="631"/>
      <c r="C895" s="1127"/>
      <c r="D895" s="632"/>
      <c r="E895" s="1127"/>
      <c r="F895" s="633">
        <f t="shared" si="83"/>
        <v>0</v>
      </c>
      <c r="G895" s="632"/>
      <c r="H895" s="1127"/>
      <c r="I895" s="633">
        <f t="shared" si="84"/>
        <v>0</v>
      </c>
      <c r="J895" s="633">
        <f t="shared" si="85"/>
        <v>0</v>
      </c>
      <c r="K895" s="633">
        <f t="shared" si="86"/>
        <v>0</v>
      </c>
      <c r="L895" s="1127"/>
      <c r="M895" s="1127"/>
      <c r="N895" s="1691">
        <f t="shared" si="81"/>
        <v>0</v>
      </c>
      <c r="O895" s="634">
        <f t="shared" si="82"/>
        <v>0</v>
      </c>
      <c r="P895" s="144"/>
      <c r="Q895" s="144"/>
      <c r="R895" s="144"/>
      <c r="S895" s="144"/>
    </row>
    <row r="896" spans="1:19" ht="13.8">
      <c r="A896" s="630"/>
      <c r="B896" s="631"/>
      <c r="C896" s="1127"/>
      <c r="D896" s="632"/>
      <c r="E896" s="1127"/>
      <c r="F896" s="633">
        <f t="shared" si="83"/>
        <v>0</v>
      </c>
      <c r="G896" s="632"/>
      <c r="H896" s="1127"/>
      <c r="I896" s="633">
        <f t="shared" si="84"/>
        <v>0</v>
      </c>
      <c r="J896" s="633">
        <f t="shared" si="85"/>
        <v>0</v>
      </c>
      <c r="K896" s="633">
        <f t="shared" si="86"/>
        <v>0</v>
      </c>
      <c r="L896" s="1127"/>
      <c r="M896" s="1127"/>
      <c r="N896" s="1691">
        <f t="shared" si="81"/>
        <v>0</v>
      </c>
      <c r="O896" s="634">
        <f t="shared" si="82"/>
        <v>0</v>
      </c>
      <c r="P896" s="144"/>
      <c r="Q896" s="144"/>
      <c r="R896" s="144"/>
      <c r="S896" s="144"/>
    </row>
    <row r="897" spans="1:19" ht="13.8">
      <c r="A897" s="630"/>
      <c r="B897" s="631"/>
      <c r="C897" s="1127"/>
      <c r="D897" s="632"/>
      <c r="E897" s="1127"/>
      <c r="F897" s="633">
        <f t="shared" si="83"/>
        <v>0</v>
      </c>
      <c r="G897" s="632"/>
      <c r="H897" s="1127"/>
      <c r="I897" s="633">
        <f t="shared" si="84"/>
        <v>0</v>
      </c>
      <c r="J897" s="633">
        <f t="shared" si="85"/>
        <v>0</v>
      </c>
      <c r="K897" s="633">
        <f t="shared" si="86"/>
        <v>0</v>
      </c>
      <c r="L897" s="1127"/>
      <c r="M897" s="1127"/>
      <c r="N897" s="1691">
        <f t="shared" si="81"/>
        <v>0</v>
      </c>
      <c r="O897" s="634">
        <f t="shared" si="82"/>
        <v>0</v>
      </c>
      <c r="P897" s="144"/>
      <c r="Q897" s="144"/>
      <c r="R897" s="144"/>
      <c r="S897" s="144"/>
    </row>
    <row r="898" spans="1:19" ht="13.8">
      <c r="A898" s="630"/>
      <c r="B898" s="631"/>
      <c r="C898" s="1127"/>
      <c r="D898" s="632"/>
      <c r="E898" s="1127"/>
      <c r="F898" s="633">
        <f t="shared" si="83"/>
        <v>0</v>
      </c>
      <c r="G898" s="632"/>
      <c r="H898" s="1127"/>
      <c r="I898" s="633">
        <f t="shared" si="84"/>
        <v>0</v>
      </c>
      <c r="J898" s="633">
        <f t="shared" si="85"/>
        <v>0</v>
      </c>
      <c r="K898" s="633">
        <f t="shared" si="86"/>
        <v>0</v>
      </c>
      <c r="L898" s="1127"/>
      <c r="M898" s="1127"/>
      <c r="N898" s="1691">
        <f t="shared" si="81"/>
        <v>0</v>
      </c>
      <c r="O898" s="634">
        <f t="shared" si="82"/>
        <v>0</v>
      </c>
      <c r="P898" s="144"/>
      <c r="Q898" s="144"/>
      <c r="R898" s="144"/>
      <c r="S898" s="144"/>
    </row>
    <row r="899" spans="1:19" ht="13.8">
      <c r="A899" s="630"/>
      <c r="B899" s="631"/>
      <c r="C899" s="1127"/>
      <c r="D899" s="632"/>
      <c r="E899" s="1127"/>
      <c r="F899" s="633">
        <f t="shared" si="83"/>
        <v>0</v>
      </c>
      <c r="G899" s="632"/>
      <c r="H899" s="1127"/>
      <c r="I899" s="633">
        <f t="shared" si="84"/>
        <v>0</v>
      </c>
      <c r="J899" s="633">
        <f t="shared" si="85"/>
        <v>0</v>
      </c>
      <c r="K899" s="633">
        <f t="shared" si="86"/>
        <v>0</v>
      </c>
      <c r="L899" s="1127"/>
      <c r="M899" s="1127"/>
      <c r="N899" s="1691">
        <f t="shared" si="81"/>
        <v>0</v>
      </c>
      <c r="O899" s="634">
        <f t="shared" si="82"/>
        <v>0</v>
      </c>
      <c r="P899" s="144"/>
      <c r="Q899" s="144"/>
      <c r="R899" s="144"/>
      <c r="S899" s="144"/>
    </row>
    <row r="900" spans="1:19" ht="13.8">
      <c r="A900" s="630"/>
      <c r="B900" s="631"/>
      <c r="C900" s="1127"/>
      <c r="D900" s="632"/>
      <c r="E900" s="1127"/>
      <c r="F900" s="633">
        <f t="shared" si="83"/>
        <v>0</v>
      </c>
      <c r="G900" s="632"/>
      <c r="H900" s="1127"/>
      <c r="I900" s="633">
        <f t="shared" si="84"/>
        <v>0</v>
      </c>
      <c r="J900" s="633">
        <f t="shared" si="85"/>
        <v>0</v>
      </c>
      <c r="K900" s="633">
        <f t="shared" si="86"/>
        <v>0</v>
      </c>
      <c r="L900" s="1127"/>
      <c r="M900" s="1127"/>
      <c r="N900" s="1691">
        <f t="shared" si="81"/>
        <v>0</v>
      </c>
      <c r="O900" s="634">
        <f t="shared" si="82"/>
        <v>0</v>
      </c>
      <c r="P900" s="144"/>
      <c r="Q900" s="144"/>
      <c r="R900" s="144"/>
      <c r="S900" s="144"/>
    </row>
    <row r="901" spans="1:19" ht="13.8">
      <c r="A901" s="630"/>
      <c r="B901" s="631"/>
      <c r="C901" s="1127"/>
      <c r="D901" s="632"/>
      <c r="E901" s="1127"/>
      <c r="F901" s="633">
        <f t="shared" si="83"/>
        <v>0</v>
      </c>
      <c r="G901" s="632"/>
      <c r="H901" s="1127"/>
      <c r="I901" s="633">
        <f t="shared" si="84"/>
        <v>0</v>
      </c>
      <c r="J901" s="633">
        <f t="shared" si="85"/>
        <v>0</v>
      </c>
      <c r="K901" s="633">
        <f t="shared" si="86"/>
        <v>0</v>
      </c>
      <c r="L901" s="1127"/>
      <c r="M901" s="1127"/>
      <c r="N901" s="1691">
        <f t="shared" si="81"/>
        <v>0</v>
      </c>
      <c r="O901" s="634">
        <f t="shared" si="82"/>
        <v>0</v>
      </c>
      <c r="P901" s="144"/>
      <c r="Q901" s="144"/>
      <c r="R901" s="144"/>
      <c r="S901" s="144"/>
    </row>
    <row r="902" spans="1:19" ht="13.8">
      <c r="A902" s="630"/>
      <c r="B902" s="631"/>
      <c r="C902" s="1127"/>
      <c r="D902" s="632"/>
      <c r="E902" s="1127"/>
      <c r="F902" s="633">
        <f t="shared" si="83"/>
        <v>0</v>
      </c>
      <c r="G902" s="632"/>
      <c r="H902" s="1127"/>
      <c r="I902" s="633">
        <f t="shared" si="84"/>
        <v>0</v>
      </c>
      <c r="J902" s="633">
        <f t="shared" si="85"/>
        <v>0</v>
      </c>
      <c r="K902" s="633">
        <f t="shared" si="86"/>
        <v>0</v>
      </c>
      <c r="L902" s="1127"/>
      <c r="M902" s="1127"/>
      <c r="N902" s="1691">
        <f t="shared" si="81"/>
        <v>0</v>
      </c>
      <c r="O902" s="634">
        <f t="shared" si="82"/>
        <v>0</v>
      </c>
      <c r="P902" s="144"/>
      <c r="Q902" s="144"/>
      <c r="R902" s="144"/>
      <c r="S902" s="144"/>
    </row>
    <row r="903" spans="1:19" ht="13.8">
      <c r="A903" s="630"/>
      <c r="B903" s="631"/>
      <c r="C903" s="1127"/>
      <c r="D903" s="632"/>
      <c r="E903" s="1127"/>
      <c r="F903" s="633">
        <f t="shared" si="83"/>
        <v>0</v>
      </c>
      <c r="G903" s="632"/>
      <c r="H903" s="1127"/>
      <c r="I903" s="633">
        <f t="shared" si="84"/>
        <v>0</v>
      </c>
      <c r="J903" s="633">
        <f t="shared" si="85"/>
        <v>0</v>
      </c>
      <c r="K903" s="633">
        <f t="shared" si="86"/>
        <v>0</v>
      </c>
      <c r="L903" s="1127"/>
      <c r="M903" s="1127"/>
      <c r="N903" s="1691">
        <f t="shared" si="81"/>
        <v>0</v>
      </c>
      <c r="O903" s="634">
        <f t="shared" si="82"/>
        <v>0</v>
      </c>
      <c r="P903" s="144"/>
      <c r="Q903" s="144"/>
      <c r="R903" s="144"/>
      <c r="S903" s="144"/>
    </row>
    <row r="904" spans="1:19" ht="13.8">
      <c r="A904" s="630"/>
      <c r="B904" s="631"/>
      <c r="C904" s="1127"/>
      <c r="D904" s="632"/>
      <c r="E904" s="1127"/>
      <c r="F904" s="633">
        <f t="shared" si="83"/>
        <v>0</v>
      </c>
      <c r="G904" s="632"/>
      <c r="H904" s="1127"/>
      <c r="I904" s="633">
        <f t="shared" si="84"/>
        <v>0</v>
      </c>
      <c r="J904" s="633">
        <f t="shared" si="85"/>
        <v>0</v>
      </c>
      <c r="K904" s="633">
        <f t="shared" si="86"/>
        <v>0</v>
      </c>
      <c r="L904" s="1127"/>
      <c r="M904" s="1127"/>
      <c r="N904" s="1691">
        <f t="shared" si="81"/>
        <v>0</v>
      </c>
      <c r="O904" s="634">
        <f t="shared" si="82"/>
        <v>0</v>
      </c>
      <c r="P904" s="144"/>
      <c r="Q904" s="144"/>
      <c r="R904" s="144"/>
      <c r="S904" s="144"/>
    </row>
    <row r="905" spans="1:19" ht="13.8">
      <c r="A905" s="630"/>
      <c r="B905" s="631"/>
      <c r="C905" s="1127"/>
      <c r="D905" s="632"/>
      <c r="E905" s="1127"/>
      <c r="F905" s="633">
        <f t="shared" si="83"/>
        <v>0</v>
      </c>
      <c r="G905" s="632"/>
      <c r="H905" s="1127"/>
      <c r="I905" s="633">
        <f t="shared" si="84"/>
        <v>0</v>
      </c>
      <c r="J905" s="633">
        <f t="shared" si="85"/>
        <v>0</v>
      </c>
      <c r="K905" s="633">
        <f t="shared" si="86"/>
        <v>0</v>
      </c>
      <c r="L905" s="1127"/>
      <c r="M905" s="1127"/>
      <c r="N905" s="1691">
        <f t="shared" si="81"/>
        <v>0</v>
      </c>
      <c r="O905" s="634">
        <f t="shared" si="82"/>
        <v>0</v>
      </c>
      <c r="P905" s="144"/>
      <c r="Q905" s="144"/>
      <c r="R905" s="144"/>
      <c r="S905" s="144"/>
    </row>
    <row r="906" spans="1:19" ht="13.8">
      <c r="A906" s="630"/>
      <c r="B906" s="631"/>
      <c r="C906" s="1127"/>
      <c r="D906" s="632"/>
      <c r="E906" s="1127"/>
      <c r="F906" s="633">
        <f t="shared" si="83"/>
        <v>0</v>
      </c>
      <c r="G906" s="632"/>
      <c r="H906" s="1127"/>
      <c r="I906" s="633">
        <f t="shared" si="84"/>
        <v>0</v>
      </c>
      <c r="J906" s="633">
        <f t="shared" si="85"/>
        <v>0</v>
      </c>
      <c r="K906" s="633">
        <f t="shared" si="86"/>
        <v>0</v>
      </c>
      <c r="L906" s="1127"/>
      <c r="M906" s="1127"/>
      <c r="N906" s="1691">
        <f t="shared" ref="N906:N969" si="87">IF(M906&lt;&gt;0,ROUND(B906*K906,2)+M906,IF(ABS(ROUND(K906*B906,2)-L906)&lt;3,L906,MIN(ROUND(K906*B906,2),L906)))</f>
        <v>0</v>
      </c>
      <c r="O906" s="634">
        <f t="shared" ref="O906:O969" si="88">IF(ISERROR(L906-N906),"",IF(ABS(L906-N906)&lt;3,0,L906-N906))</f>
        <v>0</v>
      </c>
      <c r="P906" s="144"/>
      <c r="Q906" s="144"/>
      <c r="R906" s="144"/>
      <c r="S906" s="144"/>
    </row>
    <row r="907" spans="1:19" ht="13.8">
      <c r="A907" s="630"/>
      <c r="B907" s="631"/>
      <c r="C907" s="1127"/>
      <c r="D907" s="632"/>
      <c r="E907" s="1127"/>
      <c r="F907" s="633">
        <f t="shared" ref="F907:F970" si="89">E907*(12-MONTH(D907))/12</f>
        <v>0</v>
      </c>
      <c r="G907" s="632"/>
      <c r="H907" s="1127"/>
      <c r="I907" s="633">
        <f t="shared" ref="I907:I970" si="90">H907*(12-MONTH(G907))/12</f>
        <v>0</v>
      </c>
      <c r="J907" s="633">
        <f t="shared" ref="J907:J970" si="91">C907+E907-H907</f>
        <v>0</v>
      </c>
      <c r="K907" s="633">
        <f t="shared" ref="K907:K970" si="92">C907+F907-I907</f>
        <v>0</v>
      </c>
      <c r="L907" s="1127"/>
      <c r="M907" s="1127"/>
      <c r="N907" s="1691">
        <f t="shared" si="87"/>
        <v>0</v>
      </c>
      <c r="O907" s="634">
        <f t="shared" si="88"/>
        <v>0</v>
      </c>
      <c r="P907" s="144"/>
      <c r="Q907" s="144"/>
      <c r="R907" s="144"/>
      <c r="S907" s="144"/>
    </row>
    <row r="908" spans="1:19" ht="13.8">
      <c r="A908" s="630"/>
      <c r="B908" s="631"/>
      <c r="C908" s="1127"/>
      <c r="D908" s="632"/>
      <c r="E908" s="1127"/>
      <c r="F908" s="633">
        <f t="shared" si="89"/>
        <v>0</v>
      </c>
      <c r="G908" s="632"/>
      <c r="H908" s="1127"/>
      <c r="I908" s="633">
        <f t="shared" si="90"/>
        <v>0</v>
      </c>
      <c r="J908" s="633">
        <f t="shared" si="91"/>
        <v>0</v>
      </c>
      <c r="K908" s="633">
        <f t="shared" si="92"/>
        <v>0</v>
      </c>
      <c r="L908" s="1127"/>
      <c r="M908" s="1127"/>
      <c r="N908" s="1691">
        <f t="shared" si="87"/>
        <v>0</v>
      </c>
      <c r="O908" s="634">
        <f t="shared" si="88"/>
        <v>0</v>
      </c>
      <c r="P908" s="144"/>
      <c r="Q908" s="144"/>
      <c r="R908" s="144"/>
      <c r="S908" s="144"/>
    </row>
    <row r="909" spans="1:19" ht="13.8">
      <c r="A909" s="630"/>
      <c r="B909" s="631"/>
      <c r="C909" s="1127"/>
      <c r="D909" s="632"/>
      <c r="E909" s="1127"/>
      <c r="F909" s="633">
        <f t="shared" si="89"/>
        <v>0</v>
      </c>
      <c r="G909" s="632"/>
      <c r="H909" s="1127"/>
      <c r="I909" s="633">
        <f t="shared" si="90"/>
        <v>0</v>
      </c>
      <c r="J909" s="633">
        <f t="shared" si="91"/>
        <v>0</v>
      </c>
      <c r="K909" s="633">
        <f t="shared" si="92"/>
        <v>0</v>
      </c>
      <c r="L909" s="1127"/>
      <c r="M909" s="1127"/>
      <c r="N909" s="1691">
        <f t="shared" si="87"/>
        <v>0</v>
      </c>
      <c r="O909" s="634">
        <f t="shared" si="88"/>
        <v>0</v>
      </c>
      <c r="P909" s="144"/>
      <c r="Q909" s="144"/>
      <c r="R909" s="144"/>
      <c r="S909" s="144"/>
    </row>
    <row r="910" spans="1:19" ht="13.8">
      <c r="A910" s="630"/>
      <c r="B910" s="631"/>
      <c r="C910" s="1127"/>
      <c r="D910" s="632"/>
      <c r="E910" s="1127"/>
      <c r="F910" s="633">
        <f t="shared" si="89"/>
        <v>0</v>
      </c>
      <c r="G910" s="632"/>
      <c r="H910" s="1127"/>
      <c r="I910" s="633">
        <f t="shared" si="90"/>
        <v>0</v>
      </c>
      <c r="J910" s="633">
        <f t="shared" si="91"/>
        <v>0</v>
      </c>
      <c r="K910" s="633">
        <f t="shared" si="92"/>
        <v>0</v>
      </c>
      <c r="L910" s="1127"/>
      <c r="M910" s="1127"/>
      <c r="N910" s="1691">
        <f t="shared" si="87"/>
        <v>0</v>
      </c>
      <c r="O910" s="634">
        <f t="shared" si="88"/>
        <v>0</v>
      </c>
      <c r="P910" s="144"/>
      <c r="Q910" s="144"/>
      <c r="R910" s="144"/>
      <c r="S910" s="144"/>
    </row>
    <row r="911" spans="1:19" ht="13.8">
      <c r="A911" s="630"/>
      <c r="B911" s="631"/>
      <c r="C911" s="1127"/>
      <c r="D911" s="632"/>
      <c r="E911" s="1127"/>
      <c r="F911" s="633">
        <f t="shared" si="89"/>
        <v>0</v>
      </c>
      <c r="G911" s="632"/>
      <c r="H911" s="1127"/>
      <c r="I911" s="633">
        <f t="shared" si="90"/>
        <v>0</v>
      </c>
      <c r="J911" s="633">
        <f t="shared" si="91"/>
        <v>0</v>
      </c>
      <c r="K911" s="633">
        <f t="shared" si="92"/>
        <v>0</v>
      </c>
      <c r="L911" s="1127"/>
      <c r="M911" s="1127"/>
      <c r="N911" s="1691">
        <f t="shared" si="87"/>
        <v>0</v>
      </c>
      <c r="O911" s="634">
        <f t="shared" si="88"/>
        <v>0</v>
      </c>
      <c r="P911" s="144"/>
      <c r="Q911" s="144"/>
      <c r="R911" s="144"/>
      <c r="S911" s="144"/>
    </row>
    <row r="912" spans="1:19" ht="13.8">
      <c r="A912" s="630"/>
      <c r="B912" s="631"/>
      <c r="C912" s="1127"/>
      <c r="D912" s="632"/>
      <c r="E912" s="1127"/>
      <c r="F912" s="633">
        <f t="shared" si="89"/>
        <v>0</v>
      </c>
      <c r="G912" s="632"/>
      <c r="H912" s="1127"/>
      <c r="I912" s="633">
        <f t="shared" si="90"/>
        <v>0</v>
      </c>
      <c r="J912" s="633">
        <f t="shared" si="91"/>
        <v>0</v>
      </c>
      <c r="K912" s="633">
        <f t="shared" si="92"/>
        <v>0</v>
      </c>
      <c r="L912" s="1127"/>
      <c r="M912" s="1127"/>
      <c r="N912" s="1691">
        <f t="shared" si="87"/>
        <v>0</v>
      </c>
      <c r="O912" s="634">
        <f t="shared" si="88"/>
        <v>0</v>
      </c>
      <c r="P912" s="144"/>
      <c r="Q912" s="144"/>
      <c r="R912" s="144"/>
      <c r="S912" s="144"/>
    </row>
    <row r="913" spans="1:19" ht="13.8">
      <c r="A913" s="630"/>
      <c r="B913" s="631"/>
      <c r="C913" s="1127"/>
      <c r="D913" s="632"/>
      <c r="E913" s="1127"/>
      <c r="F913" s="633">
        <f t="shared" si="89"/>
        <v>0</v>
      </c>
      <c r="G913" s="632"/>
      <c r="H913" s="1127"/>
      <c r="I913" s="633">
        <f t="shared" si="90"/>
        <v>0</v>
      </c>
      <c r="J913" s="633">
        <f t="shared" si="91"/>
        <v>0</v>
      </c>
      <c r="K913" s="633">
        <f t="shared" si="92"/>
        <v>0</v>
      </c>
      <c r="L913" s="1127"/>
      <c r="M913" s="1127"/>
      <c r="N913" s="1691">
        <f t="shared" si="87"/>
        <v>0</v>
      </c>
      <c r="O913" s="634">
        <f t="shared" si="88"/>
        <v>0</v>
      </c>
      <c r="P913" s="144"/>
      <c r="Q913" s="144"/>
      <c r="R913" s="144"/>
      <c r="S913" s="144"/>
    </row>
    <row r="914" spans="1:19" ht="13.8">
      <c r="A914" s="630"/>
      <c r="B914" s="631"/>
      <c r="C914" s="1127"/>
      <c r="D914" s="632"/>
      <c r="E914" s="1127"/>
      <c r="F914" s="633">
        <f t="shared" si="89"/>
        <v>0</v>
      </c>
      <c r="G914" s="632"/>
      <c r="H914" s="1127"/>
      <c r="I914" s="633">
        <f t="shared" si="90"/>
        <v>0</v>
      </c>
      <c r="J914" s="633">
        <f t="shared" si="91"/>
        <v>0</v>
      </c>
      <c r="K914" s="633">
        <f t="shared" si="92"/>
        <v>0</v>
      </c>
      <c r="L914" s="1127"/>
      <c r="M914" s="1127"/>
      <c r="N914" s="1691">
        <f t="shared" si="87"/>
        <v>0</v>
      </c>
      <c r="O914" s="634">
        <f t="shared" si="88"/>
        <v>0</v>
      </c>
      <c r="P914" s="144"/>
      <c r="Q914" s="144"/>
      <c r="R914" s="144"/>
      <c r="S914" s="144"/>
    </row>
    <row r="915" spans="1:19" ht="13.8">
      <c r="A915" s="630"/>
      <c r="B915" s="631"/>
      <c r="C915" s="1127"/>
      <c r="D915" s="632"/>
      <c r="E915" s="1127"/>
      <c r="F915" s="633">
        <f t="shared" si="89"/>
        <v>0</v>
      </c>
      <c r="G915" s="632"/>
      <c r="H915" s="1127"/>
      <c r="I915" s="633">
        <f t="shared" si="90"/>
        <v>0</v>
      </c>
      <c r="J915" s="633">
        <f t="shared" si="91"/>
        <v>0</v>
      </c>
      <c r="K915" s="633">
        <f t="shared" si="92"/>
        <v>0</v>
      </c>
      <c r="L915" s="1127"/>
      <c r="M915" s="1127"/>
      <c r="N915" s="1691">
        <f t="shared" si="87"/>
        <v>0</v>
      </c>
      <c r="O915" s="634">
        <f t="shared" si="88"/>
        <v>0</v>
      </c>
      <c r="P915" s="144"/>
      <c r="Q915" s="144"/>
      <c r="R915" s="144"/>
      <c r="S915" s="144"/>
    </row>
    <row r="916" spans="1:19" ht="13.8">
      <c r="A916" s="630"/>
      <c r="B916" s="631"/>
      <c r="C916" s="1127"/>
      <c r="D916" s="632"/>
      <c r="E916" s="1127"/>
      <c r="F916" s="633">
        <f t="shared" si="89"/>
        <v>0</v>
      </c>
      <c r="G916" s="632"/>
      <c r="H916" s="1127"/>
      <c r="I916" s="633">
        <f t="shared" si="90"/>
        <v>0</v>
      </c>
      <c r="J916" s="633">
        <f t="shared" si="91"/>
        <v>0</v>
      </c>
      <c r="K916" s="633">
        <f t="shared" si="92"/>
        <v>0</v>
      </c>
      <c r="L916" s="1127"/>
      <c r="M916" s="1127"/>
      <c r="N916" s="1691">
        <f t="shared" si="87"/>
        <v>0</v>
      </c>
      <c r="O916" s="634">
        <f t="shared" si="88"/>
        <v>0</v>
      </c>
      <c r="P916" s="144"/>
      <c r="Q916" s="144"/>
      <c r="R916" s="144"/>
      <c r="S916" s="144"/>
    </row>
    <row r="917" spans="1:19" ht="13.8">
      <c r="A917" s="630"/>
      <c r="B917" s="631"/>
      <c r="C917" s="1127"/>
      <c r="D917" s="632"/>
      <c r="E917" s="1127"/>
      <c r="F917" s="633">
        <f t="shared" si="89"/>
        <v>0</v>
      </c>
      <c r="G917" s="632"/>
      <c r="H917" s="1127"/>
      <c r="I917" s="633">
        <f t="shared" si="90"/>
        <v>0</v>
      </c>
      <c r="J917" s="633">
        <f t="shared" si="91"/>
        <v>0</v>
      </c>
      <c r="K917" s="633">
        <f t="shared" si="92"/>
        <v>0</v>
      </c>
      <c r="L917" s="1127"/>
      <c r="M917" s="1127"/>
      <c r="N917" s="1691">
        <f t="shared" si="87"/>
        <v>0</v>
      </c>
      <c r="O917" s="634">
        <f t="shared" si="88"/>
        <v>0</v>
      </c>
      <c r="P917" s="144"/>
      <c r="Q917" s="144"/>
      <c r="R917" s="144"/>
      <c r="S917" s="144"/>
    </row>
    <row r="918" spans="1:19" ht="13.8">
      <c r="A918" s="630"/>
      <c r="B918" s="631"/>
      <c r="C918" s="1127"/>
      <c r="D918" s="632"/>
      <c r="E918" s="1127"/>
      <c r="F918" s="633">
        <f t="shared" si="89"/>
        <v>0</v>
      </c>
      <c r="G918" s="632"/>
      <c r="H918" s="1127"/>
      <c r="I918" s="633">
        <f t="shared" si="90"/>
        <v>0</v>
      </c>
      <c r="J918" s="633">
        <f t="shared" si="91"/>
        <v>0</v>
      </c>
      <c r="K918" s="633">
        <f t="shared" si="92"/>
        <v>0</v>
      </c>
      <c r="L918" s="1127"/>
      <c r="M918" s="1127"/>
      <c r="N918" s="1691">
        <f t="shared" si="87"/>
        <v>0</v>
      </c>
      <c r="O918" s="634">
        <f t="shared" si="88"/>
        <v>0</v>
      </c>
      <c r="P918" s="144"/>
      <c r="Q918" s="144"/>
      <c r="R918" s="144"/>
      <c r="S918" s="144"/>
    </row>
    <row r="919" spans="1:19" ht="13.8">
      <c r="A919" s="630"/>
      <c r="B919" s="631"/>
      <c r="C919" s="1127"/>
      <c r="D919" s="632"/>
      <c r="E919" s="1127"/>
      <c r="F919" s="633">
        <f t="shared" si="89"/>
        <v>0</v>
      </c>
      <c r="G919" s="632"/>
      <c r="H919" s="1127"/>
      <c r="I919" s="633">
        <f t="shared" si="90"/>
        <v>0</v>
      </c>
      <c r="J919" s="633">
        <f t="shared" si="91"/>
        <v>0</v>
      </c>
      <c r="K919" s="633">
        <f t="shared" si="92"/>
        <v>0</v>
      </c>
      <c r="L919" s="1127"/>
      <c r="M919" s="1127"/>
      <c r="N919" s="1691">
        <f t="shared" si="87"/>
        <v>0</v>
      </c>
      <c r="O919" s="634">
        <f t="shared" si="88"/>
        <v>0</v>
      </c>
      <c r="P919" s="144"/>
      <c r="Q919" s="144"/>
      <c r="R919" s="144"/>
      <c r="S919" s="144"/>
    </row>
    <row r="920" spans="1:19" ht="13.8">
      <c r="A920" s="630"/>
      <c r="B920" s="631"/>
      <c r="C920" s="1127"/>
      <c r="D920" s="632"/>
      <c r="E920" s="1127"/>
      <c r="F920" s="633">
        <f t="shared" si="89"/>
        <v>0</v>
      </c>
      <c r="G920" s="632"/>
      <c r="H920" s="1127"/>
      <c r="I920" s="633">
        <f t="shared" si="90"/>
        <v>0</v>
      </c>
      <c r="J920" s="633">
        <f t="shared" si="91"/>
        <v>0</v>
      </c>
      <c r="K920" s="633">
        <f t="shared" si="92"/>
        <v>0</v>
      </c>
      <c r="L920" s="1127"/>
      <c r="M920" s="1127"/>
      <c r="N920" s="1691">
        <f t="shared" si="87"/>
        <v>0</v>
      </c>
      <c r="O920" s="634">
        <f t="shared" si="88"/>
        <v>0</v>
      </c>
      <c r="P920" s="144"/>
      <c r="Q920" s="144"/>
      <c r="R920" s="144"/>
      <c r="S920" s="144"/>
    </row>
    <row r="921" spans="1:19" ht="13.8">
      <c r="A921" s="630"/>
      <c r="B921" s="631"/>
      <c r="C921" s="1127"/>
      <c r="D921" s="632"/>
      <c r="E921" s="1127"/>
      <c r="F921" s="633">
        <f t="shared" si="89"/>
        <v>0</v>
      </c>
      <c r="G921" s="632"/>
      <c r="H921" s="1127"/>
      <c r="I921" s="633">
        <f t="shared" si="90"/>
        <v>0</v>
      </c>
      <c r="J921" s="633">
        <f t="shared" si="91"/>
        <v>0</v>
      </c>
      <c r="K921" s="633">
        <f t="shared" si="92"/>
        <v>0</v>
      </c>
      <c r="L921" s="1127"/>
      <c r="M921" s="1127"/>
      <c r="N921" s="1691">
        <f t="shared" si="87"/>
        <v>0</v>
      </c>
      <c r="O921" s="634">
        <f t="shared" si="88"/>
        <v>0</v>
      </c>
      <c r="P921" s="144"/>
      <c r="Q921" s="144"/>
      <c r="R921" s="144"/>
      <c r="S921" s="144"/>
    </row>
    <row r="922" spans="1:19" ht="13.8">
      <c r="A922" s="630"/>
      <c r="B922" s="631"/>
      <c r="C922" s="1127"/>
      <c r="D922" s="632"/>
      <c r="E922" s="1127"/>
      <c r="F922" s="633">
        <f t="shared" si="89"/>
        <v>0</v>
      </c>
      <c r="G922" s="632"/>
      <c r="H922" s="1127"/>
      <c r="I922" s="633">
        <f t="shared" si="90"/>
        <v>0</v>
      </c>
      <c r="J922" s="633">
        <f t="shared" si="91"/>
        <v>0</v>
      </c>
      <c r="K922" s="633">
        <f t="shared" si="92"/>
        <v>0</v>
      </c>
      <c r="L922" s="1127"/>
      <c r="M922" s="1127"/>
      <c r="N922" s="1691">
        <f t="shared" si="87"/>
        <v>0</v>
      </c>
      <c r="O922" s="634">
        <f t="shared" si="88"/>
        <v>0</v>
      </c>
      <c r="P922" s="144"/>
      <c r="Q922" s="144"/>
      <c r="R922" s="144"/>
      <c r="S922" s="144"/>
    </row>
    <row r="923" spans="1:19" ht="13.8">
      <c r="A923" s="630"/>
      <c r="B923" s="631"/>
      <c r="C923" s="1127"/>
      <c r="D923" s="632"/>
      <c r="E923" s="1127"/>
      <c r="F923" s="633">
        <f t="shared" si="89"/>
        <v>0</v>
      </c>
      <c r="G923" s="632"/>
      <c r="H923" s="1127"/>
      <c r="I923" s="633">
        <f t="shared" si="90"/>
        <v>0</v>
      </c>
      <c r="J923" s="633">
        <f t="shared" si="91"/>
        <v>0</v>
      </c>
      <c r="K923" s="633">
        <f t="shared" si="92"/>
        <v>0</v>
      </c>
      <c r="L923" s="1127"/>
      <c r="M923" s="1127"/>
      <c r="N923" s="1691">
        <f t="shared" si="87"/>
        <v>0</v>
      </c>
      <c r="O923" s="634">
        <f t="shared" si="88"/>
        <v>0</v>
      </c>
      <c r="P923" s="144"/>
      <c r="Q923" s="144"/>
      <c r="R923" s="144"/>
      <c r="S923" s="144"/>
    </row>
    <row r="924" spans="1:19" ht="13.8">
      <c r="A924" s="630"/>
      <c r="B924" s="631"/>
      <c r="C924" s="1127"/>
      <c r="D924" s="632"/>
      <c r="E924" s="1127"/>
      <c r="F924" s="633">
        <f t="shared" si="89"/>
        <v>0</v>
      </c>
      <c r="G924" s="632"/>
      <c r="H924" s="1127"/>
      <c r="I924" s="633">
        <f t="shared" si="90"/>
        <v>0</v>
      </c>
      <c r="J924" s="633">
        <f t="shared" si="91"/>
        <v>0</v>
      </c>
      <c r="K924" s="633">
        <f t="shared" si="92"/>
        <v>0</v>
      </c>
      <c r="L924" s="1127"/>
      <c r="M924" s="1127"/>
      <c r="N924" s="1691">
        <f t="shared" si="87"/>
        <v>0</v>
      </c>
      <c r="O924" s="634">
        <f t="shared" si="88"/>
        <v>0</v>
      </c>
      <c r="P924" s="144"/>
      <c r="Q924" s="144"/>
      <c r="R924" s="144"/>
      <c r="S924" s="144"/>
    </row>
    <row r="925" spans="1:19" ht="13.8">
      <c r="A925" s="630"/>
      <c r="B925" s="631"/>
      <c r="C925" s="1127"/>
      <c r="D925" s="632"/>
      <c r="E925" s="1127"/>
      <c r="F925" s="633">
        <f t="shared" si="89"/>
        <v>0</v>
      </c>
      <c r="G925" s="632"/>
      <c r="H925" s="1127"/>
      <c r="I925" s="633">
        <f t="shared" si="90"/>
        <v>0</v>
      </c>
      <c r="J925" s="633">
        <f t="shared" si="91"/>
        <v>0</v>
      </c>
      <c r="K925" s="633">
        <f t="shared" si="92"/>
        <v>0</v>
      </c>
      <c r="L925" s="1127"/>
      <c r="M925" s="1127"/>
      <c r="N925" s="1691">
        <f t="shared" si="87"/>
        <v>0</v>
      </c>
      <c r="O925" s="634">
        <f t="shared" si="88"/>
        <v>0</v>
      </c>
      <c r="P925" s="144"/>
      <c r="Q925" s="144"/>
      <c r="R925" s="144"/>
      <c r="S925" s="144"/>
    </row>
    <row r="926" spans="1:19" ht="13.8">
      <c r="A926" s="630"/>
      <c r="B926" s="631"/>
      <c r="C926" s="1127"/>
      <c r="D926" s="632"/>
      <c r="E926" s="1127"/>
      <c r="F926" s="633">
        <f t="shared" si="89"/>
        <v>0</v>
      </c>
      <c r="G926" s="632"/>
      <c r="H926" s="1127"/>
      <c r="I926" s="633">
        <f t="shared" si="90"/>
        <v>0</v>
      </c>
      <c r="J926" s="633">
        <f t="shared" si="91"/>
        <v>0</v>
      </c>
      <c r="K926" s="633">
        <f t="shared" si="92"/>
        <v>0</v>
      </c>
      <c r="L926" s="1127"/>
      <c r="M926" s="1127"/>
      <c r="N926" s="1691">
        <f t="shared" si="87"/>
        <v>0</v>
      </c>
      <c r="O926" s="634">
        <f t="shared" si="88"/>
        <v>0</v>
      </c>
      <c r="P926" s="144"/>
      <c r="Q926" s="144"/>
      <c r="R926" s="144"/>
      <c r="S926" s="144"/>
    </row>
    <row r="927" spans="1:19" ht="13.8">
      <c r="A927" s="630"/>
      <c r="B927" s="631"/>
      <c r="C927" s="1127"/>
      <c r="D927" s="632"/>
      <c r="E927" s="1127"/>
      <c r="F927" s="633">
        <f t="shared" si="89"/>
        <v>0</v>
      </c>
      <c r="G927" s="632"/>
      <c r="H927" s="1127"/>
      <c r="I927" s="633">
        <f t="shared" si="90"/>
        <v>0</v>
      </c>
      <c r="J927" s="633">
        <f t="shared" si="91"/>
        <v>0</v>
      </c>
      <c r="K927" s="633">
        <f t="shared" si="92"/>
        <v>0</v>
      </c>
      <c r="L927" s="1127"/>
      <c r="M927" s="1127"/>
      <c r="N927" s="1691">
        <f t="shared" si="87"/>
        <v>0</v>
      </c>
      <c r="O927" s="634">
        <f t="shared" si="88"/>
        <v>0</v>
      </c>
      <c r="P927" s="144"/>
      <c r="Q927" s="144"/>
      <c r="R927" s="144"/>
      <c r="S927" s="144"/>
    </row>
    <row r="928" spans="1:19" ht="13.8">
      <c r="A928" s="630"/>
      <c r="B928" s="631"/>
      <c r="C928" s="1127"/>
      <c r="D928" s="632"/>
      <c r="E928" s="1127"/>
      <c r="F928" s="633">
        <f t="shared" si="89"/>
        <v>0</v>
      </c>
      <c r="G928" s="632"/>
      <c r="H928" s="1127"/>
      <c r="I928" s="633">
        <f t="shared" si="90"/>
        <v>0</v>
      </c>
      <c r="J928" s="633">
        <f t="shared" si="91"/>
        <v>0</v>
      </c>
      <c r="K928" s="633">
        <f t="shared" si="92"/>
        <v>0</v>
      </c>
      <c r="L928" s="1127"/>
      <c r="M928" s="1127"/>
      <c r="N928" s="1691">
        <f t="shared" si="87"/>
        <v>0</v>
      </c>
      <c r="O928" s="634">
        <f t="shared" si="88"/>
        <v>0</v>
      </c>
      <c r="P928" s="144"/>
      <c r="Q928" s="144"/>
      <c r="R928" s="144"/>
      <c r="S928" s="144"/>
    </row>
    <row r="929" spans="1:19" ht="13.8">
      <c r="A929" s="630"/>
      <c r="B929" s="631"/>
      <c r="C929" s="1127"/>
      <c r="D929" s="632"/>
      <c r="E929" s="1127"/>
      <c r="F929" s="633">
        <f t="shared" si="89"/>
        <v>0</v>
      </c>
      <c r="G929" s="632"/>
      <c r="H929" s="1127"/>
      <c r="I929" s="633">
        <f t="shared" si="90"/>
        <v>0</v>
      </c>
      <c r="J929" s="633">
        <f t="shared" si="91"/>
        <v>0</v>
      </c>
      <c r="K929" s="633">
        <f t="shared" si="92"/>
        <v>0</v>
      </c>
      <c r="L929" s="1127"/>
      <c r="M929" s="1127"/>
      <c r="N929" s="1691">
        <f t="shared" si="87"/>
        <v>0</v>
      </c>
      <c r="O929" s="634">
        <f t="shared" si="88"/>
        <v>0</v>
      </c>
      <c r="P929" s="144"/>
      <c r="Q929" s="144"/>
      <c r="R929" s="144"/>
      <c r="S929" s="144"/>
    </row>
    <row r="930" spans="1:19" ht="13.8">
      <c r="A930" s="630"/>
      <c r="B930" s="631"/>
      <c r="C930" s="1127"/>
      <c r="D930" s="632"/>
      <c r="E930" s="1127"/>
      <c r="F930" s="633">
        <f t="shared" si="89"/>
        <v>0</v>
      </c>
      <c r="G930" s="632"/>
      <c r="H930" s="1127"/>
      <c r="I930" s="633">
        <f t="shared" si="90"/>
        <v>0</v>
      </c>
      <c r="J930" s="633">
        <f t="shared" si="91"/>
        <v>0</v>
      </c>
      <c r="K930" s="633">
        <f t="shared" si="92"/>
        <v>0</v>
      </c>
      <c r="L930" s="1127"/>
      <c r="M930" s="1127"/>
      <c r="N930" s="1691">
        <f t="shared" si="87"/>
        <v>0</v>
      </c>
      <c r="O930" s="634">
        <f t="shared" si="88"/>
        <v>0</v>
      </c>
      <c r="P930" s="144"/>
      <c r="Q930" s="144"/>
      <c r="R930" s="144"/>
      <c r="S930" s="144"/>
    </row>
    <row r="931" spans="1:19" ht="13.8">
      <c r="A931" s="630"/>
      <c r="B931" s="631"/>
      <c r="C931" s="1127"/>
      <c r="D931" s="632"/>
      <c r="E931" s="1127"/>
      <c r="F931" s="633">
        <f t="shared" si="89"/>
        <v>0</v>
      </c>
      <c r="G931" s="632"/>
      <c r="H931" s="1127"/>
      <c r="I931" s="633">
        <f t="shared" si="90"/>
        <v>0</v>
      </c>
      <c r="J931" s="633">
        <f t="shared" si="91"/>
        <v>0</v>
      </c>
      <c r="K931" s="633">
        <f t="shared" si="92"/>
        <v>0</v>
      </c>
      <c r="L931" s="1127"/>
      <c r="M931" s="1127"/>
      <c r="N931" s="1691">
        <f t="shared" si="87"/>
        <v>0</v>
      </c>
      <c r="O931" s="634">
        <f t="shared" si="88"/>
        <v>0</v>
      </c>
      <c r="P931" s="144"/>
      <c r="Q931" s="144"/>
      <c r="R931" s="144"/>
      <c r="S931" s="144"/>
    </row>
    <row r="932" spans="1:19" ht="13.8">
      <c r="A932" s="630"/>
      <c r="B932" s="631"/>
      <c r="C932" s="1127"/>
      <c r="D932" s="632"/>
      <c r="E932" s="1127"/>
      <c r="F932" s="633">
        <f t="shared" si="89"/>
        <v>0</v>
      </c>
      <c r="G932" s="632"/>
      <c r="H932" s="1127"/>
      <c r="I932" s="633">
        <f t="shared" si="90"/>
        <v>0</v>
      </c>
      <c r="J932" s="633">
        <f t="shared" si="91"/>
        <v>0</v>
      </c>
      <c r="K932" s="633">
        <f t="shared" si="92"/>
        <v>0</v>
      </c>
      <c r="L932" s="1127"/>
      <c r="M932" s="1127"/>
      <c r="N932" s="1691">
        <f t="shared" si="87"/>
        <v>0</v>
      </c>
      <c r="O932" s="634">
        <f t="shared" si="88"/>
        <v>0</v>
      </c>
      <c r="P932" s="144"/>
      <c r="Q932" s="144"/>
      <c r="R932" s="144"/>
      <c r="S932" s="144"/>
    </row>
    <row r="933" spans="1:19" ht="13.8">
      <c r="A933" s="630"/>
      <c r="B933" s="631"/>
      <c r="C933" s="1127"/>
      <c r="D933" s="632"/>
      <c r="E933" s="1127"/>
      <c r="F933" s="633">
        <f t="shared" si="89"/>
        <v>0</v>
      </c>
      <c r="G933" s="632"/>
      <c r="H933" s="1127"/>
      <c r="I933" s="633">
        <f t="shared" si="90"/>
        <v>0</v>
      </c>
      <c r="J933" s="633">
        <f t="shared" si="91"/>
        <v>0</v>
      </c>
      <c r="K933" s="633">
        <f t="shared" si="92"/>
        <v>0</v>
      </c>
      <c r="L933" s="1127"/>
      <c r="M933" s="1127"/>
      <c r="N933" s="1691">
        <f t="shared" si="87"/>
        <v>0</v>
      </c>
      <c r="O933" s="634">
        <f t="shared" si="88"/>
        <v>0</v>
      </c>
      <c r="P933" s="144"/>
      <c r="Q933" s="144"/>
      <c r="R933" s="144"/>
      <c r="S933" s="144"/>
    </row>
    <row r="934" spans="1:19" ht="13.8">
      <c r="A934" s="630"/>
      <c r="B934" s="631"/>
      <c r="C934" s="1127"/>
      <c r="D934" s="632"/>
      <c r="E934" s="1127"/>
      <c r="F934" s="633">
        <f t="shared" si="89"/>
        <v>0</v>
      </c>
      <c r="G934" s="632"/>
      <c r="H934" s="1127"/>
      <c r="I934" s="633">
        <f t="shared" si="90"/>
        <v>0</v>
      </c>
      <c r="J934" s="633">
        <f t="shared" si="91"/>
        <v>0</v>
      </c>
      <c r="K934" s="633">
        <f t="shared" si="92"/>
        <v>0</v>
      </c>
      <c r="L934" s="1127"/>
      <c r="M934" s="1127"/>
      <c r="N934" s="1691">
        <f t="shared" si="87"/>
        <v>0</v>
      </c>
      <c r="O934" s="634">
        <f t="shared" si="88"/>
        <v>0</v>
      </c>
      <c r="P934" s="144"/>
      <c r="Q934" s="144"/>
      <c r="R934" s="144"/>
      <c r="S934" s="144"/>
    </row>
    <row r="935" spans="1:19" ht="13.8">
      <c r="A935" s="630"/>
      <c r="B935" s="631"/>
      <c r="C935" s="1127"/>
      <c r="D935" s="632"/>
      <c r="E935" s="1127"/>
      <c r="F935" s="633">
        <f t="shared" si="89"/>
        <v>0</v>
      </c>
      <c r="G935" s="632"/>
      <c r="H935" s="1127"/>
      <c r="I935" s="633">
        <f t="shared" si="90"/>
        <v>0</v>
      </c>
      <c r="J935" s="633">
        <f t="shared" si="91"/>
        <v>0</v>
      </c>
      <c r="K935" s="633">
        <f t="shared" si="92"/>
        <v>0</v>
      </c>
      <c r="L935" s="1127"/>
      <c r="M935" s="1127"/>
      <c r="N935" s="1691">
        <f t="shared" si="87"/>
        <v>0</v>
      </c>
      <c r="O935" s="634">
        <f t="shared" si="88"/>
        <v>0</v>
      </c>
      <c r="P935" s="144"/>
      <c r="Q935" s="144"/>
      <c r="R935" s="144"/>
      <c r="S935" s="144"/>
    </row>
    <row r="936" spans="1:19" ht="13.8">
      <c r="A936" s="630"/>
      <c r="B936" s="631"/>
      <c r="C936" s="1127"/>
      <c r="D936" s="632"/>
      <c r="E936" s="1127"/>
      <c r="F936" s="633">
        <f t="shared" si="89"/>
        <v>0</v>
      </c>
      <c r="G936" s="632"/>
      <c r="H936" s="1127"/>
      <c r="I936" s="633">
        <f t="shared" si="90"/>
        <v>0</v>
      </c>
      <c r="J936" s="633">
        <f t="shared" si="91"/>
        <v>0</v>
      </c>
      <c r="K936" s="633">
        <f t="shared" si="92"/>
        <v>0</v>
      </c>
      <c r="L936" s="1127"/>
      <c r="M936" s="1127"/>
      <c r="N936" s="1691">
        <f t="shared" si="87"/>
        <v>0</v>
      </c>
      <c r="O936" s="634">
        <f t="shared" si="88"/>
        <v>0</v>
      </c>
      <c r="P936" s="144"/>
      <c r="Q936" s="144"/>
      <c r="R936" s="144"/>
      <c r="S936" s="144"/>
    </row>
    <row r="937" spans="1:19" ht="13.8">
      <c r="A937" s="630"/>
      <c r="B937" s="631"/>
      <c r="C937" s="1127"/>
      <c r="D937" s="632"/>
      <c r="E937" s="1127"/>
      <c r="F937" s="633">
        <f t="shared" si="89"/>
        <v>0</v>
      </c>
      <c r="G937" s="632"/>
      <c r="H937" s="1127"/>
      <c r="I937" s="633">
        <f t="shared" si="90"/>
        <v>0</v>
      </c>
      <c r="J937" s="633">
        <f t="shared" si="91"/>
        <v>0</v>
      </c>
      <c r="K937" s="633">
        <f t="shared" si="92"/>
        <v>0</v>
      </c>
      <c r="L937" s="1127"/>
      <c r="M937" s="1127"/>
      <c r="N937" s="1691">
        <f t="shared" si="87"/>
        <v>0</v>
      </c>
      <c r="O937" s="634">
        <f t="shared" si="88"/>
        <v>0</v>
      </c>
      <c r="P937" s="144"/>
      <c r="Q937" s="144"/>
      <c r="R937" s="144"/>
      <c r="S937" s="144"/>
    </row>
    <row r="938" spans="1:19" ht="13.8">
      <c r="A938" s="630"/>
      <c r="B938" s="631"/>
      <c r="C938" s="1127"/>
      <c r="D938" s="632"/>
      <c r="E938" s="1127"/>
      <c r="F938" s="633">
        <f t="shared" si="89"/>
        <v>0</v>
      </c>
      <c r="G938" s="632"/>
      <c r="H938" s="1127"/>
      <c r="I938" s="633">
        <f t="shared" si="90"/>
        <v>0</v>
      </c>
      <c r="J938" s="633">
        <f t="shared" si="91"/>
        <v>0</v>
      </c>
      <c r="K938" s="633">
        <f t="shared" si="92"/>
        <v>0</v>
      </c>
      <c r="L938" s="1127"/>
      <c r="M938" s="1127"/>
      <c r="N938" s="1691">
        <f t="shared" si="87"/>
        <v>0</v>
      </c>
      <c r="O938" s="634">
        <f t="shared" si="88"/>
        <v>0</v>
      </c>
      <c r="P938" s="144"/>
      <c r="Q938" s="144"/>
      <c r="R938" s="144"/>
      <c r="S938" s="144"/>
    </row>
    <row r="939" spans="1:19" ht="13.8">
      <c r="A939" s="630"/>
      <c r="B939" s="631"/>
      <c r="C939" s="1127"/>
      <c r="D939" s="632"/>
      <c r="E939" s="1127"/>
      <c r="F939" s="633">
        <f t="shared" si="89"/>
        <v>0</v>
      </c>
      <c r="G939" s="632"/>
      <c r="H939" s="1127"/>
      <c r="I939" s="633">
        <f t="shared" si="90"/>
        <v>0</v>
      </c>
      <c r="J939" s="633">
        <f t="shared" si="91"/>
        <v>0</v>
      </c>
      <c r="K939" s="633">
        <f t="shared" si="92"/>
        <v>0</v>
      </c>
      <c r="L939" s="1127"/>
      <c r="M939" s="1127"/>
      <c r="N939" s="1691">
        <f t="shared" si="87"/>
        <v>0</v>
      </c>
      <c r="O939" s="634">
        <f t="shared" si="88"/>
        <v>0</v>
      </c>
      <c r="P939" s="144"/>
      <c r="Q939" s="144"/>
      <c r="R939" s="144"/>
      <c r="S939" s="144"/>
    </row>
    <row r="940" spans="1:19" ht="13.8">
      <c r="A940" s="630"/>
      <c r="B940" s="631"/>
      <c r="C940" s="1127"/>
      <c r="D940" s="632"/>
      <c r="E940" s="1127"/>
      <c r="F940" s="633">
        <f t="shared" si="89"/>
        <v>0</v>
      </c>
      <c r="G940" s="632"/>
      <c r="H940" s="1127"/>
      <c r="I940" s="633">
        <f t="shared" si="90"/>
        <v>0</v>
      </c>
      <c r="J940" s="633">
        <f t="shared" si="91"/>
        <v>0</v>
      </c>
      <c r="K940" s="633">
        <f t="shared" si="92"/>
        <v>0</v>
      </c>
      <c r="L940" s="1127"/>
      <c r="M940" s="1127"/>
      <c r="N940" s="1691">
        <f t="shared" si="87"/>
        <v>0</v>
      </c>
      <c r="O940" s="634">
        <f t="shared" si="88"/>
        <v>0</v>
      </c>
      <c r="P940" s="144"/>
      <c r="Q940" s="144"/>
      <c r="R940" s="144"/>
      <c r="S940" s="144"/>
    </row>
    <row r="941" spans="1:19" ht="13.8">
      <c r="A941" s="630"/>
      <c r="B941" s="631"/>
      <c r="C941" s="1127"/>
      <c r="D941" s="632"/>
      <c r="E941" s="1127"/>
      <c r="F941" s="633">
        <f t="shared" si="89"/>
        <v>0</v>
      </c>
      <c r="G941" s="632"/>
      <c r="H941" s="1127"/>
      <c r="I941" s="633">
        <f t="shared" si="90"/>
        <v>0</v>
      </c>
      <c r="J941" s="633">
        <f t="shared" si="91"/>
        <v>0</v>
      </c>
      <c r="K941" s="633">
        <f t="shared" si="92"/>
        <v>0</v>
      </c>
      <c r="L941" s="1127"/>
      <c r="M941" s="1127"/>
      <c r="N941" s="1691">
        <f t="shared" si="87"/>
        <v>0</v>
      </c>
      <c r="O941" s="634">
        <f t="shared" si="88"/>
        <v>0</v>
      </c>
      <c r="P941" s="144"/>
      <c r="Q941" s="144"/>
      <c r="R941" s="144"/>
      <c r="S941" s="144"/>
    </row>
    <row r="942" spans="1:19" ht="13.8">
      <c r="A942" s="630"/>
      <c r="B942" s="631"/>
      <c r="C942" s="1127"/>
      <c r="D942" s="632"/>
      <c r="E942" s="1127"/>
      <c r="F942" s="633">
        <f t="shared" si="89"/>
        <v>0</v>
      </c>
      <c r="G942" s="632"/>
      <c r="H942" s="1127"/>
      <c r="I942" s="633">
        <f t="shared" si="90"/>
        <v>0</v>
      </c>
      <c r="J942" s="633">
        <f t="shared" si="91"/>
        <v>0</v>
      </c>
      <c r="K942" s="633">
        <f t="shared" si="92"/>
        <v>0</v>
      </c>
      <c r="L942" s="1127"/>
      <c r="M942" s="1127"/>
      <c r="N942" s="1691">
        <f t="shared" si="87"/>
        <v>0</v>
      </c>
      <c r="O942" s="634">
        <f t="shared" si="88"/>
        <v>0</v>
      </c>
      <c r="P942" s="144"/>
      <c r="Q942" s="144"/>
      <c r="R942" s="144"/>
      <c r="S942" s="144"/>
    </row>
    <row r="943" spans="1:19" ht="13.8">
      <c r="A943" s="630"/>
      <c r="B943" s="631"/>
      <c r="C943" s="1127"/>
      <c r="D943" s="632"/>
      <c r="E943" s="1127"/>
      <c r="F943" s="633">
        <f t="shared" si="89"/>
        <v>0</v>
      </c>
      <c r="G943" s="632"/>
      <c r="H943" s="1127"/>
      <c r="I943" s="633">
        <f t="shared" si="90"/>
        <v>0</v>
      </c>
      <c r="J943" s="633">
        <f t="shared" si="91"/>
        <v>0</v>
      </c>
      <c r="K943" s="633">
        <f t="shared" si="92"/>
        <v>0</v>
      </c>
      <c r="L943" s="1127"/>
      <c r="M943" s="1127"/>
      <c r="N943" s="1691">
        <f t="shared" si="87"/>
        <v>0</v>
      </c>
      <c r="O943" s="634">
        <f t="shared" si="88"/>
        <v>0</v>
      </c>
      <c r="P943" s="144"/>
      <c r="Q943" s="144"/>
      <c r="R943" s="144"/>
      <c r="S943" s="144"/>
    </row>
    <row r="944" spans="1:19" ht="13.8">
      <c r="A944" s="630"/>
      <c r="B944" s="631"/>
      <c r="C944" s="1127"/>
      <c r="D944" s="632"/>
      <c r="E944" s="1127"/>
      <c r="F944" s="633">
        <f t="shared" si="89"/>
        <v>0</v>
      </c>
      <c r="G944" s="632"/>
      <c r="H944" s="1127"/>
      <c r="I944" s="633">
        <f t="shared" si="90"/>
        <v>0</v>
      </c>
      <c r="J944" s="633">
        <f t="shared" si="91"/>
        <v>0</v>
      </c>
      <c r="K944" s="633">
        <f t="shared" si="92"/>
        <v>0</v>
      </c>
      <c r="L944" s="1127"/>
      <c r="M944" s="1127"/>
      <c r="N944" s="1691">
        <f t="shared" si="87"/>
        <v>0</v>
      </c>
      <c r="O944" s="634">
        <f t="shared" si="88"/>
        <v>0</v>
      </c>
      <c r="P944" s="144"/>
      <c r="Q944" s="144"/>
      <c r="R944" s="144"/>
      <c r="S944" s="144"/>
    </row>
    <row r="945" spans="1:19" ht="13.8">
      <c r="A945" s="630"/>
      <c r="B945" s="631"/>
      <c r="C945" s="1127"/>
      <c r="D945" s="632"/>
      <c r="E945" s="1127"/>
      <c r="F945" s="633">
        <f t="shared" si="89"/>
        <v>0</v>
      </c>
      <c r="G945" s="632"/>
      <c r="H945" s="1127"/>
      <c r="I945" s="633">
        <f t="shared" si="90"/>
        <v>0</v>
      </c>
      <c r="J945" s="633">
        <f t="shared" si="91"/>
        <v>0</v>
      </c>
      <c r="K945" s="633">
        <f t="shared" si="92"/>
        <v>0</v>
      </c>
      <c r="L945" s="1127"/>
      <c r="M945" s="1127"/>
      <c r="N945" s="1691">
        <f t="shared" si="87"/>
        <v>0</v>
      </c>
      <c r="O945" s="634">
        <f t="shared" si="88"/>
        <v>0</v>
      </c>
      <c r="P945" s="144"/>
      <c r="Q945" s="144"/>
      <c r="R945" s="144"/>
      <c r="S945" s="144"/>
    </row>
    <row r="946" spans="1:19" ht="13.8">
      <c r="A946" s="630"/>
      <c r="B946" s="631"/>
      <c r="C946" s="1127"/>
      <c r="D946" s="632"/>
      <c r="E946" s="1127"/>
      <c r="F946" s="633">
        <f t="shared" si="89"/>
        <v>0</v>
      </c>
      <c r="G946" s="632"/>
      <c r="H946" s="1127"/>
      <c r="I946" s="633">
        <f t="shared" si="90"/>
        <v>0</v>
      </c>
      <c r="J946" s="633">
        <f t="shared" si="91"/>
        <v>0</v>
      </c>
      <c r="K946" s="633">
        <f t="shared" si="92"/>
        <v>0</v>
      </c>
      <c r="L946" s="1127"/>
      <c r="M946" s="1127"/>
      <c r="N946" s="1691">
        <f t="shared" si="87"/>
        <v>0</v>
      </c>
      <c r="O946" s="634">
        <f t="shared" si="88"/>
        <v>0</v>
      </c>
      <c r="P946" s="144"/>
      <c r="Q946" s="144"/>
      <c r="R946" s="144"/>
      <c r="S946" s="144"/>
    </row>
    <row r="947" spans="1:19" ht="13.8">
      <c r="A947" s="630"/>
      <c r="B947" s="631"/>
      <c r="C947" s="1127"/>
      <c r="D947" s="632"/>
      <c r="E947" s="1127"/>
      <c r="F947" s="633">
        <f t="shared" si="89"/>
        <v>0</v>
      </c>
      <c r="G947" s="632"/>
      <c r="H947" s="1127"/>
      <c r="I947" s="633">
        <f t="shared" si="90"/>
        <v>0</v>
      </c>
      <c r="J947" s="633">
        <f t="shared" si="91"/>
        <v>0</v>
      </c>
      <c r="K947" s="633">
        <f t="shared" si="92"/>
        <v>0</v>
      </c>
      <c r="L947" s="1127"/>
      <c r="M947" s="1127"/>
      <c r="N947" s="1691">
        <f t="shared" si="87"/>
        <v>0</v>
      </c>
      <c r="O947" s="634">
        <f t="shared" si="88"/>
        <v>0</v>
      </c>
      <c r="P947" s="144"/>
      <c r="Q947" s="144"/>
      <c r="R947" s="144"/>
      <c r="S947" s="144"/>
    </row>
    <row r="948" spans="1:19" ht="13.8">
      <c r="A948" s="630"/>
      <c r="B948" s="631"/>
      <c r="C948" s="1127"/>
      <c r="D948" s="632"/>
      <c r="E948" s="1127"/>
      <c r="F948" s="633">
        <f t="shared" si="89"/>
        <v>0</v>
      </c>
      <c r="G948" s="632"/>
      <c r="H948" s="1127"/>
      <c r="I948" s="633">
        <f t="shared" si="90"/>
        <v>0</v>
      </c>
      <c r="J948" s="633">
        <f t="shared" si="91"/>
        <v>0</v>
      </c>
      <c r="K948" s="633">
        <f t="shared" si="92"/>
        <v>0</v>
      </c>
      <c r="L948" s="1127"/>
      <c r="M948" s="1127"/>
      <c r="N948" s="1691">
        <f t="shared" si="87"/>
        <v>0</v>
      </c>
      <c r="O948" s="634">
        <f t="shared" si="88"/>
        <v>0</v>
      </c>
      <c r="P948" s="144"/>
      <c r="Q948" s="144"/>
      <c r="R948" s="144"/>
      <c r="S948" s="144"/>
    </row>
    <row r="949" spans="1:19" ht="13.8">
      <c r="A949" s="630"/>
      <c r="B949" s="631"/>
      <c r="C949" s="1127"/>
      <c r="D949" s="632"/>
      <c r="E949" s="1127"/>
      <c r="F949" s="633">
        <f t="shared" si="89"/>
        <v>0</v>
      </c>
      <c r="G949" s="632"/>
      <c r="H949" s="1127"/>
      <c r="I949" s="633">
        <f t="shared" si="90"/>
        <v>0</v>
      </c>
      <c r="J949" s="633">
        <f t="shared" si="91"/>
        <v>0</v>
      </c>
      <c r="K949" s="633">
        <f t="shared" si="92"/>
        <v>0</v>
      </c>
      <c r="L949" s="1127"/>
      <c r="M949" s="1127"/>
      <c r="N949" s="1691">
        <f t="shared" si="87"/>
        <v>0</v>
      </c>
      <c r="O949" s="634">
        <f t="shared" si="88"/>
        <v>0</v>
      </c>
      <c r="P949" s="144"/>
      <c r="Q949" s="144"/>
      <c r="R949" s="144"/>
      <c r="S949" s="144"/>
    </row>
    <row r="950" spans="1:19" ht="13.8">
      <c r="A950" s="630"/>
      <c r="B950" s="631"/>
      <c r="C950" s="1127"/>
      <c r="D950" s="632"/>
      <c r="E950" s="1127"/>
      <c r="F950" s="633">
        <f t="shared" si="89"/>
        <v>0</v>
      </c>
      <c r="G950" s="632"/>
      <c r="H950" s="1127"/>
      <c r="I950" s="633">
        <f t="shared" si="90"/>
        <v>0</v>
      </c>
      <c r="J950" s="633">
        <f t="shared" si="91"/>
        <v>0</v>
      </c>
      <c r="K950" s="633">
        <f t="shared" si="92"/>
        <v>0</v>
      </c>
      <c r="L950" s="1127"/>
      <c r="M950" s="1127"/>
      <c r="N950" s="1691">
        <f t="shared" si="87"/>
        <v>0</v>
      </c>
      <c r="O950" s="634">
        <f t="shared" si="88"/>
        <v>0</v>
      </c>
      <c r="P950" s="144"/>
      <c r="Q950" s="144"/>
      <c r="R950" s="144"/>
      <c r="S950" s="144"/>
    </row>
    <row r="951" spans="1:19" ht="13.8">
      <c r="A951" s="630"/>
      <c r="B951" s="631"/>
      <c r="C951" s="1127"/>
      <c r="D951" s="632"/>
      <c r="E951" s="1127"/>
      <c r="F951" s="633">
        <f t="shared" si="89"/>
        <v>0</v>
      </c>
      <c r="G951" s="632"/>
      <c r="H951" s="1127"/>
      <c r="I951" s="633">
        <f t="shared" si="90"/>
        <v>0</v>
      </c>
      <c r="J951" s="633">
        <f t="shared" si="91"/>
        <v>0</v>
      </c>
      <c r="K951" s="633">
        <f t="shared" si="92"/>
        <v>0</v>
      </c>
      <c r="L951" s="1127"/>
      <c r="M951" s="1127"/>
      <c r="N951" s="1691">
        <f t="shared" si="87"/>
        <v>0</v>
      </c>
      <c r="O951" s="634">
        <f t="shared" si="88"/>
        <v>0</v>
      </c>
      <c r="P951" s="144"/>
      <c r="Q951" s="144"/>
      <c r="R951" s="144"/>
      <c r="S951" s="144"/>
    </row>
    <row r="952" spans="1:19" ht="13.8">
      <c r="A952" s="630"/>
      <c r="B952" s="631"/>
      <c r="C952" s="1127"/>
      <c r="D952" s="632"/>
      <c r="E952" s="1127"/>
      <c r="F952" s="633">
        <f t="shared" si="89"/>
        <v>0</v>
      </c>
      <c r="G952" s="632"/>
      <c r="H952" s="1127"/>
      <c r="I952" s="633">
        <f t="shared" si="90"/>
        <v>0</v>
      </c>
      <c r="J952" s="633">
        <f t="shared" si="91"/>
        <v>0</v>
      </c>
      <c r="K952" s="633">
        <f t="shared" si="92"/>
        <v>0</v>
      </c>
      <c r="L952" s="1127"/>
      <c r="M952" s="1127"/>
      <c r="N952" s="1691">
        <f t="shared" si="87"/>
        <v>0</v>
      </c>
      <c r="O952" s="634">
        <f t="shared" si="88"/>
        <v>0</v>
      </c>
      <c r="P952" s="144"/>
      <c r="Q952" s="144"/>
      <c r="R952" s="144"/>
      <c r="S952" s="144"/>
    </row>
    <row r="953" spans="1:19" ht="13.8">
      <c r="A953" s="630"/>
      <c r="B953" s="631"/>
      <c r="C953" s="1127"/>
      <c r="D953" s="632"/>
      <c r="E953" s="1127"/>
      <c r="F953" s="633">
        <f t="shared" si="89"/>
        <v>0</v>
      </c>
      <c r="G953" s="632"/>
      <c r="H953" s="1127"/>
      <c r="I953" s="633">
        <f t="shared" si="90"/>
        <v>0</v>
      </c>
      <c r="J953" s="633">
        <f t="shared" si="91"/>
        <v>0</v>
      </c>
      <c r="K953" s="633">
        <f t="shared" si="92"/>
        <v>0</v>
      </c>
      <c r="L953" s="1127"/>
      <c r="M953" s="1127"/>
      <c r="N953" s="1691">
        <f t="shared" si="87"/>
        <v>0</v>
      </c>
      <c r="O953" s="634">
        <f t="shared" si="88"/>
        <v>0</v>
      </c>
      <c r="P953" s="144"/>
      <c r="Q953" s="144"/>
      <c r="R953" s="144"/>
      <c r="S953" s="144"/>
    </row>
    <row r="954" spans="1:19" ht="13.8">
      <c r="A954" s="630"/>
      <c r="B954" s="631"/>
      <c r="C954" s="1127"/>
      <c r="D954" s="632"/>
      <c r="E954" s="1127"/>
      <c r="F954" s="633">
        <f t="shared" si="89"/>
        <v>0</v>
      </c>
      <c r="G954" s="632"/>
      <c r="H954" s="1127"/>
      <c r="I954" s="633">
        <f t="shared" si="90"/>
        <v>0</v>
      </c>
      <c r="J954" s="633">
        <f t="shared" si="91"/>
        <v>0</v>
      </c>
      <c r="K954" s="633">
        <f t="shared" si="92"/>
        <v>0</v>
      </c>
      <c r="L954" s="1127"/>
      <c r="M954" s="1127"/>
      <c r="N954" s="1691">
        <f t="shared" si="87"/>
        <v>0</v>
      </c>
      <c r="O954" s="634">
        <f t="shared" si="88"/>
        <v>0</v>
      </c>
      <c r="P954" s="144"/>
      <c r="Q954" s="144"/>
      <c r="R954" s="144"/>
      <c r="S954" s="144"/>
    </row>
    <row r="955" spans="1:19" ht="13.8">
      <c r="A955" s="630"/>
      <c r="B955" s="631"/>
      <c r="C955" s="1127"/>
      <c r="D955" s="632"/>
      <c r="E955" s="1127"/>
      <c r="F955" s="633">
        <f t="shared" si="89"/>
        <v>0</v>
      </c>
      <c r="G955" s="632"/>
      <c r="H955" s="1127"/>
      <c r="I955" s="633">
        <f t="shared" si="90"/>
        <v>0</v>
      </c>
      <c r="J955" s="633">
        <f t="shared" si="91"/>
        <v>0</v>
      </c>
      <c r="K955" s="633">
        <f t="shared" si="92"/>
        <v>0</v>
      </c>
      <c r="L955" s="1127"/>
      <c r="M955" s="1127"/>
      <c r="N955" s="1691">
        <f t="shared" si="87"/>
        <v>0</v>
      </c>
      <c r="O955" s="634">
        <f t="shared" si="88"/>
        <v>0</v>
      </c>
      <c r="P955" s="144"/>
      <c r="Q955" s="144"/>
      <c r="R955" s="144"/>
      <c r="S955" s="144"/>
    </row>
    <row r="956" spans="1:19" ht="13.8">
      <c r="A956" s="630"/>
      <c r="B956" s="631"/>
      <c r="C956" s="1127"/>
      <c r="D956" s="632"/>
      <c r="E956" s="1127"/>
      <c r="F956" s="633">
        <f t="shared" si="89"/>
        <v>0</v>
      </c>
      <c r="G956" s="632"/>
      <c r="H956" s="1127"/>
      <c r="I956" s="633">
        <f t="shared" si="90"/>
        <v>0</v>
      </c>
      <c r="J956" s="633">
        <f t="shared" si="91"/>
        <v>0</v>
      </c>
      <c r="K956" s="633">
        <f t="shared" si="92"/>
        <v>0</v>
      </c>
      <c r="L956" s="1127"/>
      <c r="M956" s="1127"/>
      <c r="N956" s="1691">
        <f t="shared" si="87"/>
        <v>0</v>
      </c>
      <c r="O956" s="634">
        <f t="shared" si="88"/>
        <v>0</v>
      </c>
      <c r="P956" s="144"/>
      <c r="Q956" s="144"/>
      <c r="R956" s="144"/>
      <c r="S956" s="144"/>
    </row>
    <row r="957" spans="1:19" ht="13.8">
      <c r="A957" s="630"/>
      <c r="B957" s="631"/>
      <c r="C957" s="1127"/>
      <c r="D957" s="632"/>
      <c r="E957" s="1127"/>
      <c r="F957" s="633">
        <f t="shared" si="89"/>
        <v>0</v>
      </c>
      <c r="G957" s="632"/>
      <c r="H957" s="1127"/>
      <c r="I957" s="633">
        <f t="shared" si="90"/>
        <v>0</v>
      </c>
      <c r="J957" s="633">
        <f t="shared" si="91"/>
        <v>0</v>
      </c>
      <c r="K957" s="633">
        <f t="shared" si="92"/>
        <v>0</v>
      </c>
      <c r="L957" s="1127"/>
      <c r="M957" s="1127"/>
      <c r="N957" s="1691">
        <f t="shared" si="87"/>
        <v>0</v>
      </c>
      <c r="O957" s="634">
        <f t="shared" si="88"/>
        <v>0</v>
      </c>
      <c r="P957" s="144"/>
      <c r="Q957" s="144"/>
      <c r="R957" s="144"/>
      <c r="S957" s="144"/>
    </row>
    <row r="958" spans="1:19" ht="13.8">
      <c r="A958" s="630"/>
      <c r="B958" s="631"/>
      <c r="C958" s="1127"/>
      <c r="D958" s="632"/>
      <c r="E958" s="1127"/>
      <c r="F958" s="633">
        <f t="shared" si="89"/>
        <v>0</v>
      </c>
      <c r="G958" s="632"/>
      <c r="H958" s="1127"/>
      <c r="I958" s="633">
        <f t="shared" si="90"/>
        <v>0</v>
      </c>
      <c r="J958" s="633">
        <f t="shared" si="91"/>
        <v>0</v>
      </c>
      <c r="K958" s="633">
        <f t="shared" si="92"/>
        <v>0</v>
      </c>
      <c r="L958" s="1127"/>
      <c r="M958" s="1127"/>
      <c r="N958" s="1691">
        <f t="shared" si="87"/>
        <v>0</v>
      </c>
      <c r="O958" s="634">
        <f t="shared" si="88"/>
        <v>0</v>
      </c>
      <c r="P958" s="144"/>
      <c r="Q958" s="144"/>
      <c r="R958" s="144"/>
      <c r="S958" s="144"/>
    </row>
    <row r="959" spans="1:19" ht="13.8">
      <c r="A959" s="630"/>
      <c r="B959" s="631"/>
      <c r="C959" s="1127"/>
      <c r="D959" s="632"/>
      <c r="E959" s="1127"/>
      <c r="F959" s="633">
        <f t="shared" si="89"/>
        <v>0</v>
      </c>
      <c r="G959" s="632"/>
      <c r="H959" s="1127"/>
      <c r="I959" s="633">
        <f t="shared" si="90"/>
        <v>0</v>
      </c>
      <c r="J959" s="633">
        <f t="shared" si="91"/>
        <v>0</v>
      </c>
      <c r="K959" s="633">
        <f t="shared" si="92"/>
        <v>0</v>
      </c>
      <c r="L959" s="1127"/>
      <c r="M959" s="1127"/>
      <c r="N959" s="1691">
        <f t="shared" si="87"/>
        <v>0</v>
      </c>
      <c r="O959" s="634">
        <f t="shared" si="88"/>
        <v>0</v>
      </c>
      <c r="P959" s="144"/>
      <c r="Q959" s="144"/>
      <c r="R959" s="144"/>
      <c r="S959" s="144"/>
    </row>
    <row r="960" spans="1:19" ht="13.8">
      <c r="A960" s="630"/>
      <c r="B960" s="631"/>
      <c r="C960" s="1127"/>
      <c r="D960" s="632"/>
      <c r="E960" s="1127"/>
      <c r="F960" s="633">
        <f t="shared" si="89"/>
        <v>0</v>
      </c>
      <c r="G960" s="632"/>
      <c r="H960" s="1127"/>
      <c r="I960" s="633">
        <f t="shared" si="90"/>
        <v>0</v>
      </c>
      <c r="J960" s="633">
        <f t="shared" si="91"/>
        <v>0</v>
      </c>
      <c r="K960" s="633">
        <f t="shared" si="92"/>
        <v>0</v>
      </c>
      <c r="L960" s="1127"/>
      <c r="M960" s="1127"/>
      <c r="N960" s="1691">
        <f t="shared" si="87"/>
        <v>0</v>
      </c>
      <c r="O960" s="634">
        <f t="shared" si="88"/>
        <v>0</v>
      </c>
      <c r="P960" s="144"/>
      <c r="Q960" s="144"/>
      <c r="R960" s="144"/>
      <c r="S960" s="144"/>
    </row>
    <row r="961" spans="1:19" ht="13.8">
      <c r="A961" s="630"/>
      <c r="B961" s="631"/>
      <c r="C961" s="1127"/>
      <c r="D961" s="632"/>
      <c r="E961" s="1127"/>
      <c r="F961" s="633">
        <f t="shared" si="89"/>
        <v>0</v>
      </c>
      <c r="G961" s="632"/>
      <c r="H961" s="1127"/>
      <c r="I961" s="633">
        <f t="shared" si="90"/>
        <v>0</v>
      </c>
      <c r="J961" s="633">
        <f t="shared" si="91"/>
        <v>0</v>
      </c>
      <c r="K961" s="633">
        <f t="shared" si="92"/>
        <v>0</v>
      </c>
      <c r="L961" s="1127"/>
      <c r="M961" s="1127"/>
      <c r="N961" s="1691">
        <f t="shared" si="87"/>
        <v>0</v>
      </c>
      <c r="O961" s="634">
        <f t="shared" si="88"/>
        <v>0</v>
      </c>
      <c r="P961" s="144"/>
      <c r="Q961" s="144"/>
      <c r="R961" s="144"/>
      <c r="S961" s="144"/>
    </row>
    <row r="962" spans="1:19" ht="13.8">
      <c r="A962" s="630"/>
      <c r="B962" s="631"/>
      <c r="C962" s="1127"/>
      <c r="D962" s="632"/>
      <c r="E962" s="1127"/>
      <c r="F962" s="633">
        <f t="shared" si="89"/>
        <v>0</v>
      </c>
      <c r="G962" s="632"/>
      <c r="H962" s="1127"/>
      <c r="I962" s="633">
        <f t="shared" si="90"/>
        <v>0</v>
      </c>
      <c r="J962" s="633">
        <f t="shared" si="91"/>
        <v>0</v>
      </c>
      <c r="K962" s="633">
        <f t="shared" si="92"/>
        <v>0</v>
      </c>
      <c r="L962" s="1127"/>
      <c r="M962" s="1127"/>
      <c r="N962" s="1691">
        <f t="shared" si="87"/>
        <v>0</v>
      </c>
      <c r="O962" s="634">
        <f t="shared" si="88"/>
        <v>0</v>
      </c>
      <c r="P962" s="144"/>
      <c r="Q962" s="144"/>
      <c r="R962" s="144"/>
      <c r="S962" s="144"/>
    </row>
    <row r="963" spans="1:19" ht="13.8">
      <c r="A963" s="630"/>
      <c r="B963" s="631"/>
      <c r="C963" s="1127"/>
      <c r="D963" s="632"/>
      <c r="E963" s="1127"/>
      <c r="F963" s="633">
        <f t="shared" si="89"/>
        <v>0</v>
      </c>
      <c r="G963" s="632"/>
      <c r="H963" s="1127"/>
      <c r="I963" s="633">
        <f t="shared" si="90"/>
        <v>0</v>
      </c>
      <c r="J963" s="633">
        <f t="shared" si="91"/>
        <v>0</v>
      </c>
      <c r="K963" s="633">
        <f t="shared" si="92"/>
        <v>0</v>
      </c>
      <c r="L963" s="1127"/>
      <c r="M963" s="1127"/>
      <c r="N963" s="1691">
        <f t="shared" si="87"/>
        <v>0</v>
      </c>
      <c r="O963" s="634">
        <f t="shared" si="88"/>
        <v>0</v>
      </c>
      <c r="P963" s="144"/>
      <c r="Q963" s="144"/>
      <c r="R963" s="144"/>
      <c r="S963" s="144"/>
    </row>
    <row r="964" spans="1:19" ht="13.8">
      <c r="A964" s="630"/>
      <c r="B964" s="631"/>
      <c r="C964" s="1127"/>
      <c r="D964" s="632"/>
      <c r="E964" s="1127"/>
      <c r="F964" s="633">
        <f t="shared" si="89"/>
        <v>0</v>
      </c>
      <c r="G964" s="632"/>
      <c r="H964" s="1127"/>
      <c r="I964" s="633">
        <f t="shared" si="90"/>
        <v>0</v>
      </c>
      <c r="J964" s="633">
        <f t="shared" si="91"/>
        <v>0</v>
      </c>
      <c r="K964" s="633">
        <f t="shared" si="92"/>
        <v>0</v>
      </c>
      <c r="L964" s="1127"/>
      <c r="M964" s="1127"/>
      <c r="N964" s="1691">
        <f t="shared" si="87"/>
        <v>0</v>
      </c>
      <c r="O964" s="634">
        <f t="shared" si="88"/>
        <v>0</v>
      </c>
      <c r="P964" s="144"/>
      <c r="Q964" s="144"/>
      <c r="R964" s="144"/>
      <c r="S964" s="144"/>
    </row>
    <row r="965" spans="1:19" ht="13.8">
      <c r="A965" s="630"/>
      <c r="B965" s="631"/>
      <c r="C965" s="1127"/>
      <c r="D965" s="632"/>
      <c r="E965" s="1127"/>
      <c r="F965" s="633">
        <f t="shared" si="89"/>
        <v>0</v>
      </c>
      <c r="G965" s="632"/>
      <c r="H965" s="1127"/>
      <c r="I965" s="633">
        <f t="shared" si="90"/>
        <v>0</v>
      </c>
      <c r="J965" s="633">
        <f t="shared" si="91"/>
        <v>0</v>
      </c>
      <c r="K965" s="633">
        <f t="shared" si="92"/>
        <v>0</v>
      </c>
      <c r="L965" s="1127"/>
      <c r="M965" s="1127"/>
      <c r="N965" s="1691">
        <f t="shared" si="87"/>
        <v>0</v>
      </c>
      <c r="O965" s="634">
        <f t="shared" si="88"/>
        <v>0</v>
      </c>
      <c r="P965" s="144"/>
      <c r="Q965" s="144"/>
      <c r="R965" s="144"/>
      <c r="S965" s="144"/>
    </row>
    <row r="966" spans="1:19" ht="13.8">
      <c r="A966" s="630"/>
      <c r="B966" s="631"/>
      <c r="C966" s="1127"/>
      <c r="D966" s="632"/>
      <c r="E966" s="1127"/>
      <c r="F966" s="633">
        <f t="shared" si="89"/>
        <v>0</v>
      </c>
      <c r="G966" s="632"/>
      <c r="H966" s="1127"/>
      <c r="I966" s="633">
        <f t="shared" si="90"/>
        <v>0</v>
      </c>
      <c r="J966" s="633">
        <f t="shared" si="91"/>
        <v>0</v>
      </c>
      <c r="K966" s="633">
        <f t="shared" si="92"/>
        <v>0</v>
      </c>
      <c r="L966" s="1127"/>
      <c r="M966" s="1127"/>
      <c r="N966" s="1691">
        <f t="shared" si="87"/>
        <v>0</v>
      </c>
      <c r="O966" s="634">
        <f t="shared" si="88"/>
        <v>0</v>
      </c>
      <c r="P966" s="144"/>
      <c r="Q966" s="144"/>
      <c r="R966" s="144"/>
      <c r="S966" s="144"/>
    </row>
    <row r="967" spans="1:19" ht="13.8">
      <c r="A967" s="630"/>
      <c r="B967" s="631"/>
      <c r="C967" s="1127"/>
      <c r="D967" s="632"/>
      <c r="E967" s="1127"/>
      <c r="F967" s="633">
        <f t="shared" si="89"/>
        <v>0</v>
      </c>
      <c r="G967" s="632"/>
      <c r="H967" s="1127"/>
      <c r="I967" s="633">
        <f t="shared" si="90"/>
        <v>0</v>
      </c>
      <c r="J967" s="633">
        <f t="shared" si="91"/>
        <v>0</v>
      </c>
      <c r="K967" s="633">
        <f t="shared" si="92"/>
        <v>0</v>
      </c>
      <c r="L967" s="1127"/>
      <c r="M967" s="1127"/>
      <c r="N967" s="1691">
        <f t="shared" si="87"/>
        <v>0</v>
      </c>
      <c r="O967" s="634">
        <f t="shared" si="88"/>
        <v>0</v>
      </c>
      <c r="P967" s="144"/>
      <c r="Q967" s="144"/>
      <c r="R967" s="144"/>
      <c r="S967" s="144"/>
    </row>
    <row r="968" spans="1:19" ht="13.8">
      <c r="A968" s="630"/>
      <c r="B968" s="631"/>
      <c r="C968" s="1127"/>
      <c r="D968" s="632"/>
      <c r="E968" s="1127"/>
      <c r="F968" s="633">
        <f t="shared" si="89"/>
        <v>0</v>
      </c>
      <c r="G968" s="632"/>
      <c r="H968" s="1127"/>
      <c r="I968" s="633">
        <f t="shared" si="90"/>
        <v>0</v>
      </c>
      <c r="J968" s="633">
        <f t="shared" si="91"/>
        <v>0</v>
      </c>
      <c r="K968" s="633">
        <f t="shared" si="92"/>
        <v>0</v>
      </c>
      <c r="L968" s="1127"/>
      <c r="M968" s="1127"/>
      <c r="N968" s="1691">
        <f t="shared" si="87"/>
        <v>0</v>
      </c>
      <c r="O968" s="634">
        <f t="shared" si="88"/>
        <v>0</v>
      </c>
      <c r="P968" s="144"/>
      <c r="Q968" s="144"/>
      <c r="R968" s="144"/>
      <c r="S968" s="144"/>
    </row>
    <row r="969" spans="1:19" ht="13.8">
      <c r="A969" s="630"/>
      <c r="B969" s="631"/>
      <c r="C969" s="1127"/>
      <c r="D969" s="632"/>
      <c r="E969" s="1127"/>
      <c r="F969" s="633">
        <f t="shared" si="89"/>
        <v>0</v>
      </c>
      <c r="G969" s="632"/>
      <c r="H969" s="1127"/>
      <c r="I969" s="633">
        <f t="shared" si="90"/>
        <v>0</v>
      </c>
      <c r="J969" s="633">
        <f t="shared" si="91"/>
        <v>0</v>
      </c>
      <c r="K969" s="633">
        <f t="shared" si="92"/>
        <v>0</v>
      </c>
      <c r="L969" s="1127"/>
      <c r="M969" s="1127"/>
      <c r="N969" s="1691">
        <f t="shared" si="87"/>
        <v>0</v>
      </c>
      <c r="O969" s="634">
        <f t="shared" si="88"/>
        <v>0</v>
      </c>
      <c r="P969" s="144"/>
      <c r="Q969" s="144"/>
      <c r="R969" s="144"/>
      <c r="S969" s="144"/>
    </row>
    <row r="970" spans="1:19" ht="13.8">
      <c r="A970" s="630"/>
      <c r="B970" s="631"/>
      <c r="C970" s="1127"/>
      <c r="D970" s="632"/>
      <c r="E970" s="1127"/>
      <c r="F970" s="633">
        <f t="shared" si="89"/>
        <v>0</v>
      </c>
      <c r="G970" s="632"/>
      <c r="H970" s="1127"/>
      <c r="I970" s="633">
        <f t="shared" si="90"/>
        <v>0</v>
      </c>
      <c r="J970" s="633">
        <f t="shared" si="91"/>
        <v>0</v>
      </c>
      <c r="K970" s="633">
        <f t="shared" si="92"/>
        <v>0</v>
      </c>
      <c r="L970" s="1127"/>
      <c r="M970" s="1127"/>
      <c r="N970" s="1691">
        <f t="shared" ref="N970:N1004" si="93">IF(M970&lt;&gt;0,ROUND(B970*K970,2)+M970,IF(ABS(ROUND(K970*B970,2)-L970)&lt;3,L970,MIN(ROUND(K970*B970,2),L970)))</f>
        <v>0</v>
      </c>
      <c r="O970" s="634">
        <f t="shared" ref="O970:O1004" si="94">IF(ISERROR(L970-N970),"",IF(ABS(L970-N970)&lt;3,0,L970-N970))</f>
        <v>0</v>
      </c>
      <c r="P970" s="144"/>
      <c r="Q970" s="144"/>
      <c r="R970" s="144"/>
      <c r="S970" s="144"/>
    </row>
    <row r="971" spans="1:19" ht="13.8">
      <c r="A971" s="630"/>
      <c r="B971" s="631"/>
      <c r="C971" s="1127"/>
      <c r="D971" s="632"/>
      <c r="E971" s="1127"/>
      <c r="F971" s="633">
        <f t="shared" ref="F971:F1004" si="95">E971*(12-MONTH(D971))/12</f>
        <v>0</v>
      </c>
      <c r="G971" s="632"/>
      <c r="H971" s="1127"/>
      <c r="I971" s="633">
        <f t="shared" ref="I971:I1004" si="96">H971*(12-MONTH(G971))/12</f>
        <v>0</v>
      </c>
      <c r="J971" s="633">
        <f t="shared" ref="J971:J1004" si="97">C971+E971-H971</f>
        <v>0</v>
      </c>
      <c r="K971" s="633">
        <f t="shared" ref="K971:K1004" si="98">C971+F971-I971</f>
        <v>0</v>
      </c>
      <c r="L971" s="1127"/>
      <c r="M971" s="1127"/>
      <c r="N971" s="1691">
        <f t="shared" si="93"/>
        <v>0</v>
      </c>
      <c r="O971" s="634">
        <f t="shared" si="94"/>
        <v>0</v>
      </c>
      <c r="P971" s="144"/>
      <c r="Q971" s="144"/>
      <c r="R971" s="144"/>
      <c r="S971" s="144"/>
    </row>
    <row r="972" spans="1:19" ht="13.8">
      <c r="A972" s="630"/>
      <c r="B972" s="631"/>
      <c r="C972" s="1127"/>
      <c r="D972" s="632"/>
      <c r="E972" s="1127"/>
      <c r="F972" s="633">
        <f t="shared" si="95"/>
        <v>0</v>
      </c>
      <c r="G972" s="632"/>
      <c r="H972" s="1127"/>
      <c r="I972" s="633">
        <f t="shared" si="96"/>
        <v>0</v>
      </c>
      <c r="J972" s="633">
        <f t="shared" si="97"/>
        <v>0</v>
      </c>
      <c r="K972" s="633">
        <f t="shared" si="98"/>
        <v>0</v>
      </c>
      <c r="L972" s="1127"/>
      <c r="M972" s="1127"/>
      <c r="N972" s="1691">
        <f t="shared" si="93"/>
        <v>0</v>
      </c>
      <c r="O972" s="634">
        <f t="shared" si="94"/>
        <v>0</v>
      </c>
      <c r="P972" s="144"/>
      <c r="Q972" s="144"/>
      <c r="R972" s="144"/>
      <c r="S972" s="144"/>
    </row>
    <row r="973" spans="1:19" ht="13.8">
      <c r="A973" s="630"/>
      <c r="B973" s="631"/>
      <c r="C973" s="1127"/>
      <c r="D973" s="632"/>
      <c r="E973" s="1127"/>
      <c r="F973" s="633">
        <f t="shared" si="95"/>
        <v>0</v>
      </c>
      <c r="G973" s="632"/>
      <c r="H973" s="1127"/>
      <c r="I973" s="633">
        <f t="shared" si="96"/>
        <v>0</v>
      </c>
      <c r="J973" s="633">
        <f t="shared" si="97"/>
        <v>0</v>
      </c>
      <c r="K973" s="633">
        <f t="shared" si="98"/>
        <v>0</v>
      </c>
      <c r="L973" s="1127"/>
      <c r="M973" s="1127"/>
      <c r="N973" s="1691">
        <f t="shared" si="93"/>
        <v>0</v>
      </c>
      <c r="O973" s="634">
        <f t="shared" si="94"/>
        <v>0</v>
      </c>
      <c r="P973" s="144"/>
      <c r="Q973" s="144"/>
      <c r="R973" s="144"/>
      <c r="S973" s="144"/>
    </row>
    <row r="974" spans="1:19" ht="13.8">
      <c r="A974" s="630"/>
      <c r="B974" s="631"/>
      <c r="C974" s="1127"/>
      <c r="D974" s="632"/>
      <c r="E974" s="1127"/>
      <c r="F974" s="633">
        <f t="shared" si="95"/>
        <v>0</v>
      </c>
      <c r="G974" s="632"/>
      <c r="H974" s="1127"/>
      <c r="I974" s="633">
        <f t="shared" si="96"/>
        <v>0</v>
      </c>
      <c r="J974" s="633">
        <f t="shared" si="97"/>
        <v>0</v>
      </c>
      <c r="K974" s="633">
        <f t="shared" si="98"/>
        <v>0</v>
      </c>
      <c r="L974" s="1127"/>
      <c r="M974" s="1127"/>
      <c r="N974" s="1691">
        <f t="shared" si="93"/>
        <v>0</v>
      </c>
      <c r="O974" s="634">
        <f t="shared" si="94"/>
        <v>0</v>
      </c>
      <c r="P974" s="144"/>
      <c r="Q974" s="144"/>
      <c r="R974" s="144"/>
      <c r="S974" s="144"/>
    </row>
    <row r="975" spans="1:19" ht="13.8">
      <c r="A975" s="630"/>
      <c r="B975" s="631"/>
      <c r="C975" s="1127"/>
      <c r="D975" s="632"/>
      <c r="E975" s="1127"/>
      <c r="F975" s="633">
        <f t="shared" si="95"/>
        <v>0</v>
      </c>
      <c r="G975" s="632"/>
      <c r="H975" s="1127"/>
      <c r="I975" s="633">
        <f t="shared" si="96"/>
        <v>0</v>
      </c>
      <c r="J975" s="633">
        <f t="shared" si="97"/>
        <v>0</v>
      </c>
      <c r="K975" s="633">
        <f t="shared" si="98"/>
        <v>0</v>
      </c>
      <c r="L975" s="1127"/>
      <c r="M975" s="1127"/>
      <c r="N975" s="1691">
        <f t="shared" si="93"/>
        <v>0</v>
      </c>
      <c r="O975" s="634">
        <f t="shared" si="94"/>
        <v>0</v>
      </c>
      <c r="P975" s="144"/>
      <c r="Q975" s="144"/>
      <c r="R975" s="144"/>
      <c r="S975" s="144"/>
    </row>
    <row r="976" spans="1:19" ht="13.8">
      <c r="A976" s="630"/>
      <c r="B976" s="631"/>
      <c r="C976" s="1127"/>
      <c r="D976" s="632"/>
      <c r="E976" s="1127"/>
      <c r="F976" s="633">
        <f t="shared" si="95"/>
        <v>0</v>
      </c>
      <c r="G976" s="632"/>
      <c r="H976" s="1127"/>
      <c r="I976" s="633">
        <f t="shared" si="96"/>
        <v>0</v>
      </c>
      <c r="J976" s="633">
        <f t="shared" si="97"/>
        <v>0</v>
      </c>
      <c r="K976" s="633">
        <f t="shared" si="98"/>
        <v>0</v>
      </c>
      <c r="L976" s="1127"/>
      <c r="M976" s="1127"/>
      <c r="N976" s="1691">
        <f t="shared" si="93"/>
        <v>0</v>
      </c>
      <c r="O976" s="634">
        <f t="shared" si="94"/>
        <v>0</v>
      </c>
      <c r="P976" s="144"/>
      <c r="Q976" s="144"/>
      <c r="R976" s="144"/>
      <c r="S976" s="144"/>
    </row>
    <row r="977" spans="1:19" ht="13.8">
      <c r="A977" s="630"/>
      <c r="B977" s="631"/>
      <c r="C977" s="1127"/>
      <c r="D977" s="632"/>
      <c r="E977" s="1127"/>
      <c r="F977" s="633">
        <f t="shared" si="95"/>
        <v>0</v>
      </c>
      <c r="G977" s="632"/>
      <c r="H977" s="1127"/>
      <c r="I977" s="633">
        <f t="shared" si="96"/>
        <v>0</v>
      </c>
      <c r="J977" s="633">
        <f t="shared" si="97"/>
        <v>0</v>
      </c>
      <c r="K977" s="633">
        <f t="shared" si="98"/>
        <v>0</v>
      </c>
      <c r="L977" s="1127"/>
      <c r="M977" s="1127"/>
      <c r="N977" s="1691">
        <f t="shared" si="93"/>
        <v>0</v>
      </c>
      <c r="O977" s="634">
        <f t="shared" si="94"/>
        <v>0</v>
      </c>
      <c r="P977" s="144"/>
      <c r="Q977" s="144"/>
      <c r="R977" s="144"/>
      <c r="S977" s="144"/>
    </row>
    <row r="978" spans="1:19" ht="13.8">
      <c r="A978" s="630"/>
      <c r="B978" s="631"/>
      <c r="C978" s="1127"/>
      <c r="D978" s="632"/>
      <c r="E978" s="1127"/>
      <c r="F978" s="633">
        <f t="shared" si="95"/>
        <v>0</v>
      </c>
      <c r="G978" s="632"/>
      <c r="H978" s="1127"/>
      <c r="I978" s="633">
        <f t="shared" si="96"/>
        <v>0</v>
      </c>
      <c r="J978" s="633">
        <f t="shared" si="97"/>
        <v>0</v>
      </c>
      <c r="K978" s="633">
        <f t="shared" si="98"/>
        <v>0</v>
      </c>
      <c r="L978" s="1127"/>
      <c r="M978" s="1127"/>
      <c r="N978" s="1691">
        <f t="shared" si="93"/>
        <v>0</v>
      </c>
      <c r="O978" s="634">
        <f t="shared" si="94"/>
        <v>0</v>
      </c>
      <c r="P978" s="144"/>
      <c r="Q978" s="144"/>
      <c r="R978" s="144"/>
      <c r="S978" s="144"/>
    </row>
    <row r="979" spans="1:19" ht="13.8">
      <c r="A979" s="630"/>
      <c r="B979" s="631"/>
      <c r="C979" s="1127"/>
      <c r="D979" s="632"/>
      <c r="E979" s="1127"/>
      <c r="F979" s="633">
        <f t="shared" si="95"/>
        <v>0</v>
      </c>
      <c r="G979" s="632"/>
      <c r="H979" s="1127"/>
      <c r="I979" s="633">
        <f t="shared" si="96"/>
        <v>0</v>
      </c>
      <c r="J979" s="633">
        <f t="shared" si="97"/>
        <v>0</v>
      </c>
      <c r="K979" s="633">
        <f t="shared" si="98"/>
        <v>0</v>
      </c>
      <c r="L979" s="1127"/>
      <c r="M979" s="1127"/>
      <c r="N979" s="1691">
        <f t="shared" si="93"/>
        <v>0</v>
      </c>
      <c r="O979" s="634">
        <f t="shared" si="94"/>
        <v>0</v>
      </c>
      <c r="P979" s="144"/>
      <c r="Q979" s="144"/>
      <c r="R979" s="144"/>
      <c r="S979" s="144"/>
    </row>
    <row r="980" spans="1:19" ht="13.8">
      <c r="A980" s="630"/>
      <c r="B980" s="631"/>
      <c r="C980" s="1127"/>
      <c r="D980" s="632"/>
      <c r="E980" s="1127"/>
      <c r="F980" s="633">
        <f t="shared" si="95"/>
        <v>0</v>
      </c>
      <c r="G980" s="632"/>
      <c r="H980" s="1127"/>
      <c r="I980" s="633">
        <f t="shared" si="96"/>
        <v>0</v>
      </c>
      <c r="J980" s="633">
        <f t="shared" si="97"/>
        <v>0</v>
      </c>
      <c r="K980" s="633">
        <f t="shared" si="98"/>
        <v>0</v>
      </c>
      <c r="L980" s="1127"/>
      <c r="M980" s="1127"/>
      <c r="N980" s="1691">
        <f t="shared" si="93"/>
        <v>0</v>
      </c>
      <c r="O980" s="634">
        <f t="shared" si="94"/>
        <v>0</v>
      </c>
      <c r="P980" s="144"/>
      <c r="Q980" s="144"/>
      <c r="R980" s="144"/>
      <c r="S980" s="144"/>
    </row>
    <row r="981" spans="1:19" ht="13.8">
      <c r="A981" s="630"/>
      <c r="B981" s="631"/>
      <c r="C981" s="1127"/>
      <c r="D981" s="632"/>
      <c r="E981" s="1127"/>
      <c r="F981" s="633">
        <f t="shared" si="95"/>
        <v>0</v>
      </c>
      <c r="G981" s="632"/>
      <c r="H981" s="1127"/>
      <c r="I981" s="633">
        <f t="shared" si="96"/>
        <v>0</v>
      </c>
      <c r="J981" s="633">
        <f t="shared" si="97"/>
        <v>0</v>
      </c>
      <c r="K981" s="633">
        <f t="shared" si="98"/>
        <v>0</v>
      </c>
      <c r="L981" s="1127"/>
      <c r="M981" s="1127"/>
      <c r="N981" s="1691">
        <f t="shared" si="93"/>
        <v>0</v>
      </c>
      <c r="O981" s="634">
        <f t="shared" si="94"/>
        <v>0</v>
      </c>
      <c r="P981" s="144"/>
      <c r="Q981" s="144"/>
      <c r="R981" s="144"/>
      <c r="S981" s="144"/>
    </row>
    <row r="982" spans="1:19" ht="13.8">
      <c r="A982" s="630"/>
      <c r="B982" s="631"/>
      <c r="C982" s="1127"/>
      <c r="D982" s="632"/>
      <c r="E982" s="1127"/>
      <c r="F982" s="633">
        <f t="shared" si="95"/>
        <v>0</v>
      </c>
      <c r="G982" s="632"/>
      <c r="H982" s="1127"/>
      <c r="I982" s="633">
        <f t="shared" si="96"/>
        <v>0</v>
      </c>
      <c r="J982" s="633">
        <f t="shared" si="97"/>
        <v>0</v>
      </c>
      <c r="K982" s="633">
        <f t="shared" si="98"/>
        <v>0</v>
      </c>
      <c r="L982" s="1127"/>
      <c r="M982" s="1127"/>
      <c r="N982" s="1691">
        <f t="shared" si="93"/>
        <v>0</v>
      </c>
      <c r="O982" s="634">
        <f t="shared" si="94"/>
        <v>0</v>
      </c>
      <c r="P982" s="144"/>
      <c r="Q982" s="144"/>
      <c r="R982" s="144"/>
      <c r="S982" s="144"/>
    </row>
    <row r="983" spans="1:19" ht="13.8">
      <c r="A983" s="630"/>
      <c r="B983" s="631"/>
      <c r="C983" s="1127"/>
      <c r="D983" s="632"/>
      <c r="E983" s="1127"/>
      <c r="F983" s="633">
        <f t="shared" si="95"/>
        <v>0</v>
      </c>
      <c r="G983" s="632"/>
      <c r="H983" s="1127"/>
      <c r="I983" s="633">
        <f t="shared" si="96"/>
        <v>0</v>
      </c>
      <c r="J983" s="633">
        <f t="shared" si="97"/>
        <v>0</v>
      </c>
      <c r="K983" s="633">
        <f t="shared" si="98"/>
        <v>0</v>
      </c>
      <c r="L983" s="1127"/>
      <c r="M983" s="1127"/>
      <c r="N983" s="1691">
        <f t="shared" si="93"/>
        <v>0</v>
      </c>
      <c r="O983" s="634">
        <f t="shared" si="94"/>
        <v>0</v>
      </c>
      <c r="P983" s="144"/>
      <c r="Q983" s="144"/>
      <c r="R983" s="144"/>
      <c r="S983" s="144"/>
    </row>
    <row r="984" spans="1:19" ht="13.8">
      <c r="A984" s="630"/>
      <c r="B984" s="631"/>
      <c r="C984" s="1127"/>
      <c r="D984" s="632"/>
      <c r="E984" s="1127"/>
      <c r="F984" s="633">
        <f t="shared" si="95"/>
        <v>0</v>
      </c>
      <c r="G984" s="632"/>
      <c r="H984" s="1127"/>
      <c r="I984" s="633">
        <f t="shared" si="96"/>
        <v>0</v>
      </c>
      <c r="J984" s="633">
        <f t="shared" si="97"/>
        <v>0</v>
      </c>
      <c r="K984" s="633">
        <f t="shared" si="98"/>
        <v>0</v>
      </c>
      <c r="L984" s="1127"/>
      <c r="M984" s="1127"/>
      <c r="N984" s="1691">
        <f t="shared" si="93"/>
        <v>0</v>
      </c>
      <c r="O984" s="634">
        <f t="shared" si="94"/>
        <v>0</v>
      </c>
      <c r="P984" s="144"/>
      <c r="Q984" s="144"/>
      <c r="R984" s="144"/>
      <c r="S984" s="144"/>
    </row>
    <row r="985" spans="1:19" ht="13.8">
      <c r="A985" s="630"/>
      <c r="B985" s="631"/>
      <c r="C985" s="1127"/>
      <c r="D985" s="632"/>
      <c r="E985" s="1127"/>
      <c r="F985" s="633">
        <f t="shared" si="95"/>
        <v>0</v>
      </c>
      <c r="G985" s="632"/>
      <c r="H985" s="1127"/>
      <c r="I985" s="633">
        <f t="shared" si="96"/>
        <v>0</v>
      </c>
      <c r="J985" s="633">
        <f t="shared" si="97"/>
        <v>0</v>
      </c>
      <c r="K985" s="633">
        <f t="shared" si="98"/>
        <v>0</v>
      </c>
      <c r="L985" s="1127"/>
      <c r="M985" s="1127"/>
      <c r="N985" s="1691">
        <f t="shared" si="93"/>
        <v>0</v>
      </c>
      <c r="O985" s="634">
        <f t="shared" si="94"/>
        <v>0</v>
      </c>
      <c r="P985" s="144"/>
      <c r="Q985" s="144"/>
      <c r="R985" s="144"/>
      <c r="S985" s="144"/>
    </row>
    <row r="986" spans="1:19" ht="13.8">
      <c r="A986" s="630"/>
      <c r="B986" s="631"/>
      <c r="C986" s="1127"/>
      <c r="D986" s="632"/>
      <c r="E986" s="1127"/>
      <c r="F986" s="633">
        <f t="shared" si="95"/>
        <v>0</v>
      </c>
      <c r="G986" s="632"/>
      <c r="H986" s="1127"/>
      <c r="I986" s="633">
        <f t="shared" si="96"/>
        <v>0</v>
      </c>
      <c r="J986" s="633">
        <f t="shared" si="97"/>
        <v>0</v>
      </c>
      <c r="K986" s="633">
        <f t="shared" si="98"/>
        <v>0</v>
      </c>
      <c r="L986" s="1127"/>
      <c r="M986" s="1127"/>
      <c r="N986" s="1691">
        <f t="shared" si="93"/>
        <v>0</v>
      </c>
      <c r="O986" s="634">
        <f t="shared" si="94"/>
        <v>0</v>
      </c>
      <c r="P986" s="144"/>
      <c r="Q986" s="144"/>
      <c r="R986" s="144"/>
      <c r="S986" s="144"/>
    </row>
    <row r="987" spans="1:19" ht="13.8">
      <c r="A987" s="630"/>
      <c r="B987" s="631"/>
      <c r="C987" s="1127"/>
      <c r="D987" s="632"/>
      <c r="E987" s="1127"/>
      <c r="F987" s="633">
        <f t="shared" si="95"/>
        <v>0</v>
      </c>
      <c r="G987" s="632"/>
      <c r="H987" s="1127"/>
      <c r="I987" s="633">
        <f t="shared" si="96"/>
        <v>0</v>
      </c>
      <c r="J987" s="633">
        <f t="shared" si="97"/>
        <v>0</v>
      </c>
      <c r="K987" s="633">
        <f t="shared" si="98"/>
        <v>0</v>
      </c>
      <c r="L987" s="1127"/>
      <c r="M987" s="1127"/>
      <c r="N987" s="1691">
        <f t="shared" si="93"/>
        <v>0</v>
      </c>
      <c r="O987" s="634">
        <f t="shared" si="94"/>
        <v>0</v>
      </c>
      <c r="P987" s="144"/>
      <c r="Q987" s="144"/>
      <c r="R987" s="144"/>
      <c r="S987" s="144"/>
    </row>
    <row r="988" spans="1:19" ht="13.8">
      <c r="A988" s="630"/>
      <c r="B988" s="631"/>
      <c r="C988" s="1127"/>
      <c r="D988" s="632"/>
      <c r="E988" s="1127"/>
      <c r="F988" s="633">
        <f t="shared" si="95"/>
        <v>0</v>
      </c>
      <c r="G988" s="632"/>
      <c r="H988" s="1127"/>
      <c r="I988" s="633">
        <f t="shared" si="96"/>
        <v>0</v>
      </c>
      <c r="J988" s="633">
        <f t="shared" si="97"/>
        <v>0</v>
      </c>
      <c r="K988" s="633">
        <f t="shared" si="98"/>
        <v>0</v>
      </c>
      <c r="L988" s="1127"/>
      <c r="M988" s="1127"/>
      <c r="N988" s="1691">
        <f t="shared" si="93"/>
        <v>0</v>
      </c>
      <c r="O988" s="634">
        <f t="shared" si="94"/>
        <v>0</v>
      </c>
      <c r="P988" s="144"/>
      <c r="Q988" s="144"/>
      <c r="R988" s="144"/>
      <c r="S988" s="144"/>
    </row>
    <row r="989" spans="1:19" ht="13.8">
      <c r="A989" s="630"/>
      <c r="B989" s="631"/>
      <c r="C989" s="1127"/>
      <c r="D989" s="632"/>
      <c r="E989" s="1127"/>
      <c r="F989" s="633">
        <f t="shared" si="95"/>
        <v>0</v>
      </c>
      <c r="G989" s="632"/>
      <c r="H989" s="1127"/>
      <c r="I989" s="633">
        <f t="shared" si="96"/>
        <v>0</v>
      </c>
      <c r="J989" s="633">
        <f t="shared" si="97"/>
        <v>0</v>
      </c>
      <c r="K989" s="633">
        <f t="shared" si="98"/>
        <v>0</v>
      </c>
      <c r="L989" s="1127"/>
      <c r="M989" s="1127"/>
      <c r="N989" s="1691">
        <f t="shared" si="93"/>
        <v>0</v>
      </c>
      <c r="O989" s="634">
        <f t="shared" si="94"/>
        <v>0</v>
      </c>
      <c r="P989" s="144"/>
      <c r="Q989" s="144"/>
      <c r="R989" s="144"/>
      <c r="S989" s="144"/>
    </row>
    <row r="990" spans="1:19" ht="13.8">
      <c r="A990" s="630"/>
      <c r="B990" s="631"/>
      <c r="C990" s="1127"/>
      <c r="D990" s="632"/>
      <c r="E990" s="1127"/>
      <c r="F990" s="633">
        <f t="shared" si="95"/>
        <v>0</v>
      </c>
      <c r="G990" s="632"/>
      <c r="H990" s="1127"/>
      <c r="I990" s="633">
        <f t="shared" si="96"/>
        <v>0</v>
      </c>
      <c r="J990" s="633">
        <f t="shared" si="97"/>
        <v>0</v>
      </c>
      <c r="K990" s="633">
        <f t="shared" si="98"/>
        <v>0</v>
      </c>
      <c r="L990" s="1127"/>
      <c r="M990" s="1127"/>
      <c r="N990" s="1691">
        <f t="shared" si="93"/>
        <v>0</v>
      </c>
      <c r="O990" s="634">
        <f t="shared" si="94"/>
        <v>0</v>
      </c>
      <c r="P990" s="144"/>
      <c r="Q990" s="144"/>
      <c r="R990" s="144"/>
      <c r="S990" s="144"/>
    </row>
    <row r="991" spans="1:19" ht="13.8">
      <c r="A991" s="630"/>
      <c r="B991" s="631"/>
      <c r="C991" s="1127"/>
      <c r="D991" s="632"/>
      <c r="E991" s="1127"/>
      <c r="F991" s="633">
        <f t="shared" si="95"/>
        <v>0</v>
      </c>
      <c r="G991" s="632"/>
      <c r="H991" s="1127"/>
      <c r="I991" s="633">
        <f t="shared" si="96"/>
        <v>0</v>
      </c>
      <c r="J991" s="633">
        <f t="shared" si="97"/>
        <v>0</v>
      </c>
      <c r="K991" s="633">
        <f t="shared" si="98"/>
        <v>0</v>
      </c>
      <c r="L991" s="1127"/>
      <c r="M991" s="1127"/>
      <c r="N991" s="1691">
        <f t="shared" si="93"/>
        <v>0</v>
      </c>
      <c r="O991" s="634">
        <f t="shared" si="94"/>
        <v>0</v>
      </c>
      <c r="P991" s="144"/>
      <c r="Q991" s="144"/>
      <c r="R991" s="144"/>
      <c r="S991" s="144"/>
    </row>
    <row r="992" spans="1:19" ht="13.8">
      <c r="A992" s="630"/>
      <c r="B992" s="631"/>
      <c r="C992" s="1127"/>
      <c r="D992" s="632"/>
      <c r="E992" s="1127"/>
      <c r="F992" s="633">
        <f t="shared" si="95"/>
        <v>0</v>
      </c>
      <c r="G992" s="632"/>
      <c r="H992" s="1127"/>
      <c r="I992" s="633">
        <f t="shared" si="96"/>
        <v>0</v>
      </c>
      <c r="J992" s="633">
        <f t="shared" si="97"/>
        <v>0</v>
      </c>
      <c r="K992" s="633">
        <f t="shared" si="98"/>
        <v>0</v>
      </c>
      <c r="L992" s="1127"/>
      <c r="M992" s="1127"/>
      <c r="N992" s="1691">
        <f t="shared" si="93"/>
        <v>0</v>
      </c>
      <c r="O992" s="634">
        <f t="shared" si="94"/>
        <v>0</v>
      </c>
      <c r="P992" s="144"/>
      <c r="Q992" s="144"/>
      <c r="R992" s="144"/>
      <c r="S992" s="144"/>
    </row>
    <row r="993" spans="1:19" ht="13.8">
      <c r="A993" s="630"/>
      <c r="B993" s="631"/>
      <c r="C993" s="1127"/>
      <c r="D993" s="632"/>
      <c r="E993" s="1127"/>
      <c r="F993" s="633">
        <f t="shared" si="95"/>
        <v>0</v>
      </c>
      <c r="G993" s="632"/>
      <c r="H993" s="1127"/>
      <c r="I993" s="633">
        <f t="shared" si="96"/>
        <v>0</v>
      </c>
      <c r="J993" s="633">
        <f t="shared" si="97"/>
        <v>0</v>
      </c>
      <c r="K993" s="633">
        <f t="shared" si="98"/>
        <v>0</v>
      </c>
      <c r="L993" s="1127"/>
      <c r="M993" s="1127"/>
      <c r="N993" s="1691">
        <f t="shared" si="93"/>
        <v>0</v>
      </c>
      <c r="O993" s="634">
        <f t="shared" si="94"/>
        <v>0</v>
      </c>
      <c r="P993" s="144"/>
      <c r="Q993" s="144"/>
      <c r="R993" s="144"/>
      <c r="S993" s="144"/>
    </row>
    <row r="994" spans="1:19" ht="13.8">
      <c r="A994" s="630"/>
      <c r="B994" s="631"/>
      <c r="C994" s="1127"/>
      <c r="D994" s="632"/>
      <c r="E994" s="1127"/>
      <c r="F994" s="633">
        <f t="shared" si="95"/>
        <v>0</v>
      </c>
      <c r="G994" s="632"/>
      <c r="H994" s="1127"/>
      <c r="I994" s="633">
        <f t="shared" si="96"/>
        <v>0</v>
      </c>
      <c r="J994" s="633">
        <f t="shared" si="97"/>
        <v>0</v>
      </c>
      <c r="K994" s="633">
        <f t="shared" si="98"/>
        <v>0</v>
      </c>
      <c r="L994" s="1127"/>
      <c r="M994" s="1127"/>
      <c r="N994" s="1691">
        <f t="shared" si="93"/>
        <v>0</v>
      </c>
      <c r="O994" s="634">
        <f t="shared" si="94"/>
        <v>0</v>
      </c>
      <c r="P994" s="144"/>
      <c r="Q994" s="144"/>
      <c r="R994" s="144"/>
      <c r="S994" s="144"/>
    </row>
    <row r="995" spans="1:19" ht="13.8">
      <c r="A995" s="630"/>
      <c r="B995" s="631"/>
      <c r="C995" s="1127"/>
      <c r="D995" s="632"/>
      <c r="E995" s="1127"/>
      <c r="F995" s="633">
        <f t="shared" si="95"/>
        <v>0</v>
      </c>
      <c r="G995" s="632"/>
      <c r="H995" s="1127"/>
      <c r="I995" s="633">
        <f t="shared" si="96"/>
        <v>0</v>
      </c>
      <c r="J995" s="633">
        <f t="shared" si="97"/>
        <v>0</v>
      </c>
      <c r="K995" s="633">
        <f t="shared" si="98"/>
        <v>0</v>
      </c>
      <c r="L995" s="1127"/>
      <c r="M995" s="1127"/>
      <c r="N995" s="1691">
        <f t="shared" si="93"/>
        <v>0</v>
      </c>
      <c r="O995" s="634">
        <f t="shared" si="94"/>
        <v>0</v>
      </c>
      <c r="P995" s="144"/>
      <c r="Q995" s="144"/>
      <c r="R995" s="144"/>
      <c r="S995" s="144"/>
    </row>
    <row r="996" spans="1:19" ht="13.8">
      <c r="A996" s="630"/>
      <c r="B996" s="631"/>
      <c r="C996" s="1127"/>
      <c r="D996" s="632"/>
      <c r="E996" s="1127"/>
      <c r="F996" s="633">
        <f t="shared" si="95"/>
        <v>0</v>
      </c>
      <c r="G996" s="632"/>
      <c r="H996" s="1127"/>
      <c r="I996" s="633">
        <f t="shared" si="96"/>
        <v>0</v>
      </c>
      <c r="J996" s="633">
        <f t="shared" si="97"/>
        <v>0</v>
      </c>
      <c r="K996" s="633">
        <f t="shared" si="98"/>
        <v>0</v>
      </c>
      <c r="L996" s="1127"/>
      <c r="M996" s="1127"/>
      <c r="N996" s="1691">
        <f t="shared" si="93"/>
        <v>0</v>
      </c>
      <c r="O996" s="634">
        <f t="shared" si="94"/>
        <v>0</v>
      </c>
      <c r="P996" s="144"/>
      <c r="Q996" s="144"/>
      <c r="R996" s="144"/>
      <c r="S996" s="144"/>
    </row>
    <row r="997" spans="1:19" ht="13.8">
      <c r="A997" s="630"/>
      <c r="B997" s="631"/>
      <c r="C997" s="1127"/>
      <c r="D997" s="632"/>
      <c r="E997" s="1127"/>
      <c r="F997" s="633">
        <f t="shared" si="95"/>
        <v>0</v>
      </c>
      <c r="G997" s="632"/>
      <c r="H997" s="1127"/>
      <c r="I997" s="633">
        <f t="shared" si="96"/>
        <v>0</v>
      </c>
      <c r="J997" s="633">
        <f t="shared" si="97"/>
        <v>0</v>
      </c>
      <c r="K997" s="633">
        <f t="shared" si="98"/>
        <v>0</v>
      </c>
      <c r="L997" s="1127"/>
      <c r="M997" s="1127"/>
      <c r="N997" s="1691">
        <f t="shared" si="93"/>
        <v>0</v>
      </c>
      <c r="O997" s="634">
        <f t="shared" si="94"/>
        <v>0</v>
      </c>
      <c r="P997" s="144"/>
      <c r="Q997" s="144"/>
      <c r="R997" s="144"/>
      <c r="S997" s="144"/>
    </row>
    <row r="998" spans="1:19" ht="13.8">
      <c r="A998" s="630"/>
      <c r="B998" s="631"/>
      <c r="C998" s="1127"/>
      <c r="D998" s="632"/>
      <c r="E998" s="1127"/>
      <c r="F998" s="633">
        <f t="shared" si="95"/>
        <v>0</v>
      </c>
      <c r="G998" s="632"/>
      <c r="H998" s="1127"/>
      <c r="I998" s="633">
        <f t="shared" si="96"/>
        <v>0</v>
      </c>
      <c r="J998" s="633">
        <f t="shared" si="97"/>
        <v>0</v>
      </c>
      <c r="K998" s="633">
        <f t="shared" si="98"/>
        <v>0</v>
      </c>
      <c r="L998" s="1127"/>
      <c r="M998" s="1127"/>
      <c r="N998" s="1691">
        <f t="shared" si="93"/>
        <v>0</v>
      </c>
      <c r="O998" s="634">
        <f t="shared" si="94"/>
        <v>0</v>
      </c>
      <c r="P998" s="144"/>
      <c r="Q998" s="144"/>
      <c r="R998" s="144"/>
      <c r="S998" s="144"/>
    </row>
    <row r="999" spans="1:19" ht="13.8">
      <c r="A999" s="630"/>
      <c r="B999" s="631"/>
      <c r="C999" s="1127"/>
      <c r="D999" s="632"/>
      <c r="E999" s="1127"/>
      <c r="F999" s="633">
        <f t="shared" si="95"/>
        <v>0</v>
      </c>
      <c r="G999" s="632"/>
      <c r="H999" s="1127"/>
      <c r="I999" s="633">
        <f t="shared" si="96"/>
        <v>0</v>
      </c>
      <c r="J999" s="633">
        <f t="shared" si="97"/>
        <v>0</v>
      </c>
      <c r="K999" s="633">
        <f t="shared" si="98"/>
        <v>0</v>
      </c>
      <c r="L999" s="1127"/>
      <c r="M999" s="1127"/>
      <c r="N999" s="1691">
        <f t="shared" si="93"/>
        <v>0</v>
      </c>
      <c r="O999" s="634">
        <f t="shared" si="94"/>
        <v>0</v>
      </c>
      <c r="P999" s="144"/>
      <c r="Q999" s="144"/>
      <c r="R999" s="144"/>
      <c r="S999" s="144"/>
    </row>
    <row r="1000" spans="1:19" ht="13.8">
      <c r="A1000" s="630"/>
      <c r="B1000" s="631"/>
      <c r="C1000" s="1127"/>
      <c r="D1000" s="632"/>
      <c r="E1000" s="1127"/>
      <c r="F1000" s="633">
        <f t="shared" si="95"/>
        <v>0</v>
      </c>
      <c r="G1000" s="632"/>
      <c r="H1000" s="1127"/>
      <c r="I1000" s="633">
        <f t="shared" si="96"/>
        <v>0</v>
      </c>
      <c r="J1000" s="633">
        <f t="shared" si="97"/>
        <v>0</v>
      </c>
      <c r="K1000" s="633">
        <f t="shared" si="98"/>
        <v>0</v>
      </c>
      <c r="L1000" s="1127"/>
      <c r="M1000" s="1127"/>
      <c r="N1000" s="1691">
        <f t="shared" si="93"/>
        <v>0</v>
      </c>
      <c r="O1000" s="634">
        <f t="shared" si="94"/>
        <v>0</v>
      </c>
      <c r="P1000" s="144"/>
      <c r="Q1000" s="144"/>
      <c r="R1000" s="144"/>
      <c r="S1000" s="144"/>
    </row>
    <row r="1001" spans="1:19" ht="13.8">
      <c r="A1001" s="630"/>
      <c r="B1001" s="631"/>
      <c r="C1001" s="1127"/>
      <c r="D1001" s="632"/>
      <c r="E1001" s="1127"/>
      <c r="F1001" s="633">
        <f t="shared" si="95"/>
        <v>0</v>
      </c>
      <c r="G1001" s="632"/>
      <c r="H1001" s="1127"/>
      <c r="I1001" s="633">
        <f t="shared" si="96"/>
        <v>0</v>
      </c>
      <c r="J1001" s="633">
        <f t="shared" si="97"/>
        <v>0</v>
      </c>
      <c r="K1001" s="633">
        <f t="shared" si="98"/>
        <v>0</v>
      </c>
      <c r="L1001" s="1127"/>
      <c r="M1001" s="1127"/>
      <c r="N1001" s="1691">
        <f t="shared" si="93"/>
        <v>0</v>
      </c>
      <c r="O1001" s="634">
        <f t="shared" si="94"/>
        <v>0</v>
      </c>
      <c r="P1001" s="144"/>
      <c r="Q1001" s="144"/>
      <c r="R1001" s="144"/>
      <c r="S1001" s="144"/>
    </row>
    <row r="1002" spans="1:19" ht="13.8">
      <c r="A1002" s="630"/>
      <c r="B1002" s="631"/>
      <c r="C1002" s="1127"/>
      <c r="D1002" s="632"/>
      <c r="E1002" s="1127"/>
      <c r="F1002" s="633">
        <f t="shared" si="95"/>
        <v>0</v>
      </c>
      <c r="G1002" s="632"/>
      <c r="H1002" s="1127"/>
      <c r="I1002" s="633">
        <f t="shared" si="96"/>
        <v>0</v>
      </c>
      <c r="J1002" s="633">
        <f t="shared" si="97"/>
        <v>0</v>
      </c>
      <c r="K1002" s="633">
        <f t="shared" si="98"/>
        <v>0</v>
      </c>
      <c r="L1002" s="1127"/>
      <c r="M1002" s="1127"/>
      <c r="N1002" s="1691">
        <f t="shared" si="93"/>
        <v>0</v>
      </c>
      <c r="O1002" s="634">
        <f t="shared" si="94"/>
        <v>0</v>
      </c>
      <c r="P1002" s="144"/>
      <c r="Q1002" s="144"/>
      <c r="R1002" s="144"/>
      <c r="S1002" s="144"/>
    </row>
    <row r="1003" spans="1:19" ht="13.8">
      <c r="A1003" s="630"/>
      <c r="B1003" s="631"/>
      <c r="C1003" s="1127"/>
      <c r="D1003" s="632"/>
      <c r="E1003" s="1127"/>
      <c r="F1003" s="633">
        <f t="shared" si="95"/>
        <v>0</v>
      </c>
      <c r="G1003" s="632"/>
      <c r="H1003" s="1127"/>
      <c r="I1003" s="633">
        <f t="shared" si="96"/>
        <v>0</v>
      </c>
      <c r="J1003" s="633">
        <f t="shared" si="97"/>
        <v>0</v>
      </c>
      <c r="K1003" s="633">
        <f t="shared" si="98"/>
        <v>0</v>
      </c>
      <c r="L1003" s="1127"/>
      <c r="M1003" s="1127"/>
      <c r="N1003" s="1691">
        <f t="shared" si="93"/>
        <v>0</v>
      </c>
      <c r="O1003" s="634">
        <f t="shared" si="94"/>
        <v>0</v>
      </c>
      <c r="P1003" s="144"/>
      <c r="Q1003" s="144"/>
      <c r="R1003" s="144"/>
      <c r="S1003" s="144"/>
    </row>
    <row r="1004" spans="1:19" ht="13.8">
      <c r="A1004" s="638"/>
      <c r="B1004" s="639"/>
      <c r="C1004" s="1128"/>
      <c r="D1004" s="640"/>
      <c r="E1004" s="1128"/>
      <c r="F1004" s="641">
        <f t="shared" si="95"/>
        <v>0</v>
      </c>
      <c r="G1004" s="640"/>
      <c r="H1004" s="1128"/>
      <c r="I1004" s="641">
        <f t="shared" si="96"/>
        <v>0</v>
      </c>
      <c r="J1004" s="641">
        <f t="shared" si="97"/>
        <v>0</v>
      </c>
      <c r="K1004" s="641">
        <f t="shared" si="98"/>
        <v>0</v>
      </c>
      <c r="L1004" s="1128"/>
      <c r="M1004" s="1688"/>
      <c r="N1004" s="1691">
        <f t="shared" si="93"/>
        <v>0</v>
      </c>
      <c r="O1004" s="634">
        <f t="shared" si="94"/>
        <v>0</v>
      </c>
      <c r="P1004" s="144"/>
      <c r="Q1004" s="144"/>
      <c r="R1004" s="144"/>
      <c r="S1004" s="144"/>
    </row>
    <row r="1005" spans="1:19">
      <c r="O1005" s="642"/>
    </row>
    <row r="1006" spans="1:19">
      <c r="O1006" s="642"/>
    </row>
    <row r="1007" spans="1:19">
      <c r="O1007" s="642"/>
    </row>
    <row r="1008" spans="1:19">
      <c r="O1008" s="642"/>
    </row>
    <row r="1009" spans="15:15">
      <c r="O1009" s="642"/>
    </row>
    <row r="1010" spans="15:15">
      <c r="O1010" s="642"/>
    </row>
    <row r="1011" spans="15:15">
      <c r="O1011" s="642"/>
    </row>
    <row r="1012" spans="15:15">
      <c r="O1012" s="642"/>
    </row>
    <row r="1013" spans="15:15">
      <c r="O1013" s="642"/>
    </row>
    <row r="1014" spans="15:15">
      <c r="O1014" s="642"/>
    </row>
    <row r="1015" spans="15:15">
      <c r="O1015" s="642"/>
    </row>
  </sheetData>
  <sheetProtection selectLockedCells="1" selectUnlockedCells="1"/>
  <mergeCells count="24">
    <mergeCell ref="A1:O1"/>
    <mergeCell ref="J5:J6"/>
    <mergeCell ref="A3:F3"/>
    <mergeCell ref="H3:I3"/>
    <mergeCell ref="P1:P4"/>
    <mergeCell ref="A2:F2"/>
    <mergeCell ref="H2:I2"/>
    <mergeCell ref="K2:L2"/>
    <mergeCell ref="N2:N3"/>
    <mergeCell ref="O2:O3"/>
    <mergeCell ref="K3:L3"/>
    <mergeCell ref="A8:B8"/>
    <mergeCell ref="G5:I5"/>
    <mergeCell ref="P15:S17"/>
    <mergeCell ref="A4:O4"/>
    <mergeCell ref="A5:A6"/>
    <mergeCell ref="B5:B6"/>
    <mergeCell ref="C5:C6"/>
    <mergeCell ref="K5:K6"/>
    <mergeCell ref="L5:L6"/>
    <mergeCell ref="N5:N6"/>
    <mergeCell ref="D5:F5"/>
    <mergeCell ref="O5:O6"/>
    <mergeCell ref="M5:M6"/>
  </mergeCells>
  <phoneticPr fontId="51" type="noConversion"/>
  <dataValidations count="6">
    <dataValidation operator="lessThanOrEqual" allowBlank="1" showErrorMessage="1" errorTitle="日期错误" error="没有这个日期或日期大于本年度" sqref="L5:M5 L1005:M1132 F9:F1004 L8:M8">
      <formula1>0</formula1>
      <formula2>0</formula2>
    </dataValidation>
    <dataValidation type="date" allowBlank="1" showErrorMessage="1" errorTitle="日期超出范围" error="没有这个日期或输入的购置日期超出1906年至本会计期间截止日范围。" sqref="D9:D1004">
      <formula1>1906-1-1</formula1>
      <formula2>DATE(本年度,截止月,截止日)</formula2>
    </dataValidation>
    <dataValidation operator="lessThanOrEqual" allowBlank="1" errorTitle="日期错误" error="没有这个日期或日期大于本年度" sqref="E9:E1004">
      <formula1>0</formula1>
      <formula2>0</formula2>
    </dataValidation>
    <dataValidation type="date" allowBlank="1" showErrorMessage="1" errorTitle="日期超出范围" error="没有这个日期或输入的减少日期超出会计期间范围。" sqref="G9:G1004">
      <formula1>DATE(本年度,起始月,起始日)</formula1>
      <formula2>DATE(本年度,截止月,截止日)</formula2>
    </dataValidation>
    <dataValidation allowBlank="1" sqref="K9:K1004">
      <formula1>0</formula1>
      <formula2>0</formula2>
    </dataValidation>
    <dataValidation type="list" allowBlank="1" showErrorMessage="1" sqref="A9:A1132">
      <formula1>"房屋建筑,机械设备,工器家具,运输工具,电子设备"</formula1>
      <formula2>0</formula2>
    </dataValidation>
  </dataValidations>
  <hyperlinks>
    <hyperlink ref="P9" location="资产负债!A1" display="资产负债表"/>
    <hyperlink ref="P10" location="资产折旧纳税调整表!A1" display="资产折旧纳税调整表"/>
    <hyperlink ref="P11" location="固资折旧!A1" display="固定资产及折旧审核表"/>
    <hyperlink ref="P12" location="固定资产加速折旧审核表!A1" display="固定资产加速折旧审核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V108"/>
  <sheetViews>
    <sheetView workbookViewId="0">
      <selection activeCell="P10" sqref="P10"/>
    </sheetView>
  </sheetViews>
  <sheetFormatPr defaultColWidth="9" defaultRowHeight="15.6"/>
  <cols>
    <col min="1" max="1" width="19.19921875" style="130" customWidth="1"/>
    <col min="2" max="2" width="8.5" style="130" customWidth="1"/>
    <col min="3" max="7" width="9.69921875" style="130" customWidth="1"/>
    <col min="8" max="8" width="4.09765625" style="643" customWidth="1"/>
    <col min="9" max="11" width="9.69921875" style="130" customWidth="1"/>
    <col min="12" max="12" width="4.09765625" style="643" customWidth="1"/>
    <col min="13" max="14" width="9.69921875" style="643" customWidth="1"/>
    <col min="15" max="15" width="9.69921875" style="130" customWidth="1"/>
    <col min="16" max="16" width="22.59765625" style="554" customWidth="1"/>
    <col min="17" max="17" width="9" style="554"/>
    <col min="18" max="18" width="15.5" style="554" customWidth="1"/>
    <col min="19" max="16384" width="9" style="554"/>
  </cols>
  <sheetData>
    <row r="1" spans="1:23" ht="31.5" customHeight="1">
      <c r="A1" s="3179" t="s">
        <v>353</v>
      </c>
      <c r="B1" s="3179"/>
      <c r="C1" s="3179"/>
      <c r="D1" s="3179"/>
      <c r="E1" s="3179"/>
      <c r="F1" s="3179"/>
      <c r="G1" s="3179"/>
      <c r="H1" s="3179"/>
      <c r="I1" s="3179"/>
      <c r="J1" s="3179"/>
      <c r="K1" s="3179"/>
      <c r="L1" s="3179"/>
      <c r="M1" s="3179"/>
      <c r="N1" s="3179"/>
      <c r="O1" s="3179"/>
      <c r="P1" s="84"/>
      <c r="Q1" s="90"/>
      <c r="R1" s="90"/>
      <c r="S1" s="90"/>
      <c r="T1" s="90"/>
    </row>
    <row r="2" spans="1:23" s="558" customFormat="1" ht="22.5" customHeight="1">
      <c r="A2" s="3210" t="str">
        <f>"委托单位："&amp;基本情况!B2</f>
        <v>委托单位：0</v>
      </c>
      <c r="B2" s="3210"/>
      <c r="C2" s="3210"/>
      <c r="D2" s="3210"/>
      <c r="E2" s="3210"/>
      <c r="F2" s="3210"/>
      <c r="G2" s="136" t="s">
        <v>450</v>
      </c>
      <c r="H2" s="3067">
        <f>基本情况!B12</f>
        <v>0</v>
      </c>
      <c r="I2" s="3067"/>
      <c r="J2" s="136" t="s">
        <v>882</v>
      </c>
      <c r="K2" s="3211" t="str">
        <f>TEXT(基本情况!B21,"yyyy-mm-dd")</f>
        <v>2017-03-16</v>
      </c>
      <c r="L2" s="3211"/>
      <c r="M2" s="644"/>
      <c r="N2" s="644"/>
      <c r="O2" s="485" t="s">
        <v>283</v>
      </c>
      <c r="P2" s="557"/>
      <c r="Q2" s="557"/>
      <c r="R2" s="557"/>
      <c r="S2" s="557"/>
      <c r="T2" s="557"/>
    </row>
    <row r="3" spans="1:23" s="558" customFormat="1" ht="22.5" customHeight="1">
      <c r="A3" s="3139" t="str">
        <f>"会计期间："&amp;基本情况!B7</f>
        <v>会计期间：2016年01月01日至2016年12月31日</v>
      </c>
      <c r="B3" s="3139"/>
      <c r="C3" s="3139"/>
      <c r="D3" s="3139"/>
      <c r="E3" s="3139"/>
      <c r="F3" s="3139"/>
      <c r="G3" s="140" t="s">
        <v>452</v>
      </c>
      <c r="H3" s="3062">
        <f>基本情况!B11</f>
        <v>0</v>
      </c>
      <c r="I3" s="3062"/>
      <c r="J3" s="140" t="s">
        <v>882</v>
      </c>
      <c r="K3" s="3209" t="str">
        <f>TEXT(基本情况!B22,"yyyy-mm-dd")</f>
        <v>2017-05-04</v>
      </c>
      <c r="L3" s="3209"/>
      <c r="M3" s="645"/>
      <c r="N3" s="1715"/>
      <c r="O3" s="646" t="str">
        <f>档案索引!A38</f>
        <v>2A-18</v>
      </c>
      <c r="P3" s="557"/>
      <c r="Q3" s="557"/>
      <c r="R3" s="557"/>
      <c r="S3" s="557"/>
      <c r="T3" s="557"/>
    </row>
    <row r="4" spans="1:23" s="565" customFormat="1" ht="7.5" customHeight="1">
      <c r="A4" s="2926"/>
      <c r="B4" s="2926"/>
      <c r="C4" s="2926"/>
      <c r="D4" s="2926"/>
      <c r="E4" s="2926"/>
      <c r="F4" s="2926"/>
      <c r="G4" s="2926"/>
      <c r="H4" s="2926"/>
      <c r="I4" s="2926"/>
      <c r="J4" s="2926"/>
      <c r="K4" s="2926"/>
      <c r="L4" s="2926"/>
      <c r="M4" s="2926"/>
      <c r="N4" s="2926"/>
      <c r="O4" s="2926"/>
      <c r="P4" s="543"/>
      <c r="Q4" s="543"/>
      <c r="R4" s="543"/>
      <c r="S4" s="543"/>
      <c r="T4" s="543"/>
    </row>
    <row r="5" spans="1:23" s="649" customFormat="1" ht="20.25" customHeight="1">
      <c r="A5" s="3202" t="s">
        <v>1250</v>
      </c>
      <c r="B5" s="3184" t="s">
        <v>883</v>
      </c>
      <c r="C5" s="3184"/>
      <c r="D5" s="3184"/>
      <c r="E5" s="3184"/>
      <c r="F5" s="3203" t="s">
        <v>884</v>
      </c>
      <c r="G5" s="3204" t="s">
        <v>885</v>
      </c>
      <c r="H5" s="3203" t="s">
        <v>886</v>
      </c>
      <c r="I5" s="2929" t="s">
        <v>887</v>
      </c>
      <c r="J5" s="2929"/>
      <c r="K5" s="3203" t="s">
        <v>888</v>
      </c>
      <c r="L5" s="3206" t="s">
        <v>889</v>
      </c>
      <c r="M5" s="3207"/>
      <c r="N5" s="3208"/>
      <c r="O5" s="3164" t="s">
        <v>890</v>
      </c>
      <c r="P5" s="84" t="s">
        <v>395</v>
      </c>
      <c r="Q5" s="648"/>
      <c r="R5" s="648"/>
      <c r="S5" s="648"/>
      <c r="T5" s="648"/>
    </row>
    <row r="6" spans="1:23" s="649" customFormat="1" ht="25.5" customHeight="1">
      <c r="A6" s="3202"/>
      <c r="B6" s="611" t="s">
        <v>891</v>
      </c>
      <c r="C6" s="611" t="s">
        <v>892</v>
      </c>
      <c r="D6" s="611" t="s">
        <v>893</v>
      </c>
      <c r="E6" s="611" t="s">
        <v>1255</v>
      </c>
      <c r="F6" s="3203"/>
      <c r="G6" s="3204"/>
      <c r="H6" s="3203"/>
      <c r="I6" s="605" t="s">
        <v>894</v>
      </c>
      <c r="J6" s="605" t="s">
        <v>895</v>
      </c>
      <c r="K6" s="3203"/>
      <c r="L6" s="611" t="s">
        <v>896</v>
      </c>
      <c r="M6" s="650" t="s">
        <v>897</v>
      </c>
      <c r="N6" s="617" t="s">
        <v>6417</v>
      </c>
      <c r="O6" s="3164"/>
      <c r="P6" s="232" t="s">
        <v>1538</v>
      </c>
      <c r="Q6" s="648"/>
      <c r="R6" s="648"/>
      <c r="S6" s="648"/>
      <c r="T6" s="648"/>
    </row>
    <row r="7" spans="1:23" s="558" customFormat="1" ht="24" customHeight="1">
      <c r="A7" s="651" t="s">
        <v>898</v>
      </c>
      <c r="B7" s="652"/>
      <c r="C7" s="653">
        <f>C8+C9+C10+C11+C12</f>
        <v>0</v>
      </c>
      <c r="D7" s="653">
        <f t="shared" ref="D7:J7" si="0">D8+D9+D10+D11+D12</f>
        <v>0</v>
      </c>
      <c r="E7" s="653">
        <f t="shared" si="0"/>
        <v>0</v>
      </c>
      <c r="F7" s="653">
        <f t="shared" si="0"/>
        <v>0</v>
      </c>
      <c r="G7" s="653">
        <f t="shared" si="0"/>
        <v>0</v>
      </c>
      <c r="H7" s="654"/>
      <c r="I7" s="653">
        <f t="shared" si="0"/>
        <v>0</v>
      </c>
      <c r="J7" s="653">
        <f t="shared" si="0"/>
        <v>0</v>
      </c>
      <c r="K7" s="653">
        <f>SUM(K8:K12)</f>
        <v>0</v>
      </c>
      <c r="L7" s="654"/>
      <c r="M7" s="653">
        <f t="shared" ref="M7:O7" si="1">M8+M9+M10+M11+M12</f>
        <v>0</v>
      </c>
      <c r="N7" s="653">
        <f t="shared" si="1"/>
        <v>0</v>
      </c>
      <c r="O7" s="653">
        <f t="shared" si="1"/>
        <v>0</v>
      </c>
      <c r="P7" s="575" t="s">
        <v>619</v>
      </c>
      <c r="Q7" s="557"/>
      <c r="R7" s="557"/>
      <c r="S7" s="144"/>
      <c r="T7" s="557"/>
    </row>
    <row r="8" spans="1:23" s="558" customFormat="1" ht="24">
      <c r="A8" s="656" t="s">
        <v>6401</v>
      </c>
      <c r="B8" s="657"/>
      <c r="C8" s="1130"/>
      <c r="D8" s="1130"/>
      <c r="E8" s="659">
        <f>C8+D8</f>
        <v>0</v>
      </c>
      <c r="F8" s="1130"/>
      <c r="G8" s="1130"/>
      <c r="H8" s="660"/>
      <c r="I8" s="658"/>
      <c r="J8" s="658"/>
      <c r="K8" s="659">
        <f>F8+G8-I8-J8</f>
        <v>0</v>
      </c>
      <c r="L8" s="661"/>
      <c r="M8" s="1230"/>
      <c r="N8" s="1230"/>
      <c r="O8" s="662">
        <f>IF(I8-M8&lt;3,0,I8-M8)</f>
        <v>0</v>
      </c>
      <c r="P8" s="232" t="s">
        <v>1291</v>
      </c>
      <c r="Q8" s="557"/>
      <c r="R8" s="557"/>
      <c r="S8" s="144"/>
      <c r="T8" s="557"/>
    </row>
    <row r="9" spans="1:23" s="558" customFormat="1" ht="24">
      <c r="A9" s="663" t="s">
        <v>6402</v>
      </c>
      <c r="B9" s="664"/>
      <c r="C9" s="1131"/>
      <c r="D9" s="1131"/>
      <c r="E9" s="666">
        <f>C9+D9</f>
        <v>0</v>
      </c>
      <c r="F9" s="1131"/>
      <c r="G9" s="1131"/>
      <c r="H9" s="667"/>
      <c r="I9" s="665"/>
      <c r="J9" s="665"/>
      <c r="K9" s="666">
        <f>F9+G9-I9-J9</f>
        <v>0</v>
      </c>
      <c r="L9" s="668"/>
      <c r="M9" s="1231"/>
      <c r="N9" s="1230"/>
      <c r="O9" s="662">
        <f>IF(I9-M9&lt;3,0,I9-M9)</f>
        <v>0</v>
      </c>
      <c r="P9" s="493" t="s">
        <v>324</v>
      </c>
      <c r="Q9" s="557"/>
      <c r="R9" s="557"/>
      <c r="S9" s="144"/>
      <c r="T9" s="557"/>
    </row>
    <row r="10" spans="1:23" s="558" customFormat="1" ht="24">
      <c r="A10" s="663" t="s">
        <v>6403</v>
      </c>
      <c r="B10" s="664"/>
      <c r="C10" s="1131"/>
      <c r="D10" s="1131"/>
      <c r="E10" s="666">
        <f>C10+D10</f>
        <v>0</v>
      </c>
      <c r="F10" s="1131"/>
      <c r="G10" s="1131"/>
      <c r="H10" s="667"/>
      <c r="I10" s="1131"/>
      <c r="J10" s="1131"/>
      <c r="K10" s="666">
        <f>F10+G10-I10-J10</f>
        <v>0</v>
      </c>
      <c r="L10" s="668"/>
      <c r="M10" s="1229"/>
      <c r="N10" s="1233"/>
      <c r="O10" s="662">
        <f>IF(I10-M10&lt;3,0,I10-M10)</f>
        <v>0</v>
      </c>
      <c r="P10" s="232" t="s">
        <v>1288</v>
      </c>
      <c r="Q10" s="557"/>
      <c r="R10" s="557"/>
      <c r="S10" s="144"/>
      <c r="T10" s="557"/>
    </row>
    <row r="11" spans="1:23" s="558" customFormat="1" ht="16.5" customHeight="1">
      <c r="A11" s="663" t="s">
        <v>6404</v>
      </c>
      <c r="B11" s="664"/>
      <c r="C11" s="1131"/>
      <c r="D11" s="1131"/>
      <c r="E11" s="666">
        <f>C11+D11</f>
        <v>0</v>
      </c>
      <c r="F11" s="1131"/>
      <c r="G11" s="1131"/>
      <c r="H11" s="667"/>
      <c r="I11" s="1131"/>
      <c r="J11" s="1131"/>
      <c r="K11" s="666">
        <f>F11+G11-I11-J11</f>
        <v>0</v>
      </c>
      <c r="L11" s="668"/>
      <c r="M11" s="1229"/>
      <c r="N11" s="1233"/>
      <c r="O11" s="662">
        <f>IF(I11-M11&lt;3,0,I11-M11)</f>
        <v>0</v>
      </c>
      <c r="P11" s="1707"/>
      <c r="Q11" s="557"/>
      <c r="R11" s="557"/>
      <c r="S11" s="144"/>
      <c r="T11" s="557"/>
    </row>
    <row r="12" spans="1:23" s="558" customFormat="1" ht="16.5" customHeight="1">
      <c r="A12" s="663" t="s">
        <v>6405</v>
      </c>
      <c r="B12" s="664"/>
      <c r="C12" s="666">
        <f>SUM(C13:C16)</f>
        <v>0</v>
      </c>
      <c r="D12" s="666">
        <f t="shared" ref="D12:K12" si="2">SUM(D13:D16)</f>
        <v>0</v>
      </c>
      <c r="E12" s="669">
        <f t="shared" si="2"/>
        <v>0</v>
      </c>
      <c r="F12" s="666">
        <f t="shared" si="2"/>
        <v>0</v>
      </c>
      <c r="G12" s="666">
        <f t="shared" si="2"/>
        <v>0</v>
      </c>
      <c r="H12" s="667"/>
      <c r="I12" s="666">
        <f t="shared" si="2"/>
        <v>0</v>
      </c>
      <c r="J12" s="666">
        <f t="shared" si="2"/>
        <v>0</v>
      </c>
      <c r="K12" s="669">
        <f t="shared" si="2"/>
        <v>0</v>
      </c>
      <c r="L12" s="667"/>
      <c r="M12" s="670">
        <f>SUM(M13:M16)</f>
        <v>0</v>
      </c>
      <c r="N12" s="670">
        <f>SUM(N13:N16)</f>
        <v>0</v>
      </c>
      <c r="O12" s="531">
        <f>SUM(O13:O16)</f>
        <v>0</v>
      </c>
      <c r="P12" s="671" t="s">
        <v>899</v>
      </c>
      <c r="Q12" s="557"/>
      <c r="R12" s="557"/>
      <c r="S12" s="557"/>
      <c r="T12" s="557"/>
    </row>
    <row r="13" spans="1:23" s="558" customFormat="1" ht="16.5" customHeight="1">
      <c r="A13" s="672"/>
      <c r="B13" s="664"/>
      <c r="C13" s="1131"/>
      <c r="D13" s="1131"/>
      <c r="E13" s="666">
        <f>C13+D13</f>
        <v>0</v>
      </c>
      <c r="F13" s="1131"/>
      <c r="G13" s="1131"/>
      <c r="H13" s="667"/>
      <c r="I13" s="1131"/>
      <c r="J13" s="1131"/>
      <c r="K13" s="666">
        <f>F13+G13-I13-J13</f>
        <v>0</v>
      </c>
      <c r="L13" s="668"/>
      <c r="M13" s="1229"/>
      <c r="N13" s="1233"/>
      <c r="O13" s="662">
        <f>IF(I13-M13&lt;3,0,I13-M13)</f>
        <v>0</v>
      </c>
      <c r="P13" s="3107" t="s">
        <v>900</v>
      </c>
      <c r="Q13" s="3107"/>
      <c r="R13" s="3107"/>
      <c r="S13" s="3107"/>
      <c r="T13" s="3107"/>
      <c r="U13" s="587"/>
      <c r="V13" s="587"/>
      <c r="W13" s="673"/>
    </row>
    <row r="14" spans="1:23" s="558" customFormat="1" ht="16.5" customHeight="1">
      <c r="A14" s="672"/>
      <c r="B14" s="664"/>
      <c r="C14" s="1131"/>
      <c r="D14" s="1131"/>
      <c r="E14" s="666">
        <f>C14+D14</f>
        <v>0</v>
      </c>
      <c r="F14" s="1131"/>
      <c r="G14" s="1131"/>
      <c r="H14" s="667"/>
      <c r="I14" s="1131"/>
      <c r="J14" s="1227"/>
      <c r="K14" s="666">
        <f>F14+G14-I14-J14</f>
        <v>0</v>
      </c>
      <c r="L14" s="668"/>
      <c r="M14" s="1229"/>
      <c r="N14" s="1233"/>
      <c r="O14" s="662">
        <f t="shared" ref="O14:O27" si="3">IF(I14-M14&lt;3,0,I14-M14)</f>
        <v>0</v>
      </c>
      <c r="P14" s="3107"/>
      <c r="Q14" s="3107"/>
      <c r="R14" s="3107"/>
      <c r="S14" s="3107"/>
      <c r="T14" s="3107"/>
      <c r="U14" s="587"/>
      <c r="V14" s="587"/>
      <c r="W14" s="673"/>
    </row>
    <row r="15" spans="1:23" s="558" customFormat="1" ht="16.5" customHeight="1">
      <c r="A15" s="672"/>
      <c r="B15" s="664"/>
      <c r="C15" s="1131"/>
      <c r="D15" s="1131"/>
      <c r="E15" s="666">
        <f>C15+D15</f>
        <v>0</v>
      </c>
      <c r="F15" s="1131"/>
      <c r="G15" s="1131"/>
      <c r="H15" s="667"/>
      <c r="I15" s="1131"/>
      <c r="J15" s="1227"/>
      <c r="K15" s="666">
        <f>F15+G15-I15-J15</f>
        <v>0</v>
      </c>
      <c r="L15" s="668"/>
      <c r="M15" s="1229"/>
      <c r="N15" s="1233"/>
      <c r="O15" s="662">
        <f t="shared" si="3"/>
        <v>0</v>
      </c>
      <c r="P15" s="3107"/>
      <c r="Q15" s="3107"/>
      <c r="R15" s="3107"/>
      <c r="S15" s="3107"/>
      <c r="T15" s="3107"/>
      <c r="U15" s="587"/>
      <c r="V15" s="587"/>
      <c r="W15" s="673"/>
    </row>
    <row r="16" spans="1:23" s="558" customFormat="1" ht="16.5" customHeight="1">
      <c r="A16" s="674"/>
      <c r="B16" s="675"/>
      <c r="C16" s="1132"/>
      <c r="D16" s="1132"/>
      <c r="E16" s="676">
        <f>C16+D16</f>
        <v>0</v>
      </c>
      <c r="F16" s="1132"/>
      <c r="G16" s="1132"/>
      <c r="H16" s="677"/>
      <c r="I16" s="1132"/>
      <c r="J16" s="1228"/>
      <c r="K16" s="676">
        <f>F16+G16-I16-J16</f>
        <v>0</v>
      </c>
      <c r="L16" s="678"/>
      <c r="M16" s="1232"/>
      <c r="N16" s="1746"/>
      <c r="O16" s="662">
        <f t="shared" si="3"/>
        <v>0</v>
      </c>
      <c r="P16" s="3107"/>
      <c r="Q16" s="3107"/>
      <c r="R16" s="3107"/>
      <c r="S16" s="3107"/>
      <c r="T16" s="3107"/>
      <c r="U16" s="587"/>
      <c r="V16" s="587"/>
      <c r="W16" s="673"/>
    </row>
    <row r="17" spans="1:23" s="558" customFormat="1" ht="24.75" customHeight="1">
      <c r="A17" s="651" t="s">
        <v>901</v>
      </c>
      <c r="B17" s="652"/>
      <c r="C17" s="653">
        <f>SUM(C18:C24)</f>
        <v>0</v>
      </c>
      <c r="D17" s="653">
        <f>SUM(D18:D24)</f>
        <v>0</v>
      </c>
      <c r="E17" s="653">
        <f>SUM(E18:E24)</f>
        <v>0</v>
      </c>
      <c r="F17" s="653">
        <f>SUM(F18:F24)</f>
        <v>0</v>
      </c>
      <c r="G17" s="653">
        <f>SUM(G18:G24)</f>
        <v>0</v>
      </c>
      <c r="H17" s="654"/>
      <c r="I17" s="653">
        <f>SUM(I18:I24)</f>
        <v>0</v>
      </c>
      <c r="J17" s="653">
        <f>SUM(J18:J24)</f>
        <v>0</v>
      </c>
      <c r="K17" s="653">
        <f>SUM(K18:K24)</f>
        <v>0</v>
      </c>
      <c r="L17" s="654"/>
      <c r="M17" s="679">
        <f>SUM(M18:M24)</f>
        <v>0</v>
      </c>
      <c r="N17" s="679">
        <f>SUM(N18:N24)</f>
        <v>0</v>
      </c>
      <c r="O17" s="655">
        <f>SUM(O18:O24)</f>
        <v>0</v>
      </c>
      <c r="P17" s="3107"/>
      <c r="Q17" s="3107"/>
      <c r="R17" s="3107"/>
      <c r="S17" s="3107"/>
      <c r="T17" s="3107"/>
      <c r="U17" s="587"/>
      <c r="V17" s="587"/>
      <c r="W17" s="673"/>
    </row>
    <row r="18" spans="1:23" s="558" customFormat="1" ht="16.5" customHeight="1">
      <c r="A18" s="663" t="s">
        <v>6418</v>
      </c>
      <c r="B18" s="657"/>
      <c r="C18" s="1130"/>
      <c r="D18" s="1130"/>
      <c r="E18" s="659">
        <f t="shared" ref="E18:E27" si="4">C18+D18</f>
        <v>0</v>
      </c>
      <c r="F18" s="1130"/>
      <c r="G18" s="1130"/>
      <c r="H18" s="661"/>
      <c r="I18" s="1130"/>
      <c r="J18" s="1130"/>
      <c r="K18" s="659">
        <f t="shared" ref="K18:K27" si="5">F18+G18-I18-J18</f>
        <v>0</v>
      </c>
      <c r="L18" s="661"/>
      <c r="M18" s="1233"/>
      <c r="N18" s="1233"/>
      <c r="O18" s="662">
        <f t="shared" si="3"/>
        <v>0</v>
      </c>
      <c r="P18" s="3107"/>
      <c r="Q18" s="3107"/>
      <c r="R18" s="3107"/>
      <c r="S18" s="3107"/>
      <c r="T18" s="3107"/>
      <c r="U18" s="587"/>
      <c r="V18" s="587"/>
      <c r="W18" s="673"/>
    </row>
    <row r="19" spans="1:23" s="558" customFormat="1" ht="16.5" customHeight="1">
      <c r="A19" s="663" t="s">
        <v>6419</v>
      </c>
      <c r="B19" s="681"/>
      <c r="C19" s="1131"/>
      <c r="D19" s="1131"/>
      <c r="E19" s="666">
        <f t="shared" si="4"/>
        <v>0</v>
      </c>
      <c r="F19" s="1131"/>
      <c r="G19" s="1131"/>
      <c r="H19" s="668"/>
      <c r="I19" s="1131"/>
      <c r="J19" s="1131"/>
      <c r="K19" s="666">
        <f t="shared" si="5"/>
        <v>0</v>
      </c>
      <c r="L19" s="668"/>
      <c r="M19" s="1229"/>
      <c r="N19" s="1233"/>
      <c r="O19" s="662">
        <f t="shared" si="3"/>
        <v>0</v>
      </c>
      <c r="P19" s="3107"/>
      <c r="Q19" s="3107"/>
      <c r="R19" s="3107"/>
      <c r="S19" s="3107"/>
      <c r="T19" s="3107"/>
      <c r="U19" s="587"/>
      <c r="V19" s="587"/>
      <c r="W19" s="673"/>
    </row>
    <row r="20" spans="1:23" s="558" customFormat="1" ht="16.5" customHeight="1">
      <c r="A20" s="663" t="s">
        <v>6420</v>
      </c>
      <c r="B20" s="681"/>
      <c r="C20" s="1131"/>
      <c r="D20" s="1131"/>
      <c r="E20" s="666">
        <f t="shared" si="4"/>
        <v>0</v>
      </c>
      <c r="F20" s="1131"/>
      <c r="G20" s="1131"/>
      <c r="H20" s="668"/>
      <c r="I20" s="1131"/>
      <c r="J20" s="1131"/>
      <c r="K20" s="666">
        <f t="shared" si="5"/>
        <v>0</v>
      </c>
      <c r="L20" s="668"/>
      <c r="M20" s="1229"/>
      <c r="N20" s="1233"/>
      <c r="O20" s="662">
        <f t="shared" si="3"/>
        <v>0</v>
      </c>
      <c r="P20" s="3107"/>
      <c r="Q20" s="3107"/>
      <c r="R20" s="3107"/>
      <c r="S20" s="3107"/>
      <c r="T20" s="3107"/>
      <c r="U20" s="587"/>
      <c r="V20" s="587"/>
      <c r="W20" s="673"/>
    </row>
    <row r="21" spans="1:23" s="558" customFormat="1" ht="16.5" customHeight="1">
      <c r="A21" s="663" t="s">
        <v>6421</v>
      </c>
      <c r="B21" s="681"/>
      <c r="C21" s="1131"/>
      <c r="D21" s="1131"/>
      <c r="E21" s="666">
        <f t="shared" si="4"/>
        <v>0</v>
      </c>
      <c r="F21" s="1131"/>
      <c r="G21" s="1131"/>
      <c r="H21" s="668"/>
      <c r="I21" s="1131"/>
      <c r="J21" s="1131"/>
      <c r="K21" s="666">
        <f t="shared" si="5"/>
        <v>0</v>
      </c>
      <c r="L21" s="668"/>
      <c r="M21" s="1229"/>
      <c r="N21" s="1233"/>
      <c r="O21" s="662">
        <f t="shared" si="3"/>
        <v>0</v>
      </c>
      <c r="P21" s="3107"/>
      <c r="Q21" s="3107"/>
      <c r="R21" s="3107"/>
      <c r="S21" s="3107"/>
      <c r="T21" s="3107"/>
      <c r="U21" s="587"/>
      <c r="V21" s="587"/>
      <c r="W21" s="673"/>
    </row>
    <row r="22" spans="1:23" s="558" customFormat="1" ht="16.5" customHeight="1">
      <c r="A22" s="663" t="s">
        <v>6422</v>
      </c>
      <c r="B22" s="681"/>
      <c r="C22" s="1131"/>
      <c r="D22" s="1131"/>
      <c r="E22" s="666">
        <f t="shared" si="4"/>
        <v>0</v>
      </c>
      <c r="F22" s="1131"/>
      <c r="G22" s="1131"/>
      <c r="H22" s="668"/>
      <c r="I22" s="1131"/>
      <c r="J22" s="1131"/>
      <c r="K22" s="666">
        <f t="shared" si="5"/>
        <v>0</v>
      </c>
      <c r="L22" s="668"/>
      <c r="M22" s="1229"/>
      <c r="N22" s="1233"/>
      <c r="O22" s="662">
        <f t="shared" si="3"/>
        <v>0</v>
      </c>
      <c r="P22" s="1705"/>
      <c r="Q22" s="1705"/>
      <c r="R22" s="1705"/>
      <c r="S22" s="1705"/>
      <c r="T22" s="1705"/>
      <c r="U22" s="1706"/>
      <c r="V22" s="1706"/>
      <c r="W22" s="673"/>
    </row>
    <row r="23" spans="1:23" s="558" customFormat="1" ht="16.5" customHeight="1">
      <c r="A23" s="663" t="s">
        <v>6423</v>
      </c>
      <c r="B23" s="681"/>
      <c r="C23" s="1131"/>
      <c r="D23" s="1131"/>
      <c r="E23" s="666">
        <f t="shared" si="4"/>
        <v>0</v>
      </c>
      <c r="F23" s="1131"/>
      <c r="G23" s="1131"/>
      <c r="H23" s="668"/>
      <c r="I23" s="1131"/>
      <c r="J23" s="1131"/>
      <c r="K23" s="666">
        <f t="shared" si="5"/>
        <v>0</v>
      </c>
      <c r="L23" s="668"/>
      <c r="M23" s="1229"/>
      <c r="N23" s="1233"/>
      <c r="O23" s="662">
        <f t="shared" si="3"/>
        <v>0</v>
      </c>
      <c r="P23" s="3107" t="s">
        <v>902</v>
      </c>
      <c r="Q23" s="3107"/>
      <c r="R23" s="3107"/>
      <c r="S23" s="3107"/>
      <c r="T23" s="3107"/>
      <c r="U23" s="587"/>
      <c r="V23" s="587"/>
      <c r="W23" s="673"/>
    </row>
    <row r="24" spans="1:23" s="558" customFormat="1" ht="16.5" customHeight="1">
      <c r="A24" s="1757" t="s">
        <v>6424</v>
      </c>
      <c r="B24" s="683"/>
      <c r="C24" s="1133"/>
      <c r="D24" s="1133"/>
      <c r="E24" s="684">
        <f t="shared" si="4"/>
        <v>0</v>
      </c>
      <c r="F24" s="1133"/>
      <c r="G24" s="1133"/>
      <c r="H24" s="685"/>
      <c r="I24" s="1133"/>
      <c r="J24" s="1133"/>
      <c r="K24" s="684">
        <f t="shared" si="5"/>
        <v>0</v>
      </c>
      <c r="L24" s="685"/>
      <c r="M24" s="1234"/>
      <c r="N24" s="1746"/>
      <c r="O24" s="1751">
        <f t="shared" si="3"/>
        <v>0</v>
      </c>
      <c r="P24" s="3107"/>
      <c r="Q24" s="3107"/>
      <c r="R24" s="3107"/>
      <c r="S24" s="3107"/>
      <c r="T24" s="3107"/>
      <c r="U24" s="587"/>
      <c r="V24" s="587"/>
    </row>
    <row r="25" spans="1:23" s="558" customFormat="1" ht="16.5" customHeight="1">
      <c r="A25" s="1758" t="s">
        <v>6425</v>
      </c>
      <c r="B25" s="1752"/>
      <c r="C25" s="1759">
        <f>C26+C27</f>
        <v>0</v>
      </c>
      <c r="D25" s="1759">
        <f>D26+D27</f>
        <v>0</v>
      </c>
      <c r="E25" s="1760">
        <f>E26+E27</f>
        <v>0</v>
      </c>
      <c r="F25" s="1759">
        <f>F26+F27</f>
        <v>0</v>
      </c>
      <c r="G25" s="1759">
        <f t="shared" ref="G25:K25" si="6">G26+G27</f>
        <v>0</v>
      </c>
      <c r="H25" s="1753"/>
      <c r="I25" s="1759">
        <f t="shared" si="6"/>
        <v>0</v>
      </c>
      <c r="J25" s="1759">
        <f t="shared" si="6"/>
        <v>0</v>
      </c>
      <c r="K25" s="653">
        <f t="shared" si="6"/>
        <v>0</v>
      </c>
      <c r="L25" s="1754"/>
      <c r="M25" s="679">
        <f>M26+M27</f>
        <v>0</v>
      </c>
      <c r="N25" s="679">
        <f>N26+N27</f>
        <v>0</v>
      </c>
      <c r="O25" s="655">
        <f>O26+O27</f>
        <v>0</v>
      </c>
      <c r="P25" s="3107"/>
      <c r="Q25" s="3107"/>
      <c r="R25" s="3107"/>
      <c r="S25" s="3107"/>
      <c r="T25" s="3107"/>
      <c r="U25" s="1716"/>
      <c r="V25" s="1716"/>
    </row>
    <row r="26" spans="1:23" s="558" customFormat="1" ht="16.5" customHeight="1">
      <c r="A26" s="663" t="s">
        <v>6426</v>
      </c>
      <c r="B26" s="1755"/>
      <c r="C26" s="1131"/>
      <c r="D26" s="1131"/>
      <c r="E26" s="666">
        <f t="shared" si="4"/>
        <v>0</v>
      </c>
      <c r="F26" s="1131"/>
      <c r="G26" s="1131"/>
      <c r="H26" s="1756"/>
      <c r="I26" s="1229"/>
      <c r="J26" s="1229"/>
      <c r="K26" s="666">
        <f t="shared" si="5"/>
        <v>0</v>
      </c>
      <c r="L26" s="1756"/>
      <c r="M26" s="1229"/>
      <c r="N26" s="1131"/>
      <c r="O26" s="662">
        <f t="shared" si="3"/>
        <v>0</v>
      </c>
      <c r="P26" s="3107"/>
      <c r="Q26" s="3107"/>
      <c r="R26" s="3107"/>
      <c r="S26" s="3107"/>
      <c r="T26" s="3107"/>
      <c r="U26" s="1716"/>
      <c r="V26" s="1716"/>
    </row>
    <row r="27" spans="1:23" s="558" customFormat="1" ht="16.5" customHeight="1">
      <c r="A27" s="663" t="s">
        <v>6427</v>
      </c>
      <c r="B27" s="1747"/>
      <c r="C27" s="1748"/>
      <c r="D27" s="1748"/>
      <c r="E27" s="666">
        <f t="shared" si="4"/>
        <v>0</v>
      </c>
      <c r="F27" s="1748"/>
      <c r="G27" s="1748"/>
      <c r="H27" s="1749"/>
      <c r="I27" s="1750"/>
      <c r="J27" s="1750"/>
      <c r="K27" s="666">
        <f t="shared" si="5"/>
        <v>0</v>
      </c>
      <c r="L27" s="1749"/>
      <c r="M27" s="1750"/>
      <c r="N27" s="1746"/>
      <c r="O27" s="662">
        <f t="shared" si="3"/>
        <v>0</v>
      </c>
      <c r="P27" s="3107"/>
      <c r="Q27" s="3107"/>
      <c r="R27" s="3107"/>
      <c r="S27" s="3107"/>
      <c r="T27" s="3107"/>
      <c r="U27" s="1716"/>
      <c r="V27" s="1716"/>
    </row>
    <row r="28" spans="1:23" s="558" customFormat="1" ht="22.5" customHeight="1">
      <c r="A28" s="3051" t="s">
        <v>641</v>
      </c>
      <c r="B28" s="3051"/>
      <c r="C28" s="3199" t="str">
        <f>IF(K7&lt;&gt;资产负债!D32,"长期待摊费用账载数与报表数相差"&amp;DOLLAR(K7-资产负债!D32,2)&amp;"元！","长期待摊费用账载数与报表数相符！")</f>
        <v>长期待摊费用账载数与报表数相符！</v>
      </c>
      <c r="D28" s="3199"/>
      <c r="E28" s="3199"/>
      <c r="F28" s="3199"/>
      <c r="G28" s="3199"/>
      <c r="H28" s="3197" t="str">
        <f>IF(K17&lt;&gt;资产负债!D30,"无形资产账载数与报表数相差"&amp;DOLLAR(K17-资产负债!D30,2)&amp;"元！","无形资产账载数与报表数相符！")</f>
        <v>无形资产账载数与报表数相符！</v>
      </c>
      <c r="I28" s="3197"/>
      <c r="J28" s="3197"/>
      <c r="K28" s="3197"/>
      <c r="L28" s="3197"/>
      <c r="M28" s="3197"/>
      <c r="N28" s="3197"/>
      <c r="O28" s="3197"/>
      <c r="P28" s="3107"/>
      <c r="Q28" s="3107"/>
      <c r="R28" s="3107"/>
      <c r="S28" s="3107"/>
      <c r="T28" s="3107"/>
    </row>
    <row r="29" spans="1:23" s="558" customFormat="1" ht="15" customHeight="1">
      <c r="A29" s="3065" t="s">
        <v>1323</v>
      </c>
      <c r="B29" s="3065"/>
      <c r="C29" s="3205" t="s">
        <v>857</v>
      </c>
      <c r="D29" s="3205"/>
      <c r="E29" s="3205"/>
      <c r="F29" s="3198" t="str">
        <f>IF(OR(I7-M7&gt;0,I17-M17&gt;0),"、E","")</f>
        <v/>
      </c>
      <c r="G29" s="3198"/>
      <c r="H29" s="3198"/>
      <c r="I29" s="3198"/>
      <c r="J29" s="3198"/>
      <c r="K29" s="3198"/>
      <c r="L29" s="3198"/>
      <c r="M29" s="3198"/>
      <c r="N29" s="3198"/>
      <c r="O29" s="3198"/>
      <c r="P29" s="3107" t="s">
        <v>903</v>
      </c>
      <c r="Q29" s="3107"/>
      <c r="R29" s="3107"/>
      <c r="S29" s="3107"/>
      <c r="T29" s="3107"/>
    </row>
    <row r="30" spans="1:23" s="558" customFormat="1" ht="32.25" customHeight="1">
      <c r="A30" s="3065"/>
      <c r="B30" s="3065"/>
      <c r="C30" s="3175"/>
      <c r="D30" s="3175"/>
      <c r="E30" s="3175"/>
      <c r="F30" s="3175"/>
      <c r="G30" s="3175"/>
      <c r="H30" s="3175"/>
      <c r="I30" s="3175"/>
      <c r="J30" s="3175"/>
      <c r="K30" s="3175"/>
      <c r="L30" s="3175"/>
      <c r="M30" s="3175"/>
      <c r="N30" s="3175"/>
      <c r="O30" s="3175"/>
      <c r="P30" s="3107"/>
      <c r="Q30" s="3107"/>
      <c r="R30" s="3107"/>
      <c r="S30" s="3107"/>
      <c r="T30" s="3107"/>
    </row>
    <row r="31" spans="1:23" s="558" customFormat="1" ht="22.5" customHeight="1">
      <c r="A31" s="3172" t="s">
        <v>574</v>
      </c>
      <c r="B31" s="3172"/>
      <c r="C31" s="3201" t="str">
        <f>IF(I7-M7&gt;0,"长期待摊费用摊销应予纳税调增"&amp;DOLLAR(I7-M7,2)&amp;"元！","长期待摊费用会计摊销与税收摊销不存在差异，认可！")</f>
        <v>长期待摊费用会计摊销与税收摊销不存在差异，认可！</v>
      </c>
      <c r="D31" s="3201"/>
      <c r="E31" s="3201"/>
      <c r="F31" s="3201"/>
      <c r="G31" s="3201"/>
      <c r="H31" s="3200" t="str">
        <f>IF(I17-M17&gt;0,"无形资产摊销应予纳税调增"&amp;DOLLAR(I17-M17,2)&amp;"元！","无形资产会计摊销与税收摊销不存在差异，认可！")</f>
        <v>无形资产会计摊销与税收摊销不存在差异，认可！</v>
      </c>
      <c r="I31" s="3200"/>
      <c r="J31" s="3200"/>
      <c r="K31" s="3200"/>
      <c r="L31" s="3200"/>
      <c r="M31" s="3200"/>
      <c r="N31" s="3200"/>
      <c r="O31" s="3200"/>
      <c r="P31" s="3107" t="s">
        <v>1460</v>
      </c>
      <c r="Q31" s="3107"/>
      <c r="R31" s="3107"/>
      <c r="S31" s="3107"/>
      <c r="T31" s="3107"/>
    </row>
    <row r="32" spans="1:23" s="558" customFormat="1" ht="20.100000000000001" customHeight="1">
      <c r="A32" s="686"/>
      <c r="B32" s="687"/>
      <c r="C32" s="687"/>
      <c r="D32" s="687"/>
      <c r="E32" s="687"/>
      <c r="F32" s="687"/>
      <c r="G32" s="687"/>
      <c r="H32" s="688"/>
      <c r="I32" s="687"/>
      <c r="J32" s="687"/>
      <c r="K32" s="687"/>
      <c r="L32" s="688"/>
      <c r="M32" s="688"/>
      <c r="N32" s="688"/>
      <c r="O32" s="687"/>
    </row>
    <row r="33" spans="1:48" s="558" customFormat="1" ht="15.75" customHeight="1">
      <c r="A33" s="687"/>
      <c r="B33" s="687"/>
      <c r="C33" s="687"/>
      <c r="D33" s="689"/>
      <c r="E33" s="687"/>
      <c r="F33" s="687"/>
      <c r="G33" s="687"/>
      <c r="H33" s="688"/>
      <c r="I33" s="687"/>
      <c r="J33" s="687"/>
      <c r="K33" s="3196"/>
      <c r="L33" s="3196"/>
      <c r="M33" s="3196"/>
      <c r="N33" s="3196"/>
      <c r="O33" s="3196"/>
    </row>
    <row r="34" spans="1:48" ht="20.100000000000001" customHeight="1">
      <c r="A34" s="687"/>
      <c r="B34" s="687"/>
      <c r="C34" s="687"/>
      <c r="D34" s="687"/>
      <c r="E34" s="690"/>
      <c r="F34" s="687"/>
      <c r="G34" s="687"/>
      <c r="H34" s="688"/>
      <c r="I34" s="687"/>
      <c r="J34" s="687"/>
      <c r="K34" s="687"/>
      <c r="L34" s="688"/>
      <c r="M34" s="688"/>
      <c r="N34" s="688"/>
      <c r="O34" s="687"/>
      <c r="P34" s="502"/>
      <c r="Q34" s="502"/>
      <c r="R34" s="502"/>
      <c r="S34" s="502"/>
      <c r="T34" s="502"/>
      <c r="U34" s="502"/>
      <c r="V34" s="502"/>
      <c r="W34" s="502"/>
      <c r="X34" s="502"/>
      <c r="Y34" s="502"/>
      <c r="Z34" s="502"/>
      <c r="AA34" s="502"/>
      <c r="AB34" s="502"/>
      <c r="AC34" s="502"/>
      <c r="AD34" s="502"/>
      <c r="AE34" s="502"/>
      <c r="AF34" s="502"/>
      <c r="AG34" s="502"/>
      <c r="AH34" s="502"/>
      <c r="AI34" s="502"/>
      <c r="AJ34" s="502"/>
      <c r="AK34" s="502"/>
      <c r="AL34" s="502"/>
      <c r="AM34" s="502"/>
      <c r="AN34" s="502"/>
      <c r="AO34" s="502"/>
      <c r="AP34" s="502"/>
      <c r="AQ34" s="502"/>
      <c r="AR34" s="502"/>
      <c r="AS34" s="502"/>
      <c r="AT34" s="502"/>
      <c r="AU34" s="502"/>
      <c r="AV34" s="502"/>
    </row>
    <row r="35" spans="1:48" ht="20.100000000000001" customHeight="1">
      <c r="A35" s="687"/>
      <c r="B35" s="687"/>
      <c r="C35" s="687"/>
      <c r="D35" s="687"/>
      <c r="E35" s="687"/>
      <c r="F35" s="687"/>
      <c r="G35" s="687"/>
      <c r="H35" s="688"/>
      <c r="I35" s="687"/>
      <c r="J35" s="687"/>
      <c r="K35" s="687"/>
      <c r="L35" s="688"/>
      <c r="M35" s="688"/>
      <c r="N35" s="688"/>
      <c r="O35" s="687"/>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502"/>
      <c r="AS35" s="502"/>
      <c r="AT35" s="502"/>
      <c r="AU35" s="502"/>
      <c r="AV35" s="502"/>
    </row>
    <row r="36" spans="1:48">
      <c r="A36" s="687"/>
      <c r="B36" s="687"/>
      <c r="C36" s="687"/>
      <c r="D36" s="687"/>
      <c r="E36" s="687"/>
      <c r="F36" s="687"/>
      <c r="G36" s="687"/>
      <c r="H36" s="688"/>
      <c r="I36" s="687"/>
      <c r="J36" s="687"/>
      <c r="K36" s="687"/>
      <c r="L36" s="688"/>
      <c r="M36" s="688"/>
      <c r="N36" s="688"/>
      <c r="O36" s="687"/>
      <c r="P36" s="502"/>
      <c r="Q36" s="502"/>
      <c r="R36" s="502"/>
      <c r="S36" s="502"/>
      <c r="T36" s="502"/>
      <c r="U36" s="502"/>
      <c r="V36" s="502"/>
      <c r="W36" s="502"/>
      <c r="X36" s="502"/>
      <c r="Y36" s="502"/>
      <c r="Z36" s="502"/>
      <c r="AA36" s="502"/>
      <c r="AB36" s="502"/>
      <c r="AC36" s="502"/>
      <c r="AD36" s="502"/>
      <c r="AE36" s="502"/>
      <c r="AF36" s="502"/>
      <c r="AG36" s="502"/>
      <c r="AH36" s="502"/>
      <c r="AI36" s="502"/>
      <c r="AJ36" s="502"/>
      <c r="AK36" s="502"/>
      <c r="AL36" s="502"/>
      <c r="AM36" s="502"/>
      <c r="AN36" s="502"/>
      <c r="AO36" s="502"/>
      <c r="AP36" s="502"/>
      <c r="AQ36" s="502"/>
      <c r="AR36" s="502"/>
      <c r="AS36" s="502"/>
      <c r="AT36" s="502"/>
      <c r="AU36" s="502"/>
      <c r="AV36" s="502"/>
    </row>
    <row r="37" spans="1:48">
      <c r="A37" s="687"/>
      <c r="B37" s="687"/>
      <c r="C37" s="687"/>
      <c r="D37" s="687"/>
      <c r="E37" s="687"/>
      <c r="F37" s="687"/>
      <c r="G37" s="687"/>
      <c r="H37" s="688"/>
      <c r="I37" s="687"/>
      <c r="J37" s="687"/>
      <c r="K37" s="687"/>
      <c r="L37" s="688"/>
      <c r="M37" s="688"/>
      <c r="N37" s="688"/>
      <c r="O37" s="687"/>
      <c r="P37" s="502"/>
      <c r="Q37" s="502"/>
      <c r="R37" s="502"/>
      <c r="S37" s="502"/>
      <c r="T37" s="502"/>
      <c r="U37" s="502"/>
      <c r="V37" s="502"/>
      <c r="W37" s="502"/>
      <c r="X37" s="502"/>
      <c r="Y37" s="502"/>
      <c r="Z37" s="502"/>
      <c r="AA37" s="502"/>
      <c r="AB37" s="502"/>
      <c r="AC37" s="502"/>
      <c r="AD37" s="502"/>
      <c r="AE37" s="502"/>
      <c r="AF37" s="502"/>
      <c r="AG37" s="502"/>
      <c r="AH37" s="502"/>
      <c r="AI37" s="502"/>
      <c r="AJ37" s="502"/>
      <c r="AK37" s="502"/>
      <c r="AL37" s="502"/>
      <c r="AM37" s="502"/>
      <c r="AN37" s="502"/>
      <c r="AO37" s="502"/>
      <c r="AP37" s="502"/>
      <c r="AQ37" s="502"/>
      <c r="AR37" s="502"/>
      <c r="AS37" s="502"/>
      <c r="AT37" s="502"/>
      <c r="AU37" s="502"/>
      <c r="AV37" s="502"/>
    </row>
    <row r="38" spans="1:48">
      <c r="A38" s="687"/>
      <c r="B38" s="687"/>
      <c r="C38" s="687"/>
      <c r="D38" s="687"/>
      <c r="E38" s="687"/>
      <c r="F38" s="687"/>
      <c r="G38" s="687"/>
      <c r="H38" s="688"/>
      <c r="I38" s="687"/>
      <c r="J38" s="687"/>
      <c r="K38" s="687"/>
      <c r="L38" s="688"/>
      <c r="M38" s="688"/>
      <c r="N38" s="688"/>
      <c r="O38" s="687"/>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502"/>
      <c r="AS38" s="502"/>
      <c r="AT38" s="502"/>
      <c r="AU38" s="502"/>
      <c r="AV38" s="502"/>
    </row>
    <row r="39" spans="1:48">
      <c r="A39" s="687"/>
      <c r="B39" s="687"/>
      <c r="C39" s="687"/>
      <c r="D39" s="687"/>
      <c r="E39" s="687"/>
      <c r="F39" s="687"/>
      <c r="G39" s="687"/>
      <c r="H39" s="688"/>
      <c r="I39" s="687"/>
      <c r="J39" s="687"/>
      <c r="K39" s="687"/>
      <c r="L39" s="688"/>
      <c r="M39" s="688"/>
      <c r="N39" s="688"/>
      <c r="O39" s="687"/>
      <c r="P39" s="502"/>
      <c r="Q39" s="502"/>
      <c r="R39" s="502"/>
      <c r="S39" s="502"/>
      <c r="T39" s="502"/>
      <c r="U39" s="502"/>
      <c r="V39" s="502"/>
      <c r="W39" s="502"/>
      <c r="X39" s="502"/>
      <c r="Y39" s="502"/>
      <c r="Z39" s="502"/>
      <c r="AA39" s="502"/>
      <c r="AB39" s="502"/>
      <c r="AC39" s="502"/>
      <c r="AD39" s="502"/>
      <c r="AE39" s="502"/>
      <c r="AF39" s="502"/>
      <c r="AG39" s="502"/>
      <c r="AH39" s="502"/>
      <c r="AI39" s="502"/>
      <c r="AJ39" s="502"/>
      <c r="AK39" s="502"/>
      <c r="AL39" s="502"/>
      <c r="AM39" s="502"/>
      <c r="AN39" s="502"/>
      <c r="AO39" s="502"/>
      <c r="AP39" s="502"/>
      <c r="AQ39" s="502"/>
      <c r="AR39" s="502"/>
      <c r="AS39" s="502"/>
      <c r="AT39" s="502"/>
      <c r="AU39" s="502"/>
      <c r="AV39" s="502"/>
    </row>
    <row r="40" spans="1:48">
      <c r="A40" s="687"/>
      <c r="B40" s="687"/>
      <c r="C40" s="687"/>
      <c r="D40" s="687"/>
      <c r="E40" s="687"/>
      <c r="F40" s="687"/>
      <c r="G40" s="687"/>
      <c r="H40" s="688"/>
      <c r="I40" s="687"/>
      <c r="J40" s="687"/>
      <c r="K40" s="687"/>
      <c r="L40" s="688"/>
      <c r="M40" s="688"/>
      <c r="N40" s="688"/>
      <c r="O40" s="687"/>
      <c r="P40" s="502"/>
      <c r="Q40" s="502"/>
      <c r="R40" s="502"/>
      <c r="S40" s="502"/>
      <c r="T40" s="502"/>
      <c r="U40" s="502"/>
      <c r="V40" s="502"/>
      <c r="W40" s="502"/>
      <c r="X40" s="502"/>
      <c r="Y40" s="502"/>
      <c r="Z40" s="502"/>
      <c r="AA40" s="502"/>
      <c r="AB40" s="502"/>
      <c r="AC40" s="502"/>
      <c r="AD40" s="502"/>
      <c r="AE40" s="502"/>
      <c r="AF40" s="502"/>
      <c r="AG40" s="502"/>
      <c r="AH40" s="502"/>
      <c r="AI40" s="502"/>
      <c r="AJ40" s="502"/>
      <c r="AK40" s="502"/>
      <c r="AL40" s="502"/>
      <c r="AM40" s="502"/>
      <c r="AN40" s="502"/>
      <c r="AO40" s="502"/>
      <c r="AP40" s="502"/>
      <c r="AQ40" s="502"/>
      <c r="AR40" s="502"/>
      <c r="AS40" s="502"/>
      <c r="AT40" s="502"/>
      <c r="AU40" s="502"/>
      <c r="AV40" s="502"/>
    </row>
    <row r="41" spans="1:48">
      <c r="A41" s="687"/>
      <c r="B41" s="687"/>
      <c r="C41" s="687"/>
      <c r="D41" s="687"/>
      <c r="E41" s="687"/>
      <c r="F41" s="687"/>
      <c r="G41" s="687"/>
      <c r="H41" s="688"/>
      <c r="I41" s="687"/>
      <c r="J41" s="687"/>
      <c r="K41" s="687"/>
      <c r="L41" s="688"/>
      <c r="M41" s="688"/>
      <c r="N41" s="688"/>
      <c r="O41" s="687"/>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502"/>
      <c r="AS41" s="502"/>
      <c r="AT41" s="502"/>
      <c r="AU41" s="502"/>
      <c r="AV41" s="502"/>
    </row>
    <row r="42" spans="1:48">
      <c r="A42" s="687"/>
      <c r="B42" s="687"/>
      <c r="C42" s="687"/>
      <c r="D42" s="687"/>
      <c r="E42" s="687"/>
      <c r="F42" s="687"/>
      <c r="G42" s="687"/>
      <c r="H42" s="688"/>
      <c r="I42" s="687"/>
      <c r="J42" s="687"/>
      <c r="K42" s="687"/>
      <c r="L42" s="688"/>
      <c r="M42" s="688"/>
      <c r="N42" s="688"/>
      <c r="O42" s="687"/>
      <c r="P42" s="502"/>
      <c r="Q42" s="502"/>
      <c r="R42" s="502"/>
      <c r="S42" s="502"/>
      <c r="T42" s="502"/>
      <c r="U42" s="502"/>
      <c r="V42" s="502"/>
      <c r="W42" s="502"/>
      <c r="X42" s="502"/>
      <c r="Y42" s="502"/>
      <c r="Z42" s="502"/>
      <c r="AA42" s="502"/>
      <c r="AB42" s="502"/>
      <c r="AC42" s="502"/>
      <c r="AD42" s="502"/>
      <c r="AE42" s="502"/>
      <c r="AF42" s="502"/>
      <c r="AG42" s="502"/>
      <c r="AH42" s="502"/>
      <c r="AI42" s="502"/>
      <c r="AJ42" s="502"/>
      <c r="AK42" s="502"/>
      <c r="AL42" s="502"/>
      <c r="AM42" s="502"/>
      <c r="AN42" s="502"/>
      <c r="AO42" s="502"/>
      <c r="AP42" s="502"/>
      <c r="AQ42" s="502"/>
      <c r="AR42" s="502"/>
      <c r="AS42" s="502"/>
      <c r="AT42" s="502"/>
      <c r="AU42" s="502"/>
      <c r="AV42" s="502"/>
    </row>
    <row r="43" spans="1:48">
      <c r="A43" s="687"/>
      <c r="B43" s="687"/>
      <c r="C43" s="687"/>
      <c r="D43" s="687"/>
      <c r="E43" s="687"/>
      <c r="F43" s="687"/>
      <c r="G43" s="687"/>
      <c r="H43" s="688"/>
      <c r="I43" s="687"/>
      <c r="J43" s="687"/>
      <c r="K43" s="687"/>
      <c r="L43" s="688"/>
      <c r="M43" s="688"/>
      <c r="N43" s="688"/>
      <c r="O43" s="687"/>
      <c r="P43" s="502"/>
      <c r="Q43" s="502"/>
      <c r="R43" s="502"/>
      <c r="S43" s="502"/>
      <c r="T43" s="502"/>
      <c r="U43" s="502"/>
      <c r="V43" s="502"/>
      <c r="W43" s="502"/>
      <c r="X43" s="502"/>
      <c r="Y43" s="502"/>
      <c r="Z43" s="502"/>
      <c r="AA43" s="502"/>
      <c r="AB43" s="502"/>
      <c r="AC43" s="502"/>
      <c r="AD43" s="502"/>
      <c r="AE43" s="502"/>
      <c r="AF43" s="502"/>
      <c r="AG43" s="502"/>
      <c r="AH43" s="502"/>
      <c r="AI43" s="502"/>
      <c r="AJ43" s="502"/>
      <c r="AK43" s="502"/>
      <c r="AL43" s="502"/>
      <c r="AM43" s="502"/>
      <c r="AN43" s="502"/>
      <c r="AO43" s="502"/>
      <c r="AP43" s="502"/>
      <c r="AQ43" s="502"/>
      <c r="AR43" s="502"/>
      <c r="AS43" s="502"/>
      <c r="AT43" s="502"/>
      <c r="AU43" s="502"/>
      <c r="AV43" s="502"/>
    </row>
    <row r="44" spans="1:48">
      <c r="A44" s="687"/>
      <c r="B44" s="687"/>
      <c r="C44" s="687"/>
      <c r="D44" s="687"/>
      <c r="E44" s="687"/>
      <c r="F44" s="687"/>
      <c r="G44" s="687"/>
      <c r="H44" s="688"/>
      <c r="I44" s="687"/>
      <c r="J44" s="687"/>
      <c r="K44" s="687"/>
      <c r="L44" s="688"/>
      <c r="M44" s="688"/>
      <c r="N44" s="688"/>
      <c r="O44" s="687"/>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502"/>
      <c r="AS44" s="502"/>
      <c r="AT44" s="502"/>
      <c r="AU44" s="502"/>
      <c r="AV44" s="502"/>
    </row>
    <row r="45" spans="1:48">
      <c r="A45" s="687"/>
      <c r="B45" s="687"/>
      <c r="C45" s="687"/>
      <c r="D45" s="687"/>
      <c r="E45" s="687"/>
      <c r="F45" s="687"/>
      <c r="G45" s="687"/>
      <c r="H45" s="688"/>
      <c r="I45" s="687"/>
      <c r="J45" s="687"/>
      <c r="K45" s="687"/>
      <c r="L45" s="688"/>
      <c r="M45" s="688"/>
      <c r="N45" s="688"/>
      <c r="O45" s="687"/>
      <c r="P45" s="502"/>
      <c r="Q45" s="502"/>
      <c r="R45" s="502"/>
      <c r="S45" s="502"/>
      <c r="T45" s="502"/>
      <c r="U45" s="502"/>
      <c r="V45" s="502"/>
      <c r="W45" s="502"/>
      <c r="X45" s="502"/>
      <c r="Y45" s="502"/>
      <c r="Z45" s="502"/>
      <c r="AA45" s="502"/>
      <c r="AB45" s="502"/>
      <c r="AC45" s="502"/>
      <c r="AD45" s="502"/>
      <c r="AE45" s="502"/>
      <c r="AF45" s="502"/>
      <c r="AG45" s="502"/>
      <c r="AH45" s="502"/>
      <c r="AI45" s="502"/>
      <c r="AJ45" s="502"/>
      <c r="AK45" s="502"/>
      <c r="AL45" s="502"/>
      <c r="AM45" s="502"/>
      <c r="AN45" s="502"/>
      <c r="AO45" s="502"/>
      <c r="AP45" s="502"/>
      <c r="AQ45" s="502"/>
      <c r="AR45" s="502"/>
      <c r="AS45" s="502"/>
      <c r="AT45" s="502"/>
      <c r="AU45" s="502"/>
      <c r="AV45" s="502"/>
    </row>
    <row r="46" spans="1:48">
      <c r="A46" s="687"/>
      <c r="B46" s="687"/>
      <c r="C46" s="687"/>
      <c r="D46" s="687"/>
      <c r="E46" s="687"/>
      <c r="F46" s="687"/>
      <c r="G46" s="687"/>
      <c r="H46" s="688"/>
      <c r="I46" s="687"/>
      <c r="J46" s="687"/>
      <c r="K46" s="687"/>
      <c r="L46" s="688"/>
      <c r="M46" s="688"/>
      <c r="N46" s="688"/>
      <c r="O46" s="687"/>
      <c r="P46" s="502"/>
      <c r="Q46" s="502"/>
      <c r="R46" s="502"/>
      <c r="S46" s="502"/>
      <c r="T46" s="502"/>
      <c r="U46" s="502"/>
      <c r="V46" s="502"/>
      <c r="W46" s="502"/>
      <c r="X46" s="502"/>
      <c r="Y46" s="502"/>
      <c r="Z46" s="502"/>
      <c r="AA46" s="502"/>
      <c r="AB46" s="502"/>
      <c r="AC46" s="502"/>
      <c r="AD46" s="502"/>
      <c r="AE46" s="502"/>
      <c r="AF46" s="502"/>
      <c r="AG46" s="502"/>
      <c r="AH46" s="502"/>
      <c r="AI46" s="502"/>
      <c r="AJ46" s="502"/>
      <c r="AK46" s="502"/>
      <c r="AL46" s="502"/>
      <c r="AM46" s="502"/>
      <c r="AN46" s="502"/>
      <c r="AO46" s="502"/>
      <c r="AP46" s="502"/>
      <c r="AQ46" s="502"/>
      <c r="AR46" s="502"/>
      <c r="AS46" s="502"/>
      <c r="AT46" s="502"/>
      <c r="AU46" s="502"/>
      <c r="AV46" s="502"/>
    </row>
    <row r="47" spans="1:48">
      <c r="A47" s="687"/>
      <c r="B47" s="687"/>
      <c r="C47" s="687"/>
      <c r="D47" s="687"/>
      <c r="E47" s="687"/>
      <c r="F47" s="687"/>
      <c r="G47" s="687"/>
      <c r="H47" s="688"/>
      <c r="I47" s="687"/>
      <c r="J47" s="687"/>
      <c r="K47" s="687"/>
      <c r="L47" s="688"/>
      <c r="M47" s="688"/>
      <c r="N47" s="688"/>
      <c r="O47" s="687"/>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502"/>
      <c r="AS47" s="502"/>
      <c r="AT47" s="502"/>
      <c r="AU47" s="502"/>
      <c r="AV47" s="502"/>
    </row>
    <row r="48" spans="1:48">
      <c r="A48" s="687"/>
      <c r="B48" s="687"/>
      <c r="C48" s="687"/>
      <c r="D48" s="687"/>
      <c r="E48" s="687"/>
      <c r="F48" s="687"/>
      <c r="G48" s="687"/>
      <c r="H48" s="688"/>
      <c r="I48" s="687"/>
      <c r="J48" s="687"/>
      <c r="K48" s="687"/>
      <c r="L48" s="688"/>
      <c r="M48" s="688"/>
      <c r="N48" s="688"/>
      <c r="O48" s="687"/>
      <c r="P48" s="502"/>
      <c r="Q48" s="502"/>
      <c r="R48" s="502"/>
      <c r="S48" s="502"/>
      <c r="T48" s="502"/>
      <c r="U48" s="502"/>
      <c r="V48" s="502"/>
      <c r="W48" s="502"/>
      <c r="X48" s="502"/>
      <c r="Y48" s="502"/>
      <c r="Z48" s="502"/>
      <c r="AA48" s="502"/>
      <c r="AB48" s="502"/>
      <c r="AC48" s="502"/>
      <c r="AD48" s="502"/>
      <c r="AE48" s="502"/>
      <c r="AF48" s="502"/>
      <c r="AG48" s="502"/>
      <c r="AH48" s="502"/>
      <c r="AI48" s="502"/>
      <c r="AJ48" s="502"/>
      <c r="AK48" s="502"/>
      <c r="AL48" s="502"/>
      <c r="AM48" s="502"/>
      <c r="AN48" s="502"/>
      <c r="AO48" s="502"/>
      <c r="AP48" s="502"/>
      <c r="AQ48" s="502"/>
      <c r="AR48" s="502"/>
      <c r="AS48" s="502"/>
      <c r="AT48" s="502"/>
      <c r="AU48" s="502"/>
      <c r="AV48" s="502"/>
    </row>
    <row r="49" spans="1:48">
      <c r="A49" s="687"/>
      <c r="B49" s="687"/>
      <c r="C49" s="687"/>
      <c r="D49" s="687"/>
      <c r="E49" s="687"/>
      <c r="F49" s="687"/>
      <c r="G49" s="687"/>
      <c r="H49" s="688"/>
      <c r="I49" s="687"/>
      <c r="J49" s="687"/>
      <c r="K49" s="687"/>
      <c r="L49" s="688"/>
      <c r="M49" s="688"/>
      <c r="N49" s="688"/>
      <c r="O49" s="687"/>
      <c r="P49" s="502"/>
      <c r="Q49" s="502"/>
      <c r="R49" s="502"/>
      <c r="S49" s="502"/>
      <c r="T49" s="502"/>
      <c r="U49" s="502"/>
      <c r="V49" s="502"/>
      <c r="W49" s="502"/>
      <c r="X49" s="502"/>
      <c r="Y49" s="502"/>
      <c r="Z49" s="502"/>
      <c r="AA49" s="502"/>
      <c r="AB49" s="502"/>
      <c r="AC49" s="502"/>
      <c r="AD49" s="502"/>
      <c r="AE49" s="502"/>
      <c r="AF49" s="502"/>
      <c r="AG49" s="502"/>
      <c r="AH49" s="502"/>
      <c r="AI49" s="502"/>
      <c r="AJ49" s="502"/>
      <c r="AK49" s="502"/>
      <c r="AL49" s="502"/>
      <c r="AM49" s="502"/>
      <c r="AN49" s="502"/>
      <c r="AO49" s="502"/>
      <c r="AP49" s="502"/>
      <c r="AQ49" s="502"/>
      <c r="AR49" s="502"/>
      <c r="AS49" s="502"/>
      <c r="AT49" s="502"/>
      <c r="AU49" s="502"/>
      <c r="AV49" s="502"/>
    </row>
    <row r="50" spans="1:48">
      <c r="A50" s="687"/>
      <c r="B50" s="687"/>
      <c r="C50" s="687"/>
      <c r="D50" s="687"/>
      <c r="E50" s="687"/>
      <c r="F50" s="687"/>
      <c r="G50" s="687"/>
      <c r="H50" s="688"/>
      <c r="I50" s="687"/>
      <c r="J50" s="687"/>
      <c r="K50" s="687"/>
      <c r="L50" s="688"/>
      <c r="M50" s="688"/>
      <c r="N50" s="688"/>
      <c r="O50" s="687"/>
      <c r="P50" s="502"/>
      <c r="Q50" s="502"/>
      <c r="R50" s="502"/>
      <c r="S50" s="502"/>
      <c r="T50" s="502"/>
      <c r="U50" s="502"/>
      <c r="V50" s="502"/>
      <c r="W50" s="502"/>
      <c r="X50" s="502"/>
      <c r="Y50" s="502"/>
      <c r="Z50" s="502"/>
      <c r="AA50" s="502"/>
      <c r="AB50" s="502"/>
      <c r="AC50" s="502"/>
      <c r="AD50" s="502"/>
      <c r="AE50" s="502"/>
      <c r="AF50" s="502"/>
      <c r="AG50" s="502"/>
      <c r="AH50" s="502"/>
      <c r="AI50" s="502"/>
      <c r="AJ50" s="502"/>
      <c r="AK50" s="502"/>
      <c r="AL50" s="502"/>
      <c r="AM50" s="502"/>
      <c r="AN50" s="502"/>
      <c r="AO50" s="502"/>
      <c r="AP50" s="502"/>
      <c r="AQ50" s="502"/>
      <c r="AR50" s="502"/>
      <c r="AS50" s="502"/>
      <c r="AT50" s="502"/>
      <c r="AU50" s="502"/>
      <c r="AV50" s="502"/>
    </row>
    <row r="51" spans="1:48">
      <c r="A51" s="687"/>
      <c r="B51" s="687"/>
      <c r="C51" s="687"/>
      <c r="D51" s="687"/>
      <c r="E51" s="687"/>
      <c r="F51" s="687"/>
      <c r="G51" s="687"/>
      <c r="H51" s="688"/>
      <c r="I51" s="687"/>
      <c r="J51" s="687"/>
      <c r="K51" s="687"/>
      <c r="L51" s="688"/>
      <c r="M51" s="688"/>
      <c r="N51" s="688"/>
      <c r="O51" s="687"/>
      <c r="P51" s="502"/>
      <c r="Q51" s="502"/>
      <c r="R51" s="502"/>
      <c r="S51" s="502"/>
      <c r="T51" s="502"/>
      <c r="U51" s="502"/>
      <c r="V51" s="502"/>
      <c r="W51" s="502"/>
      <c r="X51" s="502"/>
      <c r="Y51" s="502"/>
      <c r="Z51" s="502"/>
      <c r="AA51" s="502"/>
      <c r="AB51" s="502"/>
      <c r="AC51" s="502"/>
      <c r="AD51" s="502"/>
      <c r="AE51" s="502"/>
      <c r="AF51" s="502"/>
      <c r="AG51" s="502"/>
      <c r="AH51" s="502"/>
      <c r="AI51" s="502"/>
      <c r="AJ51" s="502"/>
      <c r="AK51" s="502"/>
      <c r="AL51" s="502"/>
      <c r="AM51" s="502"/>
      <c r="AN51" s="502"/>
      <c r="AO51" s="502"/>
      <c r="AP51" s="502"/>
      <c r="AQ51" s="502"/>
      <c r="AR51" s="502"/>
      <c r="AS51" s="502"/>
      <c r="AT51" s="502"/>
      <c r="AU51" s="502"/>
      <c r="AV51" s="502"/>
    </row>
    <row r="52" spans="1:48">
      <c r="A52" s="687"/>
      <c r="B52" s="687"/>
      <c r="C52" s="687"/>
      <c r="D52" s="687"/>
      <c r="E52" s="687"/>
      <c r="F52" s="687"/>
      <c r="G52" s="687"/>
      <c r="H52" s="688"/>
      <c r="I52" s="687"/>
      <c r="J52" s="687"/>
      <c r="K52" s="687"/>
      <c r="L52" s="688"/>
      <c r="M52" s="688"/>
      <c r="N52" s="688"/>
      <c r="O52" s="687"/>
      <c r="P52" s="502"/>
      <c r="Q52" s="502"/>
      <c r="R52" s="502"/>
      <c r="S52" s="502"/>
      <c r="T52" s="502"/>
      <c r="U52" s="502"/>
      <c r="V52" s="502"/>
      <c r="W52" s="502"/>
      <c r="X52" s="502"/>
      <c r="Y52" s="502"/>
      <c r="Z52" s="502"/>
      <c r="AA52" s="502"/>
      <c r="AB52" s="502"/>
      <c r="AC52" s="502"/>
      <c r="AD52" s="502"/>
      <c r="AE52" s="502"/>
      <c r="AF52" s="502"/>
      <c r="AG52" s="502"/>
      <c r="AH52" s="502"/>
      <c r="AI52" s="502"/>
      <c r="AJ52" s="502"/>
      <c r="AK52" s="502"/>
      <c r="AL52" s="502"/>
      <c r="AM52" s="502"/>
      <c r="AN52" s="502"/>
      <c r="AO52" s="502"/>
      <c r="AP52" s="502"/>
      <c r="AQ52" s="502"/>
      <c r="AR52" s="502"/>
      <c r="AS52" s="502"/>
      <c r="AT52" s="502"/>
      <c r="AU52" s="502"/>
      <c r="AV52" s="502"/>
    </row>
    <row r="53" spans="1:48">
      <c r="A53" s="687"/>
      <c r="B53" s="687"/>
      <c r="C53" s="687"/>
      <c r="D53" s="687"/>
      <c r="E53" s="687"/>
      <c r="F53" s="687"/>
      <c r="G53" s="687"/>
      <c r="H53" s="688"/>
      <c r="I53" s="687"/>
      <c r="J53" s="687"/>
      <c r="K53" s="687"/>
      <c r="L53" s="688"/>
      <c r="M53" s="688"/>
      <c r="N53" s="688"/>
      <c r="O53" s="687"/>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502"/>
      <c r="AS53" s="502"/>
      <c r="AT53" s="502"/>
      <c r="AU53" s="502"/>
      <c r="AV53" s="502"/>
    </row>
    <row r="54" spans="1:48">
      <c r="A54" s="687"/>
      <c r="B54" s="687"/>
      <c r="C54" s="687"/>
      <c r="D54" s="687"/>
      <c r="E54" s="687"/>
      <c r="F54" s="687"/>
      <c r="G54" s="687"/>
      <c r="H54" s="688"/>
      <c r="I54" s="687"/>
      <c r="J54" s="687"/>
      <c r="K54" s="687"/>
      <c r="L54" s="688"/>
      <c r="M54" s="688"/>
      <c r="N54" s="688"/>
      <c r="O54" s="687"/>
      <c r="P54" s="502"/>
      <c r="Q54" s="502"/>
      <c r="R54" s="502"/>
      <c r="S54" s="502"/>
      <c r="T54" s="502"/>
      <c r="U54" s="502"/>
      <c r="V54" s="502"/>
      <c r="W54" s="502"/>
      <c r="X54" s="502"/>
      <c r="Y54" s="502"/>
      <c r="Z54" s="502"/>
      <c r="AA54" s="502"/>
      <c r="AB54" s="502"/>
      <c r="AC54" s="502"/>
      <c r="AD54" s="502"/>
      <c r="AE54" s="502"/>
      <c r="AF54" s="502"/>
      <c r="AG54" s="502"/>
      <c r="AH54" s="502"/>
      <c r="AI54" s="502"/>
      <c r="AJ54" s="502"/>
      <c r="AK54" s="502"/>
      <c r="AL54" s="502"/>
      <c r="AM54" s="502"/>
      <c r="AN54" s="502"/>
      <c r="AO54" s="502"/>
      <c r="AP54" s="502"/>
      <c r="AQ54" s="502"/>
      <c r="AR54" s="502"/>
      <c r="AS54" s="502"/>
      <c r="AT54" s="502"/>
      <c r="AU54" s="502"/>
      <c r="AV54" s="502"/>
    </row>
    <row r="55" spans="1:48">
      <c r="A55" s="565"/>
      <c r="B55" s="565"/>
      <c r="C55" s="565"/>
      <c r="D55" s="565"/>
      <c r="E55" s="565"/>
      <c r="F55" s="565"/>
      <c r="G55" s="565"/>
      <c r="H55" s="691"/>
      <c r="I55" s="565"/>
      <c r="J55" s="565"/>
      <c r="K55" s="565"/>
      <c r="L55" s="691"/>
      <c r="M55" s="691"/>
      <c r="N55" s="691"/>
      <c r="O55" s="565"/>
      <c r="P55" s="502"/>
      <c r="Q55" s="502"/>
      <c r="R55" s="502"/>
      <c r="S55" s="502"/>
      <c r="T55" s="502"/>
      <c r="U55" s="502"/>
      <c r="V55" s="502"/>
      <c r="W55" s="502"/>
      <c r="X55" s="502"/>
      <c r="Y55" s="502"/>
      <c r="Z55" s="502"/>
      <c r="AA55" s="502"/>
      <c r="AB55" s="502"/>
      <c r="AC55" s="502"/>
      <c r="AD55" s="502"/>
      <c r="AE55" s="502"/>
      <c r="AF55" s="502"/>
      <c r="AG55" s="502"/>
      <c r="AH55" s="502"/>
      <c r="AI55" s="502"/>
      <c r="AJ55" s="502"/>
      <c r="AK55" s="502"/>
      <c r="AL55" s="502"/>
      <c r="AM55" s="502"/>
      <c r="AN55" s="502"/>
      <c r="AO55" s="502"/>
      <c r="AP55" s="502"/>
      <c r="AQ55" s="502"/>
      <c r="AR55" s="502"/>
      <c r="AS55" s="502"/>
      <c r="AT55" s="502"/>
      <c r="AU55" s="502"/>
      <c r="AV55" s="502"/>
    </row>
    <row r="56" spans="1:48">
      <c r="A56" s="565"/>
      <c r="B56" s="565"/>
      <c r="C56" s="565"/>
      <c r="D56" s="565"/>
      <c r="E56" s="565"/>
      <c r="F56" s="565"/>
      <c r="G56" s="565"/>
      <c r="H56" s="691"/>
      <c r="I56" s="565"/>
      <c r="J56" s="565"/>
      <c r="K56" s="565"/>
      <c r="L56" s="691"/>
      <c r="M56" s="691"/>
      <c r="N56" s="691"/>
      <c r="O56" s="565"/>
      <c r="P56" s="502"/>
      <c r="Q56" s="502"/>
      <c r="R56" s="502"/>
      <c r="S56" s="502"/>
      <c r="T56" s="502"/>
      <c r="U56" s="502"/>
      <c r="V56" s="502"/>
      <c r="W56" s="502"/>
      <c r="X56" s="502"/>
      <c r="Y56" s="502"/>
      <c r="Z56" s="502"/>
      <c r="AA56" s="502"/>
      <c r="AB56" s="502"/>
      <c r="AC56" s="502"/>
      <c r="AD56" s="502"/>
      <c r="AE56" s="502"/>
      <c r="AF56" s="502"/>
      <c r="AG56" s="502"/>
      <c r="AH56" s="502"/>
      <c r="AI56" s="502"/>
      <c r="AJ56" s="502"/>
      <c r="AK56" s="502"/>
      <c r="AL56" s="502"/>
      <c r="AM56" s="502"/>
      <c r="AN56" s="502"/>
      <c r="AO56" s="502"/>
      <c r="AP56" s="502"/>
      <c r="AQ56" s="502"/>
      <c r="AR56" s="502"/>
      <c r="AS56" s="502"/>
      <c r="AT56" s="502"/>
      <c r="AU56" s="502"/>
      <c r="AV56" s="502"/>
    </row>
    <row r="57" spans="1:48">
      <c r="A57" s="565"/>
      <c r="B57" s="565"/>
      <c r="C57" s="565"/>
      <c r="D57" s="565"/>
      <c r="E57" s="565"/>
      <c r="F57" s="565"/>
      <c r="G57" s="565"/>
      <c r="H57" s="691"/>
      <c r="I57" s="565"/>
      <c r="J57" s="565"/>
      <c r="K57" s="565"/>
      <c r="L57" s="691"/>
      <c r="M57" s="691"/>
      <c r="N57" s="691"/>
      <c r="O57" s="565"/>
      <c r="P57" s="502"/>
      <c r="Q57" s="502"/>
      <c r="R57" s="502"/>
      <c r="S57" s="502"/>
      <c r="T57" s="502"/>
      <c r="U57" s="502"/>
      <c r="V57" s="502"/>
      <c r="W57" s="502"/>
      <c r="X57" s="502"/>
      <c r="Y57" s="502"/>
      <c r="Z57" s="502"/>
      <c r="AA57" s="502"/>
      <c r="AB57" s="502"/>
      <c r="AC57" s="502"/>
      <c r="AD57" s="502"/>
      <c r="AE57" s="502"/>
      <c r="AF57" s="502"/>
      <c r="AG57" s="502"/>
      <c r="AH57" s="502"/>
      <c r="AI57" s="502"/>
      <c r="AJ57" s="502"/>
      <c r="AK57" s="502"/>
      <c r="AL57" s="502"/>
      <c r="AM57" s="502"/>
      <c r="AN57" s="502"/>
      <c r="AO57" s="502"/>
      <c r="AP57" s="502"/>
      <c r="AQ57" s="502"/>
      <c r="AR57" s="502"/>
      <c r="AS57" s="502"/>
      <c r="AT57" s="502"/>
      <c r="AU57" s="502"/>
      <c r="AV57" s="502"/>
    </row>
    <row r="58" spans="1:48">
      <c r="A58" s="565"/>
      <c r="B58" s="565"/>
      <c r="C58" s="565"/>
      <c r="D58" s="565"/>
      <c r="E58" s="565"/>
      <c r="F58" s="565"/>
      <c r="G58" s="565"/>
      <c r="H58" s="691"/>
      <c r="I58" s="565"/>
      <c r="J58" s="565"/>
      <c r="K58" s="565"/>
      <c r="L58" s="691"/>
      <c r="M58" s="691"/>
      <c r="N58" s="691"/>
      <c r="O58" s="565"/>
      <c r="P58" s="502"/>
      <c r="Q58" s="502"/>
      <c r="R58" s="502"/>
      <c r="S58" s="502"/>
      <c r="T58" s="502"/>
      <c r="U58" s="502"/>
      <c r="V58" s="502"/>
      <c r="W58" s="502"/>
      <c r="X58" s="502"/>
      <c r="Y58" s="502"/>
      <c r="Z58" s="502"/>
      <c r="AA58" s="502"/>
      <c r="AB58" s="502"/>
      <c r="AC58" s="502"/>
      <c r="AD58" s="502"/>
      <c r="AE58" s="502"/>
      <c r="AF58" s="502"/>
      <c r="AG58" s="502"/>
      <c r="AH58" s="502"/>
      <c r="AI58" s="502"/>
      <c r="AJ58" s="502"/>
      <c r="AK58" s="502"/>
      <c r="AL58" s="502"/>
      <c r="AM58" s="502"/>
      <c r="AN58" s="502"/>
      <c r="AO58" s="502"/>
      <c r="AP58" s="502"/>
      <c r="AQ58" s="502"/>
      <c r="AR58" s="502"/>
      <c r="AS58" s="502"/>
      <c r="AT58" s="502"/>
      <c r="AU58" s="502"/>
      <c r="AV58" s="502"/>
    </row>
    <row r="59" spans="1:48">
      <c r="A59" s="565"/>
      <c r="B59" s="565"/>
      <c r="C59" s="565"/>
      <c r="D59" s="565"/>
      <c r="E59" s="565"/>
      <c r="F59" s="565"/>
      <c r="G59" s="565"/>
      <c r="H59" s="691"/>
      <c r="I59" s="565"/>
      <c r="J59" s="565"/>
      <c r="K59" s="565"/>
      <c r="L59" s="691"/>
      <c r="M59" s="691"/>
      <c r="N59" s="691"/>
      <c r="O59" s="565"/>
      <c r="P59" s="502"/>
      <c r="Q59" s="502"/>
      <c r="R59" s="502"/>
      <c r="S59" s="502"/>
      <c r="T59" s="502"/>
      <c r="U59" s="502"/>
      <c r="V59" s="502"/>
      <c r="W59" s="502"/>
      <c r="X59" s="502"/>
      <c r="Y59" s="502"/>
      <c r="Z59" s="502"/>
      <c r="AA59" s="502"/>
      <c r="AB59" s="502"/>
      <c r="AC59" s="502"/>
      <c r="AD59" s="502"/>
      <c r="AE59" s="502"/>
      <c r="AF59" s="502"/>
      <c r="AG59" s="502"/>
      <c r="AH59" s="502"/>
      <c r="AI59" s="502"/>
      <c r="AJ59" s="502"/>
      <c r="AK59" s="502"/>
      <c r="AL59" s="502"/>
      <c r="AM59" s="502"/>
      <c r="AN59" s="502"/>
      <c r="AO59" s="502"/>
      <c r="AP59" s="502"/>
      <c r="AQ59" s="502"/>
      <c r="AR59" s="502"/>
      <c r="AS59" s="502"/>
      <c r="AT59" s="502"/>
      <c r="AU59" s="502"/>
      <c r="AV59" s="502"/>
    </row>
    <row r="60" spans="1:48">
      <c r="A60" s="565"/>
      <c r="B60" s="565"/>
      <c r="C60" s="565"/>
      <c r="D60" s="565"/>
      <c r="E60" s="565"/>
      <c r="F60" s="565"/>
      <c r="G60" s="565"/>
      <c r="H60" s="691"/>
      <c r="I60" s="565"/>
      <c r="J60" s="565"/>
      <c r="K60" s="565"/>
      <c r="L60" s="691"/>
      <c r="M60" s="691"/>
      <c r="N60" s="691"/>
      <c r="O60" s="565"/>
      <c r="P60" s="502"/>
      <c r="Q60" s="502"/>
      <c r="R60" s="502"/>
      <c r="S60" s="502"/>
      <c r="T60" s="502"/>
      <c r="U60" s="502"/>
      <c r="V60" s="502"/>
      <c r="W60" s="502"/>
      <c r="X60" s="502"/>
      <c r="Y60" s="502"/>
      <c r="Z60" s="502"/>
      <c r="AA60" s="502"/>
      <c r="AB60" s="502"/>
      <c r="AC60" s="502"/>
      <c r="AD60" s="502"/>
      <c r="AE60" s="502"/>
      <c r="AF60" s="502"/>
      <c r="AG60" s="502"/>
      <c r="AH60" s="502"/>
      <c r="AI60" s="502"/>
      <c r="AJ60" s="502"/>
      <c r="AK60" s="502"/>
      <c r="AL60" s="502"/>
      <c r="AM60" s="502"/>
      <c r="AN60" s="502"/>
      <c r="AO60" s="502"/>
      <c r="AP60" s="502"/>
      <c r="AQ60" s="502"/>
      <c r="AR60" s="502"/>
      <c r="AS60" s="502"/>
      <c r="AT60" s="502"/>
      <c r="AU60" s="502"/>
      <c r="AV60" s="502"/>
    </row>
    <row r="61" spans="1:48">
      <c r="A61" s="565"/>
      <c r="B61" s="565"/>
      <c r="C61" s="565"/>
      <c r="D61" s="565"/>
      <c r="E61" s="565"/>
      <c r="F61" s="565"/>
      <c r="G61" s="565"/>
      <c r="H61" s="691"/>
      <c r="I61" s="565"/>
      <c r="J61" s="565"/>
      <c r="K61" s="565"/>
      <c r="L61" s="691"/>
      <c r="M61" s="691"/>
      <c r="N61" s="691"/>
      <c r="O61" s="565"/>
      <c r="P61" s="502"/>
      <c r="Q61" s="502"/>
      <c r="R61" s="502"/>
      <c r="S61" s="502"/>
      <c r="T61" s="502"/>
      <c r="U61" s="502"/>
      <c r="V61" s="502"/>
      <c r="W61" s="502"/>
      <c r="X61" s="502"/>
      <c r="Y61" s="502"/>
      <c r="Z61" s="502"/>
      <c r="AA61" s="502"/>
      <c r="AB61" s="502"/>
      <c r="AC61" s="502"/>
      <c r="AD61" s="502"/>
      <c r="AE61" s="502"/>
      <c r="AF61" s="502"/>
      <c r="AG61" s="502"/>
      <c r="AH61" s="502"/>
      <c r="AI61" s="502"/>
      <c r="AJ61" s="502"/>
      <c r="AK61" s="502"/>
      <c r="AL61" s="502"/>
      <c r="AM61" s="502"/>
      <c r="AN61" s="502"/>
      <c r="AO61" s="502"/>
      <c r="AP61" s="502"/>
      <c r="AQ61" s="502"/>
      <c r="AR61" s="502"/>
      <c r="AS61" s="502"/>
      <c r="AT61" s="502"/>
      <c r="AU61" s="502"/>
      <c r="AV61" s="502"/>
    </row>
    <row r="62" spans="1:48">
      <c r="A62" s="565"/>
      <c r="B62" s="565"/>
      <c r="C62" s="565"/>
      <c r="D62" s="565"/>
      <c r="E62" s="565"/>
      <c r="F62" s="565"/>
      <c r="G62" s="565"/>
      <c r="H62" s="691"/>
      <c r="I62" s="565"/>
      <c r="J62" s="565"/>
      <c r="K62" s="565"/>
      <c r="L62" s="691"/>
      <c r="M62" s="691"/>
      <c r="N62" s="691"/>
      <c r="O62" s="565"/>
      <c r="P62" s="502"/>
      <c r="Q62" s="502"/>
      <c r="R62" s="502"/>
      <c r="S62" s="502"/>
      <c r="T62" s="502"/>
      <c r="U62" s="502"/>
      <c r="V62" s="502"/>
      <c r="W62" s="502"/>
      <c r="X62" s="502"/>
      <c r="Y62" s="502"/>
      <c r="Z62" s="502"/>
      <c r="AA62" s="502"/>
      <c r="AB62" s="502"/>
      <c r="AC62" s="502"/>
      <c r="AD62" s="502"/>
      <c r="AE62" s="502"/>
      <c r="AF62" s="502"/>
      <c r="AG62" s="502"/>
      <c r="AH62" s="502"/>
      <c r="AI62" s="502"/>
      <c r="AJ62" s="502"/>
      <c r="AK62" s="502"/>
      <c r="AL62" s="502"/>
      <c r="AM62" s="502"/>
      <c r="AN62" s="502"/>
      <c r="AO62" s="502"/>
      <c r="AP62" s="502"/>
      <c r="AQ62" s="502"/>
      <c r="AR62" s="502"/>
      <c r="AS62" s="502"/>
      <c r="AT62" s="502"/>
      <c r="AU62" s="502"/>
      <c r="AV62" s="502"/>
    </row>
    <row r="63" spans="1:48">
      <c r="A63" s="565"/>
      <c r="B63" s="565"/>
      <c r="C63" s="565"/>
      <c r="D63" s="565"/>
      <c r="E63" s="565"/>
      <c r="F63" s="565"/>
      <c r="G63" s="565"/>
      <c r="H63" s="691"/>
      <c r="I63" s="565"/>
      <c r="J63" s="565"/>
      <c r="K63" s="565"/>
      <c r="L63" s="691"/>
      <c r="M63" s="691"/>
      <c r="N63" s="691"/>
      <c r="O63" s="565"/>
      <c r="P63" s="502"/>
      <c r="Q63" s="502"/>
      <c r="R63" s="502"/>
      <c r="S63" s="502"/>
      <c r="T63" s="502"/>
      <c r="U63" s="502"/>
      <c r="V63" s="502"/>
      <c r="W63" s="502"/>
      <c r="X63" s="502"/>
      <c r="Y63" s="502"/>
      <c r="Z63" s="502"/>
      <c r="AA63" s="502"/>
      <c r="AB63" s="502"/>
      <c r="AC63" s="502"/>
      <c r="AD63" s="502"/>
      <c r="AE63" s="502"/>
      <c r="AF63" s="502"/>
      <c r="AG63" s="502"/>
      <c r="AH63" s="502"/>
      <c r="AI63" s="502"/>
      <c r="AJ63" s="502"/>
      <c r="AK63" s="502"/>
      <c r="AL63" s="502"/>
      <c r="AM63" s="502"/>
      <c r="AN63" s="502"/>
      <c r="AO63" s="502"/>
      <c r="AP63" s="502"/>
      <c r="AQ63" s="502"/>
      <c r="AR63" s="502"/>
      <c r="AS63" s="502"/>
      <c r="AT63" s="502"/>
      <c r="AU63" s="502"/>
      <c r="AV63" s="502"/>
    </row>
    <row r="64" spans="1:48">
      <c r="A64" s="565"/>
      <c r="B64" s="565"/>
      <c r="C64" s="565"/>
      <c r="D64" s="565"/>
      <c r="E64" s="565"/>
      <c r="F64" s="565"/>
      <c r="G64" s="565"/>
      <c r="H64" s="691"/>
      <c r="I64" s="565"/>
      <c r="J64" s="565"/>
      <c r="K64" s="565"/>
      <c r="L64" s="691"/>
      <c r="M64" s="691"/>
      <c r="N64" s="691"/>
      <c r="O64" s="565"/>
      <c r="P64" s="502"/>
      <c r="Q64" s="502"/>
      <c r="R64" s="502"/>
      <c r="S64" s="502"/>
      <c r="T64" s="502"/>
      <c r="U64" s="502"/>
      <c r="V64" s="502"/>
      <c r="W64" s="502"/>
      <c r="X64" s="502"/>
      <c r="Y64" s="502"/>
      <c r="Z64" s="502"/>
      <c r="AA64" s="502"/>
      <c r="AB64" s="502"/>
      <c r="AC64" s="502"/>
      <c r="AD64" s="502"/>
      <c r="AE64" s="502"/>
      <c r="AF64" s="502"/>
      <c r="AG64" s="502"/>
      <c r="AH64" s="502"/>
      <c r="AI64" s="502"/>
      <c r="AJ64" s="502"/>
      <c r="AK64" s="502"/>
      <c r="AL64" s="502"/>
      <c r="AM64" s="502"/>
      <c r="AN64" s="502"/>
      <c r="AO64" s="502"/>
      <c r="AP64" s="502"/>
      <c r="AQ64" s="502"/>
      <c r="AR64" s="502"/>
      <c r="AS64" s="502"/>
      <c r="AT64" s="502"/>
      <c r="AU64" s="502"/>
      <c r="AV64" s="502"/>
    </row>
    <row r="65" spans="1:48">
      <c r="A65" s="565"/>
      <c r="B65" s="565"/>
      <c r="C65" s="565"/>
      <c r="D65" s="565"/>
      <c r="E65" s="565"/>
      <c r="F65" s="565"/>
      <c r="G65" s="565"/>
      <c r="H65" s="691"/>
      <c r="I65" s="565"/>
      <c r="J65" s="565"/>
      <c r="K65" s="565"/>
      <c r="L65" s="691"/>
      <c r="M65" s="691"/>
      <c r="N65" s="691"/>
      <c r="O65" s="565"/>
      <c r="P65" s="502"/>
      <c r="Q65" s="502"/>
      <c r="R65" s="502"/>
      <c r="S65" s="502"/>
      <c r="T65" s="502"/>
      <c r="U65" s="502"/>
      <c r="V65" s="502"/>
      <c r="W65" s="502"/>
      <c r="X65" s="502"/>
      <c r="Y65" s="502"/>
      <c r="Z65" s="502"/>
      <c r="AA65" s="502"/>
      <c r="AB65" s="502"/>
      <c r="AC65" s="502"/>
      <c r="AD65" s="502"/>
      <c r="AE65" s="502"/>
      <c r="AF65" s="502"/>
      <c r="AG65" s="502"/>
      <c r="AH65" s="502"/>
      <c r="AI65" s="502"/>
      <c r="AJ65" s="502"/>
      <c r="AK65" s="502"/>
      <c r="AL65" s="502"/>
      <c r="AM65" s="502"/>
      <c r="AN65" s="502"/>
      <c r="AO65" s="502"/>
      <c r="AP65" s="502"/>
      <c r="AQ65" s="502"/>
      <c r="AR65" s="502"/>
      <c r="AS65" s="502"/>
      <c r="AT65" s="502"/>
      <c r="AU65" s="502"/>
      <c r="AV65" s="502"/>
    </row>
    <row r="66" spans="1:48">
      <c r="A66" s="565"/>
      <c r="B66" s="565"/>
      <c r="C66" s="565"/>
      <c r="D66" s="565"/>
      <c r="E66" s="565"/>
      <c r="F66" s="565"/>
      <c r="G66" s="565"/>
      <c r="H66" s="691"/>
      <c r="I66" s="565"/>
      <c r="J66" s="565"/>
      <c r="K66" s="565"/>
      <c r="L66" s="691"/>
      <c r="M66" s="691"/>
      <c r="N66" s="691"/>
      <c r="O66" s="565"/>
      <c r="P66" s="502"/>
      <c r="Q66" s="502"/>
      <c r="R66" s="502"/>
      <c r="S66" s="502"/>
      <c r="T66" s="502"/>
      <c r="U66" s="502"/>
      <c r="V66" s="502"/>
      <c r="W66" s="502"/>
      <c r="X66" s="502"/>
      <c r="Y66" s="502"/>
      <c r="Z66" s="502"/>
      <c r="AA66" s="502"/>
      <c r="AB66" s="502"/>
      <c r="AC66" s="502"/>
      <c r="AD66" s="502"/>
      <c r="AE66" s="502"/>
      <c r="AF66" s="502"/>
      <c r="AG66" s="502"/>
      <c r="AH66" s="502"/>
      <c r="AI66" s="502"/>
      <c r="AJ66" s="502"/>
      <c r="AK66" s="502"/>
      <c r="AL66" s="502"/>
      <c r="AM66" s="502"/>
      <c r="AN66" s="502"/>
      <c r="AO66" s="502"/>
      <c r="AP66" s="502"/>
      <c r="AQ66" s="502"/>
      <c r="AR66" s="502"/>
      <c r="AS66" s="502"/>
      <c r="AT66" s="502"/>
      <c r="AU66" s="502"/>
      <c r="AV66" s="502"/>
    </row>
    <row r="67" spans="1:48">
      <c r="A67" s="565"/>
      <c r="B67" s="565"/>
      <c r="C67" s="565"/>
      <c r="D67" s="565"/>
      <c r="E67" s="565"/>
      <c r="F67" s="565"/>
      <c r="G67" s="565"/>
      <c r="H67" s="691"/>
      <c r="I67" s="565"/>
      <c r="J67" s="565"/>
      <c r="K67" s="565"/>
      <c r="L67" s="691"/>
      <c r="M67" s="691"/>
      <c r="N67" s="691"/>
      <c r="O67" s="565"/>
      <c r="P67" s="502"/>
      <c r="Q67" s="502"/>
      <c r="R67" s="502"/>
      <c r="S67" s="502"/>
      <c r="T67" s="502"/>
      <c r="U67" s="502"/>
      <c r="V67" s="502"/>
      <c r="W67" s="502"/>
      <c r="X67" s="502"/>
      <c r="Y67" s="502"/>
      <c r="Z67" s="502"/>
      <c r="AA67" s="502"/>
      <c r="AB67" s="502"/>
      <c r="AC67" s="502"/>
      <c r="AD67" s="502"/>
      <c r="AE67" s="502"/>
      <c r="AF67" s="502"/>
      <c r="AG67" s="502"/>
      <c r="AH67" s="502"/>
      <c r="AI67" s="502"/>
      <c r="AJ67" s="502"/>
      <c r="AK67" s="502"/>
      <c r="AL67" s="502"/>
      <c r="AM67" s="502"/>
      <c r="AN67" s="502"/>
      <c r="AO67" s="502"/>
      <c r="AP67" s="502"/>
      <c r="AQ67" s="502"/>
      <c r="AR67" s="502"/>
      <c r="AS67" s="502"/>
      <c r="AT67" s="502"/>
      <c r="AU67" s="502"/>
      <c r="AV67" s="502"/>
    </row>
    <row r="68" spans="1:48">
      <c r="A68" s="565"/>
      <c r="B68" s="565"/>
      <c r="C68" s="565"/>
      <c r="D68" s="565"/>
      <c r="E68" s="565"/>
      <c r="F68" s="565"/>
      <c r="G68" s="565"/>
      <c r="H68" s="691"/>
      <c r="I68" s="565"/>
      <c r="J68" s="565"/>
      <c r="K68" s="565"/>
      <c r="L68" s="691"/>
      <c r="M68" s="691"/>
      <c r="N68" s="691"/>
      <c r="O68" s="565"/>
      <c r="P68" s="502"/>
      <c r="Q68" s="502"/>
      <c r="R68" s="502"/>
      <c r="S68" s="502"/>
      <c r="T68" s="502"/>
      <c r="U68" s="502"/>
      <c r="V68" s="502"/>
      <c r="W68" s="502"/>
      <c r="X68" s="502"/>
      <c r="Y68" s="502"/>
      <c r="Z68" s="502"/>
      <c r="AA68" s="502"/>
      <c r="AB68" s="502"/>
      <c r="AC68" s="502"/>
      <c r="AD68" s="502"/>
      <c r="AE68" s="502"/>
      <c r="AF68" s="502"/>
      <c r="AG68" s="502"/>
      <c r="AH68" s="502"/>
      <c r="AI68" s="502"/>
      <c r="AJ68" s="502"/>
      <c r="AK68" s="502"/>
      <c r="AL68" s="502"/>
      <c r="AM68" s="502"/>
      <c r="AN68" s="502"/>
      <c r="AO68" s="502"/>
      <c r="AP68" s="502"/>
      <c r="AQ68" s="502"/>
      <c r="AR68" s="502"/>
      <c r="AS68" s="502"/>
      <c r="AT68" s="502"/>
      <c r="AU68" s="502"/>
      <c r="AV68" s="502"/>
    </row>
    <row r="69" spans="1:48">
      <c r="A69" s="565"/>
      <c r="B69" s="565"/>
      <c r="C69" s="565"/>
      <c r="D69" s="565"/>
      <c r="E69" s="565"/>
      <c r="F69" s="565"/>
      <c r="G69" s="565"/>
      <c r="H69" s="691"/>
      <c r="I69" s="565"/>
      <c r="J69" s="565"/>
      <c r="K69" s="565"/>
      <c r="L69" s="691"/>
      <c r="M69" s="691"/>
      <c r="N69" s="691"/>
      <c r="O69" s="565"/>
      <c r="P69" s="502"/>
      <c r="Q69" s="502"/>
      <c r="R69" s="502"/>
      <c r="S69" s="502"/>
      <c r="T69" s="502"/>
      <c r="U69" s="502"/>
      <c r="V69" s="502"/>
      <c r="W69" s="502"/>
      <c r="X69" s="502"/>
      <c r="Y69" s="502"/>
      <c r="Z69" s="502"/>
      <c r="AA69" s="502"/>
      <c r="AB69" s="502"/>
      <c r="AC69" s="502"/>
      <c r="AD69" s="502"/>
      <c r="AE69" s="502"/>
      <c r="AF69" s="502"/>
      <c r="AG69" s="502"/>
      <c r="AH69" s="502"/>
      <c r="AI69" s="502"/>
      <c r="AJ69" s="502"/>
      <c r="AK69" s="502"/>
      <c r="AL69" s="502"/>
      <c r="AM69" s="502"/>
      <c r="AN69" s="502"/>
      <c r="AO69" s="502"/>
      <c r="AP69" s="502"/>
      <c r="AQ69" s="502"/>
      <c r="AR69" s="502"/>
      <c r="AS69" s="502"/>
      <c r="AT69" s="502"/>
      <c r="AU69" s="502"/>
      <c r="AV69" s="502"/>
    </row>
    <row r="70" spans="1:48">
      <c r="A70" s="565"/>
      <c r="B70" s="565"/>
      <c r="C70" s="565"/>
      <c r="D70" s="565"/>
      <c r="E70" s="565"/>
      <c r="F70" s="565"/>
      <c r="G70" s="565"/>
      <c r="H70" s="691"/>
      <c r="I70" s="565"/>
      <c r="J70" s="565"/>
      <c r="K70" s="565"/>
      <c r="L70" s="691"/>
      <c r="M70" s="691"/>
      <c r="N70" s="691"/>
      <c r="O70" s="565"/>
      <c r="P70" s="502"/>
      <c r="Q70" s="502"/>
      <c r="R70" s="502"/>
      <c r="S70" s="502"/>
      <c r="T70" s="502"/>
      <c r="U70" s="502"/>
      <c r="V70" s="502"/>
      <c r="W70" s="502"/>
      <c r="X70" s="502"/>
      <c r="Y70" s="502"/>
      <c r="Z70" s="502"/>
      <c r="AA70" s="502"/>
      <c r="AB70" s="502"/>
      <c r="AC70" s="502"/>
      <c r="AD70" s="502"/>
      <c r="AE70" s="502"/>
      <c r="AF70" s="502"/>
      <c r="AG70" s="502"/>
      <c r="AH70" s="502"/>
      <c r="AI70" s="502"/>
      <c r="AJ70" s="502"/>
      <c r="AK70" s="502"/>
      <c r="AL70" s="502"/>
      <c r="AM70" s="502"/>
      <c r="AN70" s="502"/>
      <c r="AO70" s="502"/>
      <c r="AP70" s="502"/>
      <c r="AQ70" s="502"/>
      <c r="AR70" s="502"/>
      <c r="AS70" s="502"/>
      <c r="AT70" s="502"/>
      <c r="AU70" s="502"/>
      <c r="AV70" s="502"/>
    </row>
    <row r="71" spans="1:48">
      <c r="A71" s="565"/>
      <c r="B71" s="565"/>
      <c r="C71" s="565"/>
      <c r="D71" s="565"/>
      <c r="E71" s="565"/>
      <c r="F71" s="565"/>
      <c r="G71" s="565"/>
      <c r="H71" s="691"/>
      <c r="I71" s="565"/>
      <c r="J71" s="565"/>
      <c r="K71" s="565"/>
      <c r="L71" s="691"/>
      <c r="M71" s="691"/>
      <c r="N71" s="691"/>
      <c r="O71" s="565"/>
      <c r="P71" s="502"/>
      <c r="Q71" s="502"/>
      <c r="R71" s="502"/>
      <c r="S71" s="502"/>
      <c r="T71" s="502"/>
      <c r="U71" s="502"/>
      <c r="V71" s="502"/>
      <c r="W71" s="502"/>
      <c r="X71" s="502"/>
      <c r="Y71" s="502"/>
      <c r="Z71" s="502"/>
      <c r="AA71" s="502"/>
      <c r="AB71" s="502"/>
      <c r="AC71" s="502"/>
      <c r="AD71" s="502"/>
      <c r="AE71" s="502"/>
      <c r="AF71" s="502"/>
      <c r="AG71" s="502"/>
      <c r="AH71" s="502"/>
      <c r="AI71" s="502"/>
      <c r="AJ71" s="502"/>
      <c r="AK71" s="502"/>
      <c r="AL71" s="502"/>
      <c r="AM71" s="502"/>
      <c r="AN71" s="502"/>
      <c r="AO71" s="502"/>
      <c r="AP71" s="502"/>
      <c r="AQ71" s="502"/>
      <c r="AR71" s="502"/>
      <c r="AS71" s="502"/>
      <c r="AT71" s="502"/>
      <c r="AU71" s="502"/>
      <c r="AV71" s="502"/>
    </row>
    <row r="72" spans="1:48">
      <c r="A72" s="565"/>
      <c r="B72" s="565"/>
      <c r="C72" s="565"/>
      <c r="D72" s="565"/>
      <c r="E72" s="565"/>
      <c r="F72" s="565"/>
      <c r="G72" s="565"/>
      <c r="H72" s="691"/>
      <c r="I72" s="565"/>
      <c r="J72" s="565"/>
      <c r="K72" s="565"/>
      <c r="L72" s="691"/>
      <c r="M72" s="691"/>
      <c r="N72" s="691"/>
      <c r="O72" s="565"/>
      <c r="P72" s="502"/>
      <c r="Q72" s="502"/>
      <c r="R72" s="502"/>
      <c r="S72" s="502"/>
      <c r="T72" s="502"/>
      <c r="U72" s="502"/>
      <c r="V72" s="502"/>
      <c r="W72" s="502"/>
      <c r="X72" s="502"/>
      <c r="Y72" s="502"/>
      <c r="Z72" s="502"/>
      <c r="AA72" s="502"/>
      <c r="AB72" s="502"/>
      <c r="AC72" s="502"/>
      <c r="AD72" s="502"/>
      <c r="AE72" s="502"/>
      <c r="AF72" s="502"/>
      <c r="AG72" s="502"/>
      <c r="AH72" s="502"/>
      <c r="AI72" s="502"/>
      <c r="AJ72" s="502"/>
      <c r="AK72" s="502"/>
      <c r="AL72" s="502"/>
      <c r="AM72" s="502"/>
      <c r="AN72" s="502"/>
      <c r="AO72" s="502"/>
      <c r="AP72" s="502"/>
      <c r="AQ72" s="502"/>
      <c r="AR72" s="502"/>
      <c r="AS72" s="502"/>
      <c r="AT72" s="502"/>
      <c r="AU72" s="502"/>
      <c r="AV72" s="502"/>
    </row>
    <row r="73" spans="1:48">
      <c r="A73" s="565"/>
      <c r="B73" s="565"/>
      <c r="C73" s="565"/>
      <c r="D73" s="565"/>
      <c r="E73" s="565"/>
      <c r="F73" s="565"/>
      <c r="G73" s="565"/>
      <c r="H73" s="691"/>
      <c r="I73" s="565"/>
      <c r="J73" s="565"/>
      <c r="K73" s="565"/>
      <c r="L73" s="691"/>
      <c r="M73" s="691"/>
      <c r="N73" s="691"/>
      <c r="O73" s="565"/>
      <c r="P73" s="502"/>
      <c r="Q73" s="502"/>
      <c r="R73" s="502"/>
      <c r="S73" s="502"/>
      <c r="T73" s="502"/>
      <c r="U73" s="502"/>
      <c r="V73" s="502"/>
      <c r="W73" s="502"/>
      <c r="X73" s="502"/>
      <c r="Y73" s="502"/>
      <c r="Z73" s="502"/>
      <c r="AA73" s="502"/>
      <c r="AB73" s="502"/>
      <c r="AC73" s="502"/>
      <c r="AD73" s="502"/>
      <c r="AE73" s="502"/>
      <c r="AF73" s="502"/>
      <c r="AG73" s="502"/>
      <c r="AH73" s="502"/>
      <c r="AI73" s="502"/>
      <c r="AJ73" s="502"/>
      <c r="AK73" s="502"/>
      <c r="AL73" s="502"/>
      <c r="AM73" s="502"/>
      <c r="AN73" s="502"/>
      <c r="AO73" s="502"/>
      <c r="AP73" s="502"/>
      <c r="AQ73" s="502"/>
      <c r="AR73" s="502"/>
      <c r="AS73" s="502"/>
      <c r="AT73" s="502"/>
      <c r="AU73" s="502"/>
      <c r="AV73" s="502"/>
    </row>
    <row r="74" spans="1:48">
      <c r="A74" s="565"/>
      <c r="B74" s="565"/>
      <c r="C74" s="565"/>
      <c r="D74" s="565"/>
      <c r="E74" s="565"/>
      <c r="F74" s="565"/>
      <c r="G74" s="565"/>
      <c r="H74" s="691"/>
      <c r="I74" s="565"/>
      <c r="J74" s="565"/>
      <c r="K74" s="565"/>
      <c r="L74" s="691"/>
      <c r="M74" s="691"/>
      <c r="N74" s="691"/>
      <c r="O74" s="565"/>
      <c r="P74" s="502"/>
      <c r="Q74" s="502"/>
      <c r="R74" s="502"/>
      <c r="S74" s="502"/>
      <c r="T74" s="502"/>
      <c r="U74" s="502"/>
      <c r="V74" s="502"/>
      <c r="W74" s="502"/>
      <c r="X74" s="502"/>
      <c r="Y74" s="502"/>
      <c r="Z74" s="502"/>
      <c r="AA74" s="502"/>
      <c r="AB74" s="502"/>
      <c r="AC74" s="502"/>
      <c r="AD74" s="502"/>
      <c r="AE74" s="502"/>
      <c r="AF74" s="502"/>
      <c r="AG74" s="502"/>
      <c r="AH74" s="502"/>
      <c r="AI74" s="502"/>
      <c r="AJ74" s="502"/>
      <c r="AK74" s="502"/>
      <c r="AL74" s="502"/>
      <c r="AM74" s="502"/>
      <c r="AN74" s="502"/>
      <c r="AO74" s="502"/>
      <c r="AP74" s="502"/>
      <c r="AQ74" s="502"/>
      <c r="AR74" s="502"/>
      <c r="AS74" s="502"/>
      <c r="AT74" s="502"/>
      <c r="AU74" s="502"/>
      <c r="AV74" s="502"/>
    </row>
    <row r="75" spans="1:48">
      <c r="A75" s="565"/>
      <c r="B75" s="565"/>
      <c r="C75" s="565"/>
      <c r="D75" s="565"/>
      <c r="E75" s="565"/>
      <c r="F75" s="565"/>
      <c r="G75" s="565"/>
      <c r="H75" s="691"/>
      <c r="I75" s="565"/>
      <c r="J75" s="565"/>
      <c r="K75" s="565"/>
      <c r="L75" s="691"/>
      <c r="M75" s="691"/>
      <c r="N75" s="691"/>
      <c r="O75" s="565"/>
      <c r="P75" s="502"/>
      <c r="Q75" s="502"/>
      <c r="R75" s="502"/>
      <c r="S75" s="502"/>
      <c r="T75" s="502"/>
      <c r="U75" s="502"/>
      <c r="V75" s="502"/>
      <c r="W75" s="502"/>
      <c r="X75" s="502"/>
      <c r="Y75" s="502"/>
      <c r="Z75" s="502"/>
      <c r="AA75" s="502"/>
      <c r="AB75" s="502"/>
      <c r="AC75" s="502"/>
      <c r="AD75" s="502"/>
      <c r="AE75" s="502"/>
      <c r="AF75" s="502"/>
      <c r="AG75" s="502"/>
      <c r="AH75" s="502"/>
      <c r="AI75" s="502"/>
      <c r="AJ75" s="502"/>
      <c r="AK75" s="502"/>
      <c r="AL75" s="502"/>
      <c r="AM75" s="502"/>
      <c r="AN75" s="502"/>
      <c r="AO75" s="502"/>
      <c r="AP75" s="502"/>
      <c r="AQ75" s="502"/>
      <c r="AR75" s="502"/>
      <c r="AS75" s="502"/>
      <c r="AT75" s="502"/>
      <c r="AU75" s="502"/>
      <c r="AV75" s="502"/>
    </row>
    <row r="76" spans="1:48">
      <c r="A76" s="565"/>
      <c r="B76" s="565"/>
      <c r="C76" s="565"/>
      <c r="D76" s="565"/>
      <c r="E76" s="565"/>
      <c r="F76" s="565"/>
      <c r="G76" s="565"/>
      <c r="H76" s="691"/>
      <c r="I76" s="565"/>
      <c r="J76" s="565"/>
      <c r="K76" s="565"/>
      <c r="L76" s="691"/>
      <c r="M76" s="691"/>
      <c r="N76" s="691"/>
      <c r="O76" s="565"/>
      <c r="P76" s="502"/>
      <c r="Q76" s="502"/>
      <c r="R76" s="502"/>
      <c r="S76" s="502"/>
      <c r="T76" s="502"/>
      <c r="U76" s="502"/>
      <c r="V76" s="502"/>
      <c r="W76" s="502"/>
      <c r="X76" s="502"/>
      <c r="Y76" s="502"/>
      <c r="Z76" s="502"/>
      <c r="AA76" s="502"/>
      <c r="AB76" s="502"/>
      <c r="AC76" s="502"/>
      <c r="AD76" s="502"/>
      <c r="AE76" s="502"/>
      <c r="AF76" s="502"/>
      <c r="AG76" s="502"/>
      <c r="AH76" s="502"/>
      <c r="AI76" s="502"/>
      <c r="AJ76" s="502"/>
      <c r="AK76" s="502"/>
      <c r="AL76" s="502"/>
      <c r="AM76" s="502"/>
      <c r="AN76" s="502"/>
      <c r="AO76" s="502"/>
      <c r="AP76" s="502"/>
      <c r="AQ76" s="502"/>
      <c r="AR76" s="502"/>
      <c r="AS76" s="502"/>
      <c r="AT76" s="502"/>
      <c r="AU76" s="502"/>
      <c r="AV76" s="502"/>
    </row>
    <row r="77" spans="1:48">
      <c r="A77" s="565"/>
      <c r="B77" s="565"/>
      <c r="C77" s="565"/>
      <c r="D77" s="565"/>
      <c r="E77" s="565"/>
      <c r="F77" s="565"/>
      <c r="G77" s="565"/>
      <c r="H77" s="691"/>
      <c r="I77" s="565"/>
      <c r="J77" s="565"/>
      <c r="K77" s="565"/>
      <c r="L77" s="691"/>
      <c r="M77" s="691"/>
      <c r="N77" s="691"/>
      <c r="O77" s="565"/>
      <c r="P77" s="502"/>
      <c r="Q77" s="502"/>
      <c r="R77" s="502"/>
      <c r="S77" s="502"/>
      <c r="T77" s="502"/>
      <c r="U77" s="502"/>
      <c r="V77" s="502"/>
      <c r="W77" s="502"/>
      <c r="X77" s="502"/>
      <c r="Y77" s="502"/>
      <c r="Z77" s="502"/>
      <c r="AA77" s="502"/>
      <c r="AB77" s="502"/>
      <c r="AC77" s="502"/>
      <c r="AD77" s="502"/>
      <c r="AE77" s="502"/>
      <c r="AF77" s="502"/>
      <c r="AG77" s="502"/>
      <c r="AH77" s="502"/>
      <c r="AI77" s="502"/>
      <c r="AJ77" s="502"/>
      <c r="AK77" s="502"/>
      <c r="AL77" s="502"/>
      <c r="AM77" s="502"/>
      <c r="AN77" s="502"/>
      <c r="AO77" s="502"/>
      <c r="AP77" s="502"/>
      <c r="AQ77" s="502"/>
      <c r="AR77" s="502"/>
      <c r="AS77" s="502"/>
      <c r="AT77" s="502"/>
      <c r="AU77" s="502"/>
      <c r="AV77" s="502"/>
    </row>
    <row r="78" spans="1:48">
      <c r="A78" s="565"/>
      <c r="B78" s="565"/>
      <c r="C78" s="565"/>
      <c r="D78" s="565"/>
      <c r="E78" s="565"/>
      <c r="F78" s="565"/>
      <c r="G78" s="565"/>
      <c r="H78" s="691"/>
      <c r="I78" s="565"/>
      <c r="J78" s="565"/>
      <c r="K78" s="565"/>
      <c r="L78" s="691"/>
      <c r="M78" s="691"/>
      <c r="N78" s="691"/>
      <c r="O78" s="565"/>
      <c r="P78" s="502"/>
      <c r="Q78" s="502"/>
      <c r="R78" s="502"/>
      <c r="S78" s="502"/>
      <c r="T78" s="502"/>
      <c r="U78" s="502"/>
      <c r="V78" s="502"/>
      <c r="W78" s="502"/>
      <c r="X78" s="502"/>
      <c r="Y78" s="502"/>
      <c r="Z78" s="502"/>
      <c r="AA78" s="502"/>
      <c r="AB78" s="502"/>
      <c r="AC78" s="502"/>
      <c r="AD78" s="502"/>
      <c r="AE78" s="502"/>
      <c r="AF78" s="502"/>
      <c r="AG78" s="502"/>
      <c r="AH78" s="502"/>
      <c r="AI78" s="502"/>
      <c r="AJ78" s="502"/>
      <c r="AK78" s="502"/>
      <c r="AL78" s="502"/>
      <c r="AM78" s="502"/>
      <c r="AN78" s="502"/>
      <c r="AO78" s="502"/>
      <c r="AP78" s="502"/>
      <c r="AQ78" s="502"/>
      <c r="AR78" s="502"/>
      <c r="AS78" s="502"/>
      <c r="AT78" s="502"/>
      <c r="AU78" s="502"/>
      <c r="AV78" s="502"/>
    </row>
    <row r="79" spans="1:48">
      <c r="A79" s="565"/>
      <c r="B79" s="565"/>
      <c r="C79" s="565"/>
      <c r="D79" s="565"/>
      <c r="E79" s="565"/>
      <c r="F79" s="565"/>
      <c r="G79" s="565"/>
      <c r="H79" s="691"/>
      <c r="I79" s="565"/>
      <c r="J79" s="565"/>
      <c r="K79" s="565"/>
      <c r="L79" s="691"/>
      <c r="M79" s="691"/>
      <c r="N79" s="691"/>
      <c r="O79" s="565"/>
      <c r="P79" s="502"/>
      <c r="Q79" s="502"/>
      <c r="R79" s="502"/>
      <c r="S79" s="502"/>
      <c r="T79" s="502"/>
      <c r="U79" s="502"/>
      <c r="V79" s="502"/>
      <c r="W79" s="502"/>
      <c r="X79" s="502"/>
      <c r="Y79" s="502"/>
      <c r="Z79" s="502"/>
      <c r="AA79" s="502"/>
      <c r="AB79" s="502"/>
      <c r="AC79" s="502"/>
      <c r="AD79" s="502"/>
      <c r="AE79" s="502"/>
      <c r="AF79" s="502"/>
      <c r="AG79" s="502"/>
      <c r="AH79" s="502"/>
      <c r="AI79" s="502"/>
      <c r="AJ79" s="502"/>
      <c r="AK79" s="502"/>
      <c r="AL79" s="502"/>
      <c r="AM79" s="502"/>
      <c r="AN79" s="502"/>
      <c r="AO79" s="502"/>
      <c r="AP79" s="502"/>
      <c r="AQ79" s="502"/>
      <c r="AR79" s="502"/>
      <c r="AS79" s="502"/>
      <c r="AT79" s="502"/>
      <c r="AU79" s="502"/>
      <c r="AV79" s="502"/>
    </row>
    <row r="80" spans="1:48">
      <c r="A80" s="565"/>
      <c r="B80" s="565"/>
      <c r="C80" s="565"/>
      <c r="D80" s="565"/>
      <c r="E80" s="565"/>
      <c r="F80" s="565"/>
      <c r="G80" s="565"/>
      <c r="H80" s="691"/>
      <c r="I80" s="565"/>
      <c r="J80" s="565"/>
      <c r="K80" s="565"/>
      <c r="L80" s="691"/>
      <c r="M80" s="691"/>
      <c r="N80" s="691"/>
      <c r="O80" s="565"/>
      <c r="P80" s="502"/>
      <c r="Q80" s="502"/>
      <c r="R80" s="502"/>
      <c r="S80" s="502"/>
      <c r="T80" s="502"/>
      <c r="U80" s="502"/>
      <c r="V80" s="502"/>
      <c r="W80" s="502"/>
      <c r="X80" s="502"/>
      <c r="Y80" s="502"/>
      <c r="Z80" s="502"/>
      <c r="AA80" s="502"/>
      <c r="AB80" s="502"/>
      <c r="AC80" s="502"/>
      <c r="AD80" s="502"/>
      <c r="AE80" s="502"/>
      <c r="AF80" s="502"/>
      <c r="AG80" s="502"/>
      <c r="AH80" s="502"/>
      <c r="AI80" s="502"/>
      <c r="AJ80" s="502"/>
      <c r="AK80" s="502"/>
      <c r="AL80" s="502"/>
      <c r="AM80" s="502"/>
      <c r="AN80" s="502"/>
      <c r="AO80" s="502"/>
      <c r="AP80" s="502"/>
      <c r="AQ80" s="502"/>
      <c r="AR80" s="502"/>
      <c r="AS80" s="502"/>
      <c r="AT80" s="502"/>
      <c r="AU80" s="502"/>
      <c r="AV80" s="502"/>
    </row>
    <row r="81" spans="1:48">
      <c r="A81" s="565"/>
      <c r="B81" s="565"/>
      <c r="C81" s="565"/>
      <c r="D81" s="565"/>
      <c r="E81" s="565"/>
      <c r="F81" s="565"/>
      <c r="G81" s="565"/>
      <c r="H81" s="691"/>
      <c r="I81" s="565"/>
      <c r="J81" s="565"/>
      <c r="K81" s="565"/>
      <c r="L81" s="691"/>
      <c r="M81" s="691"/>
      <c r="N81" s="691"/>
      <c r="O81" s="565"/>
      <c r="P81" s="502"/>
      <c r="Q81" s="502"/>
      <c r="R81" s="502"/>
      <c r="S81" s="502"/>
      <c r="T81" s="502"/>
      <c r="U81" s="502"/>
      <c r="V81" s="502"/>
      <c r="W81" s="502"/>
      <c r="X81" s="502"/>
      <c r="Y81" s="502"/>
      <c r="Z81" s="502"/>
      <c r="AA81" s="502"/>
      <c r="AB81" s="502"/>
      <c r="AC81" s="502"/>
      <c r="AD81" s="502"/>
      <c r="AE81" s="502"/>
      <c r="AF81" s="502"/>
      <c r="AG81" s="502"/>
      <c r="AH81" s="502"/>
      <c r="AI81" s="502"/>
      <c r="AJ81" s="502"/>
      <c r="AK81" s="502"/>
      <c r="AL81" s="502"/>
      <c r="AM81" s="502"/>
      <c r="AN81" s="502"/>
      <c r="AO81" s="502"/>
      <c r="AP81" s="502"/>
      <c r="AQ81" s="502"/>
      <c r="AR81" s="502"/>
      <c r="AS81" s="502"/>
      <c r="AT81" s="502"/>
      <c r="AU81" s="502"/>
      <c r="AV81" s="502"/>
    </row>
    <row r="82" spans="1:48">
      <c r="A82" s="565"/>
      <c r="B82" s="565"/>
      <c r="C82" s="565"/>
      <c r="D82" s="565"/>
      <c r="E82" s="565"/>
      <c r="F82" s="565"/>
      <c r="G82" s="565"/>
      <c r="H82" s="691"/>
      <c r="I82" s="565"/>
      <c r="J82" s="565"/>
      <c r="K82" s="565"/>
      <c r="L82" s="691"/>
      <c r="M82" s="691"/>
      <c r="N82" s="691"/>
      <c r="O82" s="565"/>
      <c r="P82" s="502"/>
      <c r="Q82" s="502"/>
      <c r="R82" s="502"/>
      <c r="S82" s="502"/>
      <c r="T82" s="502"/>
      <c r="U82" s="502"/>
      <c r="V82" s="502"/>
      <c r="W82" s="502"/>
      <c r="X82" s="502"/>
      <c r="Y82" s="502"/>
      <c r="Z82" s="502"/>
      <c r="AA82" s="502"/>
      <c r="AB82" s="502"/>
      <c r="AC82" s="502"/>
      <c r="AD82" s="502"/>
      <c r="AE82" s="502"/>
      <c r="AF82" s="502"/>
      <c r="AG82" s="502"/>
      <c r="AH82" s="502"/>
      <c r="AI82" s="502"/>
      <c r="AJ82" s="502"/>
      <c r="AK82" s="502"/>
      <c r="AL82" s="502"/>
      <c r="AM82" s="502"/>
      <c r="AN82" s="502"/>
      <c r="AO82" s="502"/>
      <c r="AP82" s="502"/>
      <c r="AQ82" s="502"/>
      <c r="AR82" s="502"/>
      <c r="AS82" s="502"/>
      <c r="AT82" s="502"/>
      <c r="AU82" s="502"/>
      <c r="AV82" s="502"/>
    </row>
    <row r="83" spans="1:48">
      <c r="A83" s="565"/>
      <c r="B83" s="565"/>
      <c r="C83" s="565"/>
      <c r="D83" s="565"/>
      <c r="E83" s="565"/>
      <c r="F83" s="565"/>
      <c r="G83" s="565"/>
      <c r="H83" s="691"/>
      <c r="I83" s="565"/>
      <c r="J83" s="565"/>
      <c r="K83" s="565"/>
      <c r="L83" s="691"/>
      <c r="M83" s="691"/>
      <c r="N83" s="691"/>
      <c r="O83" s="565"/>
      <c r="P83" s="502"/>
      <c r="Q83" s="502"/>
      <c r="R83" s="502"/>
      <c r="S83" s="502"/>
      <c r="T83" s="502"/>
      <c r="U83" s="502"/>
      <c r="V83" s="502"/>
      <c r="W83" s="502"/>
      <c r="X83" s="502"/>
      <c r="Y83" s="502"/>
      <c r="Z83" s="502"/>
      <c r="AA83" s="502"/>
      <c r="AB83" s="502"/>
      <c r="AC83" s="502"/>
      <c r="AD83" s="502"/>
      <c r="AE83" s="502"/>
      <c r="AF83" s="502"/>
      <c r="AG83" s="502"/>
      <c r="AH83" s="502"/>
      <c r="AI83" s="502"/>
      <c r="AJ83" s="502"/>
      <c r="AK83" s="502"/>
      <c r="AL83" s="502"/>
      <c r="AM83" s="502"/>
      <c r="AN83" s="502"/>
      <c r="AO83" s="502"/>
      <c r="AP83" s="502"/>
      <c r="AQ83" s="502"/>
      <c r="AR83" s="502"/>
      <c r="AS83" s="502"/>
      <c r="AT83" s="502"/>
      <c r="AU83" s="502"/>
      <c r="AV83" s="502"/>
    </row>
    <row r="84" spans="1:48">
      <c r="A84" s="565"/>
      <c r="B84" s="565"/>
      <c r="C84" s="565"/>
      <c r="D84" s="565"/>
      <c r="E84" s="565"/>
      <c r="F84" s="565"/>
      <c r="G84" s="565"/>
      <c r="H84" s="691"/>
      <c r="I84" s="565"/>
      <c r="J84" s="565"/>
      <c r="K84" s="565"/>
      <c r="L84" s="691"/>
      <c r="M84" s="691"/>
      <c r="N84" s="691"/>
      <c r="O84" s="565"/>
      <c r="P84" s="502"/>
      <c r="Q84" s="502"/>
      <c r="R84" s="502"/>
      <c r="S84" s="502"/>
      <c r="T84" s="502"/>
      <c r="U84" s="502"/>
      <c r="V84" s="502"/>
      <c r="W84" s="502"/>
      <c r="X84" s="502"/>
      <c r="Y84" s="502"/>
      <c r="Z84" s="502"/>
      <c r="AA84" s="502"/>
      <c r="AB84" s="502"/>
      <c r="AC84" s="502"/>
      <c r="AD84" s="502"/>
      <c r="AE84" s="502"/>
      <c r="AF84" s="502"/>
      <c r="AG84" s="502"/>
      <c r="AH84" s="502"/>
      <c r="AI84" s="502"/>
      <c r="AJ84" s="502"/>
      <c r="AK84" s="502"/>
      <c r="AL84" s="502"/>
      <c r="AM84" s="502"/>
      <c r="AN84" s="502"/>
      <c r="AO84" s="502"/>
      <c r="AP84" s="502"/>
      <c r="AQ84" s="502"/>
      <c r="AR84" s="502"/>
      <c r="AS84" s="502"/>
      <c r="AT84" s="502"/>
      <c r="AU84" s="502"/>
      <c r="AV84" s="502"/>
    </row>
    <row r="85" spans="1:48">
      <c r="A85" s="565"/>
      <c r="B85" s="565"/>
      <c r="C85" s="565"/>
      <c r="D85" s="565"/>
      <c r="E85" s="565"/>
      <c r="F85" s="565"/>
      <c r="G85" s="565"/>
      <c r="H85" s="691"/>
      <c r="I85" s="565"/>
      <c r="J85" s="565"/>
      <c r="K85" s="565"/>
      <c r="L85" s="691"/>
      <c r="M85" s="691"/>
      <c r="N85" s="691"/>
      <c r="O85" s="565"/>
      <c r="P85" s="502"/>
      <c r="Q85" s="502"/>
      <c r="R85" s="502"/>
      <c r="S85" s="502"/>
      <c r="T85" s="502"/>
      <c r="U85" s="502"/>
      <c r="V85" s="502"/>
      <c r="W85" s="502"/>
      <c r="X85" s="502"/>
      <c r="Y85" s="502"/>
      <c r="Z85" s="502"/>
      <c r="AA85" s="502"/>
      <c r="AB85" s="502"/>
      <c r="AC85" s="502"/>
      <c r="AD85" s="502"/>
      <c r="AE85" s="502"/>
      <c r="AF85" s="502"/>
      <c r="AG85" s="502"/>
      <c r="AH85" s="502"/>
      <c r="AI85" s="502"/>
      <c r="AJ85" s="502"/>
      <c r="AK85" s="502"/>
      <c r="AL85" s="502"/>
      <c r="AM85" s="502"/>
      <c r="AN85" s="502"/>
      <c r="AO85" s="502"/>
      <c r="AP85" s="502"/>
      <c r="AQ85" s="502"/>
      <c r="AR85" s="502"/>
      <c r="AS85" s="502"/>
      <c r="AT85" s="502"/>
      <c r="AU85" s="502"/>
      <c r="AV85" s="502"/>
    </row>
    <row r="86" spans="1:48">
      <c r="A86" s="565"/>
      <c r="B86" s="565"/>
      <c r="C86" s="565"/>
      <c r="D86" s="565"/>
      <c r="E86" s="565"/>
      <c r="F86" s="565"/>
      <c r="G86" s="565"/>
      <c r="H86" s="691"/>
      <c r="I86" s="565"/>
      <c r="J86" s="565"/>
      <c r="K86" s="565"/>
      <c r="L86" s="691"/>
      <c r="M86" s="691"/>
      <c r="N86" s="691"/>
      <c r="O86" s="565"/>
      <c r="P86" s="502"/>
      <c r="Q86" s="502"/>
      <c r="R86" s="502"/>
      <c r="S86" s="502"/>
      <c r="T86" s="502"/>
      <c r="U86" s="502"/>
      <c r="V86" s="502"/>
      <c r="W86" s="502"/>
      <c r="X86" s="502"/>
      <c r="Y86" s="502"/>
      <c r="Z86" s="502"/>
      <c r="AA86" s="502"/>
      <c r="AB86" s="502"/>
      <c r="AC86" s="502"/>
      <c r="AD86" s="502"/>
      <c r="AE86" s="502"/>
      <c r="AF86" s="502"/>
      <c r="AG86" s="502"/>
      <c r="AH86" s="502"/>
      <c r="AI86" s="502"/>
      <c r="AJ86" s="502"/>
      <c r="AK86" s="502"/>
      <c r="AL86" s="502"/>
      <c r="AM86" s="502"/>
      <c r="AN86" s="502"/>
      <c r="AO86" s="502"/>
      <c r="AP86" s="502"/>
      <c r="AQ86" s="502"/>
      <c r="AR86" s="502"/>
      <c r="AS86" s="502"/>
      <c r="AT86" s="502"/>
      <c r="AU86" s="502"/>
      <c r="AV86" s="502"/>
    </row>
    <row r="87" spans="1:48">
      <c r="A87" s="565"/>
      <c r="B87" s="565"/>
      <c r="C87" s="565"/>
      <c r="D87" s="565"/>
      <c r="E87" s="565"/>
      <c r="F87" s="565"/>
      <c r="G87" s="565"/>
      <c r="H87" s="691"/>
      <c r="I87" s="565"/>
      <c r="J87" s="565"/>
      <c r="K87" s="565"/>
      <c r="L87" s="691"/>
      <c r="M87" s="691"/>
      <c r="N87" s="691"/>
      <c r="O87" s="565"/>
      <c r="P87" s="502"/>
      <c r="Q87" s="502"/>
      <c r="R87" s="502"/>
      <c r="S87" s="502"/>
      <c r="T87" s="502"/>
      <c r="U87" s="502"/>
      <c r="V87" s="502"/>
      <c r="W87" s="502"/>
      <c r="X87" s="502"/>
      <c r="Y87" s="502"/>
      <c r="Z87" s="502"/>
      <c r="AA87" s="502"/>
      <c r="AB87" s="502"/>
      <c r="AC87" s="502"/>
      <c r="AD87" s="502"/>
      <c r="AE87" s="502"/>
      <c r="AF87" s="502"/>
      <c r="AG87" s="502"/>
      <c r="AH87" s="502"/>
      <c r="AI87" s="502"/>
      <c r="AJ87" s="502"/>
      <c r="AK87" s="502"/>
      <c r="AL87" s="502"/>
      <c r="AM87" s="502"/>
      <c r="AN87" s="502"/>
      <c r="AO87" s="502"/>
      <c r="AP87" s="502"/>
      <c r="AQ87" s="502"/>
      <c r="AR87" s="502"/>
      <c r="AS87" s="502"/>
      <c r="AT87" s="502"/>
      <c r="AU87" s="502"/>
      <c r="AV87" s="502"/>
    </row>
    <row r="88" spans="1:48">
      <c r="A88" s="565"/>
      <c r="B88" s="565"/>
      <c r="C88" s="565"/>
      <c r="D88" s="565"/>
      <c r="E88" s="565"/>
      <c r="F88" s="565"/>
      <c r="G88" s="565"/>
      <c r="H88" s="691"/>
      <c r="I88" s="565"/>
      <c r="J88" s="565"/>
      <c r="K88" s="565"/>
      <c r="L88" s="691"/>
      <c r="M88" s="691"/>
      <c r="N88" s="691"/>
      <c r="O88" s="565"/>
      <c r="P88" s="502"/>
      <c r="Q88" s="502"/>
      <c r="R88" s="502"/>
      <c r="S88" s="502"/>
      <c r="T88" s="502"/>
      <c r="U88" s="502"/>
      <c r="V88" s="502"/>
      <c r="W88" s="502"/>
      <c r="X88" s="502"/>
      <c r="Y88" s="502"/>
      <c r="Z88" s="502"/>
      <c r="AA88" s="502"/>
      <c r="AB88" s="502"/>
      <c r="AC88" s="502"/>
      <c r="AD88" s="502"/>
      <c r="AE88" s="502"/>
      <c r="AF88" s="502"/>
      <c r="AG88" s="502"/>
      <c r="AH88" s="502"/>
      <c r="AI88" s="502"/>
      <c r="AJ88" s="502"/>
      <c r="AK88" s="502"/>
      <c r="AL88" s="502"/>
      <c r="AM88" s="502"/>
      <c r="AN88" s="502"/>
      <c r="AO88" s="502"/>
      <c r="AP88" s="502"/>
      <c r="AQ88" s="502"/>
      <c r="AR88" s="502"/>
      <c r="AS88" s="502"/>
      <c r="AT88" s="502"/>
      <c r="AU88" s="502"/>
      <c r="AV88" s="502"/>
    </row>
    <row r="89" spans="1:48">
      <c r="A89" s="565"/>
      <c r="B89" s="565"/>
      <c r="C89" s="565"/>
      <c r="D89" s="565"/>
      <c r="E89" s="565"/>
      <c r="F89" s="565"/>
      <c r="G89" s="565"/>
      <c r="H89" s="691"/>
      <c r="I89" s="565"/>
      <c r="J89" s="565"/>
      <c r="K89" s="565"/>
      <c r="L89" s="691"/>
      <c r="M89" s="691"/>
      <c r="N89" s="691"/>
      <c r="O89" s="565"/>
      <c r="P89" s="502"/>
      <c r="Q89" s="502"/>
      <c r="R89" s="502"/>
      <c r="S89" s="502"/>
      <c r="T89" s="502"/>
      <c r="U89" s="502"/>
      <c r="V89" s="502"/>
      <c r="W89" s="502"/>
      <c r="X89" s="502"/>
      <c r="Y89" s="502"/>
      <c r="Z89" s="502"/>
      <c r="AA89" s="502"/>
      <c r="AB89" s="502"/>
      <c r="AC89" s="502"/>
      <c r="AD89" s="502"/>
      <c r="AE89" s="502"/>
      <c r="AF89" s="502"/>
      <c r="AG89" s="502"/>
      <c r="AH89" s="502"/>
      <c r="AI89" s="502"/>
      <c r="AJ89" s="502"/>
      <c r="AK89" s="502"/>
      <c r="AL89" s="502"/>
      <c r="AM89" s="502"/>
      <c r="AN89" s="502"/>
      <c r="AO89" s="502"/>
      <c r="AP89" s="502"/>
      <c r="AQ89" s="502"/>
      <c r="AR89" s="502"/>
      <c r="AS89" s="502"/>
      <c r="AT89" s="502"/>
      <c r="AU89" s="502"/>
      <c r="AV89" s="502"/>
    </row>
    <row r="90" spans="1:48">
      <c r="A90" s="565"/>
      <c r="B90" s="565"/>
      <c r="C90" s="565"/>
      <c r="D90" s="565"/>
      <c r="E90" s="565"/>
      <c r="F90" s="565"/>
      <c r="G90" s="565"/>
      <c r="H90" s="691"/>
      <c r="I90" s="565"/>
      <c r="J90" s="565"/>
      <c r="K90" s="565"/>
      <c r="L90" s="691"/>
      <c r="M90" s="691"/>
      <c r="N90" s="691"/>
      <c r="O90" s="565"/>
      <c r="P90" s="502"/>
      <c r="Q90" s="502"/>
      <c r="R90" s="502"/>
      <c r="S90" s="502"/>
      <c r="T90" s="502"/>
      <c r="U90" s="502"/>
      <c r="V90" s="502"/>
      <c r="W90" s="502"/>
      <c r="X90" s="502"/>
      <c r="Y90" s="502"/>
      <c r="Z90" s="502"/>
      <c r="AA90" s="502"/>
      <c r="AB90" s="502"/>
      <c r="AC90" s="502"/>
      <c r="AD90" s="502"/>
      <c r="AE90" s="502"/>
      <c r="AF90" s="502"/>
      <c r="AG90" s="502"/>
      <c r="AH90" s="502"/>
      <c r="AI90" s="502"/>
      <c r="AJ90" s="502"/>
      <c r="AK90" s="502"/>
      <c r="AL90" s="502"/>
      <c r="AM90" s="502"/>
      <c r="AN90" s="502"/>
      <c r="AO90" s="502"/>
      <c r="AP90" s="502"/>
      <c r="AQ90" s="502"/>
      <c r="AR90" s="502"/>
      <c r="AS90" s="502"/>
      <c r="AT90" s="502"/>
      <c r="AU90" s="502"/>
      <c r="AV90" s="502"/>
    </row>
    <row r="91" spans="1:48">
      <c r="A91" s="565"/>
      <c r="B91" s="565"/>
      <c r="C91" s="565"/>
      <c r="D91" s="565"/>
      <c r="E91" s="565"/>
      <c r="F91" s="565"/>
      <c r="G91" s="565"/>
      <c r="H91" s="691"/>
      <c r="I91" s="565"/>
      <c r="J91" s="565"/>
      <c r="K91" s="565"/>
      <c r="L91" s="691"/>
      <c r="M91" s="691"/>
      <c r="N91" s="691"/>
      <c r="O91" s="565"/>
      <c r="P91" s="502"/>
      <c r="Q91" s="502"/>
      <c r="R91" s="502"/>
      <c r="S91" s="502"/>
      <c r="T91" s="502"/>
      <c r="U91" s="502"/>
      <c r="V91" s="502"/>
      <c r="W91" s="502"/>
      <c r="X91" s="502"/>
      <c r="Y91" s="502"/>
      <c r="Z91" s="502"/>
      <c r="AA91" s="502"/>
      <c r="AB91" s="502"/>
      <c r="AC91" s="502"/>
      <c r="AD91" s="502"/>
      <c r="AE91" s="502"/>
      <c r="AF91" s="502"/>
      <c r="AG91" s="502"/>
      <c r="AH91" s="502"/>
      <c r="AI91" s="502"/>
      <c r="AJ91" s="502"/>
      <c r="AK91" s="502"/>
      <c r="AL91" s="502"/>
      <c r="AM91" s="502"/>
      <c r="AN91" s="502"/>
      <c r="AO91" s="502"/>
      <c r="AP91" s="502"/>
      <c r="AQ91" s="502"/>
      <c r="AR91" s="502"/>
      <c r="AS91" s="502"/>
      <c r="AT91" s="502"/>
      <c r="AU91" s="502"/>
      <c r="AV91" s="502"/>
    </row>
    <row r="92" spans="1:48">
      <c r="A92" s="565"/>
      <c r="B92" s="565"/>
      <c r="C92" s="565"/>
      <c r="D92" s="565"/>
      <c r="E92" s="565"/>
      <c r="F92" s="565"/>
      <c r="G92" s="565"/>
      <c r="H92" s="691"/>
      <c r="I92" s="565"/>
      <c r="J92" s="565"/>
      <c r="K92" s="565"/>
      <c r="L92" s="691"/>
      <c r="M92" s="691"/>
      <c r="N92" s="691"/>
      <c r="O92" s="565"/>
      <c r="P92" s="502"/>
      <c r="Q92" s="502"/>
      <c r="R92" s="502"/>
      <c r="S92" s="502"/>
      <c r="T92" s="502"/>
      <c r="U92" s="502"/>
      <c r="V92" s="502"/>
      <c r="W92" s="502"/>
      <c r="X92" s="502"/>
      <c r="Y92" s="502"/>
      <c r="Z92" s="502"/>
      <c r="AA92" s="502"/>
      <c r="AB92" s="502"/>
      <c r="AC92" s="502"/>
      <c r="AD92" s="502"/>
      <c r="AE92" s="502"/>
      <c r="AF92" s="502"/>
      <c r="AG92" s="502"/>
      <c r="AH92" s="502"/>
      <c r="AI92" s="502"/>
      <c r="AJ92" s="502"/>
      <c r="AK92" s="502"/>
      <c r="AL92" s="502"/>
      <c r="AM92" s="502"/>
      <c r="AN92" s="502"/>
      <c r="AO92" s="502"/>
      <c r="AP92" s="502"/>
      <c r="AQ92" s="502"/>
      <c r="AR92" s="502"/>
      <c r="AS92" s="502"/>
      <c r="AT92" s="502"/>
      <c r="AU92" s="502"/>
      <c r="AV92" s="502"/>
    </row>
    <row r="93" spans="1:48">
      <c r="A93" s="565"/>
      <c r="B93" s="565"/>
      <c r="C93" s="565"/>
      <c r="D93" s="565"/>
      <c r="E93" s="565"/>
      <c r="F93" s="565"/>
      <c r="G93" s="565"/>
      <c r="H93" s="691"/>
      <c r="I93" s="565"/>
      <c r="J93" s="565"/>
      <c r="K93" s="565"/>
      <c r="L93" s="691"/>
      <c r="M93" s="691"/>
      <c r="N93" s="691"/>
      <c r="O93" s="565"/>
      <c r="P93" s="502"/>
      <c r="Q93" s="502"/>
      <c r="R93" s="502"/>
      <c r="S93" s="502"/>
      <c r="T93" s="502"/>
      <c r="U93" s="502"/>
      <c r="V93" s="502"/>
      <c r="W93" s="502"/>
      <c r="X93" s="502"/>
      <c r="Y93" s="502"/>
      <c r="Z93" s="502"/>
      <c r="AA93" s="502"/>
      <c r="AB93" s="502"/>
      <c r="AC93" s="502"/>
      <c r="AD93" s="502"/>
      <c r="AE93" s="502"/>
      <c r="AF93" s="502"/>
      <c r="AG93" s="502"/>
      <c r="AH93" s="502"/>
      <c r="AI93" s="502"/>
      <c r="AJ93" s="502"/>
      <c r="AK93" s="502"/>
      <c r="AL93" s="502"/>
      <c r="AM93" s="502"/>
      <c r="AN93" s="502"/>
      <c r="AO93" s="502"/>
      <c r="AP93" s="502"/>
      <c r="AQ93" s="502"/>
      <c r="AR93" s="502"/>
      <c r="AS93" s="502"/>
      <c r="AT93" s="502"/>
      <c r="AU93" s="502"/>
      <c r="AV93" s="502"/>
    </row>
    <row r="94" spans="1:48">
      <c r="A94" s="565"/>
      <c r="B94" s="565"/>
      <c r="C94" s="565"/>
      <c r="D94" s="565"/>
      <c r="E94" s="565"/>
      <c r="F94" s="565"/>
      <c r="G94" s="565"/>
      <c r="H94" s="691"/>
      <c r="I94" s="565"/>
      <c r="J94" s="565"/>
      <c r="K94" s="565"/>
      <c r="L94" s="691"/>
      <c r="M94" s="691"/>
      <c r="N94" s="691"/>
      <c r="O94" s="565"/>
      <c r="P94" s="502"/>
      <c r="Q94" s="502"/>
      <c r="R94" s="502"/>
      <c r="S94" s="502"/>
      <c r="T94" s="502"/>
      <c r="U94" s="502"/>
      <c r="V94" s="502"/>
      <c r="W94" s="502"/>
      <c r="X94" s="502"/>
      <c r="Y94" s="502"/>
      <c r="Z94" s="502"/>
      <c r="AA94" s="502"/>
      <c r="AB94" s="502"/>
      <c r="AC94" s="502"/>
      <c r="AD94" s="502"/>
      <c r="AE94" s="502"/>
      <c r="AF94" s="502"/>
      <c r="AG94" s="502"/>
      <c r="AH94" s="502"/>
      <c r="AI94" s="502"/>
      <c r="AJ94" s="502"/>
      <c r="AK94" s="502"/>
      <c r="AL94" s="502"/>
      <c r="AM94" s="502"/>
      <c r="AN94" s="502"/>
      <c r="AO94" s="502"/>
      <c r="AP94" s="502"/>
      <c r="AQ94" s="502"/>
      <c r="AR94" s="502"/>
      <c r="AS94" s="502"/>
      <c r="AT94" s="502"/>
      <c r="AU94" s="502"/>
      <c r="AV94" s="502"/>
    </row>
    <row r="95" spans="1:48">
      <c r="A95" s="565"/>
      <c r="B95" s="565"/>
      <c r="C95" s="565"/>
      <c r="D95" s="565"/>
      <c r="E95" s="565"/>
      <c r="F95" s="565"/>
      <c r="G95" s="565"/>
      <c r="H95" s="691"/>
      <c r="I95" s="565"/>
      <c r="J95" s="565"/>
      <c r="K95" s="565"/>
      <c r="L95" s="691"/>
      <c r="M95" s="691"/>
      <c r="N95" s="691"/>
      <c r="O95" s="565"/>
      <c r="P95" s="502"/>
      <c r="Q95" s="502"/>
      <c r="R95" s="502"/>
      <c r="S95" s="502"/>
      <c r="T95" s="502"/>
      <c r="U95" s="502"/>
      <c r="V95" s="502"/>
      <c r="W95" s="502"/>
      <c r="X95" s="502"/>
      <c r="Y95" s="502"/>
      <c r="Z95" s="502"/>
      <c r="AA95" s="502"/>
      <c r="AB95" s="502"/>
      <c r="AC95" s="502"/>
      <c r="AD95" s="502"/>
      <c r="AE95" s="502"/>
      <c r="AF95" s="502"/>
      <c r="AG95" s="502"/>
      <c r="AH95" s="502"/>
      <c r="AI95" s="502"/>
      <c r="AJ95" s="502"/>
      <c r="AK95" s="502"/>
      <c r="AL95" s="502"/>
      <c r="AM95" s="502"/>
      <c r="AN95" s="502"/>
      <c r="AO95" s="502"/>
      <c r="AP95" s="502"/>
      <c r="AQ95" s="502"/>
      <c r="AR95" s="502"/>
      <c r="AS95" s="502"/>
      <c r="AT95" s="502"/>
      <c r="AU95" s="502"/>
      <c r="AV95" s="502"/>
    </row>
    <row r="96" spans="1:48">
      <c r="A96" s="565"/>
      <c r="B96" s="565"/>
      <c r="C96" s="565"/>
      <c r="D96" s="565"/>
      <c r="E96" s="565"/>
      <c r="F96" s="565"/>
      <c r="G96" s="565"/>
      <c r="H96" s="691"/>
      <c r="I96" s="565"/>
      <c r="J96" s="565"/>
      <c r="K96" s="565"/>
      <c r="L96" s="691"/>
      <c r="M96" s="691"/>
      <c r="N96" s="691"/>
      <c r="O96" s="565"/>
      <c r="P96" s="502"/>
      <c r="Q96" s="502"/>
      <c r="R96" s="502"/>
      <c r="S96" s="502"/>
      <c r="T96" s="502"/>
      <c r="U96" s="502"/>
      <c r="V96" s="502"/>
      <c r="W96" s="502"/>
      <c r="X96" s="502"/>
      <c r="Y96" s="502"/>
      <c r="Z96" s="502"/>
      <c r="AA96" s="502"/>
      <c r="AB96" s="502"/>
      <c r="AC96" s="502"/>
      <c r="AD96" s="502"/>
      <c r="AE96" s="502"/>
      <c r="AF96" s="502"/>
      <c r="AG96" s="502"/>
      <c r="AH96" s="502"/>
      <c r="AI96" s="502"/>
      <c r="AJ96" s="502"/>
      <c r="AK96" s="502"/>
      <c r="AL96" s="502"/>
      <c r="AM96" s="502"/>
      <c r="AN96" s="502"/>
      <c r="AO96" s="502"/>
      <c r="AP96" s="502"/>
      <c r="AQ96" s="502"/>
      <c r="AR96" s="502"/>
      <c r="AS96" s="502"/>
      <c r="AT96" s="502"/>
      <c r="AU96" s="502"/>
      <c r="AV96" s="502"/>
    </row>
    <row r="97" spans="1:48">
      <c r="A97" s="565"/>
      <c r="B97" s="565"/>
      <c r="C97" s="565"/>
      <c r="D97" s="565"/>
      <c r="E97" s="565"/>
      <c r="F97" s="565"/>
      <c r="G97" s="565"/>
      <c r="H97" s="691"/>
      <c r="I97" s="565"/>
      <c r="J97" s="565"/>
      <c r="K97" s="565"/>
      <c r="L97" s="691"/>
      <c r="M97" s="691"/>
      <c r="N97" s="691"/>
      <c r="O97" s="565"/>
      <c r="P97" s="502"/>
      <c r="Q97" s="502"/>
      <c r="R97" s="502"/>
      <c r="S97" s="502"/>
      <c r="T97" s="502"/>
      <c r="U97" s="502"/>
      <c r="V97" s="502"/>
      <c r="W97" s="502"/>
      <c r="X97" s="502"/>
      <c r="Y97" s="502"/>
      <c r="Z97" s="502"/>
      <c r="AA97" s="502"/>
      <c r="AB97" s="502"/>
      <c r="AC97" s="502"/>
      <c r="AD97" s="502"/>
      <c r="AE97" s="502"/>
      <c r="AF97" s="502"/>
      <c r="AG97" s="502"/>
      <c r="AH97" s="502"/>
      <c r="AI97" s="502"/>
      <c r="AJ97" s="502"/>
      <c r="AK97" s="502"/>
      <c r="AL97" s="502"/>
      <c r="AM97" s="502"/>
      <c r="AN97" s="502"/>
      <c r="AO97" s="502"/>
      <c r="AP97" s="502"/>
      <c r="AQ97" s="502"/>
      <c r="AR97" s="502"/>
      <c r="AS97" s="502"/>
      <c r="AT97" s="502"/>
      <c r="AU97" s="502"/>
      <c r="AV97" s="502"/>
    </row>
    <row r="98" spans="1:48">
      <c r="A98" s="565"/>
      <c r="B98" s="565"/>
      <c r="C98" s="565"/>
      <c r="D98" s="565"/>
      <c r="E98" s="565"/>
      <c r="F98" s="565"/>
      <c r="G98" s="565"/>
      <c r="H98" s="691"/>
      <c r="I98" s="565"/>
      <c r="J98" s="565"/>
      <c r="K98" s="565"/>
      <c r="L98" s="691"/>
      <c r="M98" s="691"/>
      <c r="N98" s="691"/>
      <c r="O98" s="565"/>
      <c r="P98" s="502"/>
      <c r="Q98" s="502"/>
      <c r="R98" s="502"/>
      <c r="S98" s="502"/>
      <c r="T98" s="502"/>
      <c r="U98" s="502"/>
      <c r="V98" s="502"/>
      <c r="W98" s="502"/>
      <c r="X98" s="502"/>
      <c r="Y98" s="502"/>
      <c r="Z98" s="502"/>
      <c r="AA98" s="502"/>
      <c r="AB98" s="502"/>
      <c r="AC98" s="502"/>
      <c r="AD98" s="502"/>
      <c r="AE98" s="502"/>
      <c r="AF98" s="502"/>
      <c r="AG98" s="502"/>
      <c r="AH98" s="502"/>
      <c r="AI98" s="502"/>
      <c r="AJ98" s="502"/>
      <c r="AK98" s="502"/>
      <c r="AL98" s="502"/>
      <c r="AM98" s="502"/>
      <c r="AN98" s="502"/>
      <c r="AO98" s="502"/>
      <c r="AP98" s="502"/>
      <c r="AQ98" s="502"/>
      <c r="AR98" s="502"/>
      <c r="AS98" s="502"/>
      <c r="AT98" s="502"/>
      <c r="AU98" s="502"/>
      <c r="AV98" s="502"/>
    </row>
    <row r="99" spans="1:48">
      <c r="A99" s="565"/>
      <c r="B99" s="565"/>
      <c r="C99" s="565"/>
      <c r="D99" s="565"/>
      <c r="E99" s="565"/>
      <c r="F99" s="565"/>
      <c r="G99" s="565"/>
      <c r="H99" s="691"/>
      <c r="I99" s="565"/>
      <c r="J99" s="565"/>
      <c r="K99" s="565"/>
      <c r="L99" s="691"/>
      <c r="M99" s="691"/>
      <c r="N99" s="691"/>
      <c r="O99" s="565"/>
      <c r="P99" s="502"/>
      <c r="Q99" s="502"/>
      <c r="R99" s="502"/>
      <c r="S99" s="502"/>
      <c r="T99" s="502"/>
      <c r="U99" s="502"/>
      <c r="V99" s="502"/>
      <c r="W99" s="502"/>
      <c r="X99" s="502"/>
      <c r="Y99" s="502"/>
      <c r="Z99" s="502"/>
      <c r="AA99" s="502"/>
      <c r="AB99" s="502"/>
      <c r="AC99" s="502"/>
      <c r="AD99" s="502"/>
      <c r="AE99" s="502"/>
      <c r="AF99" s="502"/>
      <c r="AG99" s="502"/>
      <c r="AH99" s="502"/>
      <c r="AI99" s="502"/>
      <c r="AJ99" s="502"/>
      <c r="AK99" s="502"/>
      <c r="AL99" s="502"/>
      <c r="AM99" s="502"/>
      <c r="AN99" s="502"/>
      <c r="AO99" s="502"/>
      <c r="AP99" s="502"/>
      <c r="AQ99" s="502"/>
      <c r="AR99" s="502"/>
      <c r="AS99" s="502"/>
      <c r="AT99" s="502"/>
      <c r="AU99" s="502"/>
      <c r="AV99" s="502"/>
    </row>
    <row r="100" spans="1:48">
      <c r="A100" s="565"/>
      <c r="B100" s="565"/>
      <c r="C100" s="565"/>
      <c r="D100" s="565"/>
      <c r="E100" s="565"/>
      <c r="F100" s="565"/>
      <c r="G100" s="565"/>
      <c r="H100" s="691"/>
      <c r="I100" s="565"/>
      <c r="J100" s="565"/>
      <c r="K100" s="565"/>
      <c r="L100" s="691"/>
      <c r="M100" s="691"/>
      <c r="N100" s="691"/>
      <c r="O100" s="565"/>
      <c r="P100" s="502"/>
      <c r="Q100" s="502"/>
      <c r="R100" s="502"/>
      <c r="S100" s="502"/>
      <c r="T100" s="502"/>
      <c r="U100" s="502"/>
      <c r="V100" s="502"/>
      <c r="W100" s="502"/>
      <c r="X100" s="502"/>
      <c r="Y100" s="502"/>
      <c r="Z100" s="502"/>
      <c r="AA100" s="502"/>
      <c r="AB100" s="502"/>
      <c r="AC100" s="502"/>
      <c r="AD100" s="502"/>
      <c r="AE100" s="502"/>
      <c r="AF100" s="502"/>
      <c r="AG100" s="502"/>
      <c r="AH100" s="502"/>
      <c r="AI100" s="502"/>
      <c r="AJ100" s="502"/>
      <c r="AK100" s="502"/>
      <c r="AL100" s="502"/>
      <c r="AM100" s="502"/>
      <c r="AN100" s="502"/>
      <c r="AO100" s="502"/>
      <c r="AP100" s="502"/>
      <c r="AQ100" s="502"/>
      <c r="AR100" s="502"/>
      <c r="AS100" s="502"/>
      <c r="AT100" s="502"/>
      <c r="AU100" s="502"/>
      <c r="AV100" s="502"/>
    </row>
    <row r="101" spans="1:48">
      <c r="A101" s="565"/>
      <c r="B101" s="565"/>
      <c r="C101" s="565"/>
      <c r="D101" s="565"/>
      <c r="E101" s="565"/>
      <c r="F101" s="565"/>
      <c r="G101" s="565"/>
      <c r="H101" s="691"/>
      <c r="I101" s="565"/>
      <c r="J101" s="565"/>
      <c r="K101" s="565"/>
      <c r="L101" s="691"/>
      <c r="M101" s="691"/>
      <c r="N101" s="691"/>
      <c r="O101" s="565"/>
      <c r="P101" s="502"/>
      <c r="Q101" s="502"/>
      <c r="R101" s="502"/>
      <c r="S101" s="502"/>
      <c r="T101" s="502"/>
      <c r="U101" s="502"/>
      <c r="V101" s="502"/>
      <c r="W101" s="502"/>
      <c r="X101" s="502"/>
      <c r="Y101" s="502"/>
      <c r="Z101" s="502"/>
      <c r="AA101" s="502"/>
      <c r="AB101" s="502"/>
      <c r="AC101" s="502"/>
      <c r="AD101" s="502"/>
      <c r="AE101" s="502"/>
      <c r="AF101" s="502"/>
      <c r="AG101" s="502"/>
      <c r="AH101" s="502"/>
      <c r="AI101" s="502"/>
      <c r="AJ101" s="502"/>
      <c r="AK101" s="502"/>
      <c r="AL101" s="502"/>
      <c r="AM101" s="502"/>
      <c r="AN101" s="502"/>
      <c r="AO101" s="502"/>
      <c r="AP101" s="502"/>
      <c r="AQ101" s="502"/>
      <c r="AR101" s="502"/>
      <c r="AS101" s="502"/>
      <c r="AT101" s="502"/>
      <c r="AU101" s="502"/>
      <c r="AV101" s="502"/>
    </row>
    <row r="102" spans="1:48">
      <c r="A102" s="565"/>
      <c r="B102" s="565"/>
      <c r="C102" s="565"/>
      <c r="D102" s="565"/>
      <c r="E102" s="565"/>
      <c r="F102" s="565"/>
      <c r="G102" s="565"/>
      <c r="H102" s="691"/>
      <c r="I102" s="565"/>
      <c r="J102" s="565"/>
      <c r="K102" s="565"/>
      <c r="L102" s="691"/>
      <c r="M102" s="691"/>
      <c r="N102" s="691"/>
      <c r="O102" s="565"/>
      <c r="P102" s="502"/>
      <c r="Q102" s="502"/>
      <c r="R102" s="502"/>
      <c r="S102" s="502"/>
      <c r="T102" s="502"/>
      <c r="U102" s="502"/>
      <c r="V102" s="502"/>
      <c r="W102" s="502"/>
      <c r="X102" s="502"/>
      <c r="Y102" s="502"/>
      <c r="Z102" s="502"/>
      <c r="AA102" s="502"/>
      <c r="AB102" s="502"/>
      <c r="AC102" s="502"/>
      <c r="AD102" s="502"/>
      <c r="AE102" s="502"/>
      <c r="AF102" s="502"/>
      <c r="AG102" s="502"/>
      <c r="AH102" s="502"/>
      <c r="AI102" s="502"/>
      <c r="AJ102" s="502"/>
      <c r="AK102" s="502"/>
      <c r="AL102" s="502"/>
      <c r="AM102" s="502"/>
      <c r="AN102" s="502"/>
      <c r="AO102" s="502"/>
      <c r="AP102" s="502"/>
      <c r="AQ102" s="502"/>
      <c r="AR102" s="502"/>
      <c r="AS102" s="502"/>
      <c r="AT102" s="502"/>
      <c r="AU102" s="502"/>
      <c r="AV102" s="502"/>
    </row>
    <row r="103" spans="1:48">
      <c r="A103" s="565"/>
      <c r="B103" s="565"/>
      <c r="C103" s="565"/>
      <c r="D103" s="565"/>
      <c r="E103" s="565"/>
      <c r="F103" s="565"/>
      <c r="G103" s="565"/>
      <c r="H103" s="691"/>
      <c r="I103" s="565"/>
      <c r="J103" s="565"/>
      <c r="K103" s="565"/>
      <c r="L103" s="691"/>
      <c r="M103" s="691"/>
      <c r="N103" s="691"/>
      <c r="O103" s="565"/>
      <c r="P103" s="502"/>
      <c r="Q103" s="502"/>
      <c r="R103" s="502"/>
      <c r="S103" s="502"/>
      <c r="T103" s="502"/>
      <c r="U103" s="502"/>
      <c r="V103" s="502"/>
      <c r="W103" s="502"/>
      <c r="X103" s="502"/>
      <c r="Y103" s="502"/>
      <c r="Z103" s="502"/>
      <c r="AA103" s="502"/>
      <c r="AB103" s="502"/>
      <c r="AC103" s="502"/>
      <c r="AD103" s="502"/>
      <c r="AE103" s="502"/>
      <c r="AF103" s="502"/>
      <c r="AG103" s="502"/>
      <c r="AH103" s="502"/>
      <c r="AI103" s="502"/>
      <c r="AJ103" s="502"/>
      <c r="AK103" s="502"/>
      <c r="AL103" s="502"/>
      <c r="AM103" s="502"/>
      <c r="AN103" s="502"/>
      <c r="AO103" s="502"/>
      <c r="AP103" s="502"/>
      <c r="AQ103" s="502"/>
      <c r="AR103" s="502"/>
      <c r="AS103" s="502"/>
      <c r="AT103" s="502"/>
      <c r="AU103" s="502"/>
      <c r="AV103" s="502"/>
    </row>
    <row r="104" spans="1:48">
      <c r="A104" s="565"/>
      <c r="B104" s="565"/>
      <c r="C104" s="565"/>
      <c r="D104" s="565"/>
      <c r="E104" s="565"/>
      <c r="F104" s="565"/>
      <c r="G104" s="565"/>
      <c r="H104" s="691"/>
      <c r="I104" s="565"/>
      <c r="J104" s="565"/>
      <c r="K104" s="565"/>
      <c r="L104" s="691"/>
      <c r="M104" s="691"/>
      <c r="N104" s="691"/>
      <c r="O104" s="565"/>
      <c r="P104" s="502"/>
      <c r="Q104" s="502"/>
      <c r="R104" s="502"/>
      <c r="S104" s="502"/>
      <c r="T104" s="502"/>
      <c r="U104" s="502"/>
      <c r="V104" s="502"/>
      <c r="W104" s="502"/>
      <c r="X104" s="502"/>
      <c r="Y104" s="502"/>
      <c r="Z104" s="502"/>
      <c r="AA104" s="502"/>
      <c r="AB104" s="502"/>
      <c r="AC104" s="502"/>
      <c r="AD104" s="502"/>
      <c r="AE104" s="502"/>
      <c r="AF104" s="502"/>
      <c r="AG104" s="502"/>
      <c r="AH104" s="502"/>
      <c r="AI104" s="502"/>
      <c r="AJ104" s="502"/>
      <c r="AK104" s="502"/>
      <c r="AL104" s="502"/>
      <c r="AM104" s="502"/>
      <c r="AN104" s="502"/>
      <c r="AO104" s="502"/>
      <c r="AP104" s="502"/>
      <c r="AQ104" s="502"/>
      <c r="AR104" s="502"/>
      <c r="AS104" s="502"/>
      <c r="AT104" s="502"/>
      <c r="AU104" s="502"/>
      <c r="AV104" s="502"/>
    </row>
    <row r="105" spans="1:48">
      <c r="A105" s="558"/>
      <c r="B105" s="558"/>
      <c r="C105" s="558"/>
      <c r="D105" s="558"/>
      <c r="E105" s="558"/>
      <c r="F105" s="558"/>
      <c r="G105" s="558"/>
      <c r="H105" s="692"/>
      <c r="I105" s="558"/>
      <c r="J105" s="558"/>
      <c r="K105" s="558"/>
      <c r="L105" s="692"/>
      <c r="M105" s="692"/>
      <c r="N105" s="692"/>
      <c r="O105" s="558"/>
      <c r="P105" s="502"/>
      <c r="Q105" s="502"/>
      <c r="R105" s="502"/>
      <c r="S105" s="502"/>
      <c r="T105" s="502"/>
      <c r="U105" s="502"/>
      <c r="V105" s="502"/>
      <c r="W105" s="502"/>
      <c r="X105" s="502"/>
      <c r="Y105" s="502"/>
      <c r="Z105" s="502"/>
      <c r="AA105" s="502"/>
      <c r="AB105" s="502"/>
      <c r="AC105" s="502"/>
      <c r="AD105" s="502"/>
      <c r="AE105" s="502"/>
      <c r="AF105" s="502"/>
      <c r="AG105" s="502"/>
      <c r="AH105" s="502"/>
      <c r="AI105" s="502"/>
      <c r="AJ105" s="502"/>
      <c r="AK105" s="502"/>
      <c r="AL105" s="502"/>
      <c r="AM105" s="502"/>
      <c r="AN105" s="502"/>
      <c r="AO105" s="502"/>
      <c r="AP105" s="502"/>
      <c r="AQ105" s="502"/>
      <c r="AR105" s="502"/>
      <c r="AS105" s="502"/>
      <c r="AT105" s="502"/>
      <c r="AU105" s="502"/>
      <c r="AV105" s="502"/>
    </row>
    <row r="106" spans="1:48">
      <c r="A106" s="558"/>
      <c r="B106" s="558"/>
      <c r="C106" s="558"/>
      <c r="D106" s="558"/>
      <c r="E106" s="558"/>
      <c r="F106" s="558"/>
      <c r="G106" s="558"/>
      <c r="H106" s="692"/>
      <c r="I106" s="558"/>
      <c r="J106" s="558"/>
      <c r="K106" s="558"/>
      <c r="L106" s="692"/>
      <c r="M106" s="692"/>
      <c r="N106" s="692"/>
      <c r="O106" s="558"/>
      <c r="P106" s="502"/>
      <c r="Q106" s="502"/>
      <c r="R106" s="502"/>
      <c r="S106" s="502"/>
      <c r="T106" s="502"/>
      <c r="U106" s="502"/>
      <c r="V106" s="502"/>
      <c r="W106" s="502"/>
      <c r="X106" s="502"/>
      <c r="Y106" s="502"/>
      <c r="Z106" s="502"/>
      <c r="AA106" s="502"/>
      <c r="AB106" s="502"/>
      <c r="AC106" s="502"/>
      <c r="AD106" s="502"/>
      <c r="AE106" s="502"/>
      <c r="AF106" s="502"/>
      <c r="AG106" s="502"/>
      <c r="AH106" s="502"/>
      <c r="AI106" s="502"/>
      <c r="AJ106" s="502"/>
      <c r="AK106" s="502"/>
      <c r="AL106" s="502"/>
      <c r="AM106" s="502"/>
      <c r="AN106" s="502"/>
      <c r="AO106" s="502"/>
      <c r="AP106" s="502"/>
      <c r="AQ106" s="502"/>
      <c r="AR106" s="502"/>
      <c r="AS106" s="502"/>
      <c r="AT106" s="502"/>
      <c r="AU106" s="502"/>
      <c r="AV106" s="502"/>
    </row>
    <row r="107" spans="1:48">
      <c r="A107" s="558"/>
      <c r="B107" s="558"/>
      <c r="C107" s="558"/>
      <c r="D107" s="558"/>
      <c r="E107" s="558"/>
      <c r="F107" s="558"/>
      <c r="G107" s="558"/>
      <c r="H107" s="692"/>
      <c r="I107" s="558"/>
      <c r="J107" s="558"/>
      <c r="K107" s="558"/>
      <c r="L107" s="692"/>
      <c r="M107" s="692"/>
      <c r="N107" s="692"/>
      <c r="O107" s="558"/>
      <c r="P107" s="502"/>
      <c r="Q107" s="502"/>
      <c r="R107" s="502"/>
      <c r="S107" s="502"/>
      <c r="T107" s="502"/>
      <c r="U107" s="502"/>
      <c r="V107" s="502"/>
      <c r="W107" s="502"/>
      <c r="X107" s="502"/>
      <c r="Y107" s="502"/>
      <c r="Z107" s="502"/>
      <c r="AA107" s="502"/>
      <c r="AB107" s="502"/>
      <c r="AC107" s="502"/>
      <c r="AD107" s="502"/>
      <c r="AE107" s="502"/>
      <c r="AF107" s="502"/>
      <c r="AG107" s="502"/>
      <c r="AH107" s="502"/>
      <c r="AI107" s="502"/>
      <c r="AJ107" s="502"/>
      <c r="AK107" s="502"/>
      <c r="AL107" s="502"/>
      <c r="AM107" s="502"/>
      <c r="AN107" s="502"/>
      <c r="AO107" s="502"/>
      <c r="AP107" s="502"/>
      <c r="AQ107" s="502"/>
      <c r="AR107" s="502"/>
      <c r="AS107" s="502"/>
      <c r="AT107" s="502"/>
      <c r="AU107" s="502"/>
      <c r="AV107" s="502"/>
    </row>
    <row r="108" spans="1:48">
      <c r="A108" s="558"/>
      <c r="B108" s="558"/>
      <c r="C108" s="558"/>
      <c r="D108" s="558"/>
      <c r="E108" s="558"/>
      <c r="F108" s="558"/>
      <c r="G108" s="558"/>
      <c r="H108" s="692"/>
      <c r="I108" s="558"/>
      <c r="J108" s="558"/>
      <c r="K108" s="558"/>
      <c r="L108" s="692"/>
      <c r="M108" s="692"/>
      <c r="N108" s="692"/>
      <c r="O108" s="558"/>
      <c r="P108" s="502"/>
      <c r="Q108" s="502"/>
      <c r="R108" s="502"/>
      <c r="S108" s="502"/>
      <c r="T108" s="502"/>
      <c r="U108" s="502"/>
      <c r="V108" s="502"/>
      <c r="W108" s="502"/>
      <c r="X108" s="502"/>
      <c r="Y108" s="502"/>
      <c r="Z108" s="502"/>
      <c r="AA108" s="502"/>
      <c r="AB108" s="502"/>
      <c r="AC108" s="502"/>
      <c r="AD108" s="502"/>
      <c r="AE108" s="502"/>
      <c r="AF108" s="502"/>
      <c r="AG108" s="502"/>
      <c r="AH108" s="502"/>
      <c r="AI108" s="502"/>
      <c r="AJ108" s="502"/>
      <c r="AK108" s="502"/>
      <c r="AL108" s="502"/>
      <c r="AM108" s="502"/>
      <c r="AN108" s="502"/>
      <c r="AO108" s="502"/>
      <c r="AP108" s="502"/>
      <c r="AQ108" s="502"/>
      <c r="AR108" s="502"/>
      <c r="AS108" s="502"/>
      <c r="AT108" s="502"/>
      <c r="AU108" s="502"/>
      <c r="AV108" s="502"/>
    </row>
  </sheetData>
  <sheetProtection selectLockedCells="1" selectUnlockedCells="1"/>
  <mergeCells count="32">
    <mergeCell ref="A3:F3"/>
    <mergeCell ref="A4:O4"/>
    <mergeCell ref="H3:I3"/>
    <mergeCell ref="K3:L3"/>
    <mergeCell ref="A1:O1"/>
    <mergeCell ref="A2:F2"/>
    <mergeCell ref="H2:I2"/>
    <mergeCell ref="K2:L2"/>
    <mergeCell ref="O5:O6"/>
    <mergeCell ref="I5:J5"/>
    <mergeCell ref="A29:B30"/>
    <mergeCell ref="C29:E29"/>
    <mergeCell ref="C30:O30"/>
    <mergeCell ref="A28:B28"/>
    <mergeCell ref="K5:K6"/>
    <mergeCell ref="L5:N5"/>
    <mergeCell ref="A31:B31"/>
    <mergeCell ref="C31:G31"/>
    <mergeCell ref="A5:A6"/>
    <mergeCell ref="H5:H6"/>
    <mergeCell ref="B5:E5"/>
    <mergeCell ref="F5:F6"/>
    <mergeCell ref="G5:G6"/>
    <mergeCell ref="K33:O33"/>
    <mergeCell ref="P13:T21"/>
    <mergeCell ref="P23:T28"/>
    <mergeCell ref="H28:O28"/>
    <mergeCell ref="F29:O29"/>
    <mergeCell ref="P29:T30"/>
    <mergeCell ref="C28:G28"/>
    <mergeCell ref="H31:O31"/>
    <mergeCell ref="P31:T31"/>
  </mergeCells>
  <phoneticPr fontId="51" type="noConversion"/>
  <dataValidations count="3">
    <dataValidation allowBlank="1" showErrorMessage="1" promptTitle="存在调整事项时" prompt="_x000a_选择 “E”" sqref="F29:O29">
      <formula1>0</formula1>
      <formula2>0</formula2>
    </dataValidation>
    <dataValidation type="list" allowBlank="1" showErrorMessage="1" sqref="H2:I2">
      <formula1>编制列表</formula1>
      <formula2>0</formula2>
    </dataValidation>
    <dataValidation type="date" operator="lessThanOrEqual" allowBlank="1" showInputMessage="1" showErrorMessage="1" errorTitle="日期超出范围" error="起摊日期超过审核截止日，请核对。" promptTitle="输入格式" prompt="yyyy-mm-dd_x000a_如2010-12-31" sqref="B7:B27">
      <formula1>DATE(本年度,截止月,截止日)</formula1>
      <formula2>0</formula2>
    </dataValidation>
  </dataValidations>
  <hyperlinks>
    <hyperlink ref="P6" location="事项说明!A1" display="事项说明"/>
    <hyperlink ref="P7" location="资产折旧纳税调整表!a1" display="资产折旧纳税调整表"/>
    <hyperlink ref="P8" location="纳税调整明细表!G46" display="纳税调整明细表"/>
    <hyperlink ref="P9" location="管理费用!A1" display="管理费用审核表"/>
    <hyperlink ref="P10"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O35"/>
  <sheetViews>
    <sheetView workbookViewId="0">
      <selection activeCell="H13" sqref="H13:O19"/>
    </sheetView>
  </sheetViews>
  <sheetFormatPr defaultRowHeight="15.6"/>
  <cols>
    <col min="1" max="1" width="4.8984375" customWidth="1"/>
    <col min="2" max="2" width="6.19921875" customWidth="1"/>
    <col min="3" max="3" width="23.3984375" customWidth="1"/>
    <col min="4" max="6" width="11.69921875" customWidth="1"/>
    <col min="7" max="7" width="12.19921875" customWidth="1"/>
  </cols>
  <sheetData>
    <row r="1" spans="1:15" ht="22.2">
      <c r="A1" s="2729" t="s">
        <v>1461</v>
      </c>
      <c r="B1" s="2729"/>
      <c r="C1" s="2729"/>
      <c r="D1" s="2729"/>
      <c r="E1" s="2729"/>
      <c r="F1" s="2729"/>
      <c r="G1" s="2729"/>
      <c r="H1" s="693"/>
      <c r="I1" s="693"/>
      <c r="J1" s="84"/>
      <c r="K1" s="84"/>
      <c r="L1" s="84"/>
      <c r="M1" s="84"/>
      <c r="N1" s="84"/>
      <c r="O1" s="84"/>
    </row>
    <row r="2" spans="1:15">
      <c r="A2" s="2729"/>
      <c r="B2" s="2729"/>
      <c r="C2" s="2729"/>
      <c r="D2" s="2729"/>
      <c r="E2" s="2729"/>
      <c r="F2" s="2729"/>
      <c r="G2" s="2729"/>
      <c r="H2" s="84"/>
      <c r="I2" s="84"/>
      <c r="J2" s="84"/>
      <c r="K2" s="84"/>
      <c r="L2" s="84"/>
      <c r="M2" s="84"/>
      <c r="N2" s="84"/>
      <c r="O2" s="84"/>
    </row>
    <row r="3" spans="1:15">
      <c r="A3" s="3223" t="str">
        <f>"委托单位："&amp;基本情况!B2</f>
        <v>委托单位：0</v>
      </c>
      <c r="B3" s="3223"/>
      <c r="C3" s="3223"/>
      <c r="D3" s="509"/>
      <c r="E3" s="136" t="s">
        <v>448</v>
      </c>
      <c r="F3" s="136" t="s">
        <v>449</v>
      </c>
      <c r="G3" s="485" t="s">
        <v>283</v>
      </c>
      <c r="H3" s="84"/>
      <c r="I3" s="84"/>
      <c r="J3" s="84"/>
      <c r="K3" s="84"/>
      <c r="L3" s="84"/>
      <c r="M3" s="84"/>
      <c r="N3" s="84"/>
      <c r="O3" s="84"/>
    </row>
    <row r="4" spans="1:15" ht="17.25" customHeight="1">
      <c r="A4" s="3223"/>
      <c r="B4" s="3223"/>
      <c r="C4" s="3223"/>
      <c r="D4" s="158" t="s">
        <v>450</v>
      </c>
      <c r="E4" s="510">
        <f>基本情况!B12</f>
        <v>0</v>
      </c>
      <c r="F4" s="559" t="str">
        <f>TEXT(基本情况!B21,"yyyy-mm-dd")</f>
        <v>2017-03-16</v>
      </c>
      <c r="G4" s="3138" t="str">
        <f>档案索引!A39</f>
        <v>2A-19</v>
      </c>
      <c r="H4" s="84"/>
      <c r="I4" s="84"/>
      <c r="J4" s="84"/>
      <c r="K4" s="84"/>
      <c r="L4" s="84"/>
      <c r="M4" s="84"/>
      <c r="N4" s="84"/>
      <c r="O4" s="84"/>
    </row>
    <row r="5" spans="1:15" ht="17.25" customHeight="1">
      <c r="A5" s="3224" t="str">
        <f>"会计期间："&amp;基本情况!B7</f>
        <v>会计期间：2016年01月01日至2016年12月31日</v>
      </c>
      <c r="B5" s="3224"/>
      <c r="C5" s="3224"/>
      <c r="D5" s="140" t="s">
        <v>452</v>
      </c>
      <c r="E5" s="513">
        <f>基本情况!B11</f>
        <v>0</v>
      </c>
      <c r="F5" s="513" t="str">
        <f>TEXT(基本情况!B22,"yyyy-mm-dd")</f>
        <v>2017-05-04</v>
      </c>
      <c r="G5" s="3138"/>
      <c r="H5" s="84"/>
      <c r="I5" s="84"/>
      <c r="J5" s="84"/>
      <c r="K5" s="84"/>
      <c r="L5" s="84"/>
      <c r="M5" s="84"/>
      <c r="N5" s="84"/>
      <c r="O5" s="84"/>
    </row>
    <row r="6" spans="1:15" ht="7.5" customHeight="1">
      <c r="A6" s="2955"/>
      <c r="B6" s="2955"/>
      <c r="C6" s="2955"/>
      <c r="D6" s="2955"/>
      <c r="E6" s="2955"/>
      <c r="F6" s="2955"/>
      <c r="G6" s="2955"/>
      <c r="H6" s="84"/>
      <c r="I6" s="84"/>
      <c r="J6" s="84"/>
      <c r="K6" s="84"/>
      <c r="L6" s="84"/>
      <c r="M6" s="84"/>
      <c r="N6" s="84"/>
      <c r="O6" s="84"/>
    </row>
    <row r="7" spans="1:15" ht="20.25" customHeight="1">
      <c r="A7" s="135" t="s">
        <v>645</v>
      </c>
      <c r="B7" s="2929" t="s">
        <v>665</v>
      </c>
      <c r="C7" s="2929"/>
      <c r="D7" s="136" t="s">
        <v>1331</v>
      </c>
      <c r="E7" s="136" t="s">
        <v>1300</v>
      </c>
      <c r="F7" s="136" t="s">
        <v>1462</v>
      </c>
      <c r="G7" s="485" t="s">
        <v>1463</v>
      </c>
      <c r="H7" s="84" t="s">
        <v>395</v>
      </c>
      <c r="I7" s="84"/>
      <c r="J7" s="84"/>
      <c r="K7" s="84"/>
      <c r="L7" s="84"/>
      <c r="M7" s="84"/>
      <c r="N7" s="84"/>
      <c r="O7" s="84"/>
    </row>
    <row r="8" spans="1:15" ht="20.100000000000001" customHeight="1">
      <c r="A8" s="143">
        <v>1</v>
      </c>
      <c r="B8" s="3220" t="s">
        <v>1464</v>
      </c>
      <c r="C8" s="3220"/>
      <c r="D8" s="1120">
        <f>G24</f>
        <v>0</v>
      </c>
      <c r="E8" s="1134">
        <f>MIN(社保明细工资人数!B21,D8)</f>
        <v>0</v>
      </c>
      <c r="F8" s="525">
        <f>MAX(0,D8-E8)</f>
        <v>0</v>
      </c>
      <c r="G8" s="694" t="s">
        <v>509</v>
      </c>
      <c r="H8" s="84"/>
      <c r="I8" s="84"/>
      <c r="J8" s="84"/>
      <c r="K8" s="84"/>
      <c r="L8" s="84"/>
      <c r="M8" s="84"/>
      <c r="N8" s="84"/>
      <c r="O8" s="84"/>
    </row>
    <row r="9" spans="1:15" ht="20.100000000000001" customHeight="1">
      <c r="A9" s="143">
        <v>2</v>
      </c>
      <c r="B9" s="3220" t="s">
        <v>1465</v>
      </c>
      <c r="C9" s="3220"/>
      <c r="D9" s="526" t="s">
        <v>509</v>
      </c>
      <c r="E9" s="526" t="s">
        <v>509</v>
      </c>
      <c r="F9" s="526" t="s">
        <v>509</v>
      </c>
      <c r="G9" s="694" t="s">
        <v>509</v>
      </c>
      <c r="H9" s="3219" t="s">
        <v>1466</v>
      </c>
      <c r="I9" s="3219"/>
      <c r="J9" s="3219"/>
      <c r="K9" s="3219"/>
      <c r="L9" s="84"/>
      <c r="M9" s="84"/>
      <c r="N9" s="84"/>
      <c r="O9" s="84"/>
    </row>
    <row r="10" spans="1:15" ht="20.100000000000001" customHeight="1">
      <c r="A10" s="143">
        <v>3</v>
      </c>
      <c r="B10" s="3220" t="s">
        <v>1467</v>
      </c>
      <c r="C10" s="3220"/>
      <c r="D10" s="526" t="s">
        <v>509</v>
      </c>
      <c r="E10" s="526" t="s">
        <v>509</v>
      </c>
      <c r="F10" s="526" t="s">
        <v>509</v>
      </c>
      <c r="G10" s="694" t="s">
        <v>509</v>
      </c>
      <c r="H10" s="84"/>
      <c r="I10" s="84"/>
      <c r="J10" s="84"/>
      <c r="K10" s="84"/>
      <c r="L10" s="84"/>
      <c r="M10" s="84"/>
      <c r="N10" s="84"/>
      <c r="O10" s="84"/>
    </row>
    <row r="11" spans="1:15" ht="20.100000000000001" customHeight="1">
      <c r="A11" s="143">
        <v>4</v>
      </c>
      <c r="B11" s="3220" t="s">
        <v>1468</v>
      </c>
      <c r="C11" s="3220"/>
      <c r="D11" s="526" t="s">
        <v>509</v>
      </c>
      <c r="E11" s="526" t="s">
        <v>509</v>
      </c>
      <c r="F11" s="526" t="s">
        <v>509</v>
      </c>
      <c r="G11" s="694" t="s">
        <v>509</v>
      </c>
      <c r="H11" s="3219" t="s">
        <v>324</v>
      </c>
      <c r="I11" s="3219"/>
      <c r="J11" s="3219"/>
      <c r="K11" s="84"/>
      <c r="L11" s="84"/>
      <c r="M11" s="84"/>
      <c r="N11" s="84"/>
      <c r="O11" s="84"/>
    </row>
    <row r="12" spans="1:15" ht="19.5" customHeight="1">
      <c r="A12" s="143">
        <v>5</v>
      </c>
      <c r="B12" s="3220" t="s">
        <v>1469</v>
      </c>
      <c r="C12" s="3220"/>
      <c r="D12" s="526" t="s">
        <v>509</v>
      </c>
      <c r="E12" s="526" t="s">
        <v>509</v>
      </c>
      <c r="F12" s="526" t="s">
        <v>509</v>
      </c>
      <c r="G12" s="694" t="s">
        <v>509</v>
      </c>
      <c r="H12" s="84"/>
      <c r="I12" s="84"/>
      <c r="J12" s="84"/>
      <c r="K12" s="84"/>
      <c r="L12" s="84"/>
      <c r="M12" s="84"/>
      <c r="N12" s="84"/>
      <c r="O12" s="84"/>
    </row>
    <row r="13" spans="1:15" ht="20.100000000000001" customHeight="1">
      <c r="A13" s="143">
        <v>6</v>
      </c>
      <c r="B13" s="3220" t="s">
        <v>1470</v>
      </c>
      <c r="C13" s="3220"/>
      <c r="D13" s="526" t="s">
        <v>509</v>
      </c>
      <c r="E13" s="526" t="s">
        <v>509</v>
      </c>
      <c r="F13" s="526" t="s">
        <v>509</v>
      </c>
      <c r="G13" s="694" t="s">
        <v>509</v>
      </c>
      <c r="H13" s="3107" t="s">
        <v>10092</v>
      </c>
      <c r="I13" s="3107"/>
      <c r="J13" s="3107"/>
      <c r="K13" s="3107"/>
      <c r="L13" s="3107"/>
      <c r="M13" s="3107"/>
      <c r="N13" s="3107"/>
      <c r="O13" s="3107"/>
    </row>
    <row r="14" spans="1:15" ht="20.100000000000001" customHeight="1">
      <c r="A14" s="143">
        <v>7</v>
      </c>
      <c r="B14" s="3220" t="s">
        <v>1471</v>
      </c>
      <c r="C14" s="3220"/>
      <c r="D14" s="1682">
        <f>D15+D16</f>
        <v>0</v>
      </c>
      <c r="E14" s="1135">
        <f>E15+E16</f>
        <v>0</v>
      </c>
      <c r="F14" s="525">
        <f t="shared" ref="F14:F19" si="0">MAX(0,D14-E14)</f>
        <v>0</v>
      </c>
      <c r="G14" s="694" t="s">
        <v>509</v>
      </c>
      <c r="H14" s="3107"/>
      <c r="I14" s="3107"/>
      <c r="J14" s="3107"/>
      <c r="K14" s="3107"/>
      <c r="L14" s="3107"/>
      <c r="M14" s="3107"/>
      <c r="N14" s="3107"/>
      <c r="O14" s="3107"/>
    </row>
    <row r="15" spans="1:15" ht="20.100000000000001" customHeight="1">
      <c r="A15" s="143">
        <v>8</v>
      </c>
      <c r="B15" s="3220" t="s">
        <v>1472</v>
      </c>
      <c r="C15" s="3220"/>
      <c r="D15" s="1682">
        <f>社保明细工资人数!B36</f>
        <v>0</v>
      </c>
      <c r="E15" s="1134">
        <f>MIN(社保明细工资人数!B36,工资福利!C17*0.05)</f>
        <v>0</v>
      </c>
      <c r="F15" s="525">
        <f t="shared" si="0"/>
        <v>0</v>
      </c>
      <c r="G15" s="694" t="s">
        <v>509</v>
      </c>
      <c r="H15" s="3107"/>
      <c r="I15" s="3107"/>
      <c r="J15" s="3107"/>
      <c r="K15" s="3107"/>
      <c r="L15" s="3107"/>
      <c r="M15" s="3107"/>
      <c r="N15" s="3107"/>
      <c r="O15" s="3107"/>
    </row>
    <row r="16" spans="1:15" ht="20.100000000000001" customHeight="1">
      <c r="A16" s="143">
        <v>9</v>
      </c>
      <c r="B16" s="3220" t="s">
        <v>1473</v>
      </c>
      <c r="C16" s="3220"/>
      <c r="D16" s="1682">
        <f>社保明细工资人数!F36</f>
        <v>0</v>
      </c>
      <c r="E16" s="1134">
        <f>MIN(社保明细工资人数!F36,工资福利!C17*0.05)</f>
        <v>0</v>
      </c>
      <c r="F16" s="525">
        <f t="shared" si="0"/>
        <v>0</v>
      </c>
      <c r="G16" s="694" t="s">
        <v>509</v>
      </c>
      <c r="H16" s="3107"/>
      <c r="I16" s="3107"/>
      <c r="J16" s="3107"/>
      <c r="K16" s="3107"/>
      <c r="L16" s="3107"/>
      <c r="M16" s="3107"/>
      <c r="N16" s="3107"/>
      <c r="O16" s="3107"/>
    </row>
    <row r="17" spans="1:15" ht="20.100000000000001" customHeight="1">
      <c r="A17" s="143">
        <v>10</v>
      </c>
      <c r="B17" s="3220" t="s">
        <v>1474</v>
      </c>
      <c r="C17" s="3220"/>
      <c r="D17" s="1120">
        <f>G27</f>
        <v>0</v>
      </c>
      <c r="E17" s="1134">
        <f>社保明细工资人数!F21</f>
        <v>0</v>
      </c>
      <c r="F17" s="525">
        <f t="shared" si="0"/>
        <v>0</v>
      </c>
      <c r="G17" s="694" t="s">
        <v>509</v>
      </c>
      <c r="H17" s="3107"/>
      <c r="I17" s="3107"/>
      <c r="J17" s="3107"/>
      <c r="K17" s="3107"/>
      <c r="L17" s="3107"/>
      <c r="M17" s="3107"/>
      <c r="N17" s="3107"/>
      <c r="O17" s="3107"/>
    </row>
    <row r="18" spans="1:15" ht="20.100000000000001" customHeight="1">
      <c r="A18" s="143">
        <v>11</v>
      </c>
      <c r="B18" s="3220" t="s">
        <v>6097</v>
      </c>
      <c r="C18" s="3220"/>
      <c r="D18" s="1120"/>
      <c r="E18" s="1120"/>
      <c r="F18" s="525">
        <f t="shared" si="0"/>
        <v>0</v>
      </c>
      <c r="G18" s="694" t="s">
        <v>509</v>
      </c>
      <c r="H18" s="3107"/>
      <c r="I18" s="3107"/>
      <c r="J18" s="3107"/>
      <c r="K18" s="3107"/>
      <c r="L18" s="3107"/>
      <c r="M18" s="3107"/>
      <c r="N18" s="3107"/>
      <c r="O18" s="3107"/>
    </row>
    <row r="19" spans="1:15" ht="20.100000000000001" customHeight="1">
      <c r="A19" s="695">
        <v>12</v>
      </c>
      <c r="B19" s="3221"/>
      <c r="C19" s="3221"/>
      <c r="D19" s="1122"/>
      <c r="E19" s="1122"/>
      <c r="F19" s="525">
        <f t="shared" si="0"/>
        <v>0</v>
      </c>
      <c r="G19" s="694" t="s">
        <v>509</v>
      </c>
      <c r="H19" s="3107"/>
      <c r="I19" s="3107"/>
      <c r="J19" s="3107"/>
      <c r="K19" s="3107"/>
      <c r="L19" s="3107"/>
      <c r="M19" s="3107"/>
      <c r="N19" s="3107"/>
      <c r="O19" s="3107"/>
    </row>
    <row r="20" spans="1:15" ht="22.5" customHeight="1">
      <c r="A20" s="3051" t="s">
        <v>702</v>
      </c>
      <c r="B20" s="3051"/>
      <c r="C20" s="3051"/>
      <c r="D20" s="697">
        <f>D8+D14+D17+D18</f>
        <v>0</v>
      </c>
      <c r="E20" s="697">
        <f>E8+E14+E17+E18</f>
        <v>0</v>
      </c>
      <c r="F20" s="697">
        <f>F8+F14+F17+F18</f>
        <v>0</v>
      </c>
      <c r="G20" s="698"/>
      <c r="H20" s="523"/>
      <c r="I20" s="592"/>
      <c r="J20" s="592"/>
      <c r="K20" s="592"/>
      <c r="L20" s="592"/>
      <c r="M20" s="592"/>
      <c r="N20" s="592"/>
      <c r="O20" s="592"/>
    </row>
    <row r="21" spans="1:15" s="558" customFormat="1" ht="20.25" customHeight="1">
      <c r="A21" s="3222" t="s">
        <v>1475</v>
      </c>
      <c r="B21" s="3222"/>
      <c r="C21" s="3222"/>
      <c r="D21" s="3222"/>
      <c r="E21" s="3222"/>
      <c r="F21" s="3222"/>
      <c r="G21" s="3222"/>
      <c r="H21" s="557"/>
      <c r="I21" s="557"/>
      <c r="J21" s="557"/>
      <c r="K21" s="557"/>
      <c r="L21" s="557"/>
      <c r="M21" s="557"/>
      <c r="N21" s="557"/>
      <c r="O21" s="557"/>
    </row>
    <row r="22" spans="1:15" s="558" customFormat="1" ht="19.5" customHeight="1">
      <c r="A22" s="3212" t="s">
        <v>1476</v>
      </c>
      <c r="B22" s="3212"/>
      <c r="C22" s="3212"/>
      <c r="D22" s="3212"/>
      <c r="E22" s="3212"/>
      <c r="F22" s="3212"/>
      <c r="G22" s="3212"/>
      <c r="H22" s="557"/>
      <c r="I22" s="557"/>
      <c r="J22" s="557"/>
      <c r="K22" s="557"/>
      <c r="L22" s="557"/>
      <c r="M22" s="557"/>
      <c r="N22" s="557"/>
      <c r="O22" s="557"/>
    </row>
    <row r="23" spans="1:15" s="558" customFormat="1" ht="19.5" customHeight="1">
      <c r="A23" s="3093" t="s">
        <v>853</v>
      </c>
      <c r="B23" s="3093"/>
      <c r="C23" s="158" t="s">
        <v>1292</v>
      </c>
      <c r="D23" s="158" t="s">
        <v>854</v>
      </c>
      <c r="E23" s="158" t="s">
        <v>855</v>
      </c>
      <c r="F23" s="158" t="s">
        <v>856</v>
      </c>
      <c r="G23" s="159" t="s">
        <v>702</v>
      </c>
      <c r="H23" s="557"/>
      <c r="I23" s="557"/>
      <c r="J23" s="557"/>
      <c r="K23" s="557"/>
      <c r="L23" s="557"/>
      <c r="M23" s="557"/>
      <c r="N23" s="557"/>
      <c r="O23" s="557"/>
    </row>
    <row r="24" spans="1:15" s="558" customFormat="1" ht="19.5" customHeight="1">
      <c r="A24" s="2921" t="s">
        <v>557</v>
      </c>
      <c r="B24" s="2921"/>
      <c r="C24" s="518">
        <f>管理费用!H17</f>
        <v>0</v>
      </c>
      <c r="D24" s="1110"/>
      <c r="E24" s="518">
        <f>营业费用!H17</f>
        <v>0</v>
      </c>
      <c r="F24" s="1110"/>
      <c r="G24" s="699">
        <f>SUM(C24:F24)</f>
        <v>0</v>
      </c>
      <c r="H24" s="700"/>
      <c r="I24" s="557"/>
      <c r="J24" s="557"/>
      <c r="K24" s="557"/>
      <c r="L24" s="557"/>
      <c r="M24" s="557"/>
      <c r="N24" s="557"/>
      <c r="O24" s="557"/>
    </row>
    <row r="25" spans="1:15" s="558" customFormat="1" ht="19.5" customHeight="1">
      <c r="A25" s="3218" t="s">
        <v>1477</v>
      </c>
      <c r="B25" s="3218"/>
      <c r="C25" s="3218"/>
      <c r="D25" s="3218"/>
      <c r="E25" s="3218"/>
      <c r="F25" s="3218"/>
      <c r="G25" s="3218"/>
      <c r="H25" s="557"/>
      <c r="I25" s="557"/>
      <c r="J25" s="557"/>
      <c r="K25" s="557"/>
      <c r="L25" s="557"/>
      <c r="M25" s="557"/>
      <c r="N25" s="557"/>
      <c r="O25" s="557"/>
    </row>
    <row r="26" spans="1:15" s="558" customFormat="1" ht="19.5" customHeight="1">
      <c r="A26" s="3093" t="s">
        <v>853</v>
      </c>
      <c r="B26" s="3093"/>
      <c r="C26" s="158" t="s">
        <v>1292</v>
      </c>
      <c r="D26" s="158" t="s">
        <v>854</v>
      </c>
      <c r="E26" s="158" t="s">
        <v>855</v>
      </c>
      <c r="F26" s="158" t="s">
        <v>856</v>
      </c>
      <c r="G26" s="159" t="s">
        <v>702</v>
      </c>
      <c r="H26" s="557"/>
      <c r="I26" s="557"/>
      <c r="J26" s="557"/>
      <c r="K26" s="557"/>
      <c r="L26" s="557"/>
      <c r="M26" s="557"/>
      <c r="N26" s="557"/>
      <c r="O26" s="557"/>
    </row>
    <row r="27" spans="1:15" s="558" customFormat="1" ht="19.5" customHeight="1">
      <c r="A27" s="3154" t="s">
        <v>557</v>
      </c>
      <c r="B27" s="3154"/>
      <c r="C27" s="701">
        <f>管理费用!H13</f>
        <v>0</v>
      </c>
      <c r="D27" s="1113"/>
      <c r="E27" s="701">
        <f>营业费用!H13</f>
        <v>0</v>
      </c>
      <c r="F27" s="1113"/>
      <c r="G27" s="702">
        <f>SUM(C27:F27)</f>
        <v>0</v>
      </c>
      <c r="H27" s="700"/>
      <c r="I27" s="557"/>
      <c r="J27" s="557"/>
      <c r="K27" s="557"/>
      <c r="L27" s="557"/>
      <c r="M27" s="557"/>
      <c r="N27" s="557"/>
      <c r="O27" s="557"/>
    </row>
    <row r="28" spans="1:15" s="558" customFormat="1" ht="20.25" customHeight="1">
      <c r="A28" s="3051" t="s">
        <v>641</v>
      </c>
      <c r="B28" s="3051"/>
      <c r="C28" s="3215" t="str">
        <f>IF(G24&lt;&gt;D8,"保障性缴款原始凭证检查金额与账载数不符，请检查！","保障性缴款原始凭证检查金额与账载数相符！")</f>
        <v>保障性缴款原始凭证检查金额与账载数相符！</v>
      </c>
      <c r="D28" s="3215"/>
      <c r="E28" s="3216" t="str">
        <f>IF(G27&lt;&gt;D17,"住房公积金原始凭证检查金额与账载数不符，请检查！","住房公积金原始凭证检查金额与账载数相符！")</f>
        <v>住房公积金原始凭证检查金额与账载数相符！</v>
      </c>
      <c r="F28" s="3216"/>
      <c r="G28" s="3216"/>
      <c r="H28" s="557"/>
      <c r="I28" s="557"/>
      <c r="J28" s="557"/>
      <c r="K28" s="557"/>
      <c r="L28" s="557"/>
      <c r="M28" s="557"/>
      <c r="N28" s="557"/>
      <c r="O28" s="557"/>
    </row>
    <row r="29" spans="1:15" ht="15" customHeight="1">
      <c r="A29" s="3147" t="s">
        <v>1323</v>
      </c>
      <c r="B29" s="3147"/>
      <c r="C29" s="550" t="s">
        <v>1248</v>
      </c>
      <c r="D29" s="3102" t="str">
        <f>IF(OR(F8&gt;0,F17&gt;0),"、E","")</f>
        <v/>
      </c>
      <c r="E29" s="3102"/>
      <c r="F29" s="3102"/>
      <c r="G29" s="3102"/>
      <c r="H29" s="523"/>
      <c r="I29" s="592"/>
      <c r="J29" s="592"/>
      <c r="K29" s="592"/>
      <c r="L29" s="592"/>
      <c r="M29" s="592"/>
      <c r="N29" s="592"/>
      <c r="O29" s="592"/>
    </row>
    <row r="30" spans="1:15" ht="107.25" customHeight="1">
      <c r="A30" s="3147"/>
      <c r="B30" s="3147"/>
      <c r="C30" s="3217"/>
      <c r="D30" s="3217"/>
      <c r="E30" s="3217"/>
      <c r="F30" s="3217"/>
      <c r="G30" s="3217"/>
      <c r="H30" s="84"/>
      <c r="I30" s="84"/>
      <c r="J30" s="84"/>
      <c r="K30" s="84"/>
      <c r="L30" s="84"/>
      <c r="M30" s="84"/>
      <c r="N30" s="84"/>
      <c r="O30" s="84"/>
    </row>
    <row r="31" spans="1:15" ht="14.25" customHeight="1">
      <c r="A31" s="3172" t="s">
        <v>574</v>
      </c>
      <c r="B31" s="3172"/>
      <c r="C31" s="3213" t="str">
        <f>IF(F8&lt;&gt;0,"实际列支社会保障性缴款大于税法允许列支的限额,应予纳税调整增加"&amp;DOLLAR(F8,2)&amp;"元！","不存在社会保障性缴款调整事项，认可！")</f>
        <v>不存在社会保障性缴款调整事项，认可！</v>
      </c>
      <c r="D31" s="3213"/>
      <c r="E31" s="3213"/>
      <c r="F31" s="3213"/>
      <c r="G31" s="3213"/>
      <c r="H31" s="84"/>
      <c r="I31" s="84"/>
      <c r="J31" s="84"/>
      <c r="K31" s="84"/>
      <c r="L31" s="84"/>
      <c r="M31" s="84"/>
      <c r="N31" s="84"/>
      <c r="O31" s="84"/>
    </row>
    <row r="32" spans="1:15">
      <c r="A32" s="3172"/>
      <c r="B32" s="3172"/>
      <c r="C32" s="3213"/>
      <c r="D32" s="3213"/>
      <c r="E32" s="3213"/>
      <c r="F32" s="3213"/>
      <c r="G32" s="3213"/>
      <c r="H32" s="84"/>
      <c r="I32" s="84"/>
      <c r="J32" s="84"/>
      <c r="K32" s="84"/>
      <c r="L32" s="84"/>
      <c r="M32" s="84"/>
      <c r="N32" s="84"/>
      <c r="O32" s="84"/>
    </row>
    <row r="33" spans="1:15">
      <c r="A33" s="3172"/>
      <c r="B33" s="3172"/>
      <c r="C33" s="3214" t="str">
        <f>IF(F17&lt;&gt;0,"实际列支住房公积金大于税法允许列支的限额,应予纳税调整增加"&amp;DOLLAR(F17,2)&amp;"元！","不存在住房公积金调整事项，认可！")</f>
        <v>不存在住房公积金调整事项，认可！</v>
      </c>
      <c r="D33" s="3214"/>
      <c r="E33" s="3214"/>
      <c r="F33" s="3214"/>
      <c r="G33" s="3214"/>
      <c r="H33" s="84"/>
      <c r="I33" s="84"/>
      <c r="J33" s="84"/>
      <c r="K33" s="84"/>
      <c r="L33" s="84"/>
      <c r="M33" s="84"/>
      <c r="N33" s="84"/>
      <c r="O33" s="84"/>
    </row>
    <row r="34" spans="1:15">
      <c r="A34" s="3172"/>
      <c r="B34" s="3172"/>
      <c r="C34" s="3214"/>
      <c r="D34" s="3214"/>
      <c r="E34" s="3214"/>
      <c r="F34" s="3214"/>
      <c r="G34" s="3214"/>
      <c r="H34" s="84"/>
      <c r="I34" s="84"/>
      <c r="J34" s="84"/>
      <c r="K34" s="84"/>
      <c r="L34" s="84"/>
      <c r="M34" s="84"/>
      <c r="N34" s="84"/>
      <c r="O34" s="84"/>
    </row>
    <row r="35" spans="1:15">
      <c r="A35" s="704"/>
      <c r="B35" s="704"/>
      <c r="C35" s="502"/>
      <c r="D35" s="502"/>
      <c r="E35" s="502"/>
      <c r="F35" s="502"/>
      <c r="G35" s="502"/>
    </row>
  </sheetData>
  <sheetProtection selectLockedCells="1" selectUnlockedCells="1"/>
  <mergeCells count="38">
    <mergeCell ref="A1:G2"/>
    <mergeCell ref="A3:C4"/>
    <mergeCell ref="G4:G5"/>
    <mergeCell ref="A5:C5"/>
    <mergeCell ref="A6:G6"/>
    <mergeCell ref="A20:C20"/>
    <mergeCell ref="A21:G21"/>
    <mergeCell ref="B7:C7"/>
    <mergeCell ref="B8:C8"/>
    <mergeCell ref="B9:C9"/>
    <mergeCell ref="H9:K9"/>
    <mergeCell ref="B10:C10"/>
    <mergeCell ref="B12:C12"/>
    <mergeCell ref="B13:C13"/>
    <mergeCell ref="H13:O19"/>
    <mergeCell ref="B14:C14"/>
    <mergeCell ref="B15:C15"/>
    <mergeCell ref="B16:C16"/>
    <mergeCell ref="B17:C17"/>
    <mergeCell ref="B18:C18"/>
    <mergeCell ref="B11:C11"/>
    <mergeCell ref="H11:J11"/>
    <mergeCell ref="B19:C19"/>
    <mergeCell ref="A22:G22"/>
    <mergeCell ref="A23:B23"/>
    <mergeCell ref="A24:B24"/>
    <mergeCell ref="A31:B34"/>
    <mergeCell ref="C31:G32"/>
    <mergeCell ref="C33:G34"/>
    <mergeCell ref="A26:B26"/>
    <mergeCell ref="A27:B27"/>
    <mergeCell ref="A28:B28"/>
    <mergeCell ref="C28:D28"/>
    <mergeCell ref="E28:G28"/>
    <mergeCell ref="A29:B30"/>
    <mergeCell ref="D29:G29"/>
    <mergeCell ref="C30:G30"/>
    <mergeCell ref="A25:G25"/>
  </mergeCells>
  <phoneticPr fontId="51" type="noConversion"/>
  <dataValidations count="2">
    <dataValidation allowBlank="1" showErrorMessage="1" sqref="E4 C31">
      <formula1>0</formula1>
      <formula2>0</formula2>
    </dataValidation>
    <dataValidation allowBlank="1" showErrorMessage="1" promptTitle="存在调整事项时" prompt="_x000a_选择 “E”" sqref="D29:G29">
      <formula1>0</formula1>
      <formula2>0</formula2>
    </dataValidation>
  </dataValidations>
  <hyperlinks>
    <hyperlink ref="H9" location="纳税调整明细表!C35" display="纳税调整明细表!C35"/>
    <hyperlink ref="H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FI164"/>
  <sheetViews>
    <sheetView workbookViewId="0">
      <selection activeCell="J9" sqref="J9:J20"/>
    </sheetView>
  </sheetViews>
  <sheetFormatPr defaultRowHeight="15.6"/>
  <cols>
    <col min="1" max="1" width="5.19921875" customWidth="1"/>
    <col min="10" max="10" width="8.3984375" customWidth="1"/>
    <col min="35" max="165" width="9" style="705"/>
  </cols>
  <sheetData>
    <row r="1" spans="1:34">
      <c r="A1" s="2729" t="s">
        <v>1478</v>
      </c>
      <c r="B1" s="2729"/>
      <c r="C1" s="2729"/>
      <c r="D1" s="2729"/>
      <c r="E1" s="2729"/>
      <c r="F1" s="2729"/>
      <c r="G1" s="2729"/>
      <c r="H1" s="2729"/>
      <c r="I1" s="2729"/>
      <c r="J1" s="2729"/>
      <c r="K1" s="705"/>
      <c r="L1" s="705"/>
      <c r="M1" s="705"/>
      <c r="N1" s="705"/>
      <c r="O1" s="705"/>
      <c r="P1" s="705"/>
      <c r="Q1" s="705"/>
      <c r="R1" s="705"/>
      <c r="S1" s="705"/>
      <c r="T1" s="705"/>
      <c r="U1" s="705"/>
      <c r="V1" s="705"/>
      <c r="W1" s="705"/>
      <c r="X1" s="705"/>
      <c r="Y1" s="705"/>
      <c r="Z1" s="705"/>
      <c r="AA1" s="705"/>
      <c r="AB1" s="705"/>
      <c r="AC1" s="705"/>
      <c r="AD1" s="705"/>
      <c r="AE1" s="705"/>
      <c r="AF1" s="705"/>
      <c r="AG1" s="705"/>
      <c r="AH1" s="705"/>
    </row>
    <row r="2" spans="1:34">
      <c r="A2" s="2729"/>
      <c r="B2" s="2729"/>
      <c r="C2" s="2729"/>
      <c r="D2" s="2729"/>
      <c r="E2" s="2729"/>
      <c r="F2" s="2729"/>
      <c r="G2" s="2729"/>
      <c r="H2" s="2729"/>
      <c r="I2" s="2729"/>
      <c r="J2" s="2729"/>
      <c r="K2" s="705"/>
      <c r="L2" s="705"/>
      <c r="M2" s="705"/>
      <c r="N2" s="705"/>
      <c r="O2" s="705"/>
      <c r="P2" s="705"/>
      <c r="Q2" s="705"/>
      <c r="R2" s="705"/>
      <c r="S2" s="705"/>
      <c r="T2" s="705"/>
      <c r="U2" s="705"/>
      <c r="V2" s="705"/>
      <c r="W2" s="705"/>
      <c r="X2" s="705"/>
      <c r="Y2" s="705"/>
      <c r="Z2" s="705"/>
      <c r="AA2" s="705"/>
      <c r="AB2" s="705"/>
      <c r="AC2" s="705"/>
      <c r="AD2" s="705"/>
      <c r="AE2" s="705"/>
      <c r="AF2" s="705"/>
      <c r="AG2" s="705"/>
      <c r="AH2" s="705"/>
    </row>
    <row r="3" spans="1:34" ht="19.5" customHeight="1">
      <c r="A3" s="3223" t="str">
        <f>"委托单位："&amp;基本情况!B2</f>
        <v>委托单位：0</v>
      </c>
      <c r="B3" s="3223"/>
      <c r="C3" s="3223"/>
      <c r="D3" s="3223"/>
      <c r="E3" s="3223"/>
      <c r="F3" s="509"/>
      <c r="G3" s="2929" t="s">
        <v>448</v>
      </c>
      <c r="H3" s="2929"/>
      <c r="I3" s="136" t="s">
        <v>449</v>
      </c>
      <c r="J3" s="485" t="s">
        <v>283</v>
      </c>
      <c r="K3" s="705"/>
      <c r="L3" s="705"/>
      <c r="M3" s="705"/>
      <c r="N3" s="705"/>
      <c r="O3" s="705"/>
      <c r="P3" s="705"/>
      <c r="Q3" s="705"/>
      <c r="R3" s="705"/>
      <c r="S3" s="705"/>
      <c r="T3" s="705"/>
      <c r="U3" s="705"/>
      <c r="V3" s="705"/>
      <c r="W3" s="705"/>
      <c r="X3" s="705"/>
      <c r="Y3" s="705"/>
      <c r="Z3" s="705"/>
      <c r="AA3" s="705"/>
      <c r="AB3" s="705"/>
      <c r="AC3" s="705"/>
      <c r="AD3" s="705"/>
      <c r="AE3" s="705"/>
      <c r="AF3" s="705"/>
      <c r="AG3" s="705"/>
      <c r="AH3" s="705"/>
    </row>
    <row r="4" spans="1:34" ht="19.5" customHeight="1">
      <c r="A4" s="3223"/>
      <c r="B4" s="3223"/>
      <c r="C4" s="3223"/>
      <c r="D4" s="3223"/>
      <c r="E4" s="3223"/>
      <c r="F4" s="158" t="s">
        <v>450</v>
      </c>
      <c r="G4" s="3229">
        <f>基本情况!B12</f>
        <v>0</v>
      </c>
      <c r="H4" s="3229"/>
      <c r="I4" s="559" t="str">
        <f>TEXT(基本情况!B21,"yyyy-mm-dd")</f>
        <v>2017-03-16</v>
      </c>
      <c r="J4" s="3230"/>
      <c r="K4" s="705"/>
      <c r="L4" s="705"/>
      <c r="M4" s="705"/>
      <c r="N4" s="705"/>
      <c r="O4" s="705"/>
      <c r="P4" s="705"/>
      <c r="Q4" s="705"/>
      <c r="R4" s="705"/>
      <c r="S4" s="705"/>
      <c r="T4" s="705"/>
      <c r="U4" s="705"/>
      <c r="V4" s="705"/>
      <c r="W4" s="705"/>
      <c r="X4" s="705"/>
      <c r="Y4" s="705"/>
      <c r="Z4" s="705"/>
      <c r="AA4" s="705"/>
      <c r="AB4" s="705"/>
      <c r="AC4" s="705"/>
      <c r="AD4" s="705"/>
      <c r="AE4" s="705"/>
      <c r="AF4" s="705"/>
      <c r="AG4" s="705"/>
      <c r="AH4" s="705"/>
    </row>
    <row r="5" spans="1:34" ht="19.5" customHeight="1">
      <c r="A5" s="3224" t="str">
        <f>"会计期间："&amp;基本情况!B7</f>
        <v>会计期间：2016年01月01日至2016年12月31日</v>
      </c>
      <c r="B5" s="3224"/>
      <c r="C5" s="3224"/>
      <c r="D5" s="3224"/>
      <c r="E5" s="3224"/>
      <c r="F5" s="140" t="s">
        <v>452</v>
      </c>
      <c r="G5" s="3062">
        <f>基本情况!B11</f>
        <v>0</v>
      </c>
      <c r="H5" s="3062"/>
      <c r="I5" s="513" t="str">
        <f>TEXT(基本情况!B22,"yyyy-mm-dd")</f>
        <v>2017-05-04</v>
      </c>
      <c r="J5" s="3230"/>
      <c r="K5" s="705"/>
      <c r="L5" s="705"/>
      <c r="M5" s="705"/>
      <c r="N5" s="705"/>
      <c r="O5" s="705"/>
      <c r="P5" s="705"/>
      <c r="Q5" s="705"/>
      <c r="R5" s="705"/>
      <c r="S5" s="705"/>
      <c r="T5" s="705"/>
      <c r="U5" s="705"/>
      <c r="V5" s="705"/>
      <c r="W5" s="705"/>
      <c r="X5" s="705"/>
      <c r="Y5" s="705"/>
      <c r="Z5" s="705"/>
      <c r="AA5" s="705"/>
      <c r="AB5" s="705"/>
      <c r="AC5" s="705"/>
      <c r="AD5" s="705"/>
      <c r="AE5" s="705"/>
      <c r="AF5" s="705"/>
      <c r="AG5" s="705"/>
      <c r="AH5" s="705"/>
    </row>
    <row r="6" spans="1:34" ht="6.75" customHeight="1">
      <c r="A6" s="2955"/>
      <c r="B6" s="2955"/>
      <c r="C6" s="2955"/>
      <c r="D6" s="2955"/>
      <c r="E6" s="2955"/>
      <c r="F6" s="2955"/>
      <c r="G6" s="2955"/>
      <c r="H6" s="2955"/>
      <c r="I6" s="2955"/>
      <c r="J6" s="2955"/>
      <c r="K6" s="705"/>
      <c r="L6" s="705"/>
      <c r="M6" s="705"/>
      <c r="N6" s="705"/>
      <c r="O6" s="705"/>
      <c r="P6" s="705"/>
      <c r="Q6" s="705"/>
      <c r="R6" s="705"/>
      <c r="S6" s="705"/>
      <c r="T6" s="705"/>
      <c r="U6" s="705"/>
      <c r="V6" s="705"/>
      <c r="W6" s="705"/>
      <c r="X6" s="705"/>
      <c r="Y6" s="705"/>
      <c r="Z6" s="705"/>
      <c r="AA6" s="705"/>
      <c r="AB6" s="705"/>
      <c r="AC6" s="705"/>
      <c r="AD6" s="705"/>
      <c r="AE6" s="705"/>
      <c r="AF6" s="705"/>
      <c r="AG6" s="705"/>
      <c r="AH6" s="705"/>
    </row>
    <row r="7" spans="1:34" ht="16.5" customHeight="1">
      <c r="A7" s="3065" t="s">
        <v>660</v>
      </c>
      <c r="B7" s="2929" t="s">
        <v>1479</v>
      </c>
      <c r="C7" s="2929"/>
      <c r="D7" s="2929"/>
      <c r="E7" s="2929"/>
      <c r="F7" s="2929" t="s">
        <v>1480</v>
      </c>
      <c r="G7" s="2929"/>
      <c r="H7" s="2929"/>
      <c r="I7" s="2929"/>
      <c r="J7" s="1633" t="s">
        <v>1481</v>
      </c>
      <c r="K7" s="706" t="s">
        <v>395</v>
      </c>
      <c r="L7" s="705"/>
      <c r="M7" s="705"/>
      <c r="N7" s="705"/>
      <c r="O7" s="705"/>
      <c r="P7" s="705"/>
      <c r="Q7" s="705"/>
      <c r="R7" s="705"/>
      <c r="S7" s="705"/>
      <c r="T7" s="705"/>
      <c r="U7" s="705"/>
      <c r="V7" s="705"/>
      <c r="W7" s="705"/>
      <c r="X7" s="705"/>
      <c r="Y7" s="705"/>
      <c r="Z7" s="705"/>
      <c r="AA7" s="705"/>
      <c r="AB7" s="705"/>
      <c r="AC7" s="705"/>
      <c r="AD7" s="705"/>
      <c r="AE7" s="705"/>
      <c r="AF7" s="705"/>
      <c r="AG7" s="705"/>
      <c r="AH7" s="705"/>
    </row>
    <row r="8" spans="1:34" ht="16.5" customHeight="1">
      <c r="A8" s="3065"/>
      <c r="B8" s="2924" t="s">
        <v>1482</v>
      </c>
      <c r="C8" s="2924"/>
      <c r="D8" s="2924" t="s">
        <v>1483</v>
      </c>
      <c r="E8" s="2924"/>
      <c r="F8" s="2924" t="s">
        <v>1482</v>
      </c>
      <c r="G8" s="2924"/>
      <c r="H8" s="2924" t="s">
        <v>1483</v>
      </c>
      <c r="I8" s="2924"/>
      <c r="J8" s="2055"/>
      <c r="K8" s="705"/>
      <c r="L8" s="705"/>
      <c r="M8" s="705"/>
      <c r="N8" s="705"/>
      <c r="O8" s="705"/>
      <c r="P8" s="705"/>
      <c r="Q8" s="705"/>
      <c r="R8" s="705"/>
      <c r="S8" s="705"/>
      <c r="T8" s="705"/>
      <c r="U8" s="705"/>
      <c r="V8" s="705"/>
      <c r="W8" s="705"/>
      <c r="X8" s="705"/>
      <c r="Y8" s="705"/>
      <c r="Z8" s="705"/>
      <c r="AA8" s="705"/>
      <c r="AB8" s="705"/>
      <c r="AC8" s="705"/>
      <c r="AD8" s="705"/>
      <c r="AE8" s="705"/>
      <c r="AF8" s="705"/>
      <c r="AG8" s="705"/>
      <c r="AH8" s="705"/>
    </row>
    <row r="9" spans="1:34" ht="16.5" customHeight="1">
      <c r="A9" s="707">
        <v>1</v>
      </c>
      <c r="B9" s="3228"/>
      <c r="C9" s="3228"/>
      <c r="D9" s="3228"/>
      <c r="E9" s="3228"/>
      <c r="F9" s="3228"/>
      <c r="G9" s="3228"/>
      <c r="H9" s="3228"/>
      <c r="I9" s="3228"/>
      <c r="J9" s="1259"/>
      <c r="K9" s="708" t="s">
        <v>1479</v>
      </c>
      <c r="L9" s="705"/>
      <c r="M9" s="705"/>
      <c r="N9" s="705"/>
      <c r="O9" s="705"/>
      <c r="P9" s="705"/>
      <c r="Q9" s="705"/>
      <c r="R9" s="705"/>
      <c r="S9" s="705"/>
      <c r="T9" s="705"/>
      <c r="U9" s="705"/>
      <c r="V9" s="705"/>
      <c r="W9" s="705"/>
      <c r="X9" s="705"/>
      <c r="Y9" s="705"/>
      <c r="Z9" s="705"/>
      <c r="AA9" s="705"/>
      <c r="AB9" s="705"/>
      <c r="AC9" s="705"/>
      <c r="AD9" s="705"/>
      <c r="AE9" s="705"/>
      <c r="AF9" s="705"/>
      <c r="AG9" s="705"/>
      <c r="AH9" s="705"/>
    </row>
    <row r="10" spans="1:34" ht="16.5" customHeight="1">
      <c r="A10" s="707">
        <v>2</v>
      </c>
      <c r="B10" s="3228"/>
      <c r="C10" s="3228"/>
      <c r="D10" s="3228"/>
      <c r="E10" s="3228"/>
      <c r="F10" s="3228"/>
      <c r="G10" s="3228"/>
      <c r="H10" s="3228"/>
      <c r="I10" s="3228"/>
      <c r="J10" s="1259"/>
      <c r="K10" s="705"/>
      <c r="L10" s="705"/>
      <c r="M10" s="705"/>
      <c r="N10" s="705"/>
      <c r="O10" s="705"/>
      <c r="P10" s="705"/>
      <c r="Q10" s="705"/>
      <c r="R10" s="705"/>
      <c r="S10" s="705"/>
      <c r="T10" s="705"/>
      <c r="U10" s="705"/>
      <c r="V10" s="705"/>
      <c r="W10" s="705"/>
      <c r="X10" s="705"/>
      <c r="Y10" s="705"/>
      <c r="Z10" s="705"/>
      <c r="AA10" s="705"/>
      <c r="AB10" s="705"/>
      <c r="AC10" s="705"/>
      <c r="AD10" s="705"/>
      <c r="AE10" s="705"/>
      <c r="AF10" s="705"/>
      <c r="AG10" s="705"/>
      <c r="AH10" s="705"/>
    </row>
    <row r="11" spans="1:34" ht="16.5" customHeight="1">
      <c r="A11" s="707">
        <v>3</v>
      </c>
      <c r="B11" s="3228"/>
      <c r="C11" s="3228"/>
      <c r="D11" s="3228"/>
      <c r="E11" s="3228"/>
      <c r="F11" s="3228"/>
      <c r="G11" s="3228"/>
      <c r="H11" s="3228"/>
      <c r="I11" s="3228"/>
      <c r="J11" s="1259"/>
      <c r="K11" s="708" t="s">
        <v>1484</v>
      </c>
      <c r="L11" s="705"/>
      <c r="M11" s="705"/>
      <c r="N11" s="705"/>
      <c r="O11" s="705"/>
      <c r="P11" s="705"/>
      <c r="Q11" s="705"/>
      <c r="R11" s="705"/>
      <c r="S11" s="705"/>
      <c r="T11" s="705"/>
      <c r="U11" s="705"/>
      <c r="V11" s="705"/>
      <c r="W11" s="705"/>
      <c r="X11" s="705"/>
      <c r="Y11" s="705"/>
      <c r="Z11" s="705"/>
      <c r="AA11" s="705"/>
      <c r="AB11" s="705"/>
      <c r="AC11" s="705"/>
      <c r="AD11" s="705"/>
      <c r="AE11" s="705"/>
      <c r="AF11" s="705"/>
      <c r="AG11" s="705"/>
      <c r="AH11" s="705"/>
    </row>
    <row r="12" spans="1:34" ht="16.5" customHeight="1">
      <c r="A12" s="707">
        <v>4</v>
      </c>
      <c r="B12" s="3228"/>
      <c r="C12" s="3228"/>
      <c r="D12" s="3228"/>
      <c r="E12" s="3228"/>
      <c r="F12" s="3228"/>
      <c r="G12" s="3228"/>
      <c r="H12" s="3228"/>
      <c r="I12" s="3228"/>
      <c r="J12" s="1259"/>
      <c r="K12" s="705"/>
      <c r="L12" s="705"/>
      <c r="M12" s="705"/>
      <c r="N12" s="705"/>
      <c r="O12" s="705"/>
      <c r="P12" s="705"/>
      <c r="Q12" s="705"/>
      <c r="R12" s="705"/>
      <c r="S12" s="705"/>
      <c r="T12" s="705"/>
      <c r="U12" s="705"/>
      <c r="V12" s="705"/>
      <c r="W12" s="705"/>
      <c r="X12" s="705"/>
      <c r="Y12" s="705"/>
      <c r="Z12" s="705"/>
      <c r="AA12" s="705"/>
      <c r="AB12" s="705"/>
      <c r="AC12" s="705"/>
      <c r="AD12" s="705"/>
      <c r="AE12" s="705"/>
      <c r="AF12" s="705"/>
      <c r="AG12" s="705"/>
      <c r="AH12" s="705"/>
    </row>
    <row r="13" spans="1:34" ht="16.5" customHeight="1">
      <c r="A13" s="707">
        <v>5</v>
      </c>
      <c r="B13" s="3228"/>
      <c r="C13" s="3228"/>
      <c r="D13" s="3228"/>
      <c r="E13" s="3228"/>
      <c r="F13" s="3228"/>
      <c r="G13" s="3228"/>
      <c r="H13" s="3228"/>
      <c r="I13" s="3228"/>
      <c r="J13" s="1259"/>
      <c r="K13" s="708" t="s">
        <v>1485</v>
      </c>
      <c r="L13" s="705"/>
      <c r="M13" s="705"/>
      <c r="N13" s="705"/>
      <c r="O13" s="705"/>
      <c r="P13" s="705"/>
      <c r="Q13" s="705"/>
      <c r="R13" s="705"/>
      <c r="S13" s="705"/>
      <c r="T13" s="705"/>
      <c r="U13" s="705"/>
      <c r="V13" s="705"/>
      <c r="W13" s="705"/>
      <c r="X13" s="705"/>
      <c r="Y13" s="705"/>
      <c r="Z13" s="705"/>
      <c r="AA13" s="705"/>
      <c r="AB13" s="705"/>
      <c r="AC13" s="705"/>
      <c r="AD13" s="705"/>
      <c r="AE13" s="705"/>
      <c r="AF13" s="705"/>
      <c r="AG13" s="705"/>
      <c r="AH13" s="705"/>
    </row>
    <row r="14" spans="1:34" ht="16.5" customHeight="1">
      <c r="A14" s="707">
        <v>6</v>
      </c>
      <c r="B14" s="3228"/>
      <c r="C14" s="3228"/>
      <c r="D14" s="3228"/>
      <c r="E14" s="3228"/>
      <c r="F14" s="3228"/>
      <c r="G14" s="3228"/>
      <c r="H14" s="3228"/>
      <c r="I14" s="3228"/>
      <c r="J14" s="1259"/>
      <c r="K14" s="705"/>
      <c r="L14" s="705"/>
      <c r="M14" s="705"/>
      <c r="N14" s="705"/>
      <c r="O14" s="705"/>
      <c r="P14" s="705"/>
      <c r="Q14" s="705"/>
      <c r="R14" s="705"/>
      <c r="S14" s="705"/>
      <c r="T14" s="705"/>
      <c r="U14" s="705"/>
      <c r="V14" s="705"/>
      <c r="W14" s="705"/>
      <c r="X14" s="705"/>
      <c r="Y14" s="705"/>
      <c r="Z14" s="705"/>
      <c r="AA14" s="705"/>
      <c r="AB14" s="705"/>
      <c r="AC14" s="705"/>
      <c r="AD14" s="705"/>
      <c r="AE14" s="705"/>
      <c r="AF14" s="705"/>
      <c r="AG14" s="705"/>
      <c r="AH14" s="705"/>
    </row>
    <row r="15" spans="1:34" ht="16.5" customHeight="1">
      <c r="A15" s="707">
        <v>7</v>
      </c>
      <c r="B15" s="3228"/>
      <c r="C15" s="3228"/>
      <c r="D15" s="3228"/>
      <c r="E15" s="3228"/>
      <c r="F15" s="3228"/>
      <c r="G15" s="3228"/>
      <c r="H15" s="3228"/>
      <c r="I15" s="3228"/>
      <c r="J15" s="1259"/>
      <c r="K15" s="708" t="s">
        <v>1486</v>
      </c>
      <c r="L15" s="705"/>
      <c r="M15" s="705"/>
      <c r="N15" s="705"/>
      <c r="O15" s="705"/>
      <c r="P15" s="705"/>
      <c r="Q15" s="705"/>
      <c r="R15" s="705"/>
      <c r="S15" s="705"/>
      <c r="T15" s="705"/>
      <c r="U15" s="705"/>
      <c r="V15" s="705"/>
      <c r="W15" s="705"/>
      <c r="X15" s="705"/>
      <c r="Y15" s="705"/>
      <c r="Z15" s="705"/>
      <c r="AA15" s="705"/>
      <c r="AB15" s="705"/>
      <c r="AC15" s="705"/>
      <c r="AD15" s="705"/>
      <c r="AE15" s="705"/>
      <c r="AF15" s="705"/>
      <c r="AG15" s="705"/>
      <c r="AH15" s="705"/>
    </row>
    <row r="16" spans="1:34" ht="16.5" customHeight="1">
      <c r="A16" s="707">
        <v>8</v>
      </c>
      <c r="B16" s="3228"/>
      <c r="C16" s="3228"/>
      <c r="D16" s="3228"/>
      <c r="E16" s="3228"/>
      <c r="F16" s="3228"/>
      <c r="G16" s="3228"/>
      <c r="H16" s="3228"/>
      <c r="I16" s="3228"/>
      <c r="J16" s="1259"/>
      <c r="K16" s="705"/>
      <c r="L16" s="705"/>
      <c r="M16" s="705"/>
      <c r="N16" s="705"/>
      <c r="O16" s="705"/>
      <c r="P16" s="705"/>
      <c r="Q16" s="705"/>
      <c r="R16" s="705"/>
      <c r="S16" s="705"/>
      <c r="T16" s="705"/>
      <c r="U16" s="705"/>
      <c r="V16" s="705"/>
      <c r="W16" s="705"/>
      <c r="X16" s="705"/>
      <c r="Y16" s="705"/>
      <c r="Z16" s="705"/>
      <c r="AA16" s="705"/>
      <c r="AB16" s="705"/>
      <c r="AC16" s="705"/>
      <c r="AD16" s="705"/>
      <c r="AE16" s="705"/>
      <c r="AF16" s="705"/>
      <c r="AG16" s="705"/>
      <c r="AH16" s="705"/>
    </row>
    <row r="17" spans="1:34" ht="16.5" customHeight="1">
      <c r="A17" s="707">
        <v>9</v>
      </c>
      <c r="B17" s="3228"/>
      <c r="C17" s="3228"/>
      <c r="D17" s="3228"/>
      <c r="E17" s="3228"/>
      <c r="F17" s="3228"/>
      <c r="G17" s="3228"/>
      <c r="H17" s="3228"/>
      <c r="I17" s="3228"/>
      <c r="J17" s="1259"/>
      <c r="K17" s="1270" t="s">
        <v>1335</v>
      </c>
      <c r="L17" s="705"/>
      <c r="M17" s="705"/>
      <c r="N17" s="705"/>
      <c r="O17" s="705"/>
      <c r="P17" s="705"/>
      <c r="Q17" s="705"/>
      <c r="R17" s="705"/>
      <c r="S17" s="705"/>
      <c r="T17" s="705"/>
      <c r="U17" s="705"/>
      <c r="V17" s="705"/>
      <c r="W17" s="705"/>
      <c r="X17" s="705"/>
      <c r="Y17" s="705"/>
      <c r="Z17" s="705"/>
      <c r="AA17" s="705"/>
      <c r="AB17" s="705"/>
      <c r="AC17" s="705"/>
      <c r="AD17" s="705"/>
      <c r="AE17" s="705"/>
      <c r="AF17" s="705"/>
      <c r="AG17" s="705"/>
      <c r="AH17" s="705"/>
    </row>
    <row r="18" spans="1:34" ht="16.5" customHeight="1">
      <c r="A18" s="707">
        <v>10</v>
      </c>
      <c r="B18" s="3228"/>
      <c r="C18" s="3228"/>
      <c r="D18" s="3228"/>
      <c r="E18" s="3228"/>
      <c r="F18" s="3228"/>
      <c r="G18" s="3228"/>
      <c r="H18" s="3228"/>
      <c r="I18" s="3228"/>
      <c r="J18" s="1259"/>
      <c r="K18" s="705"/>
      <c r="L18" s="705"/>
      <c r="M18" s="705"/>
      <c r="N18" s="705"/>
      <c r="O18" s="705"/>
      <c r="P18" s="705"/>
      <c r="Q18" s="705"/>
      <c r="R18" s="705"/>
      <c r="S18" s="705"/>
      <c r="T18" s="705"/>
      <c r="U18" s="705"/>
      <c r="V18" s="705"/>
      <c r="W18" s="705"/>
      <c r="X18" s="705"/>
      <c r="Y18" s="705"/>
      <c r="Z18" s="705"/>
      <c r="AA18" s="705"/>
      <c r="AB18" s="705"/>
      <c r="AC18" s="705"/>
      <c r="AD18" s="705"/>
      <c r="AE18" s="705"/>
      <c r="AF18" s="705"/>
      <c r="AG18" s="705"/>
      <c r="AH18" s="705"/>
    </row>
    <row r="19" spans="1:34" ht="16.5" customHeight="1">
      <c r="A19" s="707">
        <v>11</v>
      </c>
      <c r="B19" s="3228"/>
      <c r="C19" s="3228"/>
      <c r="D19" s="3228"/>
      <c r="E19" s="3228"/>
      <c r="F19" s="3228"/>
      <c r="G19" s="3228"/>
      <c r="H19" s="3228"/>
      <c r="I19" s="3228"/>
      <c r="J19" s="1259"/>
      <c r="K19" s="705"/>
      <c r="L19" s="705"/>
      <c r="M19" s="705"/>
      <c r="N19" s="705"/>
      <c r="O19" s="705"/>
      <c r="P19" s="705"/>
      <c r="Q19" s="705"/>
      <c r="R19" s="705"/>
      <c r="S19" s="705"/>
      <c r="T19" s="705"/>
      <c r="U19" s="705"/>
      <c r="V19" s="705"/>
      <c r="W19" s="705"/>
      <c r="X19" s="705"/>
      <c r="Y19" s="705"/>
      <c r="Z19" s="705"/>
      <c r="AA19" s="705"/>
      <c r="AB19" s="705"/>
      <c r="AC19" s="705"/>
      <c r="AD19" s="705"/>
      <c r="AE19" s="705"/>
      <c r="AF19" s="705"/>
      <c r="AG19" s="705"/>
      <c r="AH19" s="705"/>
    </row>
    <row r="20" spans="1:34" ht="16.5" customHeight="1">
      <c r="A20" s="707">
        <v>12</v>
      </c>
      <c r="B20" s="3228"/>
      <c r="C20" s="3228"/>
      <c r="D20" s="3228"/>
      <c r="E20" s="3228"/>
      <c r="F20" s="3228"/>
      <c r="G20" s="3228"/>
      <c r="H20" s="3228"/>
      <c r="I20" s="3228"/>
      <c r="J20" s="1259"/>
      <c r="K20" s="705"/>
      <c r="L20" s="705"/>
      <c r="M20" s="705"/>
      <c r="N20" s="705"/>
      <c r="O20" s="705"/>
      <c r="P20" s="705"/>
      <c r="Q20" s="705"/>
      <c r="R20" s="705"/>
      <c r="S20" s="705"/>
      <c r="T20" s="705"/>
      <c r="U20" s="705"/>
      <c r="V20" s="705"/>
      <c r="W20" s="705"/>
      <c r="X20" s="705"/>
      <c r="Y20" s="705"/>
      <c r="Z20" s="705"/>
      <c r="AA20" s="705"/>
      <c r="AB20" s="705"/>
      <c r="AC20" s="705"/>
      <c r="AD20" s="705"/>
      <c r="AE20" s="705"/>
      <c r="AF20" s="705"/>
      <c r="AG20" s="705"/>
      <c r="AH20" s="705"/>
    </row>
    <row r="21" spans="1:34" ht="18" customHeight="1">
      <c r="A21" s="709" t="s">
        <v>702</v>
      </c>
      <c r="B21" s="3227">
        <f>SUM(B9:C20)</f>
        <v>0</v>
      </c>
      <c r="C21" s="3227"/>
      <c r="D21" s="3227">
        <f>SUM(D9:E20)</f>
        <v>0</v>
      </c>
      <c r="E21" s="3227"/>
      <c r="F21" s="3227">
        <f>SUM(F9:G20)</f>
        <v>0</v>
      </c>
      <c r="G21" s="3227"/>
      <c r="H21" s="3227">
        <f>SUM(H9:I20)</f>
        <v>0</v>
      </c>
      <c r="I21" s="3227"/>
      <c r="J21" s="1260">
        <f>SUM(J9:J20)</f>
        <v>0</v>
      </c>
      <c r="K21" s="705"/>
      <c r="L21" s="705"/>
      <c r="M21" s="705"/>
      <c r="N21" s="705"/>
      <c r="O21" s="705"/>
      <c r="P21" s="705"/>
      <c r="Q21" s="705"/>
      <c r="R21" s="705"/>
      <c r="S21" s="705"/>
      <c r="T21" s="705"/>
      <c r="U21" s="705"/>
      <c r="V21" s="705"/>
      <c r="W21" s="705"/>
      <c r="X21" s="705"/>
      <c r="Y21" s="705"/>
      <c r="Z21" s="705"/>
      <c r="AA21" s="705"/>
      <c r="AB21" s="705"/>
      <c r="AC21" s="705"/>
      <c r="AD21" s="705"/>
      <c r="AE21" s="705"/>
      <c r="AF21" s="705"/>
      <c r="AG21" s="705"/>
      <c r="AH21" s="705"/>
    </row>
    <row r="22" spans="1:34" ht="19.5" customHeight="1">
      <c r="A22" s="3065" t="s">
        <v>660</v>
      </c>
      <c r="B22" s="2929" t="s">
        <v>1487</v>
      </c>
      <c r="C22" s="2929"/>
      <c r="D22" s="2929"/>
      <c r="E22" s="2929"/>
      <c r="F22" s="2929" t="s">
        <v>1488</v>
      </c>
      <c r="G22" s="2929"/>
      <c r="H22" s="2929"/>
      <c r="I22" s="2929"/>
      <c r="J22" s="3225" t="s">
        <v>1638</v>
      </c>
      <c r="K22" s="705"/>
      <c r="L22" s="705"/>
      <c r="M22" s="705"/>
      <c r="N22" s="705"/>
      <c r="O22" s="705"/>
      <c r="P22" s="705"/>
      <c r="Q22" s="705"/>
      <c r="R22" s="705"/>
      <c r="S22" s="705"/>
      <c r="T22" s="705"/>
      <c r="U22" s="705"/>
      <c r="V22" s="705"/>
      <c r="W22" s="705"/>
      <c r="X22" s="705"/>
      <c r="Y22" s="705"/>
      <c r="Z22" s="705"/>
      <c r="AA22" s="705"/>
      <c r="AB22" s="705"/>
      <c r="AC22" s="705"/>
      <c r="AD22" s="705"/>
      <c r="AE22" s="705"/>
      <c r="AF22" s="705"/>
      <c r="AG22" s="705"/>
      <c r="AH22" s="705"/>
    </row>
    <row r="23" spans="1:34" ht="19.5" customHeight="1">
      <c r="A23" s="3065"/>
      <c r="B23" s="2924" t="s">
        <v>1482</v>
      </c>
      <c r="C23" s="2924"/>
      <c r="D23" s="2924" t="s">
        <v>1483</v>
      </c>
      <c r="E23" s="2924"/>
      <c r="F23" s="2924" t="s">
        <v>1482</v>
      </c>
      <c r="G23" s="2924"/>
      <c r="H23" s="2924" t="s">
        <v>1483</v>
      </c>
      <c r="I23" s="2924"/>
      <c r="J23" s="3226"/>
      <c r="K23" s="705"/>
      <c r="L23" s="705"/>
      <c r="M23" s="705"/>
      <c r="N23" s="705"/>
      <c r="O23" s="705"/>
      <c r="P23" s="705"/>
      <c r="Q23" s="705"/>
      <c r="R23" s="705"/>
      <c r="S23" s="705"/>
      <c r="T23" s="705"/>
      <c r="U23" s="705"/>
      <c r="V23" s="705"/>
      <c r="W23" s="705"/>
      <c r="X23" s="705"/>
      <c r="Y23" s="705"/>
      <c r="Z23" s="705"/>
      <c r="AA23" s="705"/>
      <c r="AB23" s="705"/>
      <c r="AC23" s="705"/>
      <c r="AD23" s="705"/>
      <c r="AE23" s="705"/>
      <c r="AF23" s="705"/>
      <c r="AG23" s="705"/>
      <c r="AH23" s="705"/>
    </row>
    <row r="24" spans="1:34" ht="16.5" customHeight="1">
      <c r="A24" s="707">
        <v>1</v>
      </c>
      <c r="B24" s="3228"/>
      <c r="C24" s="3228"/>
      <c r="D24" s="3228"/>
      <c r="E24" s="3228"/>
      <c r="F24" s="3228"/>
      <c r="G24" s="3228"/>
      <c r="H24" s="3228"/>
      <c r="I24" s="3228"/>
      <c r="J24" s="1259"/>
      <c r="K24" s="705"/>
      <c r="L24" s="705"/>
      <c r="M24" s="705"/>
      <c r="N24" s="705"/>
      <c r="O24" s="705"/>
      <c r="P24" s="705"/>
      <c r="Q24" s="705"/>
      <c r="R24" s="705"/>
      <c r="S24" s="705"/>
      <c r="T24" s="705"/>
      <c r="U24" s="705"/>
      <c r="V24" s="705"/>
      <c r="W24" s="705"/>
      <c r="X24" s="705"/>
      <c r="Y24" s="705"/>
      <c r="Z24" s="705"/>
      <c r="AA24" s="705"/>
      <c r="AB24" s="705"/>
      <c r="AC24" s="705"/>
      <c r="AD24" s="705"/>
      <c r="AE24" s="705"/>
      <c r="AF24" s="705"/>
      <c r="AG24" s="705"/>
      <c r="AH24" s="705"/>
    </row>
    <row r="25" spans="1:34" ht="16.5" customHeight="1">
      <c r="A25" s="707">
        <v>2</v>
      </c>
      <c r="B25" s="3228"/>
      <c r="C25" s="3228"/>
      <c r="D25" s="3228"/>
      <c r="E25" s="3228"/>
      <c r="F25" s="3228"/>
      <c r="G25" s="3228"/>
      <c r="H25" s="3228"/>
      <c r="I25" s="3228"/>
      <c r="J25" s="1259"/>
      <c r="K25" s="705"/>
      <c r="L25" s="705"/>
      <c r="M25" s="705"/>
      <c r="N25" s="705"/>
      <c r="O25" s="705"/>
      <c r="P25" s="705"/>
      <c r="Q25" s="705"/>
      <c r="R25" s="705"/>
      <c r="S25" s="705"/>
      <c r="T25" s="705"/>
      <c r="U25" s="705"/>
      <c r="V25" s="705"/>
      <c r="W25" s="705"/>
      <c r="X25" s="705"/>
      <c r="Y25" s="705"/>
      <c r="Z25" s="705"/>
      <c r="AA25" s="705"/>
      <c r="AB25" s="705"/>
      <c r="AC25" s="705"/>
      <c r="AD25" s="705"/>
      <c r="AE25" s="705"/>
      <c r="AF25" s="705"/>
      <c r="AG25" s="705"/>
      <c r="AH25" s="705"/>
    </row>
    <row r="26" spans="1:34" ht="16.5" customHeight="1">
      <c r="A26" s="707">
        <v>3</v>
      </c>
      <c r="B26" s="3228"/>
      <c r="C26" s="3228"/>
      <c r="D26" s="3228"/>
      <c r="E26" s="3228"/>
      <c r="F26" s="3228"/>
      <c r="G26" s="3228"/>
      <c r="H26" s="3228"/>
      <c r="I26" s="3228"/>
      <c r="J26" s="1259"/>
      <c r="K26" s="705"/>
      <c r="L26" s="705"/>
      <c r="M26" s="705"/>
      <c r="N26" s="705"/>
      <c r="O26" s="705"/>
      <c r="P26" s="705"/>
      <c r="Q26" s="705"/>
      <c r="R26" s="705"/>
      <c r="S26" s="705"/>
      <c r="T26" s="705"/>
      <c r="U26" s="705"/>
      <c r="V26" s="705"/>
      <c r="W26" s="705"/>
      <c r="X26" s="705"/>
      <c r="Y26" s="705"/>
      <c r="Z26" s="705"/>
      <c r="AA26" s="705"/>
      <c r="AB26" s="705"/>
      <c r="AC26" s="705"/>
      <c r="AD26" s="705"/>
      <c r="AE26" s="705"/>
      <c r="AF26" s="705"/>
      <c r="AG26" s="705"/>
      <c r="AH26" s="705"/>
    </row>
    <row r="27" spans="1:34" ht="16.5" customHeight="1">
      <c r="A27" s="707">
        <v>4</v>
      </c>
      <c r="B27" s="3228"/>
      <c r="C27" s="3228"/>
      <c r="D27" s="3228"/>
      <c r="E27" s="3228"/>
      <c r="F27" s="3228"/>
      <c r="G27" s="3228"/>
      <c r="H27" s="3228"/>
      <c r="I27" s="3228"/>
      <c r="J27" s="1259"/>
      <c r="K27" s="705"/>
      <c r="L27" s="705"/>
      <c r="M27" s="705"/>
      <c r="N27" s="705"/>
      <c r="O27" s="705"/>
      <c r="P27" s="705"/>
      <c r="Q27" s="705"/>
      <c r="R27" s="705"/>
      <c r="S27" s="705"/>
      <c r="T27" s="705"/>
      <c r="U27" s="705"/>
      <c r="V27" s="705"/>
      <c r="W27" s="705"/>
      <c r="X27" s="705"/>
      <c r="Y27" s="705"/>
      <c r="Z27" s="705"/>
      <c r="AA27" s="705"/>
      <c r="AB27" s="705"/>
      <c r="AC27" s="705"/>
      <c r="AD27" s="705"/>
      <c r="AE27" s="705"/>
      <c r="AF27" s="705"/>
      <c r="AG27" s="705"/>
      <c r="AH27" s="705"/>
    </row>
    <row r="28" spans="1:34" ht="16.5" customHeight="1">
      <c r="A28" s="707">
        <v>5</v>
      </c>
      <c r="B28" s="3228"/>
      <c r="C28" s="3228"/>
      <c r="D28" s="3228"/>
      <c r="E28" s="3228"/>
      <c r="F28" s="3228"/>
      <c r="G28" s="3228"/>
      <c r="H28" s="3228"/>
      <c r="I28" s="3228"/>
      <c r="J28" s="1259"/>
      <c r="K28" s="705"/>
      <c r="L28" s="705"/>
      <c r="M28" s="705"/>
      <c r="N28" s="705"/>
      <c r="O28" s="705"/>
      <c r="P28" s="705"/>
      <c r="Q28" s="705"/>
      <c r="R28" s="705"/>
      <c r="S28" s="705"/>
      <c r="T28" s="705"/>
      <c r="U28" s="705"/>
      <c r="V28" s="705"/>
      <c r="W28" s="705"/>
      <c r="X28" s="705"/>
      <c r="Y28" s="705"/>
      <c r="Z28" s="705"/>
      <c r="AA28" s="705"/>
      <c r="AB28" s="705"/>
      <c r="AC28" s="705"/>
      <c r="AD28" s="705"/>
      <c r="AE28" s="705"/>
      <c r="AF28" s="705"/>
      <c r="AG28" s="705"/>
      <c r="AH28" s="705"/>
    </row>
    <row r="29" spans="1:34" ht="16.5" customHeight="1">
      <c r="A29" s="707">
        <v>6</v>
      </c>
      <c r="B29" s="3228"/>
      <c r="C29" s="3228"/>
      <c r="D29" s="3228"/>
      <c r="E29" s="3228"/>
      <c r="F29" s="3228"/>
      <c r="G29" s="3228"/>
      <c r="H29" s="3228"/>
      <c r="I29" s="3228"/>
      <c r="J29" s="1259"/>
      <c r="K29" s="705"/>
      <c r="L29" s="705"/>
      <c r="M29" s="705"/>
      <c r="N29" s="705"/>
      <c r="O29" s="705"/>
      <c r="P29" s="705"/>
      <c r="Q29" s="705"/>
      <c r="R29" s="705"/>
      <c r="S29" s="705"/>
      <c r="T29" s="705"/>
      <c r="U29" s="705"/>
      <c r="V29" s="705"/>
      <c r="W29" s="705"/>
      <c r="X29" s="705"/>
      <c r="Y29" s="705"/>
      <c r="Z29" s="705"/>
      <c r="AA29" s="705"/>
      <c r="AB29" s="705"/>
      <c r="AC29" s="705"/>
      <c r="AD29" s="705"/>
      <c r="AE29" s="705"/>
      <c r="AF29" s="705"/>
      <c r="AG29" s="705"/>
      <c r="AH29" s="705"/>
    </row>
    <row r="30" spans="1:34" ht="16.5" customHeight="1">
      <c r="A30" s="707">
        <v>7</v>
      </c>
      <c r="B30" s="3228"/>
      <c r="C30" s="3228"/>
      <c r="D30" s="3228"/>
      <c r="E30" s="3228"/>
      <c r="F30" s="3228"/>
      <c r="G30" s="3228"/>
      <c r="H30" s="3228"/>
      <c r="I30" s="3228"/>
      <c r="J30" s="1259"/>
      <c r="K30" s="705"/>
      <c r="L30" s="705"/>
      <c r="M30" s="705"/>
      <c r="N30" s="705"/>
      <c r="O30" s="705"/>
      <c r="P30" s="705"/>
      <c r="Q30" s="705"/>
      <c r="R30" s="705"/>
      <c r="S30" s="705"/>
      <c r="T30" s="705"/>
      <c r="U30" s="705"/>
      <c r="V30" s="705"/>
      <c r="W30" s="705"/>
      <c r="X30" s="705"/>
      <c r="Y30" s="705"/>
      <c r="Z30" s="705"/>
      <c r="AA30" s="705"/>
      <c r="AB30" s="705"/>
      <c r="AC30" s="705"/>
      <c r="AD30" s="705"/>
      <c r="AE30" s="705"/>
      <c r="AF30" s="705"/>
      <c r="AG30" s="705"/>
      <c r="AH30" s="705"/>
    </row>
    <row r="31" spans="1:34" ht="16.5" customHeight="1">
      <c r="A31" s="707">
        <v>8</v>
      </c>
      <c r="B31" s="3228"/>
      <c r="C31" s="3228"/>
      <c r="D31" s="3228"/>
      <c r="E31" s="3228"/>
      <c r="F31" s="3228"/>
      <c r="G31" s="3228"/>
      <c r="H31" s="3228"/>
      <c r="I31" s="3228"/>
      <c r="J31" s="1259"/>
      <c r="K31" s="705"/>
      <c r="L31" s="705"/>
      <c r="M31" s="705"/>
      <c r="N31" s="705"/>
      <c r="O31" s="705"/>
      <c r="P31" s="705"/>
      <c r="Q31" s="705"/>
      <c r="R31" s="705"/>
      <c r="S31" s="705"/>
      <c r="T31" s="705"/>
      <c r="U31" s="705"/>
      <c r="V31" s="705"/>
      <c r="W31" s="705"/>
      <c r="X31" s="705"/>
      <c r="Y31" s="705"/>
      <c r="Z31" s="705"/>
      <c r="AA31" s="705"/>
      <c r="AB31" s="705"/>
      <c r="AC31" s="705"/>
      <c r="AD31" s="705"/>
      <c r="AE31" s="705"/>
      <c r="AF31" s="705"/>
      <c r="AG31" s="705"/>
      <c r="AH31" s="705"/>
    </row>
    <row r="32" spans="1:34" ht="16.5" customHeight="1">
      <c r="A32" s="707">
        <v>9</v>
      </c>
      <c r="B32" s="3228"/>
      <c r="C32" s="3228"/>
      <c r="D32" s="3228"/>
      <c r="E32" s="3228"/>
      <c r="F32" s="3228"/>
      <c r="G32" s="3228"/>
      <c r="H32" s="3228"/>
      <c r="I32" s="3228"/>
      <c r="J32" s="1259"/>
      <c r="K32" s="705"/>
      <c r="L32" s="705"/>
      <c r="M32" s="705"/>
      <c r="N32" s="705"/>
      <c r="O32" s="705"/>
      <c r="P32" s="705"/>
      <c r="Q32" s="705"/>
      <c r="R32" s="705"/>
      <c r="S32" s="705"/>
      <c r="T32" s="705"/>
      <c r="U32" s="705"/>
      <c r="V32" s="705"/>
      <c r="W32" s="705"/>
      <c r="X32" s="705"/>
      <c r="Y32" s="705"/>
      <c r="Z32" s="705"/>
      <c r="AA32" s="705"/>
      <c r="AB32" s="705"/>
      <c r="AC32" s="705"/>
      <c r="AD32" s="705"/>
      <c r="AE32" s="705"/>
      <c r="AF32" s="705"/>
      <c r="AG32" s="705"/>
      <c r="AH32" s="705"/>
    </row>
    <row r="33" spans="1:34" ht="16.5" customHeight="1">
      <c r="A33" s="707">
        <v>10</v>
      </c>
      <c r="B33" s="3228"/>
      <c r="C33" s="3228"/>
      <c r="D33" s="3228"/>
      <c r="E33" s="3228"/>
      <c r="F33" s="3228"/>
      <c r="G33" s="3228"/>
      <c r="H33" s="3228"/>
      <c r="I33" s="3228"/>
      <c r="J33" s="1259"/>
      <c r="K33" s="705"/>
      <c r="L33" s="705"/>
      <c r="M33" s="705"/>
      <c r="N33" s="705"/>
      <c r="O33" s="705"/>
      <c r="P33" s="705"/>
      <c r="Q33" s="705"/>
      <c r="R33" s="705"/>
      <c r="S33" s="705"/>
      <c r="T33" s="705"/>
      <c r="U33" s="705"/>
      <c r="V33" s="705"/>
      <c r="W33" s="705"/>
      <c r="X33" s="705"/>
      <c r="Y33" s="705"/>
      <c r="Z33" s="705"/>
      <c r="AA33" s="705"/>
      <c r="AB33" s="705"/>
      <c r="AC33" s="705"/>
      <c r="AD33" s="705"/>
      <c r="AE33" s="705"/>
      <c r="AF33" s="705"/>
      <c r="AG33" s="705"/>
      <c r="AH33" s="705"/>
    </row>
    <row r="34" spans="1:34" ht="16.5" customHeight="1">
      <c r="A34" s="707">
        <v>11</v>
      </c>
      <c r="B34" s="3228"/>
      <c r="C34" s="3228"/>
      <c r="D34" s="3228"/>
      <c r="E34" s="3228"/>
      <c r="F34" s="3228"/>
      <c r="G34" s="3228"/>
      <c r="H34" s="3228"/>
      <c r="I34" s="3228"/>
      <c r="J34" s="1259"/>
      <c r="K34" s="705"/>
      <c r="L34" s="705"/>
      <c r="M34" s="705"/>
      <c r="N34" s="705"/>
      <c r="O34" s="705"/>
      <c r="P34" s="705"/>
      <c r="Q34" s="705"/>
      <c r="R34" s="705"/>
      <c r="S34" s="705"/>
      <c r="T34" s="705"/>
      <c r="U34" s="705"/>
      <c r="V34" s="705"/>
      <c r="W34" s="705"/>
      <c r="X34" s="705"/>
      <c r="Y34" s="705"/>
      <c r="Z34" s="705"/>
      <c r="AA34" s="705"/>
      <c r="AB34" s="705"/>
      <c r="AC34" s="705"/>
      <c r="AD34" s="705"/>
      <c r="AE34" s="705"/>
      <c r="AF34" s="705"/>
      <c r="AG34" s="705"/>
      <c r="AH34" s="705"/>
    </row>
    <row r="35" spans="1:34" ht="16.5" customHeight="1">
      <c r="A35" s="707">
        <v>12</v>
      </c>
      <c r="B35" s="3228"/>
      <c r="C35" s="3228"/>
      <c r="D35" s="3228"/>
      <c r="E35" s="3228"/>
      <c r="F35" s="3228"/>
      <c r="G35" s="3228"/>
      <c r="H35" s="3228"/>
      <c r="I35" s="3228"/>
      <c r="J35" s="1259"/>
      <c r="K35" s="705"/>
      <c r="L35" s="705"/>
      <c r="M35" s="705"/>
      <c r="N35" s="705"/>
      <c r="O35" s="705"/>
      <c r="P35" s="705"/>
      <c r="Q35" s="705"/>
      <c r="R35" s="705"/>
      <c r="S35" s="705"/>
      <c r="T35" s="705"/>
      <c r="U35" s="705"/>
      <c r="V35" s="705"/>
      <c r="W35" s="705"/>
      <c r="X35" s="705"/>
      <c r="Y35" s="705"/>
      <c r="Z35" s="705"/>
      <c r="AA35" s="705"/>
      <c r="AB35" s="705"/>
      <c r="AC35" s="705"/>
      <c r="AD35" s="705"/>
      <c r="AE35" s="705"/>
      <c r="AF35" s="705"/>
      <c r="AG35" s="705"/>
      <c r="AH35" s="705"/>
    </row>
    <row r="36" spans="1:34" ht="18" customHeight="1">
      <c r="A36" s="709" t="s">
        <v>702</v>
      </c>
      <c r="B36" s="3227">
        <f>SUM(B24:C35)</f>
        <v>0</v>
      </c>
      <c r="C36" s="3227"/>
      <c r="D36" s="3227">
        <f>SUM(D24:E35)</f>
        <v>0</v>
      </c>
      <c r="E36" s="3227"/>
      <c r="F36" s="3227">
        <f>SUM(F24:G35)</f>
        <v>0</v>
      </c>
      <c r="G36" s="3227"/>
      <c r="H36" s="3227">
        <f>SUM(H24:I35)</f>
        <v>0</v>
      </c>
      <c r="I36" s="3227"/>
      <c r="J36" s="1260">
        <f>SUM(J24:J35)</f>
        <v>0</v>
      </c>
      <c r="K36" s="705"/>
      <c r="L36" s="705"/>
      <c r="M36" s="705"/>
      <c r="N36" s="705"/>
      <c r="O36" s="705"/>
      <c r="P36" s="705"/>
      <c r="Q36" s="705"/>
      <c r="R36" s="705"/>
      <c r="S36" s="705"/>
      <c r="T36" s="705"/>
      <c r="U36" s="705"/>
      <c r="V36" s="705"/>
      <c r="W36" s="705"/>
      <c r="X36" s="705"/>
      <c r="Y36" s="705"/>
      <c r="Z36" s="705"/>
      <c r="AA36" s="705"/>
      <c r="AB36" s="705"/>
      <c r="AC36" s="705"/>
      <c r="AD36" s="705"/>
      <c r="AE36" s="705"/>
      <c r="AF36" s="705"/>
      <c r="AG36" s="705"/>
      <c r="AH36" s="705"/>
    </row>
    <row r="37" spans="1:34">
      <c r="A37" s="705"/>
      <c r="B37" s="705"/>
      <c r="C37" s="705"/>
      <c r="D37" s="705"/>
      <c r="E37" s="705"/>
      <c r="F37" s="705"/>
      <c r="G37" s="705"/>
      <c r="H37" s="705"/>
      <c r="I37" s="705"/>
      <c r="J37" s="705"/>
      <c r="K37" s="705"/>
      <c r="L37" s="705"/>
      <c r="M37" s="705"/>
      <c r="N37" s="705"/>
      <c r="O37" s="705"/>
      <c r="P37" s="705"/>
      <c r="Q37" s="705"/>
      <c r="R37" s="705"/>
      <c r="S37" s="705"/>
      <c r="T37" s="705"/>
      <c r="U37" s="705"/>
      <c r="V37" s="705"/>
      <c r="W37" s="705"/>
      <c r="X37" s="705"/>
      <c r="Y37" s="705"/>
      <c r="Z37" s="705"/>
      <c r="AA37" s="705"/>
      <c r="AB37" s="705"/>
      <c r="AC37" s="705"/>
      <c r="AD37" s="705"/>
      <c r="AE37" s="705"/>
      <c r="AF37" s="705"/>
      <c r="AG37" s="705"/>
      <c r="AH37" s="705"/>
    </row>
    <row r="38" spans="1:34">
      <c r="A38" s="705"/>
      <c r="B38" s="705"/>
      <c r="C38" s="705"/>
      <c r="D38" s="705"/>
      <c r="E38" s="705"/>
      <c r="F38" s="705"/>
      <c r="G38" s="705"/>
      <c r="H38" s="705"/>
      <c r="I38" s="705"/>
      <c r="J38" s="705"/>
      <c r="K38" s="705"/>
      <c r="L38" s="705"/>
      <c r="M38" s="705"/>
      <c r="N38" s="705"/>
      <c r="O38" s="705"/>
      <c r="P38" s="705"/>
      <c r="Q38" s="705"/>
      <c r="R38" s="705"/>
      <c r="S38" s="705"/>
      <c r="T38" s="705"/>
      <c r="U38" s="705"/>
      <c r="V38" s="705"/>
      <c r="W38" s="705"/>
      <c r="X38" s="705"/>
      <c r="Y38" s="705"/>
      <c r="Z38" s="705"/>
      <c r="AA38" s="705"/>
      <c r="AB38" s="705"/>
      <c r="AC38" s="705"/>
      <c r="AD38" s="705"/>
      <c r="AE38" s="705"/>
      <c r="AF38" s="705"/>
      <c r="AG38" s="705"/>
      <c r="AH38" s="705"/>
    </row>
    <row r="39" spans="1:34">
      <c r="A39" s="705"/>
      <c r="B39" s="705"/>
      <c r="C39" s="705"/>
      <c r="D39" s="705"/>
      <c r="E39" s="705"/>
      <c r="F39" s="705"/>
      <c r="G39" s="705"/>
      <c r="H39" s="705"/>
      <c r="I39" s="705"/>
      <c r="J39" s="705"/>
      <c r="K39" s="705"/>
      <c r="L39" s="705"/>
      <c r="M39" s="705"/>
      <c r="N39" s="705"/>
      <c r="O39" s="705"/>
      <c r="P39" s="705"/>
      <c r="Q39" s="705"/>
      <c r="R39" s="705"/>
      <c r="S39" s="705"/>
      <c r="T39" s="705"/>
      <c r="U39" s="705"/>
      <c r="V39" s="705"/>
      <c r="W39" s="705"/>
      <c r="X39" s="705"/>
      <c r="Y39" s="705"/>
      <c r="Z39" s="705"/>
      <c r="AA39" s="705"/>
      <c r="AB39" s="705"/>
      <c r="AC39" s="705"/>
      <c r="AD39" s="705"/>
      <c r="AE39" s="705"/>
      <c r="AF39" s="705"/>
      <c r="AG39" s="705"/>
      <c r="AH39" s="705"/>
    </row>
    <row r="40" spans="1:34">
      <c r="A40" s="705"/>
      <c r="B40" s="705"/>
      <c r="C40" s="705"/>
      <c r="D40" s="705"/>
      <c r="E40" s="705"/>
      <c r="F40" s="705"/>
      <c r="G40" s="705"/>
      <c r="H40" s="705"/>
      <c r="I40" s="705"/>
      <c r="J40" s="705"/>
      <c r="K40" s="705"/>
      <c r="L40" s="705"/>
      <c r="M40" s="705"/>
      <c r="N40" s="705"/>
      <c r="O40" s="705"/>
      <c r="P40" s="705"/>
      <c r="Q40" s="705"/>
      <c r="R40" s="705"/>
      <c r="S40" s="705"/>
      <c r="T40" s="705"/>
      <c r="U40" s="705"/>
      <c r="V40" s="705"/>
      <c r="W40" s="705"/>
      <c r="X40" s="705"/>
      <c r="Y40" s="705"/>
      <c r="Z40" s="705"/>
      <c r="AA40" s="705"/>
      <c r="AB40" s="705"/>
      <c r="AC40" s="705"/>
      <c r="AD40" s="705"/>
      <c r="AE40" s="705"/>
      <c r="AF40" s="705"/>
      <c r="AG40" s="705"/>
      <c r="AH40" s="705"/>
    </row>
    <row r="41" spans="1:34">
      <c r="A41" s="705"/>
      <c r="B41" s="705"/>
      <c r="C41" s="705"/>
      <c r="D41" s="705"/>
      <c r="E41" s="705"/>
      <c r="F41" s="705"/>
      <c r="G41" s="705"/>
      <c r="H41" s="705"/>
      <c r="I41" s="705"/>
      <c r="J41" s="705"/>
      <c r="K41" s="705"/>
      <c r="L41" s="705"/>
      <c r="M41" s="705"/>
      <c r="N41" s="705"/>
      <c r="O41" s="705"/>
      <c r="P41" s="705"/>
      <c r="Q41" s="705"/>
      <c r="R41" s="705"/>
      <c r="S41" s="705"/>
      <c r="T41" s="705"/>
      <c r="U41" s="705"/>
      <c r="V41" s="705"/>
      <c r="W41" s="705"/>
      <c r="X41" s="705"/>
      <c r="Y41" s="705"/>
      <c r="Z41" s="705"/>
      <c r="AA41" s="705"/>
      <c r="AB41" s="705"/>
      <c r="AC41" s="705"/>
      <c r="AD41" s="705"/>
      <c r="AE41" s="705"/>
      <c r="AF41" s="705"/>
      <c r="AG41" s="705"/>
      <c r="AH41" s="705"/>
    </row>
    <row r="42" spans="1:34">
      <c r="A42" s="705"/>
      <c r="B42" s="705"/>
      <c r="C42" s="705"/>
      <c r="D42" s="705"/>
      <c r="E42" s="705"/>
      <c r="F42" s="705"/>
      <c r="G42" s="705"/>
      <c r="H42" s="705"/>
      <c r="I42" s="705"/>
      <c r="J42" s="705"/>
      <c r="K42" s="705"/>
      <c r="L42" s="705"/>
      <c r="M42" s="705"/>
      <c r="N42" s="705"/>
      <c r="O42" s="705"/>
      <c r="P42" s="705"/>
      <c r="Q42" s="705"/>
      <c r="R42" s="705"/>
      <c r="S42" s="705"/>
      <c r="T42" s="705"/>
      <c r="U42" s="705"/>
      <c r="V42" s="705"/>
      <c r="W42" s="705"/>
      <c r="X42" s="705"/>
      <c r="Y42" s="705"/>
      <c r="Z42" s="705"/>
      <c r="AA42" s="705"/>
      <c r="AB42" s="705"/>
      <c r="AC42" s="705"/>
      <c r="AD42" s="705"/>
      <c r="AE42" s="705"/>
      <c r="AF42" s="705"/>
      <c r="AG42" s="705"/>
      <c r="AH42" s="705"/>
    </row>
    <row r="43" spans="1:34">
      <c r="A43" s="705"/>
      <c r="B43" s="705"/>
      <c r="C43" s="705"/>
      <c r="D43" s="705"/>
      <c r="E43" s="705"/>
      <c r="F43" s="705"/>
      <c r="G43" s="705"/>
      <c r="H43" s="705"/>
      <c r="I43" s="705"/>
      <c r="J43" s="705"/>
      <c r="K43" s="705"/>
      <c r="L43" s="705"/>
      <c r="M43" s="705"/>
      <c r="N43" s="705"/>
      <c r="O43" s="705"/>
      <c r="P43" s="705"/>
      <c r="Q43" s="705"/>
      <c r="R43" s="705"/>
      <c r="S43" s="705"/>
      <c r="T43" s="705"/>
      <c r="U43" s="705"/>
      <c r="V43" s="705"/>
      <c r="W43" s="705"/>
      <c r="X43" s="705"/>
      <c r="Y43" s="705"/>
      <c r="Z43" s="705"/>
      <c r="AA43" s="705"/>
      <c r="AB43" s="705"/>
      <c r="AC43" s="705"/>
      <c r="AD43" s="705"/>
      <c r="AE43" s="705"/>
      <c r="AF43" s="705"/>
      <c r="AG43" s="705"/>
      <c r="AH43" s="705"/>
    </row>
    <row r="44" spans="1:34">
      <c r="A44" s="705"/>
      <c r="B44" s="705"/>
      <c r="C44" s="705"/>
      <c r="D44" s="705"/>
      <c r="E44" s="705"/>
      <c r="F44" s="705"/>
      <c r="G44" s="705"/>
      <c r="H44" s="705"/>
      <c r="I44" s="705"/>
      <c r="J44" s="705"/>
      <c r="K44" s="705"/>
      <c r="L44" s="705"/>
      <c r="M44" s="705"/>
      <c r="N44" s="705"/>
      <c r="O44" s="705"/>
      <c r="P44" s="705"/>
      <c r="Q44" s="705"/>
      <c r="R44" s="705"/>
      <c r="S44" s="705"/>
      <c r="T44" s="705"/>
      <c r="U44" s="705"/>
      <c r="V44" s="705"/>
      <c r="W44" s="705"/>
      <c r="X44" s="705"/>
      <c r="Y44" s="705"/>
      <c r="Z44" s="705"/>
      <c r="AA44" s="705"/>
      <c r="AB44" s="705"/>
      <c r="AC44" s="705"/>
      <c r="AD44" s="705"/>
      <c r="AE44" s="705"/>
      <c r="AF44" s="705"/>
      <c r="AG44" s="705"/>
      <c r="AH44" s="705"/>
    </row>
    <row r="45" spans="1:34">
      <c r="A45" s="705"/>
      <c r="B45" s="705"/>
      <c r="C45" s="705"/>
      <c r="D45" s="705"/>
      <c r="E45" s="705"/>
      <c r="F45" s="705"/>
      <c r="G45" s="705"/>
      <c r="H45" s="705"/>
      <c r="I45" s="705"/>
      <c r="J45" s="705"/>
      <c r="K45" s="705"/>
      <c r="L45" s="705"/>
      <c r="M45" s="705"/>
      <c r="N45" s="705"/>
      <c r="O45" s="705"/>
      <c r="P45" s="705"/>
      <c r="Q45" s="705"/>
      <c r="R45" s="705"/>
      <c r="S45" s="705"/>
      <c r="T45" s="705"/>
      <c r="U45" s="705"/>
      <c r="V45" s="705"/>
      <c r="W45" s="705"/>
      <c r="X45" s="705"/>
      <c r="Y45" s="705"/>
      <c r="Z45" s="705"/>
      <c r="AA45" s="705"/>
      <c r="AB45" s="705"/>
      <c r="AC45" s="705"/>
      <c r="AD45" s="705"/>
      <c r="AE45" s="705"/>
      <c r="AF45" s="705"/>
      <c r="AG45" s="705"/>
      <c r="AH45" s="705"/>
    </row>
    <row r="46" spans="1:34">
      <c r="A46" s="705"/>
      <c r="B46" s="705"/>
      <c r="C46" s="705"/>
      <c r="D46" s="705"/>
      <c r="E46" s="705"/>
      <c r="F46" s="705"/>
      <c r="G46" s="705"/>
      <c r="H46" s="705"/>
      <c r="I46" s="705"/>
      <c r="J46" s="705"/>
      <c r="K46" s="705"/>
      <c r="L46" s="705"/>
      <c r="M46" s="705"/>
      <c r="N46" s="705"/>
      <c r="O46" s="705"/>
      <c r="P46" s="705"/>
      <c r="Q46" s="705"/>
      <c r="R46" s="705"/>
      <c r="S46" s="705"/>
      <c r="T46" s="705"/>
      <c r="U46" s="705"/>
      <c r="V46" s="705"/>
      <c r="W46" s="705"/>
      <c r="X46" s="705"/>
      <c r="Y46" s="705"/>
      <c r="Z46" s="705"/>
      <c r="AA46" s="705"/>
      <c r="AB46" s="705"/>
      <c r="AC46" s="705"/>
      <c r="AD46" s="705"/>
      <c r="AE46" s="705"/>
      <c r="AF46" s="705"/>
      <c r="AG46" s="705"/>
      <c r="AH46" s="705"/>
    </row>
    <row r="47" spans="1:34">
      <c r="A47" s="705"/>
      <c r="B47" s="705"/>
      <c r="C47" s="705"/>
      <c r="D47" s="705"/>
      <c r="E47" s="705"/>
      <c r="F47" s="705"/>
      <c r="G47" s="705"/>
      <c r="H47" s="705"/>
      <c r="I47" s="705"/>
      <c r="J47" s="705"/>
      <c r="K47" s="705"/>
      <c r="L47" s="705"/>
      <c r="M47" s="705"/>
      <c r="N47" s="705"/>
      <c r="O47" s="705"/>
      <c r="P47" s="705"/>
      <c r="Q47" s="705"/>
      <c r="R47" s="705"/>
      <c r="S47" s="705"/>
      <c r="T47" s="705"/>
      <c r="U47" s="705"/>
      <c r="V47" s="705"/>
      <c r="W47" s="705"/>
      <c r="X47" s="705"/>
      <c r="Y47" s="705"/>
      <c r="Z47" s="705"/>
      <c r="AA47" s="705"/>
      <c r="AB47" s="705"/>
      <c r="AC47" s="705"/>
      <c r="AD47" s="705"/>
      <c r="AE47" s="705"/>
      <c r="AF47" s="705"/>
      <c r="AG47" s="705"/>
      <c r="AH47" s="705"/>
    </row>
    <row r="48" spans="1:34">
      <c r="A48" s="705"/>
      <c r="B48" s="705"/>
      <c r="C48" s="705"/>
      <c r="D48" s="705"/>
      <c r="E48" s="705"/>
      <c r="F48" s="705"/>
      <c r="G48" s="705"/>
      <c r="H48" s="705"/>
      <c r="I48" s="705"/>
      <c r="J48" s="705"/>
      <c r="K48" s="705"/>
      <c r="L48" s="705"/>
      <c r="M48" s="705"/>
      <c r="N48" s="705"/>
      <c r="O48" s="705"/>
      <c r="P48" s="705"/>
      <c r="Q48" s="705"/>
      <c r="R48" s="705"/>
      <c r="S48" s="705"/>
      <c r="T48" s="705"/>
      <c r="U48" s="705"/>
      <c r="V48" s="705"/>
      <c r="W48" s="705"/>
      <c r="X48" s="705"/>
      <c r="Y48" s="705"/>
      <c r="Z48" s="705"/>
      <c r="AA48" s="705"/>
      <c r="AB48" s="705"/>
      <c r="AC48" s="705"/>
      <c r="AD48" s="705"/>
      <c r="AE48" s="705"/>
      <c r="AF48" s="705"/>
      <c r="AG48" s="705"/>
      <c r="AH48" s="705"/>
    </row>
    <row r="49" s="705" customFormat="1"/>
    <row r="50" s="705" customFormat="1"/>
    <row r="51" s="705" customFormat="1"/>
    <row r="52" s="705" customFormat="1"/>
    <row r="53" s="705" customFormat="1"/>
    <row r="54" s="705" customFormat="1"/>
    <row r="55" s="705" customFormat="1"/>
    <row r="56" s="705" customFormat="1"/>
    <row r="57" s="705" customFormat="1"/>
    <row r="58" s="705" customFormat="1"/>
    <row r="59" s="705" customFormat="1"/>
    <row r="60" s="705" customFormat="1"/>
    <row r="61" s="705" customFormat="1"/>
    <row r="62" s="705" customFormat="1"/>
    <row r="63" s="705" customFormat="1"/>
    <row r="64" s="705" customFormat="1"/>
    <row r="65" s="705" customFormat="1"/>
    <row r="66" s="705" customFormat="1"/>
    <row r="67" s="705" customFormat="1"/>
    <row r="68" s="705" customFormat="1"/>
    <row r="69" s="705" customFormat="1"/>
    <row r="70" s="705" customFormat="1"/>
    <row r="71" s="705" customFormat="1"/>
    <row r="72" s="705" customFormat="1"/>
    <row r="73" s="705" customFormat="1"/>
    <row r="74" s="705" customFormat="1"/>
    <row r="75" s="705" customFormat="1"/>
    <row r="76" s="705" customFormat="1"/>
    <row r="77" s="705" customFormat="1"/>
    <row r="78" s="705" customFormat="1"/>
    <row r="79" s="705" customFormat="1"/>
    <row r="80" s="705" customFormat="1"/>
    <row r="81" s="705" customFormat="1"/>
    <row r="82" s="705" customFormat="1"/>
    <row r="83" s="705" customFormat="1"/>
    <row r="84" s="705" customFormat="1"/>
    <row r="85" s="705" customFormat="1"/>
    <row r="86" s="705" customFormat="1"/>
    <row r="87" s="705" customFormat="1"/>
    <row r="88" s="705" customFormat="1"/>
    <row r="89" s="705" customFormat="1"/>
    <row r="90" s="705" customFormat="1"/>
    <row r="91" s="705" customFormat="1"/>
    <row r="92" s="705" customFormat="1"/>
    <row r="93" s="705" customFormat="1"/>
    <row r="94" s="705" customFormat="1"/>
    <row r="95" s="705" customFormat="1"/>
    <row r="96" s="705" customFormat="1"/>
    <row r="97" s="705" customFormat="1"/>
    <row r="98" s="705" customFormat="1"/>
    <row r="99" s="705" customFormat="1"/>
    <row r="100" s="705" customFormat="1"/>
    <row r="101" s="705" customFormat="1"/>
    <row r="102" s="705" customFormat="1"/>
    <row r="103" s="705" customFormat="1"/>
    <row r="104" s="705" customFormat="1"/>
    <row r="105" s="705" customFormat="1"/>
    <row r="106" s="705" customFormat="1"/>
    <row r="107" s="705" customFormat="1"/>
    <row r="108" s="705" customFormat="1"/>
    <row r="109" s="705" customFormat="1"/>
    <row r="110" s="705" customFormat="1"/>
    <row r="111" s="705" customFormat="1"/>
    <row r="112" s="705" customFormat="1"/>
    <row r="113" s="705" customFormat="1"/>
    <row r="114" s="705" customFormat="1"/>
    <row r="115" s="705" customFormat="1"/>
    <row r="116" s="705" customFormat="1"/>
    <row r="117" s="705" customFormat="1"/>
    <row r="118" s="705" customFormat="1"/>
    <row r="119" s="705" customFormat="1"/>
    <row r="120" s="705" customFormat="1"/>
    <row r="121" s="705" customFormat="1"/>
    <row r="122" s="705" customFormat="1"/>
    <row r="123" s="705" customFormat="1"/>
    <row r="124" s="705" customFormat="1"/>
    <row r="125" s="705" customFormat="1"/>
    <row r="126" s="705" customFormat="1"/>
    <row r="127" s="705" customFormat="1"/>
    <row r="128" s="705" customFormat="1"/>
    <row r="129" s="705" customFormat="1"/>
    <row r="130" s="705" customFormat="1"/>
    <row r="131" s="705" customFormat="1"/>
    <row r="132" s="705" customFormat="1"/>
    <row r="133" s="705" customFormat="1"/>
    <row r="134" s="705" customFormat="1"/>
    <row r="135" s="705" customFormat="1"/>
    <row r="136" s="705" customFormat="1"/>
    <row r="137" s="705" customFormat="1"/>
    <row r="138" s="705" customFormat="1"/>
    <row r="139" s="705" customFormat="1"/>
    <row r="140" s="705" customFormat="1"/>
    <row r="141" s="705" customFormat="1"/>
    <row r="142" s="705" customFormat="1"/>
    <row r="143" s="705" customFormat="1"/>
    <row r="144" s="705" customFormat="1"/>
    <row r="145" s="705" customFormat="1"/>
    <row r="146" s="705" customFormat="1"/>
    <row r="147" s="705" customFormat="1"/>
    <row r="148" s="705" customFormat="1"/>
    <row r="149" s="705" customFormat="1"/>
    <row r="150" s="705" customFormat="1"/>
    <row r="151" s="705" customFormat="1"/>
    <row r="152" s="705" customFormat="1"/>
    <row r="153" s="705" customFormat="1"/>
    <row r="154" s="705" customFormat="1"/>
    <row r="155" s="705" customFormat="1"/>
    <row r="156" s="705" customFormat="1"/>
    <row r="157" s="705" customFormat="1"/>
    <row r="158" s="705" customFormat="1"/>
    <row r="159" s="705" customFormat="1"/>
    <row r="160" s="705" customFormat="1"/>
    <row r="161" s="705" customFormat="1"/>
    <row r="162" s="705" customFormat="1"/>
    <row r="163" s="705" customFormat="1"/>
    <row r="164" s="705" customFormat="1"/>
  </sheetData>
  <sheetProtection selectLockedCells="1" selectUnlockedCells="1"/>
  <mergeCells count="127">
    <mergeCell ref="F9:G9"/>
    <mergeCell ref="F7:I7"/>
    <mergeCell ref="B8:C8"/>
    <mergeCell ref="H9:I9"/>
    <mergeCell ref="B10:C10"/>
    <mergeCell ref="D10:E10"/>
    <mergeCell ref="F10:G10"/>
    <mergeCell ref="H10:I10"/>
    <mergeCell ref="B11:C11"/>
    <mergeCell ref="D11:E11"/>
    <mergeCell ref="F11:G11"/>
    <mergeCell ref="H11:I11"/>
    <mergeCell ref="B9:C9"/>
    <mergeCell ref="D9:E9"/>
    <mergeCell ref="A1:J2"/>
    <mergeCell ref="A3:E4"/>
    <mergeCell ref="G3:H3"/>
    <mergeCell ref="G4:H4"/>
    <mergeCell ref="J4:J5"/>
    <mergeCell ref="G5:H5"/>
    <mergeCell ref="A6:J6"/>
    <mergeCell ref="A7:A8"/>
    <mergeCell ref="B7:E7"/>
    <mergeCell ref="A5:E5"/>
    <mergeCell ref="D8:E8"/>
    <mergeCell ref="F8:G8"/>
    <mergeCell ref="H8:I8"/>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A22:A23"/>
    <mergeCell ref="B22:E22"/>
    <mergeCell ref="F22:I22"/>
    <mergeCell ref="B23:C23"/>
    <mergeCell ref="D23:E23"/>
    <mergeCell ref="F23:G23"/>
    <mergeCell ref="H23:I23"/>
    <mergeCell ref="B20:C20"/>
    <mergeCell ref="D20:E20"/>
    <mergeCell ref="F20:G20"/>
    <mergeCell ref="H20:I20"/>
    <mergeCell ref="B21:C21"/>
    <mergeCell ref="D21:E21"/>
    <mergeCell ref="F21:G21"/>
    <mergeCell ref="H21:I21"/>
    <mergeCell ref="B26:C26"/>
    <mergeCell ref="D26:E26"/>
    <mergeCell ref="F26:G26"/>
    <mergeCell ref="H26:I26"/>
    <mergeCell ref="B27:C27"/>
    <mergeCell ref="D27:E27"/>
    <mergeCell ref="F27:G27"/>
    <mergeCell ref="H27:I27"/>
    <mergeCell ref="B24:C24"/>
    <mergeCell ref="D24:E24"/>
    <mergeCell ref="F24:G24"/>
    <mergeCell ref="H24:I24"/>
    <mergeCell ref="B25:C25"/>
    <mergeCell ref="D25:E25"/>
    <mergeCell ref="F25:G25"/>
    <mergeCell ref="H25:I25"/>
    <mergeCell ref="H30:I30"/>
    <mergeCell ref="B31:C31"/>
    <mergeCell ref="D31:E31"/>
    <mergeCell ref="F31:G31"/>
    <mergeCell ref="H31:I31"/>
    <mergeCell ref="B28:C28"/>
    <mergeCell ref="D28:E28"/>
    <mergeCell ref="F28:G28"/>
    <mergeCell ref="H28:I28"/>
    <mergeCell ref="B29:C29"/>
    <mergeCell ref="D29:E29"/>
    <mergeCell ref="F29:G29"/>
    <mergeCell ref="H29:I29"/>
    <mergeCell ref="J22:J23"/>
    <mergeCell ref="B36:C36"/>
    <mergeCell ref="D36:E36"/>
    <mergeCell ref="F36:G36"/>
    <mergeCell ref="H36:I36"/>
    <mergeCell ref="B34:C34"/>
    <mergeCell ref="D34:E34"/>
    <mergeCell ref="F34:G34"/>
    <mergeCell ref="H34:I34"/>
    <mergeCell ref="B35:C35"/>
    <mergeCell ref="D35:E35"/>
    <mergeCell ref="F35:G35"/>
    <mergeCell ref="H35:I35"/>
    <mergeCell ref="B32:C32"/>
    <mergeCell ref="D32:E32"/>
    <mergeCell ref="F32:G32"/>
    <mergeCell ref="H32:I32"/>
    <mergeCell ref="B33:C33"/>
    <mergeCell ref="D33:E33"/>
    <mergeCell ref="F33:G33"/>
    <mergeCell ref="H33:I33"/>
    <mergeCell ref="B30:C30"/>
    <mergeCell ref="D30:E30"/>
    <mergeCell ref="F30:G30"/>
  </mergeCells>
  <phoneticPr fontId="51" type="noConversion"/>
  <dataValidations count="1">
    <dataValidation allowBlank="1" showErrorMessage="1" sqref="G4:H4">
      <formula1>0</formula1>
      <formula2>0</formula2>
    </dataValidation>
  </dataValidations>
  <hyperlinks>
    <hyperlink ref="K9" location="社保!A1" display="社保"/>
    <hyperlink ref="K11" location="工资福利!A1" display="工资福利"/>
    <hyperlink ref="K13" location="税收优惠明细表!C49" display="税收优惠明细表"/>
    <hyperlink ref="K15" location="纳税调整明细表!A1" display="纳税调整明细表!A1"/>
    <hyperlink ref="K17" location="凭证检查!A1" display="凭证检查"/>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T43"/>
  <sheetViews>
    <sheetView workbookViewId="0">
      <selection activeCell="P11" sqref="P11"/>
    </sheetView>
  </sheetViews>
  <sheetFormatPr defaultColWidth="9" defaultRowHeight="15.6"/>
  <cols>
    <col min="1" max="1" width="5.59765625" style="168" customWidth="1"/>
    <col min="2" max="2" width="3.09765625" style="168" customWidth="1"/>
    <col min="3" max="3" width="11" style="168" customWidth="1"/>
    <col min="4" max="4" width="14.59765625" style="168" customWidth="1"/>
    <col min="5" max="6" width="7" style="168" customWidth="1"/>
    <col min="7" max="7" width="3.5" style="168" customWidth="1"/>
    <col min="8" max="8" width="2.8984375" style="168" customWidth="1"/>
    <col min="9" max="9" width="8" style="168" customWidth="1"/>
    <col min="10" max="10" width="13.8984375" style="168" customWidth="1"/>
    <col min="11" max="11" width="7.8984375" style="168" customWidth="1"/>
    <col min="12" max="16384" width="9" style="168"/>
  </cols>
  <sheetData>
    <row r="1" spans="1:20" ht="22.2">
      <c r="A1" s="2719" t="s">
        <v>360</v>
      </c>
      <c r="B1" s="2719"/>
      <c r="C1" s="2719"/>
      <c r="D1" s="2719"/>
      <c r="E1" s="2719"/>
      <c r="F1" s="2719"/>
      <c r="G1" s="2719"/>
      <c r="H1" s="2719"/>
      <c r="I1" s="2719"/>
      <c r="J1" s="2719"/>
      <c r="K1" s="2719"/>
      <c r="L1" s="169"/>
      <c r="M1" s="169"/>
      <c r="N1" s="169"/>
      <c r="O1" s="169"/>
      <c r="P1" s="169"/>
      <c r="Q1" s="169"/>
      <c r="R1" s="169"/>
      <c r="S1" s="169"/>
    </row>
    <row r="2" spans="1:20" ht="7.5" customHeight="1">
      <c r="A2" s="170"/>
      <c r="B2" s="170"/>
      <c r="C2" s="170"/>
      <c r="D2" s="170"/>
      <c r="E2" s="170"/>
      <c r="F2" s="170"/>
      <c r="G2" s="170"/>
      <c r="H2" s="170"/>
      <c r="I2" s="170"/>
      <c r="J2" s="170"/>
      <c r="K2" s="170"/>
      <c r="L2" s="169"/>
      <c r="M2" s="169"/>
      <c r="N2" s="169"/>
      <c r="O2" s="169"/>
      <c r="P2" s="169"/>
      <c r="Q2" s="169"/>
      <c r="R2" s="169"/>
      <c r="S2" s="169"/>
    </row>
    <row r="3" spans="1:20" ht="18" customHeight="1">
      <c r="A3" s="3065" t="s">
        <v>447</v>
      </c>
      <c r="B3" s="3065"/>
      <c r="C3" s="2928">
        <f>基本情况!B2</f>
        <v>0</v>
      </c>
      <c r="D3" s="2928"/>
      <c r="E3" s="369" t="s">
        <v>450</v>
      </c>
      <c r="F3" s="3067">
        <f>基本情况!B12</f>
        <v>0</v>
      </c>
      <c r="G3" s="3067"/>
      <c r="H3" s="3067"/>
      <c r="I3" s="710" t="s">
        <v>449</v>
      </c>
      <c r="J3" s="711" t="str">
        <f>TEXT(基本情况!B21,"yyyy-mm-dd")</f>
        <v>2017-03-16</v>
      </c>
      <c r="K3" s="712" t="s">
        <v>283</v>
      </c>
      <c r="L3" s="169"/>
      <c r="M3" s="169"/>
      <c r="N3" s="169"/>
      <c r="O3" s="169"/>
      <c r="P3" s="169"/>
      <c r="Q3" s="169"/>
      <c r="R3" s="169"/>
      <c r="S3" s="169"/>
    </row>
    <row r="4" spans="1:20" ht="18" customHeight="1">
      <c r="A4" s="2922" t="s">
        <v>451</v>
      </c>
      <c r="B4" s="2922"/>
      <c r="C4" s="2930" t="str">
        <f>基本情况!B7</f>
        <v>2016年01月01日至2016年12月31日</v>
      </c>
      <c r="D4" s="2930"/>
      <c r="E4" s="373" t="s">
        <v>452</v>
      </c>
      <c r="F4" s="3062">
        <f>基本情况!B11</f>
        <v>0</v>
      </c>
      <c r="G4" s="3062"/>
      <c r="H4" s="3062"/>
      <c r="I4" s="713" t="s">
        <v>449</v>
      </c>
      <c r="J4" s="374" t="str">
        <f>TEXT(基本情况!B22,"yyyy-mm-dd")</f>
        <v>2017-05-04</v>
      </c>
      <c r="K4" s="541" t="str">
        <f>档案索引!A40</f>
        <v>2A-20</v>
      </c>
      <c r="L4" s="169"/>
      <c r="M4" s="169"/>
      <c r="N4" s="169"/>
      <c r="O4" s="169"/>
      <c r="P4" s="169"/>
      <c r="Q4" s="169"/>
      <c r="R4" s="169"/>
      <c r="S4" s="169"/>
    </row>
    <row r="5" spans="1:20" ht="7.5" customHeight="1">
      <c r="A5" s="2926"/>
      <c r="B5" s="2926"/>
      <c r="C5" s="2926"/>
      <c r="D5" s="2926"/>
      <c r="E5" s="2926"/>
      <c r="F5" s="2926"/>
      <c r="G5" s="2926"/>
      <c r="H5" s="2926"/>
      <c r="I5" s="2926"/>
      <c r="J5" s="2926"/>
      <c r="K5" s="2926"/>
      <c r="L5" s="169"/>
      <c r="M5" s="169"/>
      <c r="N5" s="169"/>
      <c r="O5" s="169"/>
      <c r="P5" s="169"/>
      <c r="Q5" s="169"/>
      <c r="R5" s="169"/>
      <c r="S5" s="169"/>
    </row>
    <row r="6" spans="1:20" ht="19.5" customHeight="1">
      <c r="A6" s="3163" t="s">
        <v>665</v>
      </c>
      <c r="B6" s="3163"/>
      <c r="C6" s="3064" t="s">
        <v>1489</v>
      </c>
      <c r="D6" s="3064"/>
      <c r="E6" s="3064" t="s">
        <v>1490</v>
      </c>
      <c r="F6" s="3064"/>
      <c r="G6" s="3064" t="s">
        <v>1491</v>
      </c>
      <c r="H6" s="3064"/>
      <c r="I6" s="3064"/>
      <c r="J6" s="376" t="s">
        <v>1492</v>
      </c>
      <c r="K6" s="544" t="s">
        <v>455</v>
      </c>
      <c r="L6" s="84" t="s">
        <v>395</v>
      </c>
      <c r="M6" s="169"/>
      <c r="N6" s="169"/>
      <c r="O6" s="169"/>
      <c r="P6" s="169"/>
      <c r="Q6" s="169"/>
      <c r="R6" s="169"/>
      <c r="S6" s="169"/>
    </row>
    <row r="7" spans="1:20" ht="18" customHeight="1">
      <c r="A7" s="3065" t="s">
        <v>1493</v>
      </c>
      <c r="B7" s="3065"/>
      <c r="C7" s="3254"/>
      <c r="D7" s="3254"/>
      <c r="E7" s="3255">
        <f>SUM(E8:F14)</f>
        <v>0</v>
      </c>
      <c r="F7" s="3255"/>
      <c r="G7" s="3255">
        <f>E7-J7</f>
        <v>0</v>
      </c>
      <c r="H7" s="3255"/>
      <c r="I7" s="3255"/>
      <c r="J7" s="714">
        <f>SUM(J8:J14)</f>
        <v>0</v>
      </c>
      <c r="K7" s="383"/>
      <c r="L7" s="169"/>
      <c r="M7" s="169"/>
      <c r="N7" s="169"/>
      <c r="O7" s="169"/>
      <c r="P7" s="169"/>
      <c r="Q7" s="169"/>
      <c r="R7" s="169"/>
      <c r="S7" s="169"/>
    </row>
    <row r="8" spans="1:20" ht="18" customHeight="1">
      <c r="A8" s="3266"/>
      <c r="B8" s="3266"/>
      <c r="C8" s="3267"/>
      <c r="D8" s="3267"/>
      <c r="E8" s="3162"/>
      <c r="F8" s="3162"/>
      <c r="G8" s="3159">
        <f t="shared" ref="G8:G14" si="0">E8-J8</f>
        <v>0</v>
      </c>
      <c r="H8" s="3159"/>
      <c r="I8" s="3159"/>
      <c r="J8" s="1095">
        <f t="shared" ref="J8:J14" si="1">E8</f>
        <v>0</v>
      </c>
      <c r="K8" s="388"/>
      <c r="L8" s="3161" t="s">
        <v>1494</v>
      </c>
      <c r="M8" s="3161"/>
      <c r="N8" s="3161"/>
      <c r="O8" s="169"/>
      <c r="P8" s="169"/>
      <c r="Q8" s="169"/>
      <c r="R8" s="169"/>
      <c r="S8" s="169"/>
    </row>
    <row r="9" spans="1:20" ht="18" customHeight="1">
      <c r="A9" s="3266"/>
      <c r="B9" s="3266"/>
      <c r="C9" s="3267"/>
      <c r="D9" s="3267"/>
      <c r="E9" s="3162"/>
      <c r="F9" s="3162"/>
      <c r="G9" s="3159">
        <f t="shared" si="0"/>
        <v>0</v>
      </c>
      <c r="H9" s="3159"/>
      <c r="I9" s="3159"/>
      <c r="J9" s="1095">
        <f t="shared" si="1"/>
        <v>0</v>
      </c>
      <c r="K9" s="388"/>
      <c r="L9" s="169"/>
      <c r="M9" s="169"/>
      <c r="N9" s="169"/>
      <c r="O9" s="169"/>
      <c r="P9" s="169"/>
      <c r="Q9" s="169"/>
      <c r="R9" s="169"/>
      <c r="S9" s="169"/>
    </row>
    <row r="10" spans="1:20" ht="18" customHeight="1">
      <c r="A10" s="3266"/>
      <c r="B10" s="3266"/>
      <c r="C10" s="3267"/>
      <c r="D10" s="3267"/>
      <c r="E10" s="3268"/>
      <c r="F10" s="3268"/>
      <c r="G10" s="3159">
        <f t="shared" si="0"/>
        <v>0</v>
      </c>
      <c r="H10" s="3159"/>
      <c r="I10" s="3159"/>
      <c r="J10" s="1315">
        <f t="shared" si="1"/>
        <v>0</v>
      </c>
      <c r="K10" s="388"/>
      <c r="L10" s="3161" t="s">
        <v>1486</v>
      </c>
      <c r="M10" s="3161"/>
      <c r="N10" s="3161"/>
      <c r="O10" s="169"/>
      <c r="P10" s="169"/>
      <c r="Q10" s="169"/>
      <c r="R10" s="169"/>
      <c r="S10" s="169"/>
    </row>
    <row r="11" spans="1:20" ht="18" customHeight="1">
      <c r="A11" s="3266"/>
      <c r="B11" s="3266"/>
      <c r="C11" s="3267"/>
      <c r="D11" s="3267"/>
      <c r="E11" s="3162"/>
      <c r="F11" s="3162"/>
      <c r="G11" s="3159">
        <f t="shared" si="0"/>
        <v>0</v>
      </c>
      <c r="H11" s="3159"/>
      <c r="I11" s="3159"/>
      <c r="J11" s="1315">
        <f t="shared" si="1"/>
        <v>0</v>
      </c>
      <c r="K11" s="388"/>
      <c r="L11" s="169"/>
      <c r="M11" s="169"/>
      <c r="N11" s="169"/>
      <c r="O11" s="169"/>
      <c r="P11" s="169"/>
      <c r="Q11" s="169"/>
      <c r="R11" s="169"/>
      <c r="S11" s="169"/>
    </row>
    <row r="12" spans="1:20" ht="18" customHeight="1">
      <c r="A12" s="3266"/>
      <c r="B12" s="3266"/>
      <c r="C12" s="3267"/>
      <c r="D12" s="3267"/>
      <c r="E12" s="3162"/>
      <c r="F12" s="3162"/>
      <c r="G12" s="3159">
        <f t="shared" si="0"/>
        <v>0</v>
      </c>
      <c r="H12" s="3159"/>
      <c r="I12" s="3159"/>
      <c r="J12" s="1315">
        <f t="shared" si="1"/>
        <v>0</v>
      </c>
      <c r="K12" s="388"/>
      <c r="L12" s="3161" t="s">
        <v>324</v>
      </c>
      <c r="M12" s="3161"/>
      <c r="N12" s="3161"/>
      <c r="O12" s="169"/>
      <c r="P12" s="169"/>
      <c r="Q12" s="169"/>
      <c r="R12" s="169"/>
      <c r="S12" s="169"/>
    </row>
    <row r="13" spans="1:20" ht="18" customHeight="1">
      <c r="A13" s="3266"/>
      <c r="B13" s="3266"/>
      <c r="C13" s="3267"/>
      <c r="D13" s="3267"/>
      <c r="E13" s="3162"/>
      <c r="F13" s="3162"/>
      <c r="G13" s="3159">
        <f t="shared" si="0"/>
        <v>0</v>
      </c>
      <c r="H13" s="3159"/>
      <c r="I13" s="3159"/>
      <c r="J13" s="1315">
        <f t="shared" si="1"/>
        <v>0</v>
      </c>
      <c r="K13" s="388"/>
      <c r="L13" s="169"/>
      <c r="M13" s="169"/>
      <c r="N13" s="169"/>
      <c r="O13" s="169"/>
      <c r="P13" s="169"/>
      <c r="Q13" s="169"/>
      <c r="R13" s="169"/>
      <c r="S13" s="169"/>
    </row>
    <row r="14" spans="1:20" ht="18" customHeight="1">
      <c r="A14" s="3265"/>
      <c r="B14" s="3265"/>
      <c r="C14" s="3262"/>
      <c r="D14" s="3262"/>
      <c r="E14" s="3238"/>
      <c r="F14" s="3238"/>
      <c r="G14" s="3257">
        <f t="shared" si="0"/>
        <v>0</v>
      </c>
      <c r="H14" s="3257"/>
      <c r="I14" s="3257"/>
      <c r="J14" s="1137">
        <f t="shared" si="1"/>
        <v>0</v>
      </c>
      <c r="K14" s="398"/>
      <c r="L14" s="3161" t="s">
        <v>320</v>
      </c>
      <c r="M14" s="3161"/>
      <c r="N14" s="3161"/>
      <c r="O14" s="169"/>
      <c r="P14" s="169"/>
      <c r="Q14" s="169"/>
      <c r="R14" s="169"/>
      <c r="S14" s="169"/>
      <c r="T14" s="717"/>
    </row>
    <row r="15" spans="1:20" ht="18" customHeight="1">
      <c r="A15" s="3065" t="s">
        <v>1495</v>
      </c>
      <c r="B15" s="3065"/>
      <c r="C15" s="3254"/>
      <c r="D15" s="3254"/>
      <c r="E15" s="3255">
        <f>SUM(E16:F19)</f>
        <v>0</v>
      </c>
      <c r="F15" s="3255"/>
      <c r="G15" s="3255">
        <f>SUM(G16:I19)</f>
        <v>0</v>
      </c>
      <c r="H15" s="3255"/>
      <c r="I15" s="3255"/>
      <c r="J15" s="714">
        <f>SUM(J16:J19)</f>
        <v>0</v>
      </c>
      <c r="K15" s="383"/>
      <c r="L15" s="169"/>
      <c r="M15" s="169"/>
      <c r="N15" s="169"/>
      <c r="O15" s="169"/>
      <c r="P15" s="169"/>
      <c r="Q15" s="169"/>
      <c r="R15" s="169"/>
      <c r="S15" s="169"/>
      <c r="T15" s="717"/>
    </row>
    <row r="16" spans="1:20" ht="18" customHeight="1">
      <c r="A16" s="3266"/>
      <c r="B16" s="3266"/>
      <c r="C16" s="3267"/>
      <c r="D16" s="3267"/>
      <c r="E16" s="3162"/>
      <c r="F16" s="3162"/>
      <c r="G16" s="3159">
        <f>E16-J16</f>
        <v>0</v>
      </c>
      <c r="H16" s="3159"/>
      <c r="I16" s="3159"/>
      <c r="J16" s="1136">
        <f>E16</f>
        <v>0</v>
      </c>
      <c r="K16" s="388"/>
      <c r="L16" s="232" t="s">
        <v>1298</v>
      </c>
      <c r="M16" s="169"/>
      <c r="N16" s="169"/>
      <c r="O16" s="169"/>
      <c r="P16" s="169"/>
      <c r="Q16" s="169"/>
      <c r="R16" s="169"/>
      <c r="S16" s="169"/>
      <c r="T16" s="717"/>
    </row>
    <row r="17" spans="1:20" ht="18" customHeight="1">
      <c r="A17" s="3266"/>
      <c r="B17" s="3266"/>
      <c r="C17" s="3267"/>
      <c r="D17" s="3267"/>
      <c r="E17" s="3259"/>
      <c r="F17" s="3259"/>
      <c r="G17" s="3159">
        <f>E17-J17</f>
        <v>0</v>
      </c>
      <c r="H17" s="3159"/>
      <c r="I17" s="3159"/>
      <c r="J17" s="1095">
        <f>E17</f>
        <v>0</v>
      </c>
      <c r="K17" s="388"/>
      <c r="L17" s="169"/>
      <c r="M17" s="169"/>
      <c r="N17" s="169"/>
      <c r="O17" s="169"/>
      <c r="P17" s="169"/>
      <c r="Q17" s="169"/>
      <c r="R17" s="169"/>
      <c r="S17" s="169"/>
      <c r="T17" s="717"/>
    </row>
    <row r="18" spans="1:20" ht="18" customHeight="1">
      <c r="A18" s="3266"/>
      <c r="B18" s="3266"/>
      <c r="C18" s="3267"/>
      <c r="D18" s="3267"/>
      <c r="E18" s="3259"/>
      <c r="F18" s="3259"/>
      <c r="G18" s="3159">
        <f>E18-J18</f>
        <v>0</v>
      </c>
      <c r="H18" s="3159"/>
      <c r="I18" s="3159"/>
      <c r="J18" s="1095">
        <f>E18</f>
        <v>0</v>
      </c>
      <c r="K18" s="388"/>
      <c r="L18" s="232" t="s">
        <v>1496</v>
      </c>
      <c r="M18" s="169"/>
      <c r="N18" s="169"/>
      <c r="O18" s="169"/>
      <c r="P18" s="169"/>
      <c r="Q18" s="169"/>
      <c r="R18" s="169"/>
      <c r="S18" s="169"/>
      <c r="T18" s="717"/>
    </row>
    <row r="19" spans="1:20" ht="18" customHeight="1">
      <c r="A19" s="3265"/>
      <c r="B19" s="3265"/>
      <c r="C19" s="3262"/>
      <c r="D19" s="3262"/>
      <c r="E19" s="3263"/>
      <c r="F19" s="3263"/>
      <c r="G19" s="3257">
        <f>E19-J19</f>
        <v>0</v>
      </c>
      <c r="H19" s="3257"/>
      <c r="I19" s="3257"/>
      <c r="J19" s="1137">
        <f>E19</f>
        <v>0</v>
      </c>
      <c r="K19" s="398"/>
      <c r="L19" s="3233" t="s">
        <v>1497</v>
      </c>
      <c r="M19" s="3233"/>
      <c r="N19" s="3233"/>
      <c r="O19" s="3233"/>
      <c r="P19" s="3233"/>
      <c r="Q19" s="3233"/>
      <c r="R19" s="3233"/>
      <c r="S19" s="3233"/>
      <c r="T19" s="717"/>
    </row>
    <row r="20" spans="1:20" ht="18" customHeight="1">
      <c r="A20" s="3065" t="s">
        <v>1295</v>
      </c>
      <c r="B20" s="3065"/>
      <c r="C20" s="3254"/>
      <c r="D20" s="3254"/>
      <c r="E20" s="3255">
        <f>E21</f>
        <v>0</v>
      </c>
      <c r="F20" s="3255"/>
      <c r="G20" s="3255">
        <f>E20-J20</f>
        <v>0</v>
      </c>
      <c r="H20" s="3255"/>
      <c r="I20" s="3255"/>
      <c r="J20" s="714">
        <f>J21</f>
        <v>0</v>
      </c>
      <c r="K20" s="383"/>
      <c r="L20" s="3233"/>
      <c r="M20" s="3233"/>
      <c r="N20" s="3233"/>
      <c r="O20" s="3233"/>
      <c r="P20" s="3233"/>
      <c r="Q20" s="3233"/>
      <c r="R20" s="3233"/>
      <c r="S20" s="3233"/>
      <c r="T20" s="717"/>
    </row>
    <row r="21" spans="1:20" ht="18" customHeight="1">
      <c r="A21" s="3264"/>
      <c r="B21" s="3264"/>
      <c r="C21" s="3262"/>
      <c r="D21" s="3262"/>
      <c r="E21" s="3263"/>
      <c r="F21" s="3263"/>
      <c r="G21" s="3238"/>
      <c r="H21" s="3238"/>
      <c r="I21" s="3238"/>
      <c r="J21" s="1137"/>
      <c r="K21" s="398"/>
      <c r="L21" s="3233"/>
      <c r="M21" s="3233"/>
      <c r="N21" s="3233"/>
      <c r="O21" s="3233"/>
      <c r="P21" s="3233"/>
      <c r="Q21" s="3233"/>
      <c r="R21" s="3233"/>
      <c r="S21" s="3233"/>
      <c r="T21" s="717"/>
    </row>
    <row r="22" spans="1:20" ht="18" customHeight="1">
      <c r="A22" s="3260" t="s">
        <v>6104</v>
      </c>
      <c r="B22" s="3260"/>
      <c r="C22" s="3260"/>
      <c r="D22" s="3260"/>
      <c r="E22" s="3255">
        <f>E7+E15+E20</f>
        <v>0</v>
      </c>
      <c r="F22" s="3255"/>
      <c r="G22" s="3255">
        <f>G7+G15+G20</f>
        <v>0</v>
      </c>
      <c r="H22" s="3255"/>
      <c r="I22" s="3255"/>
      <c r="J22" s="714">
        <f>J7+J15+J20</f>
        <v>0</v>
      </c>
      <c r="K22" s="383"/>
      <c r="L22" s="3233"/>
      <c r="M22" s="3233"/>
      <c r="N22" s="3233"/>
      <c r="O22" s="3233"/>
      <c r="P22" s="3233"/>
      <c r="Q22" s="3233"/>
      <c r="R22" s="3233"/>
      <c r="S22" s="3233"/>
      <c r="T22" s="717"/>
    </row>
    <row r="23" spans="1:20" ht="18" customHeight="1">
      <c r="A23" s="3258" t="s">
        <v>6103</v>
      </c>
      <c r="B23" s="3258"/>
      <c r="C23" s="3258"/>
      <c r="D23" s="3258"/>
      <c r="E23" s="3259"/>
      <c r="F23" s="3259"/>
      <c r="G23" s="3159">
        <f>E23-J23</f>
        <v>0</v>
      </c>
      <c r="H23" s="3159"/>
      <c r="I23" s="3159"/>
      <c r="J23" s="1136"/>
      <c r="K23" s="388"/>
      <c r="L23" s="3233"/>
      <c r="M23" s="3233"/>
      <c r="N23" s="3233"/>
      <c r="O23" s="3233"/>
      <c r="P23" s="3233"/>
      <c r="Q23" s="3233"/>
      <c r="R23" s="3233"/>
      <c r="S23" s="3233"/>
      <c r="T23" s="717"/>
    </row>
    <row r="24" spans="1:20" ht="18" customHeight="1">
      <c r="A24" s="3256" t="s">
        <v>6105</v>
      </c>
      <c r="B24" s="3256"/>
      <c r="C24" s="3256"/>
      <c r="D24" s="3256"/>
      <c r="E24" s="3257">
        <f>E22-E23</f>
        <v>0</v>
      </c>
      <c r="F24" s="3257"/>
      <c r="G24" s="3257">
        <f>G22+G23</f>
        <v>0</v>
      </c>
      <c r="H24" s="3257"/>
      <c r="I24" s="3257"/>
      <c r="J24" s="718">
        <f>J22-J23</f>
        <v>0</v>
      </c>
      <c r="K24" s="398"/>
      <c r="L24" s="3233"/>
      <c r="M24" s="3233"/>
      <c r="N24" s="3233"/>
      <c r="O24" s="3233"/>
      <c r="P24" s="3233"/>
      <c r="Q24" s="3233"/>
      <c r="R24" s="3233"/>
      <c r="S24" s="3233"/>
    </row>
    <row r="25" spans="1:20" s="558" customFormat="1" ht="19.5" customHeight="1">
      <c r="A25" s="3261" t="s">
        <v>1498</v>
      </c>
      <c r="B25" s="3261"/>
      <c r="C25" s="3261"/>
      <c r="D25" s="3261"/>
      <c r="E25" s="3261"/>
      <c r="F25" s="3261"/>
      <c r="G25" s="3261"/>
      <c r="H25" s="3261"/>
      <c r="I25" s="3261"/>
      <c r="J25" s="3261"/>
      <c r="K25" s="719"/>
      <c r="L25" s="3233"/>
      <c r="M25" s="3233"/>
      <c r="N25" s="3233"/>
      <c r="O25" s="3233"/>
      <c r="P25" s="3233"/>
      <c r="Q25" s="3233"/>
      <c r="R25" s="3233"/>
      <c r="S25" s="3233"/>
    </row>
    <row r="26" spans="1:20" s="558" customFormat="1" ht="18" customHeight="1">
      <c r="A26" s="3158" t="s">
        <v>853</v>
      </c>
      <c r="B26" s="3158"/>
      <c r="C26" s="158" t="s">
        <v>854</v>
      </c>
      <c r="D26" s="158" t="s">
        <v>855</v>
      </c>
      <c r="E26" s="2924" t="s">
        <v>1292</v>
      </c>
      <c r="F26" s="2924"/>
      <c r="G26" s="2924" t="s">
        <v>856</v>
      </c>
      <c r="H26" s="2924"/>
      <c r="I26" s="2924"/>
      <c r="J26" s="158" t="s">
        <v>702</v>
      </c>
      <c r="K26" s="720"/>
      <c r="L26" s="3233"/>
      <c r="M26" s="3233"/>
      <c r="N26" s="3233"/>
      <c r="O26" s="3233"/>
      <c r="P26" s="3233"/>
      <c r="Q26" s="3233"/>
      <c r="R26" s="3233"/>
      <c r="S26" s="3233"/>
    </row>
    <row r="27" spans="1:20" s="558" customFormat="1" ht="18" customHeight="1">
      <c r="A27" s="3150" t="s">
        <v>557</v>
      </c>
      <c r="B27" s="3150"/>
      <c r="C27" s="1113"/>
      <c r="D27" s="701">
        <f>营业费用!H11</f>
        <v>0</v>
      </c>
      <c r="E27" s="3236">
        <f>管理费用!H11</f>
        <v>0</v>
      </c>
      <c r="F27" s="3236"/>
      <c r="G27" s="3238"/>
      <c r="H27" s="3238"/>
      <c r="I27" s="3238"/>
      <c r="J27" s="721">
        <f>SUM(C27:I27)</f>
        <v>0</v>
      </c>
      <c r="K27" s="722"/>
      <c r="L27" s="3231" t="s">
        <v>1499</v>
      </c>
      <c r="M27" s="3231"/>
      <c r="N27" s="3231"/>
      <c r="O27" s="3231"/>
      <c r="P27" s="3231"/>
      <c r="Q27" s="3231"/>
      <c r="R27" s="3231"/>
      <c r="S27" s="3231"/>
    </row>
    <row r="28" spans="1:20" s="558" customFormat="1" ht="20.25" customHeight="1">
      <c r="A28" s="3051" t="s">
        <v>641</v>
      </c>
      <c r="B28" s="3051"/>
      <c r="C28" s="3051"/>
      <c r="D28" s="3237" t="str">
        <f>IF(J27&lt;&gt;E22,"原始凭证检查金额与账载数不符，请检查！","原始凭证检查金额与账载数相符！")</f>
        <v>原始凭证检查金额与账载数相符！</v>
      </c>
      <c r="E28" s="3237"/>
      <c r="F28" s="3237"/>
      <c r="G28" s="3237"/>
      <c r="H28" s="3237"/>
      <c r="I28" s="3237"/>
      <c r="J28" s="3237"/>
      <c r="K28" s="723"/>
      <c r="L28" s="3231"/>
      <c r="M28" s="3231"/>
      <c r="N28" s="3231"/>
      <c r="O28" s="3231"/>
      <c r="P28" s="3231"/>
      <c r="Q28" s="3231"/>
      <c r="R28" s="3231"/>
      <c r="S28" s="3231"/>
    </row>
    <row r="29" spans="1:20" ht="18" customHeight="1">
      <c r="A29" s="3234" t="s">
        <v>1500</v>
      </c>
      <c r="B29" s="3234"/>
      <c r="C29" s="3234"/>
      <c r="D29" s="3234"/>
      <c r="E29" s="3234"/>
      <c r="F29" s="3234"/>
      <c r="G29" s="3234"/>
      <c r="H29" s="3234"/>
      <c r="I29" s="3234"/>
      <c r="J29" s="724">
        <f>招待!J20</f>
        <v>0</v>
      </c>
      <c r="K29" s="383"/>
      <c r="L29" s="3233" t="s">
        <v>1501</v>
      </c>
      <c r="M29" s="3233"/>
      <c r="N29" s="3233"/>
      <c r="O29" s="3233"/>
      <c r="P29" s="3233"/>
      <c r="Q29" s="3233"/>
      <c r="R29" s="3233"/>
      <c r="S29" s="3233"/>
    </row>
    <row r="30" spans="1:20" ht="18" customHeight="1">
      <c r="A30" s="3239" t="s">
        <v>1502</v>
      </c>
      <c r="B30" s="3240"/>
      <c r="C30" s="3241"/>
      <c r="D30" s="725" t="s">
        <v>1503</v>
      </c>
      <c r="E30" s="726">
        <v>0.15</v>
      </c>
      <c r="F30" s="3232" t="s">
        <v>1504</v>
      </c>
      <c r="G30" s="3232"/>
      <c r="H30" s="3232"/>
      <c r="I30" s="3232"/>
      <c r="J30" s="727">
        <f>ROUND(J29*E30,2)</f>
        <v>0</v>
      </c>
      <c r="K30" s="388"/>
      <c r="L30" s="3233"/>
      <c r="M30" s="3233"/>
      <c r="N30" s="3233"/>
      <c r="O30" s="3233"/>
      <c r="P30" s="3233"/>
      <c r="Q30" s="3233"/>
      <c r="R30" s="3233"/>
      <c r="S30" s="3233"/>
    </row>
    <row r="31" spans="1:20" ht="18" customHeight="1">
      <c r="A31" s="3242"/>
      <c r="B31" s="3243"/>
      <c r="C31" s="3244"/>
      <c r="D31" s="3232" t="s">
        <v>1245</v>
      </c>
      <c r="E31" s="3232"/>
      <c r="F31" s="3232"/>
      <c r="G31" s="3232"/>
      <c r="H31" s="3232"/>
      <c r="I31" s="3232"/>
      <c r="J31" s="727">
        <f>IF(J24&gt;J30,J22-J30,J23)</f>
        <v>0</v>
      </c>
      <c r="K31" s="728"/>
      <c r="L31" s="3107" t="s">
        <v>1505</v>
      </c>
      <c r="M31" s="3107"/>
      <c r="N31" s="3107"/>
      <c r="O31" s="3107"/>
      <c r="P31" s="3107"/>
      <c r="Q31" s="3107"/>
      <c r="R31" s="3107"/>
      <c r="S31" s="169"/>
    </row>
    <row r="32" spans="1:20" ht="18" customHeight="1">
      <c r="A32" s="3242"/>
      <c r="B32" s="3243"/>
      <c r="C32" s="3244"/>
      <c r="D32" s="3235" t="s">
        <v>1247</v>
      </c>
      <c r="E32" s="3235"/>
      <c r="F32" s="3235"/>
      <c r="G32" s="3235"/>
      <c r="H32" s="3235"/>
      <c r="I32" s="3235"/>
      <c r="J32" s="727">
        <f>IF(J24&gt;ROUND((J29+招待!J24)*E30,2),J22-ROUND((J29+招待!J24)*E30,2),J23)-J31</f>
        <v>0</v>
      </c>
      <c r="K32" s="728"/>
      <c r="L32" s="3107"/>
      <c r="M32" s="3107"/>
      <c r="N32" s="3107"/>
      <c r="O32" s="3107"/>
      <c r="P32" s="3107"/>
      <c r="Q32" s="3107"/>
      <c r="R32" s="3107"/>
      <c r="S32" s="169"/>
    </row>
    <row r="33" spans="1:19" ht="18" customHeight="1">
      <c r="A33" s="3242"/>
      <c r="B33" s="3243"/>
      <c r="C33" s="3244"/>
      <c r="D33" s="3232" t="s">
        <v>1506</v>
      </c>
      <c r="E33" s="3232"/>
      <c r="F33" s="3232"/>
      <c r="G33" s="3232"/>
      <c r="H33" s="3232"/>
      <c r="I33" s="3232"/>
      <c r="J33" s="1136"/>
      <c r="K33" s="388"/>
      <c r="L33" s="3107"/>
      <c r="M33" s="3107"/>
      <c r="N33" s="3107"/>
      <c r="O33" s="3107"/>
      <c r="P33" s="3107"/>
      <c r="Q33" s="3107"/>
      <c r="R33" s="3107"/>
      <c r="S33" s="169"/>
    </row>
    <row r="34" spans="1:19" ht="18" customHeight="1">
      <c r="A34" s="3242"/>
      <c r="B34" s="3243"/>
      <c r="C34" s="3244"/>
      <c r="D34" s="3232" t="s">
        <v>1507</v>
      </c>
      <c r="E34" s="3232"/>
      <c r="F34" s="3232"/>
      <c r="G34" s="3232"/>
      <c r="H34" s="3232"/>
      <c r="I34" s="3232"/>
      <c r="J34" s="727">
        <f>IF(J33&gt;0,IF(J24&lt;ROUND((J29+招待!J24)*E30,2),MIN(J33,ROUND((J29+招待!J24)*E30,2)-J24),0),0)</f>
        <v>0</v>
      </c>
      <c r="K34" s="728"/>
      <c r="L34" s="3107"/>
      <c r="M34" s="3107"/>
      <c r="N34" s="3107"/>
      <c r="O34" s="3107"/>
      <c r="P34" s="3107"/>
      <c r="Q34" s="3107"/>
      <c r="R34" s="3107"/>
      <c r="S34" s="169"/>
    </row>
    <row r="35" spans="1:19" ht="18" customHeight="1">
      <c r="A35" s="3242"/>
      <c r="B35" s="3243"/>
      <c r="C35" s="3244"/>
      <c r="D35" s="3232" t="s">
        <v>1508</v>
      </c>
      <c r="E35" s="3232"/>
      <c r="F35" s="3232"/>
      <c r="G35" s="3232"/>
      <c r="H35" s="3232"/>
      <c r="I35" s="3232"/>
      <c r="J35" s="727">
        <f>J31+J32+J33-J34</f>
        <v>0</v>
      </c>
      <c r="K35" s="728"/>
      <c r="L35" s="3107"/>
      <c r="M35" s="3107"/>
      <c r="N35" s="3107"/>
      <c r="O35" s="3107"/>
      <c r="P35" s="3107"/>
      <c r="Q35" s="3107"/>
      <c r="R35" s="3107"/>
      <c r="S35" s="169"/>
    </row>
    <row r="36" spans="1:19" ht="18" customHeight="1">
      <c r="A36" s="3242"/>
      <c r="B36" s="3243"/>
      <c r="C36" s="3244"/>
      <c r="D36" s="3232" t="s">
        <v>6092</v>
      </c>
      <c r="E36" s="3232"/>
      <c r="F36" s="3232"/>
      <c r="G36" s="3232"/>
      <c r="H36" s="3232"/>
      <c r="I36" s="3232"/>
      <c r="J36" s="1679"/>
      <c r="K36" s="728"/>
      <c r="L36" s="3107"/>
      <c r="M36" s="3107"/>
      <c r="N36" s="3107"/>
      <c r="O36" s="3107"/>
      <c r="P36" s="3107"/>
      <c r="Q36" s="3107"/>
      <c r="R36" s="3107"/>
      <c r="S36" s="169"/>
    </row>
    <row r="37" spans="1:19" ht="18" customHeight="1">
      <c r="A37" s="3245"/>
      <c r="B37" s="3246"/>
      <c r="C37" s="3247"/>
      <c r="D37" s="3248" t="s">
        <v>6093</v>
      </c>
      <c r="E37" s="3249"/>
      <c r="F37" s="3249"/>
      <c r="G37" s="3249"/>
      <c r="H37" s="3249"/>
      <c r="I37" s="3250"/>
      <c r="J37" s="1679"/>
      <c r="K37" s="728"/>
      <c r="L37" s="3107"/>
      <c r="M37" s="3107"/>
      <c r="N37" s="3107"/>
      <c r="O37" s="3107"/>
      <c r="P37" s="3107"/>
      <c r="Q37" s="3107"/>
      <c r="R37" s="3107"/>
      <c r="S37" s="169"/>
    </row>
    <row r="38" spans="1:19" ht="15" customHeight="1">
      <c r="A38" s="3147" t="s">
        <v>1323</v>
      </c>
      <c r="B38" s="3147"/>
      <c r="C38" s="3147"/>
      <c r="D38" s="3148" t="s">
        <v>1509</v>
      </c>
      <c r="E38" s="3148"/>
      <c r="F38" s="3102" t="str">
        <f>IF(OR(J31+J32&gt;0,J34&gt;0),"、E","")</f>
        <v/>
      </c>
      <c r="G38" s="3102"/>
      <c r="H38" s="3102"/>
      <c r="I38" s="3102"/>
      <c r="J38" s="3102"/>
      <c r="K38" s="3102"/>
      <c r="L38" s="3107"/>
      <c r="M38" s="3107"/>
      <c r="N38" s="3107"/>
      <c r="O38" s="3107"/>
      <c r="P38" s="3107"/>
      <c r="Q38" s="3107"/>
      <c r="R38" s="3107"/>
      <c r="S38" s="169"/>
    </row>
    <row r="39" spans="1:19" ht="39.75" customHeight="1">
      <c r="A39" s="3147"/>
      <c r="B39" s="3147"/>
      <c r="C39" s="3147"/>
      <c r="D39" s="3217"/>
      <c r="E39" s="3217"/>
      <c r="F39" s="3217"/>
      <c r="G39" s="3217"/>
      <c r="H39" s="3217"/>
      <c r="I39" s="3217"/>
      <c r="J39" s="3217"/>
      <c r="K39" s="3217"/>
      <c r="L39" s="169"/>
      <c r="M39" s="729"/>
      <c r="N39" s="169"/>
      <c r="O39" s="169"/>
      <c r="P39" s="169"/>
      <c r="Q39" s="730"/>
      <c r="R39" s="729"/>
      <c r="S39" s="169"/>
    </row>
    <row r="40" spans="1:19" ht="18.75" customHeight="1">
      <c r="A40" s="3140" t="s">
        <v>574</v>
      </c>
      <c r="B40" s="3140"/>
      <c r="C40" s="3140"/>
      <c r="D40" s="3251" t="str">
        <f>IF(J31&lt;&gt;0,"实际列支广告费及业务宣传费大于税法允许列支的限额,应予纳税调整增加"&amp;DOLLAR(J31,2)&amp;"元！","不存在广告费及业务宣传费调增事项，认可！")</f>
        <v>不存在广告费及业务宣传费调增事项，认可！</v>
      </c>
      <c r="E40" s="3251"/>
      <c r="F40" s="3251"/>
      <c r="G40" s="3251"/>
      <c r="H40" s="3251"/>
      <c r="I40" s="3251"/>
      <c r="J40" s="3251"/>
      <c r="K40" s="3251"/>
      <c r="L40" s="169"/>
      <c r="M40" s="169"/>
      <c r="N40" s="169"/>
      <c r="O40" s="169"/>
      <c r="P40" s="169"/>
      <c r="Q40" s="169"/>
      <c r="R40" s="169"/>
      <c r="S40" s="169"/>
    </row>
    <row r="41" spans="1:19" ht="18.75" customHeight="1">
      <c r="A41" s="3140"/>
      <c r="B41" s="3140"/>
      <c r="C41" s="3140"/>
      <c r="D41" s="3252" t="str">
        <f>IF(J34&lt;&gt;0,"本年度扣除以前年度结转广告费及业务宣传费"&amp;DOLLAR(J34,2)&amp;"元！","")</f>
        <v/>
      </c>
      <c r="E41" s="3252"/>
      <c r="F41" s="3252"/>
      <c r="G41" s="3252"/>
      <c r="H41" s="3252"/>
      <c r="I41" s="3252"/>
      <c r="J41" s="3252"/>
      <c r="K41" s="3252"/>
      <c r="L41" s="169"/>
      <c r="M41" s="169"/>
      <c r="N41" s="169"/>
      <c r="O41" s="169"/>
      <c r="P41" s="169"/>
      <c r="Q41" s="169"/>
      <c r="R41" s="169"/>
      <c r="S41" s="169"/>
    </row>
    <row r="42" spans="1:19" ht="18.75" customHeight="1">
      <c r="A42" s="3140"/>
      <c r="B42" s="3140"/>
      <c r="C42" s="3140"/>
      <c r="D42" s="3253" t="str">
        <f>IF(J35&lt;&gt;0,"本年度可结转以后年度扣除的广告费及业务宣传费共计"&amp;DOLLAR(J35,2)&amp;"元！","")</f>
        <v/>
      </c>
      <c r="E42" s="3253"/>
      <c r="F42" s="3253"/>
      <c r="G42" s="3253"/>
      <c r="H42" s="3253"/>
      <c r="I42" s="3253"/>
      <c r="J42" s="3253"/>
      <c r="K42" s="3253"/>
      <c r="L42" s="169"/>
      <c r="M42" s="169"/>
      <c r="N42" s="169"/>
      <c r="O42" s="169"/>
      <c r="P42" s="169"/>
      <c r="Q42" s="169"/>
      <c r="R42" s="169"/>
      <c r="S42" s="169"/>
    </row>
    <row r="43" spans="1:19" ht="13.5" customHeight="1">
      <c r="A43" s="731"/>
      <c r="B43" s="731"/>
      <c r="C43" s="731"/>
      <c r="D43" s="731"/>
      <c r="E43" s="731"/>
      <c r="F43" s="731"/>
      <c r="G43" s="731"/>
      <c r="H43" s="731"/>
      <c r="I43" s="731"/>
      <c r="J43" s="731"/>
      <c r="K43" s="731"/>
    </row>
  </sheetData>
  <sheetProtection selectLockedCells="1" selectUnlockedCells="1"/>
  <mergeCells count="116">
    <mergeCell ref="A7:B7"/>
    <mergeCell ref="C7:D7"/>
    <mergeCell ref="E7:F7"/>
    <mergeCell ref="G7:I7"/>
    <mergeCell ref="A1:K1"/>
    <mergeCell ref="A3:B3"/>
    <mergeCell ref="C3:D3"/>
    <mergeCell ref="F3:H3"/>
    <mergeCell ref="C4:D4"/>
    <mergeCell ref="F4:H4"/>
    <mergeCell ref="A6:B6"/>
    <mergeCell ref="C6:D6"/>
    <mergeCell ref="E6:F6"/>
    <mergeCell ref="G6:I6"/>
    <mergeCell ref="A5:K5"/>
    <mergeCell ref="A4:B4"/>
    <mergeCell ref="L8:N8"/>
    <mergeCell ref="A9:B9"/>
    <mergeCell ref="C9:D9"/>
    <mergeCell ref="E9:F9"/>
    <mergeCell ref="G9:I9"/>
    <mergeCell ref="A8:B8"/>
    <mergeCell ref="C8:D8"/>
    <mergeCell ref="E8:F8"/>
    <mergeCell ref="G8:I8"/>
    <mergeCell ref="A12:B12"/>
    <mergeCell ref="C12:D12"/>
    <mergeCell ref="L12:N12"/>
    <mergeCell ref="E12:F12"/>
    <mergeCell ref="G12:I12"/>
    <mergeCell ref="L14:N14"/>
    <mergeCell ref="E13:F13"/>
    <mergeCell ref="G13:I13"/>
    <mergeCell ref="L10:N10"/>
    <mergeCell ref="A11:B11"/>
    <mergeCell ref="C11:D11"/>
    <mergeCell ref="E11:F11"/>
    <mergeCell ref="G11:I11"/>
    <mergeCell ref="A10:B10"/>
    <mergeCell ref="C10:D10"/>
    <mergeCell ref="E10:F10"/>
    <mergeCell ref="G10:I10"/>
    <mergeCell ref="A13:B13"/>
    <mergeCell ref="C13:D13"/>
    <mergeCell ref="A15:B15"/>
    <mergeCell ref="C15:D15"/>
    <mergeCell ref="C14:D14"/>
    <mergeCell ref="A17:B17"/>
    <mergeCell ref="C17:D17"/>
    <mergeCell ref="A14:B14"/>
    <mergeCell ref="G18:I18"/>
    <mergeCell ref="E14:F14"/>
    <mergeCell ref="G14:I14"/>
    <mergeCell ref="G16:I16"/>
    <mergeCell ref="E17:F17"/>
    <mergeCell ref="G17:I17"/>
    <mergeCell ref="E18:F18"/>
    <mergeCell ref="E16:F16"/>
    <mergeCell ref="E15:F15"/>
    <mergeCell ref="G15:I15"/>
    <mergeCell ref="A16:B16"/>
    <mergeCell ref="C16:D16"/>
    <mergeCell ref="E21:F21"/>
    <mergeCell ref="G21:I21"/>
    <mergeCell ref="A21:B21"/>
    <mergeCell ref="G19:I19"/>
    <mergeCell ref="C19:D19"/>
    <mergeCell ref="E19:F19"/>
    <mergeCell ref="A19:B19"/>
    <mergeCell ref="A18:B18"/>
    <mergeCell ref="C18:D18"/>
    <mergeCell ref="A40:C42"/>
    <mergeCell ref="D40:K40"/>
    <mergeCell ref="D41:K41"/>
    <mergeCell ref="D42:K42"/>
    <mergeCell ref="D39:K39"/>
    <mergeCell ref="L19:S26"/>
    <mergeCell ref="A20:B20"/>
    <mergeCell ref="C20:D20"/>
    <mergeCell ref="E20:F20"/>
    <mergeCell ref="G20:I20"/>
    <mergeCell ref="A24:D24"/>
    <mergeCell ref="E24:F24"/>
    <mergeCell ref="G24:I24"/>
    <mergeCell ref="E22:F22"/>
    <mergeCell ref="G22:I22"/>
    <mergeCell ref="A23:D23"/>
    <mergeCell ref="E23:F23"/>
    <mergeCell ref="G23:I23"/>
    <mergeCell ref="A22:D22"/>
    <mergeCell ref="A25:J25"/>
    <mergeCell ref="A26:B26"/>
    <mergeCell ref="E26:F26"/>
    <mergeCell ref="G26:I26"/>
    <mergeCell ref="C21:D21"/>
    <mergeCell ref="L27:S28"/>
    <mergeCell ref="F38:K38"/>
    <mergeCell ref="L31:R38"/>
    <mergeCell ref="D33:I33"/>
    <mergeCell ref="D34:I34"/>
    <mergeCell ref="D35:I35"/>
    <mergeCell ref="L29:S30"/>
    <mergeCell ref="A29:I29"/>
    <mergeCell ref="A38:C39"/>
    <mergeCell ref="F30:I30"/>
    <mergeCell ref="D31:I31"/>
    <mergeCell ref="D32:I32"/>
    <mergeCell ref="A27:B27"/>
    <mergeCell ref="E27:F27"/>
    <mergeCell ref="A28:C28"/>
    <mergeCell ref="D28:J28"/>
    <mergeCell ref="G27:I27"/>
    <mergeCell ref="D38:E38"/>
    <mergeCell ref="A30:C37"/>
    <mergeCell ref="D36:I36"/>
    <mergeCell ref="D37:I37"/>
  </mergeCells>
  <phoneticPr fontId="51" type="noConversion"/>
  <dataValidations count="3">
    <dataValidation allowBlank="1" showErrorMessage="1" sqref="F3:H3 D40">
      <formula1>0</formula1>
      <formula2>0</formula2>
    </dataValidation>
    <dataValidation allowBlank="1" showErrorMessage="1" promptTitle="存在调整事项时" prompt="_x000a_选择 “E”" sqref="F38:K38">
      <formula1>0</formula1>
      <formula2>0</formula2>
    </dataValidation>
    <dataValidation type="list" allowBlank="1" showErrorMessage="1" sqref="E30">
      <formula1>"15%,30%"</formula1>
      <formula2>0</formula2>
    </dataValidation>
  </dataValidations>
  <hyperlinks>
    <hyperlink ref="L8" location="广告费纳税调整表!A1" display="广告费纳税调整表!A1"/>
    <hyperlink ref="L10" location="纳税调整明细表!A1" display="纳税调整明细表!A1"/>
    <hyperlink ref="L12" location="管理费用!A1" display="管理费用审核表"/>
    <hyperlink ref="L14" location="营业费用!A1" display="营业费用审核表"/>
    <hyperlink ref="L16" location="凭证检查!A1" display="凭证检查!A1"/>
    <hyperlink ref="L18" location="招待!J20" display="招待!J20"/>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N146"/>
  <sheetViews>
    <sheetView workbookViewId="0">
      <selection activeCell="G10" sqref="G10"/>
    </sheetView>
  </sheetViews>
  <sheetFormatPr defaultColWidth="9" defaultRowHeight="21.9" customHeight="1"/>
  <cols>
    <col min="1" max="1" width="5.5" style="649" customWidth="1"/>
    <col min="2" max="2" width="23.5" style="649" customWidth="1"/>
    <col min="3" max="4" width="12.5" style="649" customWidth="1"/>
    <col min="5" max="5" width="8" style="649" customWidth="1"/>
    <col min="6" max="8" width="12.8984375" style="649" customWidth="1"/>
    <col min="9" max="10" width="12.5" style="649" customWidth="1"/>
    <col min="11" max="11" width="52.5" style="607" customWidth="1"/>
    <col min="12" max="16384" width="9" style="607"/>
  </cols>
  <sheetData>
    <row r="1" spans="1:14" ht="33.75" customHeight="1">
      <c r="A1" s="2729" t="s">
        <v>364</v>
      </c>
      <c r="B1" s="2729"/>
      <c r="C1" s="2729"/>
      <c r="D1" s="2729"/>
      <c r="E1" s="2729"/>
      <c r="F1" s="2729"/>
      <c r="G1" s="2729"/>
      <c r="H1" s="2729"/>
      <c r="I1" s="2729"/>
      <c r="J1" s="2729"/>
      <c r="K1" s="606"/>
      <c r="L1" s="606"/>
      <c r="M1" s="606"/>
      <c r="N1" s="606"/>
    </row>
    <row r="2" spans="1:14" s="649" customFormat="1" ht="17.25" customHeight="1">
      <c r="A2" s="3137" t="str">
        <f>"委托单位："&amp;基本情况!B2</f>
        <v>委托单位：0</v>
      </c>
      <c r="B2" s="3137"/>
      <c r="C2" s="3137"/>
      <c r="D2" s="3137"/>
      <c r="E2" s="3137"/>
      <c r="F2" s="3137"/>
      <c r="G2" s="136"/>
      <c r="H2" s="136" t="s">
        <v>1282</v>
      </c>
      <c r="I2" s="136" t="s">
        <v>1053</v>
      </c>
      <c r="J2" s="485" t="s">
        <v>283</v>
      </c>
      <c r="K2" s="648"/>
      <c r="L2" s="648"/>
      <c r="M2" s="648"/>
      <c r="N2" s="648"/>
    </row>
    <row r="3" spans="1:14" s="649" customFormat="1" ht="17.25" customHeight="1">
      <c r="A3" s="3137"/>
      <c r="B3" s="3137"/>
      <c r="C3" s="3137"/>
      <c r="D3" s="3137"/>
      <c r="E3" s="3137"/>
      <c r="F3" s="3137"/>
      <c r="G3" s="158" t="s">
        <v>450</v>
      </c>
      <c r="H3" s="510">
        <f>基本情况!B12</f>
        <v>0</v>
      </c>
      <c r="I3" s="559" t="str">
        <f>TEXT(基本情况!B21,"yyyy-mm-dd")</f>
        <v>2017-03-16</v>
      </c>
      <c r="J3" s="3138" t="str">
        <f>档案索引!A41</f>
        <v>2A-21</v>
      </c>
      <c r="K3" s="648"/>
      <c r="L3" s="648"/>
      <c r="M3" s="648"/>
      <c r="N3" s="648"/>
    </row>
    <row r="4" spans="1:14" s="649" customFormat="1" ht="17.25" customHeight="1">
      <c r="A4" s="3139" t="str">
        <f>"会计期间:"&amp;基本情况!B7</f>
        <v>会计期间:2016年01月01日至2016年12月31日</v>
      </c>
      <c r="B4" s="3139"/>
      <c r="C4" s="3139"/>
      <c r="D4" s="3139"/>
      <c r="E4" s="3139"/>
      <c r="F4" s="3139"/>
      <c r="G4" s="140" t="s">
        <v>452</v>
      </c>
      <c r="H4" s="513">
        <f>基本情况!B11</f>
        <v>0</v>
      </c>
      <c r="I4" s="513" t="str">
        <f>TEXT(基本情况!B22,"yyyy-mm-dd")</f>
        <v>2017-05-04</v>
      </c>
      <c r="J4" s="3138"/>
      <c r="K4" s="648"/>
      <c r="L4" s="648"/>
      <c r="M4" s="648"/>
      <c r="N4" s="648"/>
    </row>
    <row r="5" spans="1:14" s="649" customFormat="1" ht="7.5" customHeight="1">
      <c r="A5" s="2926"/>
      <c r="B5" s="2926"/>
      <c r="C5" s="2926"/>
      <c r="D5" s="2926"/>
      <c r="E5" s="2926"/>
      <c r="F5" s="2926"/>
      <c r="G5" s="2926"/>
      <c r="H5" s="2926"/>
      <c r="I5" s="2926"/>
      <c r="J5" s="2926"/>
      <c r="K5" s="648"/>
      <c r="L5" s="648"/>
      <c r="M5" s="648"/>
      <c r="N5" s="648"/>
    </row>
    <row r="6" spans="1:14" s="649" customFormat="1" ht="57" customHeight="1">
      <c r="A6" s="597" t="s">
        <v>1510</v>
      </c>
      <c r="B6" s="504" t="s">
        <v>1511</v>
      </c>
      <c r="C6" s="504" t="s">
        <v>1512</v>
      </c>
      <c r="D6" s="504" t="s">
        <v>1513</v>
      </c>
      <c r="E6" s="504" t="s">
        <v>1514</v>
      </c>
      <c r="F6" s="504" t="s">
        <v>1515</v>
      </c>
      <c r="G6" s="504" t="s">
        <v>1516</v>
      </c>
      <c r="H6" s="504" t="s">
        <v>1517</v>
      </c>
      <c r="I6" s="504" t="s">
        <v>1518</v>
      </c>
      <c r="J6" s="505" t="s">
        <v>1519</v>
      </c>
      <c r="K6" s="84" t="s">
        <v>395</v>
      </c>
      <c r="L6" s="648"/>
      <c r="M6" s="648"/>
      <c r="N6" s="648"/>
    </row>
    <row r="7" spans="1:14" s="649" customFormat="1" ht="17.25" customHeight="1">
      <c r="A7" s="732"/>
      <c r="B7" s="733"/>
      <c r="C7" s="1139"/>
      <c r="D7" s="1139"/>
      <c r="E7" s="735"/>
      <c r="F7" s="735"/>
      <c r="G7" s="734"/>
      <c r="H7" s="735"/>
      <c r="I7" s="1139"/>
      <c r="J7" s="736">
        <f>IF(AND(E7="是",F7="是",H7="是"),I7,0)</f>
        <v>0</v>
      </c>
      <c r="K7" s="493" t="s">
        <v>1520</v>
      </c>
      <c r="L7" s="606"/>
      <c r="M7" s="648"/>
      <c r="N7" s="648"/>
    </row>
    <row r="8" spans="1:14" s="649" customFormat="1" ht="17.25" customHeight="1">
      <c r="A8" s="732"/>
      <c r="B8" s="733"/>
      <c r="C8" s="1139"/>
      <c r="D8" s="1139"/>
      <c r="E8" s="735"/>
      <c r="F8" s="735"/>
      <c r="G8" s="734"/>
      <c r="H8" s="735"/>
      <c r="I8" s="1139"/>
      <c r="J8" s="736">
        <f t="shared" ref="J8:J14" si="0">IF(AND(E8="是",F8="是",H8="是"),I8,0)</f>
        <v>0</v>
      </c>
      <c r="K8" s="232" t="s">
        <v>324</v>
      </c>
      <c r="L8" s="606"/>
      <c r="M8" s="648"/>
      <c r="N8" s="648"/>
    </row>
    <row r="9" spans="1:14" s="649" customFormat="1" ht="17.25" customHeight="1">
      <c r="A9" s="732"/>
      <c r="B9" s="733"/>
      <c r="C9" s="1139"/>
      <c r="D9" s="1139"/>
      <c r="E9" s="735"/>
      <c r="F9" s="735"/>
      <c r="G9" s="734"/>
      <c r="H9" s="735"/>
      <c r="I9" s="1139"/>
      <c r="J9" s="736">
        <f t="shared" si="0"/>
        <v>0</v>
      </c>
      <c r="K9" s="493" t="s">
        <v>1521</v>
      </c>
      <c r="L9" s="606"/>
      <c r="M9" s="648"/>
      <c r="N9" s="648"/>
    </row>
    <row r="10" spans="1:14" s="649" customFormat="1" ht="17.25" customHeight="1">
      <c r="A10" s="732"/>
      <c r="B10" s="733"/>
      <c r="C10" s="1139"/>
      <c r="D10" s="1139"/>
      <c r="E10" s="735"/>
      <c r="F10" s="735"/>
      <c r="G10" s="734"/>
      <c r="H10" s="735"/>
      <c r="I10" s="1139"/>
      <c r="J10" s="736">
        <f t="shared" si="0"/>
        <v>0</v>
      </c>
      <c r="K10" s="232" t="s">
        <v>320</v>
      </c>
      <c r="L10" s="606"/>
      <c r="M10" s="648"/>
      <c r="N10" s="648"/>
    </row>
    <row r="11" spans="1:14" s="649" customFormat="1" ht="17.25" customHeight="1">
      <c r="A11" s="732"/>
      <c r="B11" s="733"/>
      <c r="C11" s="1139"/>
      <c r="D11" s="1139"/>
      <c r="E11" s="735"/>
      <c r="F11" s="735"/>
      <c r="G11" s="734"/>
      <c r="H11" s="735"/>
      <c r="I11" s="1139"/>
      <c r="J11" s="736">
        <f t="shared" si="0"/>
        <v>0</v>
      </c>
      <c r="K11" s="232" t="s">
        <v>1298</v>
      </c>
      <c r="L11" s="648"/>
      <c r="M11" s="648"/>
      <c r="N11" s="648"/>
    </row>
    <row r="12" spans="1:14" s="649" customFormat="1" ht="17.25" customHeight="1">
      <c r="A12" s="732"/>
      <c r="B12" s="733"/>
      <c r="C12" s="1139"/>
      <c r="D12" s="1139"/>
      <c r="E12" s="735"/>
      <c r="F12" s="735"/>
      <c r="G12" s="734"/>
      <c r="H12" s="735"/>
      <c r="I12" s="1139"/>
      <c r="J12" s="736">
        <f t="shared" si="0"/>
        <v>0</v>
      </c>
      <c r="K12" s="648"/>
      <c r="L12" s="648"/>
      <c r="M12" s="648"/>
      <c r="N12" s="648"/>
    </row>
    <row r="13" spans="1:14" s="649" customFormat="1" ht="17.25" customHeight="1">
      <c r="A13" s="732"/>
      <c r="B13" s="733"/>
      <c r="C13" s="1139"/>
      <c r="D13" s="1139"/>
      <c r="E13" s="735"/>
      <c r="F13" s="735"/>
      <c r="G13" s="734"/>
      <c r="H13" s="735"/>
      <c r="I13" s="1139"/>
      <c r="J13" s="736">
        <f t="shared" si="0"/>
        <v>0</v>
      </c>
      <c r="K13" s="648"/>
      <c r="L13" s="648"/>
      <c r="M13" s="648"/>
      <c r="N13" s="648"/>
    </row>
    <row r="14" spans="1:14" s="649" customFormat="1" ht="17.25" customHeight="1">
      <c r="A14" s="737"/>
      <c r="B14" s="738"/>
      <c r="C14" s="1140"/>
      <c r="D14" s="1140"/>
      <c r="E14" s="740"/>
      <c r="F14" s="740"/>
      <c r="G14" s="739"/>
      <c r="H14" s="740"/>
      <c r="I14" s="1140"/>
      <c r="J14" s="741">
        <f t="shared" si="0"/>
        <v>0</v>
      </c>
      <c r="K14" s="3107" t="s">
        <v>492</v>
      </c>
      <c r="L14" s="3107"/>
      <c r="M14" s="3107"/>
      <c r="N14" s="648"/>
    </row>
    <row r="15" spans="1:14" s="649" customFormat="1" ht="20.25" customHeight="1">
      <c r="A15" s="3051" t="s">
        <v>702</v>
      </c>
      <c r="B15" s="3051"/>
      <c r="C15" s="590">
        <f>SUM(C7:C14)</f>
        <v>0</v>
      </c>
      <c r="D15" s="590">
        <f>SUM(D7:D14)</f>
        <v>0</v>
      </c>
      <c r="E15" s="742"/>
      <c r="F15" s="742"/>
      <c r="G15" s="742"/>
      <c r="H15" s="742"/>
      <c r="I15" s="590">
        <f>SUM(I7:I14)</f>
        <v>0</v>
      </c>
      <c r="J15" s="533">
        <f>SUM(J7:J14)</f>
        <v>0</v>
      </c>
      <c r="K15" s="3107"/>
      <c r="L15" s="3107"/>
      <c r="M15" s="3107"/>
      <c r="N15" s="648"/>
    </row>
    <row r="16" spans="1:14" s="649" customFormat="1" ht="20.25" customHeight="1">
      <c r="A16" s="3269" t="s">
        <v>493</v>
      </c>
      <c r="B16" s="3269"/>
      <c r="C16" s="3269"/>
      <c r="D16" s="3204" t="s">
        <v>1292</v>
      </c>
      <c r="E16" s="3204"/>
      <c r="F16" s="136" t="s">
        <v>855</v>
      </c>
      <c r="G16" s="136" t="s">
        <v>854</v>
      </c>
      <c r="H16" s="136" t="s">
        <v>494</v>
      </c>
      <c r="I16" s="136" t="s">
        <v>856</v>
      </c>
      <c r="J16" s="485" t="s">
        <v>702</v>
      </c>
      <c r="K16" s="3107"/>
      <c r="L16" s="3107"/>
      <c r="M16" s="3107"/>
      <c r="N16" s="648"/>
    </row>
    <row r="17" spans="1:14" s="649" customFormat="1" ht="20.25" customHeight="1">
      <c r="A17" s="3269"/>
      <c r="B17" s="3269"/>
      <c r="C17" s="3269"/>
      <c r="D17" s="3274">
        <f>管理费用!H12+管理费用!H16</f>
        <v>0</v>
      </c>
      <c r="E17" s="3274"/>
      <c r="F17" s="701">
        <f>营业费用!H12+营业费用!H16</f>
        <v>0</v>
      </c>
      <c r="G17" s="1113"/>
      <c r="H17" s="701">
        <f>营外收支!E26+营外收支!E27</f>
        <v>0</v>
      </c>
      <c r="I17" s="1140"/>
      <c r="J17" s="702">
        <f>SUM(D17:I17)</f>
        <v>0</v>
      </c>
      <c r="K17" s="3107"/>
      <c r="L17" s="3107"/>
      <c r="M17" s="3107"/>
      <c r="N17" s="648"/>
    </row>
    <row r="18" spans="1:14" s="744" customFormat="1" ht="20.25" customHeight="1">
      <c r="A18" s="3051" t="s">
        <v>641</v>
      </c>
      <c r="B18" s="3051"/>
      <c r="C18" s="3051"/>
      <c r="D18" s="3270" t="str">
        <f>IF(J17&lt;&gt;C15+D15+I15,"原始凭证检查金额与账载数不符，请检查！","原始凭证检查金额与账载数相符！")</f>
        <v>原始凭证检查金额与账载数相符！</v>
      </c>
      <c r="E18" s="3270"/>
      <c r="F18" s="3270"/>
      <c r="G18" s="3270"/>
      <c r="H18" s="3270"/>
      <c r="I18" s="3270"/>
      <c r="J18" s="3270"/>
      <c r="K18" s="3107"/>
      <c r="L18" s="3107"/>
      <c r="M18" s="3107"/>
      <c r="N18" s="743"/>
    </row>
    <row r="19" spans="1:14" s="744" customFormat="1" ht="20.25" customHeight="1">
      <c r="A19" s="3140" t="s">
        <v>495</v>
      </c>
      <c r="B19" s="3140"/>
      <c r="C19" s="3140"/>
      <c r="D19" s="3275">
        <f>'A100000中华人民共和国企业所得税年度纳税申报表（A类）'!D16</f>
        <v>0</v>
      </c>
      <c r="E19" s="3275"/>
      <c r="F19" s="3275"/>
      <c r="G19" s="582" t="s">
        <v>1504</v>
      </c>
      <c r="H19" s="590">
        <f>IF(D19&lt;=0,0,IF(J15-D15&lt;0,0,MIN(J15-D15,ROUND(D19*0.12,2))))</f>
        <v>0</v>
      </c>
      <c r="I19" s="745" t="s">
        <v>496</v>
      </c>
      <c r="J19" s="746">
        <f>MAX(J15-D15-H19,0)</f>
        <v>0</v>
      </c>
      <c r="K19" s="3107"/>
      <c r="L19" s="3107"/>
      <c r="M19" s="3107"/>
      <c r="N19" s="743"/>
    </row>
    <row r="20" spans="1:14" s="744" customFormat="1" ht="15" customHeight="1">
      <c r="A20" s="3065" t="s">
        <v>1323</v>
      </c>
      <c r="B20" s="3065"/>
      <c r="C20" s="3065"/>
      <c r="D20" s="3271" t="s">
        <v>497</v>
      </c>
      <c r="E20" s="3271"/>
      <c r="F20" s="3271"/>
      <c r="G20" s="3273" t="str">
        <f>IF(OR(C15&gt;0,J19&gt;0),"、E","")</f>
        <v/>
      </c>
      <c r="H20" s="3273"/>
      <c r="I20" s="3273"/>
      <c r="J20" s="3273"/>
      <c r="K20" s="3107"/>
      <c r="L20" s="3107"/>
      <c r="M20" s="3107"/>
      <c r="N20" s="743"/>
    </row>
    <row r="21" spans="1:14" s="744" customFormat="1" ht="48" customHeight="1">
      <c r="A21" s="3065"/>
      <c r="B21" s="3065"/>
      <c r="C21" s="3065"/>
      <c r="D21" s="3272"/>
      <c r="E21" s="3272"/>
      <c r="F21" s="3272"/>
      <c r="G21" s="3272"/>
      <c r="H21" s="3272"/>
      <c r="I21" s="3272"/>
      <c r="J21" s="3272"/>
      <c r="K21" s="3107"/>
      <c r="L21" s="3107"/>
      <c r="M21" s="3107"/>
      <c r="N21" s="743"/>
    </row>
    <row r="22" spans="1:14" s="744" customFormat="1" ht="18.75" customHeight="1">
      <c r="A22" s="3172" t="s">
        <v>574</v>
      </c>
      <c r="B22" s="3172"/>
      <c r="C22" s="3172"/>
      <c r="D22" s="3178" t="str">
        <f>IF(C15&lt;&gt;0,"非公益性捐赠、非广告性赞助支出应予纳税调整增加"&amp;DOLLAR(C15,2)&amp;"元！","不存在非公益性捐赠、非广告性赞助支出，认可！")</f>
        <v>不存在非公益性捐赠、非广告性赞助支出，认可！</v>
      </c>
      <c r="E22" s="3178"/>
      <c r="F22" s="3178"/>
      <c r="G22" s="3178"/>
      <c r="H22" s="3178"/>
      <c r="I22" s="3178"/>
      <c r="J22" s="3178"/>
      <c r="K22" s="3107"/>
      <c r="L22" s="3107"/>
      <c r="M22" s="3107"/>
      <c r="N22" s="743"/>
    </row>
    <row r="23" spans="1:14" s="744" customFormat="1" ht="18.75" customHeight="1">
      <c r="A23" s="3172"/>
      <c r="B23" s="3172"/>
      <c r="C23" s="3172"/>
      <c r="D23" s="3141" t="str">
        <f>IF(J19&gt;0,"实际列支公益性捐赠、赞助支出大于税法允许列支的限额,应予纳税调整增加"&amp;DOLLAR(J19,2)&amp;"元！","不存在公益性捐赠、赞助支出调整事项，认可！")</f>
        <v>不存在公益性捐赠、赞助支出调整事项，认可！</v>
      </c>
      <c r="E23" s="3141"/>
      <c r="F23" s="3141"/>
      <c r="G23" s="3141"/>
      <c r="H23" s="3141"/>
      <c r="I23" s="3141"/>
      <c r="J23" s="3141"/>
      <c r="K23" s="3107"/>
      <c r="L23" s="3107"/>
      <c r="M23" s="3107"/>
      <c r="N23" s="743"/>
    </row>
    <row r="24" spans="1:14" s="744" customFormat="1" ht="20.100000000000001" customHeight="1">
      <c r="A24" s="747"/>
      <c r="B24" s="747"/>
      <c r="C24" s="747"/>
      <c r="D24" s="747"/>
      <c r="E24" s="747"/>
      <c r="F24" s="747"/>
      <c r="G24" s="747"/>
      <c r="H24" s="747"/>
      <c r="I24" s="747"/>
      <c r="J24" s="747"/>
      <c r="K24" s="606" t="s">
        <v>498</v>
      </c>
      <c r="L24" s="743"/>
      <c r="M24" s="743"/>
      <c r="N24" s="743"/>
    </row>
    <row r="25" spans="1:14" s="749" customFormat="1" ht="20.100000000000001" customHeight="1">
      <c r="A25" s="750"/>
      <c r="B25" s="750"/>
      <c r="C25" s="750"/>
      <c r="D25" s="750"/>
      <c r="E25" s="750"/>
      <c r="F25" s="750"/>
      <c r="G25" s="750"/>
      <c r="H25" s="750"/>
      <c r="I25" s="750"/>
      <c r="J25" s="750"/>
      <c r="K25" s="3142" t="s">
        <v>499</v>
      </c>
      <c r="L25" s="3142"/>
      <c r="M25" s="3142"/>
      <c r="N25" s="3142"/>
    </row>
    <row r="26" spans="1:14" s="744" customFormat="1" ht="20.100000000000001" customHeight="1">
      <c r="A26" s="750"/>
      <c r="B26" s="750"/>
      <c r="C26" s="750"/>
      <c r="D26" s="750"/>
      <c r="E26" s="750"/>
      <c r="F26" s="750"/>
      <c r="G26" s="750"/>
      <c r="H26" s="750"/>
      <c r="I26" s="750"/>
      <c r="J26" s="750"/>
      <c r="K26" s="3142"/>
      <c r="L26" s="3142"/>
      <c r="M26" s="3142"/>
      <c r="N26" s="3142"/>
    </row>
    <row r="27" spans="1:14" s="744" customFormat="1" ht="20.100000000000001" customHeight="1">
      <c r="A27" s="750"/>
      <c r="B27" s="750"/>
      <c r="C27" s="750"/>
      <c r="D27" s="750"/>
      <c r="E27" s="750"/>
      <c r="F27" s="750"/>
      <c r="G27" s="750"/>
      <c r="H27" s="750"/>
      <c r="I27" s="750"/>
      <c r="J27" s="750"/>
      <c r="K27" s="606"/>
      <c r="L27" s="743"/>
      <c r="M27" s="743"/>
      <c r="N27" s="743"/>
    </row>
    <row r="28" spans="1:14" s="744" customFormat="1" ht="20.100000000000001" customHeight="1">
      <c r="A28" s="750"/>
      <c r="B28" s="750"/>
      <c r="C28" s="750"/>
      <c r="D28" s="750"/>
      <c r="E28" s="750"/>
      <c r="F28" s="750"/>
      <c r="G28" s="750"/>
      <c r="H28" s="750"/>
      <c r="I28" s="750"/>
      <c r="J28" s="750"/>
      <c r="K28" s="743"/>
      <c r="L28" s="743"/>
      <c r="M28" s="743"/>
      <c r="N28" s="743"/>
    </row>
    <row r="29" spans="1:14" s="744" customFormat="1" ht="42.75" customHeight="1">
      <c r="A29" s="750"/>
      <c r="B29" s="750"/>
      <c r="C29" s="750"/>
      <c r="D29" s="750"/>
      <c r="E29" s="750"/>
      <c r="F29" s="750"/>
      <c r="G29" s="750"/>
      <c r="H29" s="750"/>
      <c r="I29" s="750"/>
      <c r="J29" s="750"/>
      <c r="K29" s="743"/>
      <c r="L29" s="743"/>
      <c r="M29" s="743"/>
      <c r="N29" s="743"/>
    </row>
    <row r="30" spans="1:14" s="744" customFormat="1" ht="29.25" customHeight="1">
      <c r="A30" s="750"/>
      <c r="B30" s="750"/>
      <c r="C30" s="750"/>
      <c r="D30" s="750"/>
      <c r="E30" s="750"/>
      <c r="F30" s="750"/>
      <c r="G30" s="750"/>
      <c r="H30" s="750"/>
      <c r="I30" s="750"/>
      <c r="J30" s="750"/>
      <c r="K30" s="743"/>
      <c r="L30" s="743"/>
      <c r="M30" s="743"/>
      <c r="N30" s="743"/>
    </row>
    <row r="31" spans="1:14" s="744" customFormat="1" ht="31.5" customHeight="1">
      <c r="A31" s="750"/>
      <c r="B31" s="750"/>
      <c r="C31" s="750"/>
      <c r="D31" s="750"/>
      <c r="E31" s="750"/>
      <c r="F31" s="750"/>
      <c r="G31" s="750"/>
      <c r="H31" s="750"/>
      <c r="I31" s="750"/>
      <c r="J31" s="750"/>
      <c r="K31" s="743"/>
      <c r="L31" s="743"/>
      <c r="M31" s="743"/>
      <c r="N31" s="743"/>
    </row>
    <row r="32" spans="1:14" s="744" customFormat="1" ht="20.100000000000001" customHeight="1">
      <c r="A32" s="750"/>
      <c r="B32" s="750"/>
      <c r="C32" s="750"/>
      <c r="D32" s="750"/>
      <c r="E32" s="750"/>
      <c r="F32" s="750"/>
      <c r="G32" s="750"/>
      <c r="H32" s="750"/>
      <c r="I32" s="750"/>
      <c r="J32" s="750"/>
      <c r="K32" s="743"/>
      <c r="L32" s="743"/>
      <c r="M32" s="743"/>
      <c r="N32" s="743"/>
    </row>
    <row r="33" spans="1:14" s="744" customFormat="1" ht="20.100000000000001" customHeight="1">
      <c r="A33" s="750"/>
      <c r="B33" s="750"/>
      <c r="C33" s="750"/>
      <c r="D33" s="750"/>
      <c r="E33" s="750"/>
      <c r="F33" s="750"/>
      <c r="G33" s="750"/>
      <c r="H33" s="750"/>
      <c r="I33" s="750"/>
      <c r="J33" s="750"/>
      <c r="K33" s="743"/>
      <c r="L33" s="743"/>
      <c r="M33" s="743"/>
      <c r="N33" s="743"/>
    </row>
    <row r="34" spans="1:14" s="744" customFormat="1" ht="68.25" customHeight="1">
      <c r="A34" s="750"/>
      <c r="B34" s="750"/>
      <c r="C34" s="750"/>
      <c r="D34" s="750"/>
      <c r="E34" s="750"/>
      <c r="F34" s="750"/>
      <c r="G34" s="750"/>
      <c r="H34" s="750"/>
      <c r="I34" s="750"/>
      <c r="J34" s="750"/>
      <c r="K34" s="743"/>
      <c r="L34" s="743"/>
      <c r="M34" s="743"/>
      <c r="N34" s="743"/>
    </row>
    <row r="35" spans="1:14" s="744" customFormat="1" ht="20.100000000000001" customHeight="1">
      <c r="A35" s="750"/>
      <c r="B35" s="750"/>
      <c r="C35" s="750"/>
      <c r="D35" s="750"/>
      <c r="E35" s="750"/>
      <c r="F35" s="750"/>
      <c r="G35" s="750"/>
      <c r="H35" s="750"/>
      <c r="I35" s="750"/>
      <c r="J35" s="750"/>
    </row>
    <row r="36" spans="1:14" s="744" customFormat="1" ht="20.100000000000001" customHeight="1">
      <c r="A36" s="750"/>
      <c r="B36" s="750"/>
      <c r="C36" s="750"/>
      <c r="D36" s="750"/>
      <c r="E36" s="750"/>
      <c r="F36" s="750"/>
      <c r="G36" s="750"/>
      <c r="H36" s="750"/>
      <c r="I36" s="750"/>
      <c r="J36" s="750"/>
    </row>
    <row r="37" spans="1:14" s="744" customFormat="1" ht="20.100000000000001" customHeight="1">
      <c r="A37" s="751"/>
      <c r="B37" s="751"/>
      <c r="C37" s="751"/>
      <c r="D37" s="751"/>
      <c r="E37" s="751"/>
      <c r="F37" s="751"/>
      <c r="G37" s="751"/>
      <c r="H37" s="751"/>
      <c r="I37" s="751"/>
      <c r="J37" s="751"/>
    </row>
    <row r="38" spans="1:14" s="744" customFormat="1" ht="20.100000000000001" customHeight="1">
      <c r="A38" s="751"/>
      <c r="B38" s="751"/>
      <c r="C38" s="751"/>
      <c r="D38" s="751"/>
      <c r="E38" s="751"/>
      <c r="F38" s="751"/>
      <c r="G38" s="751"/>
      <c r="H38" s="751"/>
      <c r="I38" s="751"/>
      <c r="J38" s="751"/>
    </row>
    <row r="39" spans="1:14" s="744" customFormat="1" ht="20.100000000000001" customHeight="1">
      <c r="A39" s="751"/>
      <c r="B39" s="751"/>
      <c r="C39" s="751"/>
      <c r="D39" s="751"/>
      <c r="E39" s="751"/>
      <c r="F39" s="751"/>
      <c r="G39" s="751"/>
      <c r="H39" s="751"/>
      <c r="I39" s="751"/>
      <c r="J39" s="751"/>
    </row>
    <row r="40" spans="1:14" s="744" customFormat="1" ht="20.100000000000001" customHeight="1">
      <c r="A40" s="751"/>
      <c r="B40" s="751"/>
      <c r="C40" s="751"/>
      <c r="D40" s="751"/>
      <c r="E40" s="751"/>
      <c r="F40" s="751"/>
      <c r="G40" s="751"/>
      <c r="H40" s="751"/>
      <c r="I40" s="751"/>
      <c r="J40" s="751"/>
    </row>
    <row r="41" spans="1:14" s="744" customFormat="1" ht="20.100000000000001" customHeight="1">
      <c r="A41" s="751"/>
      <c r="B41" s="751"/>
      <c r="C41" s="751"/>
      <c r="D41" s="751"/>
      <c r="E41" s="751"/>
      <c r="F41" s="751"/>
      <c r="G41" s="751"/>
      <c r="H41" s="751"/>
      <c r="I41" s="751"/>
      <c r="J41" s="751"/>
    </row>
    <row r="42" spans="1:14" s="744" customFormat="1" ht="20.100000000000001" customHeight="1">
      <c r="A42" s="751"/>
      <c r="B42" s="751"/>
      <c r="C42" s="751"/>
      <c r="D42" s="751"/>
      <c r="E42" s="751"/>
      <c r="F42" s="751"/>
      <c r="G42" s="751"/>
      <c r="H42" s="751"/>
      <c r="I42" s="751"/>
      <c r="J42" s="751"/>
    </row>
    <row r="43" spans="1:14" s="744" customFormat="1" ht="20.100000000000001" customHeight="1">
      <c r="A43" s="751"/>
      <c r="B43" s="751"/>
      <c r="C43" s="751"/>
      <c r="D43" s="751"/>
      <c r="E43" s="751"/>
      <c r="F43" s="751"/>
      <c r="G43" s="751"/>
      <c r="H43" s="751"/>
      <c r="I43" s="751"/>
      <c r="J43" s="751"/>
    </row>
    <row r="44" spans="1:14" s="744" customFormat="1" ht="20.100000000000001" customHeight="1">
      <c r="A44" s="751"/>
      <c r="B44" s="751"/>
      <c r="C44" s="751"/>
      <c r="D44" s="751"/>
      <c r="E44" s="751"/>
      <c r="F44" s="751"/>
      <c r="G44" s="751"/>
      <c r="H44" s="751"/>
      <c r="I44" s="751"/>
      <c r="J44" s="751"/>
    </row>
    <row r="45" spans="1:14" s="744" customFormat="1" ht="20.100000000000001" customHeight="1">
      <c r="A45" s="751"/>
      <c r="B45" s="751"/>
      <c r="C45" s="751"/>
      <c r="D45" s="751"/>
      <c r="E45" s="751"/>
      <c r="F45" s="751"/>
      <c r="G45" s="751"/>
      <c r="H45" s="751"/>
      <c r="I45" s="751"/>
      <c r="J45" s="751"/>
    </row>
    <row r="46" spans="1:14" s="744" customFormat="1" ht="20.100000000000001" customHeight="1">
      <c r="A46" s="751"/>
      <c r="B46" s="751"/>
      <c r="C46" s="751"/>
      <c r="D46" s="751"/>
      <c r="E46" s="751"/>
      <c r="F46" s="751"/>
      <c r="G46" s="751"/>
      <c r="H46" s="751"/>
      <c r="I46" s="751"/>
      <c r="J46" s="751"/>
    </row>
    <row r="47" spans="1:14" s="744" customFormat="1" ht="20.100000000000001" customHeight="1">
      <c r="A47" s="751"/>
      <c r="B47" s="751"/>
      <c r="C47" s="751"/>
      <c r="D47" s="751"/>
      <c r="E47" s="751"/>
      <c r="F47" s="751"/>
      <c r="G47" s="751"/>
      <c r="H47" s="751"/>
      <c r="I47" s="751"/>
      <c r="J47" s="751"/>
    </row>
    <row r="48" spans="1:14" s="744" customFormat="1" ht="20.100000000000001" customHeight="1">
      <c r="A48" s="751"/>
      <c r="B48" s="751"/>
      <c r="C48" s="751"/>
      <c r="D48" s="751"/>
      <c r="E48" s="751"/>
      <c r="F48" s="751"/>
      <c r="G48" s="751"/>
      <c r="H48" s="751"/>
      <c r="I48" s="751"/>
      <c r="J48" s="751"/>
    </row>
    <row r="49" spans="1:10" s="744" customFormat="1" ht="20.100000000000001" customHeight="1">
      <c r="A49" s="751"/>
      <c r="B49" s="751"/>
      <c r="C49" s="751"/>
      <c r="D49" s="751"/>
      <c r="E49" s="751"/>
      <c r="F49" s="751"/>
      <c r="G49" s="751"/>
      <c r="H49" s="751"/>
      <c r="I49" s="751"/>
      <c r="J49" s="751"/>
    </row>
    <row r="50" spans="1:10" s="744" customFormat="1" ht="20.100000000000001" customHeight="1">
      <c r="A50" s="751"/>
      <c r="B50" s="751"/>
      <c r="C50" s="751"/>
      <c r="D50" s="751"/>
      <c r="E50" s="751"/>
      <c r="F50" s="751"/>
      <c r="G50" s="751"/>
      <c r="H50" s="751"/>
      <c r="I50" s="751"/>
      <c r="J50" s="751"/>
    </row>
    <row r="51" spans="1:10" s="744" customFormat="1" ht="20.100000000000001" customHeight="1">
      <c r="A51" s="751"/>
      <c r="B51" s="751"/>
      <c r="C51" s="751"/>
      <c r="D51" s="751"/>
      <c r="E51" s="751"/>
      <c r="F51" s="751"/>
      <c r="G51" s="751"/>
      <c r="H51" s="751"/>
      <c r="I51" s="751"/>
      <c r="J51" s="751"/>
    </row>
    <row r="52" spans="1:10" s="744" customFormat="1" ht="20.100000000000001" customHeight="1">
      <c r="A52" s="751"/>
      <c r="B52" s="751"/>
      <c r="C52" s="751"/>
      <c r="D52" s="751"/>
      <c r="E52" s="751"/>
      <c r="F52" s="751"/>
      <c r="G52" s="751"/>
      <c r="H52" s="751"/>
      <c r="I52" s="751"/>
      <c r="J52" s="751"/>
    </row>
    <row r="53" spans="1:10" s="744" customFormat="1" ht="20.100000000000001" customHeight="1">
      <c r="A53" s="751"/>
      <c r="B53" s="751"/>
      <c r="C53" s="751"/>
      <c r="D53" s="751"/>
      <c r="E53" s="751"/>
      <c r="F53" s="751"/>
      <c r="G53" s="751"/>
      <c r="H53" s="751"/>
      <c r="I53" s="751"/>
      <c r="J53" s="751"/>
    </row>
    <row r="54" spans="1:10" s="744" customFormat="1" ht="20.100000000000001" customHeight="1">
      <c r="A54" s="751"/>
      <c r="B54" s="751"/>
      <c r="C54" s="751"/>
      <c r="D54" s="751"/>
      <c r="E54" s="751"/>
      <c r="F54" s="751"/>
      <c r="G54" s="751"/>
      <c r="H54" s="751"/>
      <c r="I54" s="751"/>
      <c r="J54" s="751"/>
    </row>
    <row r="55" spans="1:10" s="744" customFormat="1" ht="20.100000000000001" customHeight="1">
      <c r="A55" s="751"/>
      <c r="B55" s="751"/>
      <c r="C55" s="751"/>
      <c r="D55" s="751"/>
      <c r="E55" s="751"/>
      <c r="F55" s="751"/>
      <c r="G55" s="751"/>
      <c r="H55" s="751"/>
      <c r="I55" s="751"/>
      <c r="J55" s="751"/>
    </row>
    <row r="56" spans="1:10" s="744" customFormat="1" ht="20.100000000000001" customHeight="1">
      <c r="A56" s="751"/>
      <c r="B56" s="751"/>
      <c r="C56" s="751"/>
      <c r="D56" s="751"/>
      <c r="E56" s="751"/>
      <c r="F56" s="751"/>
      <c r="G56" s="751"/>
      <c r="H56" s="751"/>
      <c r="I56" s="751"/>
      <c r="J56" s="751"/>
    </row>
    <row r="57" spans="1:10" s="744" customFormat="1" ht="20.100000000000001" customHeight="1">
      <c r="A57" s="751"/>
      <c r="B57" s="751"/>
      <c r="C57" s="751"/>
      <c r="D57" s="751"/>
      <c r="E57" s="751"/>
      <c r="F57" s="751"/>
      <c r="G57" s="751"/>
      <c r="H57" s="751"/>
      <c r="I57" s="751"/>
      <c r="J57" s="751"/>
    </row>
    <row r="58" spans="1:10" s="744" customFormat="1" ht="20.100000000000001" customHeight="1">
      <c r="A58" s="751"/>
      <c r="B58" s="751"/>
      <c r="C58" s="751"/>
      <c r="D58" s="751"/>
      <c r="E58" s="751"/>
      <c r="F58" s="751"/>
      <c r="G58" s="751"/>
      <c r="H58" s="751"/>
      <c r="I58" s="751"/>
      <c r="J58" s="751"/>
    </row>
    <row r="59" spans="1:10" s="744" customFormat="1" ht="20.100000000000001" customHeight="1">
      <c r="A59" s="751"/>
      <c r="B59" s="751"/>
      <c r="C59" s="751"/>
      <c r="D59" s="751"/>
      <c r="E59" s="751"/>
      <c r="F59" s="751"/>
      <c r="G59" s="751"/>
      <c r="H59" s="751"/>
      <c r="I59" s="751"/>
      <c r="J59" s="751"/>
    </row>
    <row r="60" spans="1:10" s="744" customFormat="1" ht="20.100000000000001" customHeight="1">
      <c r="A60" s="751"/>
      <c r="B60" s="751"/>
      <c r="C60" s="751"/>
      <c r="D60" s="751"/>
      <c r="E60" s="751"/>
      <c r="F60" s="751"/>
      <c r="G60" s="751"/>
      <c r="H60" s="751"/>
      <c r="I60" s="751"/>
      <c r="J60" s="751"/>
    </row>
    <row r="61" spans="1:10" s="744" customFormat="1" ht="20.100000000000001" customHeight="1">
      <c r="A61" s="751"/>
      <c r="B61" s="751"/>
      <c r="C61" s="751"/>
      <c r="D61" s="751"/>
      <c r="E61" s="751"/>
      <c r="F61" s="751"/>
      <c r="G61" s="751"/>
      <c r="H61" s="751"/>
      <c r="I61" s="751"/>
      <c r="J61" s="751"/>
    </row>
    <row r="62" spans="1:10" s="744" customFormat="1" ht="20.100000000000001" customHeight="1">
      <c r="A62" s="751"/>
      <c r="B62" s="751"/>
      <c r="C62" s="751"/>
      <c r="D62" s="751"/>
      <c r="E62" s="751"/>
      <c r="F62" s="751"/>
      <c r="G62" s="751"/>
      <c r="H62" s="752"/>
      <c r="I62" s="752"/>
      <c r="J62" s="752"/>
    </row>
    <row r="63" spans="1:10" s="744" customFormat="1" ht="20.100000000000001" customHeight="1">
      <c r="A63" s="752"/>
      <c r="B63" s="752"/>
      <c r="C63" s="752"/>
      <c r="D63" s="752"/>
      <c r="E63" s="752"/>
      <c r="F63" s="752"/>
      <c r="G63" s="752"/>
      <c r="H63" s="752"/>
      <c r="I63" s="752"/>
      <c r="J63" s="752"/>
    </row>
    <row r="64" spans="1:10" s="744" customFormat="1" ht="20.100000000000001" customHeight="1">
      <c r="A64" s="752"/>
      <c r="B64" s="752"/>
      <c r="C64" s="752"/>
      <c r="D64" s="752"/>
      <c r="E64" s="752"/>
      <c r="F64" s="752"/>
      <c r="G64" s="752"/>
      <c r="H64" s="752"/>
      <c r="I64" s="752"/>
      <c r="J64" s="752"/>
    </row>
    <row r="65" spans="1:10" s="744" customFormat="1" ht="20.100000000000001" customHeight="1">
      <c r="A65" s="752"/>
      <c r="B65" s="752"/>
      <c r="C65" s="752"/>
      <c r="D65" s="752"/>
      <c r="E65" s="752"/>
      <c r="F65" s="752"/>
      <c r="G65" s="752"/>
      <c r="H65" s="752"/>
      <c r="I65" s="752"/>
      <c r="J65" s="752"/>
    </row>
    <row r="66" spans="1:10" s="744" customFormat="1" ht="20.100000000000001" customHeight="1">
      <c r="A66" s="752"/>
      <c r="B66" s="752"/>
      <c r="C66" s="752"/>
      <c r="D66" s="752"/>
      <c r="E66" s="752"/>
      <c r="F66" s="752"/>
      <c r="G66" s="752"/>
      <c r="H66" s="752"/>
      <c r="I66" s="752"/>
      <c r="J66" s="752"/>
    </row>
    <row r="67" spans="1:10" s="744" customFormat="1" ht="20.100000000000001" customHeight="1">
      <c r="A67" s="752"/>
      <c r="B67" s="752"/>
      <c r="C67" s="752"/>
      <c r="D67" s="752"/>
      <c r="E67" s="752"/>
      <c r="F67" s="752"/>
      <c r="G67" s="752"/>
      <c r="H67" s="752"/>
      <c r="I67" s="752"/>
      <c r="J67" s="752"/>
    </row>
    <row r="68" spans="1:10" s="744" customFormat="1" ht="20.100000000000001" customHeight="1">
      <c r="A68" s="752"/>
      <c r="B68" s="752"/>
      <c r="C68" s="752"/>
      <c r="D68" s="752"/>
      <c r="E68" s="752"/>
      <c r="F68" s="752"/>
      <c r="G68" s="752"/>
      <c r="H68" s="752"/>
      <c r="I68" s="752"/>
      <c r="J68" s="752"/>
    </row>
    <row r="69" spans="1:10" s="744" customFormat="1" ht="20.100000000000001" customHeight="1">
      <c r="A69" s="752"/>
      <c r="B69" s="752"/>
      <c r="C69" s="752"/>
      <c r="D69" s="752"/>
      <c r="E69" s="752"/>
      <c r="F69" s="752"/>
      <c r="G69" s="752"/>
      <c r="H69" s="752"/>
      <c r="I69" s="752"/>
      <c r="J69" s="752"/>
    </row>
    <row r="70" spans="1:10" s="744" customFormat="1" ht="20.100000000000001" customHeight="1">
      <c r="A70" s="752"/>
      <c r="B70" s="752"/>
      <c r="C70" s="752"/>
      <c r="D70" s="752"/>
      <c r="E70" s="752"/>
      <c r="F70" s="752"/>
      <c r="G70" s="752"/>
      <c r="H70" s="752"/>
      <c r="I70" s="752"/>
      <c r="J70" s="752"/>
    </row>
    <row r="71" spans="1:10" s="744" customFormat="1" ht="20.100000000000001" customHeight="1">
      <c r="A71" s="752"/>
      <c r="B71" s="752"/>
      <c r="C71" s="752"/>
      <c r="D71" s="752"/>
      <c r="E71" s="752"/>
      <c r="F71" s="752"/>
      <c r="G71" s="752"/>
      <c r="H71" s="752"/>
      <c r="I71" s="752"/>
      <c r="J71" s="752"/>
    </row>
    <row r="72" spans="1:10" s="744" customFormat="1" ht="20.100000000000001" customHeight="1">
      <c r="A72" s="752"/>
      <c r="B72" s="752"/>
      <c r="C72" s="752"/>
      <c r="D72" s="752"/>
      <c r="E72" s="752"/>
      <c r="F72" s="752"/>
      <c r="G72" s="752"/>
      <c r="H72" s="752"/>
      <c r="I72" s="752"/>
      <c r="J72" s="752"/>
    </row>
    <row r="73" spans="1:10" s="744" customFormat="1" ht="20.100000000000001" customHeight="1">
      <c r="A73" s="752"/>
      <c r="B73" s="752"/>
      <c r="C73" s="752"/>
      <c r="D73" s="752"/>
      <c r="E73" s="752"/>
      <c r="F73" s="752"/>
      <c r="G73" s="752"/>
      <c r="H73" s="752"/>
      <c r="I73" s="752"/>
      <c r="J73" s="752"/>
    </row>
    <row r="74" spans="1:10" s="744" customFormat="1" ht="20.100000000000001" customHeight="1">
      <c r="A74" s="752"/>
      <c r="B74" s="752"/>
      <c r="C74" s="752"/>
      <c r="D74" s="752"/>
      <c r="E74" s="752"/>
      <c r="F74" s="752"/>
      <c r="G74" s="752"/>
      <c r="H74" s="752"/>
      <c r="I74" s="752"/>
      <c r="J74" s="752"/>
    </row>
    <row r="75" spans="1:10" s="744" customFormat="1" ht="20.100000000000001" customHeight="1">
      <c r="A75" s="752"/>
      <c r="B75" s="752"/>
      <c r="C75" s="752"/>
      <c r="D75" s="752"/>
      <c r="E75" s="752"/>
      <c r="F75" s="752"/>
      <c r="G75" s="752"/>
      <c r="H75" s="752"/>
      <c r="I75" s="752"/>
      <c r="J75" s="752"/>
    </row>
    <row r="76" spans="1:10" s="744" customFormat="1" ht="20.100000000000001" customHeight="1">
      <c r="A76" s="752"/>
      <c r="B76" s="752"/>
      <c r="C76" s="752"/>
      <c r="D76" s="752"/>
      <c r="E76" s="752"/>
      <c r="F76" s="752"/>
      <c r="G76" s="752"/>
      <c r="H76" s="752"/>
      <c r="I76" s="752"/>
      <c r="J76" s="752"/>
    </row>
    <row r="77" spans="1:10" s="744" customFormat="1" ht="20.100000000000001" customHeight="1">
      <c r="A77" s="752"/>
      <c r="B77" s="752"/>
      <c r="C77" s="752"/>
      <c r="D77" s="752"/>
      <c r="E77" s="752"/>
      <c r="F77" s="752"/>
      <c r="G77" s="752"/>
      <c r="H77" s="752"/>
      <c r="I77" s="752"/>
      <c r="J77" s="752"/>
    </row>
    <row r="78" spans="1:10" ht="21.9" customHeight="1">
      <c r="A78" s="752"/>
      <c r="B78" s="752"/>
      <c r="C78" s="752"/>
      <c r="D78" s="752"/>
      <c r="E78" s="752"/>
      <c r="F78" s="752"/>
      <c r="G78" s="752"/>
      <c r="H78" s="752"/>
      <c r="I78" s="752"/>
      <c r="J78" s="752"/>
    </row>
    <row r="79" spans="1:10" ht="21.9" customHeight="1">
      <c r="A79" s="752"/>
      <c r="B79" s="752"/>
      <c r="C79" s="752"/>
      <c r="D79" s="752"/>
      <c r="E79" s="752"/>
      <c r="F79" s="752"/>
      <c r="G79" s="752"/>
      <c r="H79" s="752"/>
      <c r="I79" s="752"/>
      <c r="J79" s="752"/>
    </row>
    <row r="80" spans="1:10" ht="21.9" customHeight="1">
      <c r="A80" s="752"/>
      <c r="B80" s="752"/>
      <c r="C80" s="752"/>
      <c r="D80" s="752"/>
      <c r="E80" s="752"/>
      <c r="F80" s="752"/>
      <c r="G80" s="752"/>
      <c r="H80" s="752"/>
      <c r="I80" s="752"/>
      <c r="J80" s="752"/>
    </row>
    <row r="81" spans="1:10" ht="21.9" customHeight="1">
      <c r="A81" s="752"/>
      <c r="B81" s="752"/>
      <c r="C81" s="752"/>
      <c r="D81" s="752"/>
      <c r="E81" s="752"/>
      <c r="F81" s="752"/>
      <c r="G81" s="752"/>
      <c r="H81" s="752"/>
      <c r="I81" s="752"/>
      <c r="J81" s="752"/>
    </row>
    <row r="82" spans="1:10" ht="21.9" customHeight="1">
      <c r="A82" s="752"/>
      <c r="B82" s="752"/>
      <c r="C82" s="752"/>
      <c r="D82" s="752"/>
      <c r="E82" s="752"/>
      <c r="F82" s="752"/>
      <c r="G82" s="752"/>
      <c r="H82" s="752"/>
      <c r="I82" s="752"/>
      <c r="J82" s="752"/>
    </row>
    <row r="83" spans="1:10" ht="21.9" customHeight="1">
      <c r="A83" s="752"/>
      <c r="B83" s="752"/>
      <c r="C83" s="752"/>
      <c r="D83" s="752"/>
      <c r="E83" s="752"/>
      <c r="F83" s="752"/>
      <c r="G83" s="752"/>
      <c r="H83" s="752"/>
      <c r="I83" s="752"/>
      <c r="J83" s="752"/>
    </row>
    <row r="84" spans="1:10" ht="21.9" customHeight="1">
      <c r="A84" s="752"/>
      <c r="B84" s="752"/>
      <c r="C84" s="752"/>
      <c r="D84" s="752"/>
      <c r="E84" s="752"/>
      <c r="F84" s="752"/>
      <c r="G84" s="752"/>
      <c r="H84" s="752"/>
      <c r="I84" s="752"/>
      <c r="J84" s="752"/>
    </row>
    <row r="85" spans="1:10" ht="21.9" customHeight="1">
      <c r="A85" s="752"/>
      <c r="B85" s="752"/>
      <c r="C85" s="752"/>
      <c r="D85" s="752"/>
      <c r="E85" s="752"/>
      <c r="F85" s="752"/>
      <c r="G85" s="752"/>
      <c r="H85" s="752"/>
      <c r="I85" s="752"/>
      <c r="J85" s="752"/>
    </row>
    <row r="86" spans="1:10" ht="21.9" customHeight="1">
      <c r="A86" s="752"/>
      <c r="B86" s="752"/>
      <c r="C86" s="752"/>
      <c r="D86" s="752"/>
      <c r="E86" s="752"/>
      <c r="F86" s="752"/>
      <c r="G86" s="752"/>
      <c r="H86" s="752"/>
      <c r="I86" s="752"/>
      <c r="J86" s="752"/>
    </row>
    <row r="87" spans="1:10" ht="21.9" customHeight="1">
      <c r="A87" s="752"/>
      <c r="B87" s="752"/>
      <c r="C87" s="752"/>
      <c r="D87" s="752"/>
      <c r="E87" s="752"/>
      <c r="F87" s="752"/>
      <c r="G87" s="752"/>
      <c r="H87" s="752"/>
      <c r="I87" s="752"/>
      <c r="J87" s="752"/>
    </row>
    <row r="88" spans="1:10" ht="21.9" customHeight="1">
      <c r="A88" s="752"/>
      <c r="B88" s="752"/>
      <c r="C88" s="752"/>
      <c r="D88" s="752"/>
      <c r="E88" s="752"/>
      <c r="F88" s="752"/>
      <c r="G88" s="752"/>
      <c r="H88" s="752"/>
      <c r="I88" s="752"/>
      <c r="J88" s="752"/>
    </row>
    <row r="89" spans="1:10" ht="21.9" customHeight="1">
      <c r="A89" s="752"/>
      <c r="B89" s="752"/>
      <c r="C89" s="752"/>
      <c r="D89" s="752"/>
      <c r="E89" s="752"/>
      <c r="F89" s="752"/>
      <c r="G89" s="752"/>
      <c r="H89" s="752"/>
      <c r="I89" s="752"/>
      <c r="J89" s="752"/>
    </row>
    <row r="90" spans="1:10" ht="21.9" customHeight="1">
      <c r="A90" s="752"/>
      <c r="B90" s="752"/>
      <c r="C90" s="752"/>
      <c r="D90" s="752"/>
      <c r="E90" s="752"/>
      <c r="F90" s="752"/>
      <c r="G90" s="752"/>
      <c r="H90" s="752"/>
      <c r="I90" s="752"/>
      <c r="J90" s="752"/>
    </row>
    <row r="91" spans="1:10" ht="21.9" customHeight="1">
      <c r="A91" s="752"/>
      <c r="B91" s="752"/>
      <c r="C91" s="752"/>
      <c r="D91" s="752"/>
      <c r="E91" s="752"/>
      <c r="F91" s="752"/>
      <c r="G91" s="752"/>
      <c r="H91" s="752"/>
      <c r="I91" s="752"/>
      <c r="J91" s="752"/>
    </row>
    <row r="92" spans="1:10" ht="21.9" customHeight="1">
      <c r="A92" s="752"/>
      <c r="B92" s="752"/>
      <c r="C92" s="752"/>
      <c r="D92" s="752"/>
      <c r="E92" s="752"/>
      <c r="F92" s="752"/>
      <c r="G92" s="752"/>
      <c r="H92" s="752"/>
      <c r="I92" s="752"/>
      <c r="J92" s="752"/>
    </row>
    <row r="93" spans="1:10" ht="21.9" customHeight="1">
      <c r="A93" s="752"/>
      <c r="B93" s="752"/>
      <c r="C93" s="752"/>
      <c r="D93" s="752"/>
      <c r="E93" s="752"/>
      <c r="F93" s="752"/>
      <c r="G93" s="752"/>
      <c r="H93" s="752"/>
      <c r="I93" s="752"/>
      <c r="J93" s="752"/>
    </row>
    <row r="94" spans="1:10" ht="21.9" customHeight="1">
      <c r="A94" s="752"/>
      <c r="B94" s="752"/>
      <c r="C94" s="752"/>
      <c r="D94" s="752"/>
      <c r="E94" s="752"/>
      <c r="F94" s="752"/>
      <c r="G94" s="752"/>
      <c r="H94" s="752"/>
      <c r="I94" s="752"/>
      <c r="J94" s="752"/>
    </row>
    <row r="95" spans="1:10" ht="21.9" customHeight="1">
      <c r="A95" s="752"/>
      <c r="B95" s="752"/>
      <c r="C95" s="752"/>
      <c r="D95" s="752"/>
      <c r="E95" s="752"/>
      <c r="F95" s="752"/>
      <c r="G95" s="752"/>
      <c r="H95" s="752"/>
      <c r="I95" s="752"/>
      <c r="J95" s="752"/>
    </row>
    <row r="96" spans="1:10" ht="21.9" customHeight="1">
      <c r="A96" s="752"/>
      <c r="B96" s="752"/>
      <c r="C96" s="752"/>
      <c r="D96" s="752"/>
      <c r="E96" s="752"/>
      <c r="F96" s="752"/>
      <c r="G96" s="752"/>
      <c r="H96" s="752"/>
      <c r="I96" s="752"/>
      <c r="J96" s="752"/>
    </row>
    <row r="97" spans="1:10" ht="21.9" customHeight="1">
      <c r="A97" s="752"/>
      <c r="B97" s="752"/>
      <c r="C97" s="752"/>
      <c r="D97" s="752"/>
      <c r="E97" s="752"/>
      <c r="F97" s="752"/>
      <c r="G97" s="752"/>
      <c r="H97" s="752"/>
      <c r="I97" s="752"/>
      <c r="J97" s="752"/>
    </row>
    <row r="98" spans="1:10" ht="21.9" customHeight="1">
      <c r="A98" s="752"/>
      <c r="B98" s="752"/>
      <c r="C98" s="752"/>
      <c r="D98" s="752"/>
      <c r="E98" s="752"/>
      <c r="F98" s="752"/>
      <c r="G98" s="752"/>
      <c r="H98" s="752"/>
      <c r="I98" s="752"/>
      <c r="J98" s="752"/>
    </row>
    <row r="99" spans="1:10" ht="21.9" customHeight="1">
      <c r="A99" s="752"/>
      <c r="B99" s="752"/>
      <c r="C99" s="752"/>
      <c r="D99" s="752"/>
      <c r="E99" s="752"/>
      <c r="F99" s="752"/>
      <c r="G99" s="752"/>
      <c r="H99" s="752"/>
      <c r="I99" s="752"/>
      <c r="J99" s="752"/>
    </row>
    <row r="100" spans="1:10" ht="21.9" customHeight="1">
      <c r="A100" s="752"/>
      <c r="B100" s="752"/>
      <c r="C100" s="752"/>
      <c r="D100" s="752"/>
      <c r="E100" s="752"/>
      <c r="F100" s="752"/>
      <c r="G100" s="752"/>
      <c r="H100" s="752"/>
      <c r="I100" s="752"/>
      <c r="J100" s="752"/>
    </row>
    <row r="101" spans="1:10" ht="21.9" customHeight="1">
      <c r="A101" s="752"/>
      <c r="B101" s="752"/>
      <c r="C101" s="752"/>
      <c r="D101" s="752"/>
      <c r="E101" s="752"/>
      <c r="F101" s="752"/>
      <c r="G101" s="752"/>
      <c r="H101" s="752"/>
      <c r="I101" s="752"/>
      <c r="J101" s="752"/>
    </row>
    <row r="102" spans="1:10" ht="21.9" customHeight="1">
      <c r="A102" s="752"/>
      <c r="B102" s="752"/>
      <c r="C102" s="752"/>
      <c r="D102" s="752"/>
      <c r="E102" s="752"/>
      <c r="F102" s="752"/>
      <c r="G102" s="752"/>
      <c r="H102" s="752"/>
      <c r="I102" s="752"/>
      <c r="J102" s="752"/>
    </row>
    <row r="103" spans="1:10" ht="21.9" customHeight="1">
      <c r="A103" s="752"/>
      <c r="B103" s="752"/>
      <c r="C103" s="752"/>
      <c r="D103" s="752"/>
      <c r="E103" s="752"/>
      <c r="F103" s="752"/>
      <c r="G103" s="752"/>
      <c r="H103" s="752"/>
      <c r="I103" s="752"/>
      <c r="J103" s="752"/>
    </row>
    <row r="104" spans="1:10" ht="21.9" customHeight="1">
      <c r="A104" s="752"/>
      <c r="B104" s="752"/>
      <c r="C104" s="752"/>
      <c r="D104" s="752"/>
      <c r="E104" s="752"/>
      <c r="F104" s="752"/>
      <c r="G104" s="752"/>
      <c r="H104" s="752"/>
      <c r="I104" s="752"/>
      <c r="J104" s="752"/>
    </row>
    <row r="105" spans="1:10" ht="21.9" customHeight="1">
      <c r="A105" s="752"/>
      <c r="B105" s="752"/>
      <c r="C105" s="752"/>
      <c r="D105" s="752"/>
      <c r="E105" s="752"/>
      <c r="F105" s="752"/>
      <c r="G105" s="752"/>
      <c r="H105" s="752"/>
      <c r="I105" s="752"/>
      <c r="J105" s="752"/>
    </row>
    <row r="106" spans="1:10" ht="21.9" customHeight="1">
      <c r="A106" s="752"/>
      <c r="B106" s="752"/>
      <c r="C106" s="752"/>
      <c r="D106" s="752"/>
      <c r="E106" s="752"/>
      <c r="F106" s="752"/>
      <c r="G106" s="752"/>
      <c r="H106" s="752"/>
      <c r="I106" s="752"/>
      <c r="J106" s="752"/>
    </row>
    <row r="107" spans="1:10" ht="21.9" customHeight="1">
      <c r="A107" s="752"/>
      <c r="B107" s="752"/>
      <c r="C107" s="752"/>
      <c r="D107" s="752"/>
      <c r="E107" s="752"/>
      <c r="F107" s="752"/>
      <c r="G107" s="752"/>
      <c r="H107" s="752"/>
      <c r="I107" s="752"/>
      <c r="J107" s="752"/>
    </row>
    <row r="108" spans="1:10" ht="21.9" customHeight="1">
      <c r="A108" s="752"/>
      <c r="B108" s="752"/>
      <c r="C108" s="752"/>
      <c r="D108" s="752"/>
      <c r="E108" s="752"/>
      <c r="F108" s="752"/>
      <c r="G108" s="752"/>
      <c r="H108" s="752"/>
      <c r="I108" s="752"/>
      <c r="J108" s="752"/>
    </row>
    <row r="109" spans="1:10" ht="21.9" customHeight="1">
      <c r="A109" s="752"/>
      <c r="B109" s="752"/>
      <c r="C109" s="752"/>
      <c r="D109" s="752"/>
      <c r="E109" s="752"/>
      <c r="F109" s="752"/>
      <c r="G109" s="752"/>
      <c r="H109" s="752"/>
      <c r="I109" s="752"/>
      <c r="J109" s="752"/>
    </row>
    <row r="110" spans="1:10" ht="21.9" customHeight="1">
      <c r="A110" s="752"/>
      <c r="B110" s="752"/>
      <c r="C110" s="752"/>
      <c r="D110" s="752"/>
      <c r="E110" s="752"/>
      <c r="F110" s="752"/>
      <c r="G110" s="752"/>
      <c r="H110" s="752"/>
      <c r="I110" s="752"/>
      <c r="J110" s="752"/>
    </row>
    <row r="111" spans="1:10" ht="21.9" customHeight="1">
      <c r="A111" s="752"/>
      <c r="B111" s="752"/>
      <c r="C111" s="752"/>
      <c r="D111" s="752"/>
      <c r="E111" s="752"/>
      <c r="F111" s="752"/>
      <c r="G111" s="752"/>
      <c r="H111" s="752"/>
      <c r="I111" s="752"/>
      <c r="J111" s="752"/>
    </row>
    <row r="112" spans="1:10" ht="21.9" customHeight="1">
      <c r="A112" s="752"/>
      <c r="B112" s="752"/>
      <c r="C112" s="752"/>
      <c r="D112" s="752"/>
      <c r="E112" s="752"/>
      <c r="F112" s="752"/>
      <c r="G112" s="752"/>
      <c r="H112" s="752"/>
      <c r="I112" s="752"/>
      <c r="J112" s="752"/>
    </row>
    <row r="113" spans="1:10" ht="21.9" customHeight="1">
      <c r="A113" s="752"/>
      <c r="B113" s="752"/>
      <c r="C113" s="752"/>
      <c r="D113" s="752"/>
      <c r="E113" s="752"/>
      <c r="F113" s="752"/>
      <c r="G113" s="752"/>
      <c r="H113" s="752"/>
      <c r="I113" s="752"/>
      <c r="J113" s="752"/>
    </row>
    <row r="114" spans="1:10" ht="21.9" customHeight="1">
      <c r="A114" s="752"/>
      <c r="B114" s="752"/>
      <c r="C114" s="752"/>
      <c r="D114" s="752"/>
      <c r="E114" s="752"/>
      <c r="F114" s="752"/>
      <c r="G114" s="752"/>
      <c r="H114" s="752"/>
      <c r="I114" s="752"/>
      <c r="J114" s="752"/>
    </row>
    <row r="115" spans="1:10" ht="21.9" customHeight="1">
      <c r="A115" s="752"/>
      <c r="B115" s="752"/>
      <c r="C115" s="752"/>
      <c r="D115" s="752"/>
      <c r="E115" s="752"/>
      <c r="F115" s="752"/>
      <c r="G115" s="752"/>
      <c r="H115" s="752"/>
      <c r="I115" s="752"/>
      <c r="J115" s="752"/>
    </row>
    <row r="116" spans="1:10" ht="21.9" customHeight="1">
      <c r="A116" s="752"/>
      <c r="B116" s="752"/>
      <c r="C116" s="752"/>
      <c r="D116" s="752"/>
      <c r="E116" s="752"/>
      <c r="F116" s="752"/>
      <c r="G116" s="752"/>
      <c r="H116" s="752"/>
      <c r="I116" s="752"/>
      <c r="J116" s="752"/>
    </row>
    <row r="117" spans="1:10" ht="21.9" customHeight="1">
      <c r="A117" s="752"/>
      <c r="B117" s="752"/>
      <c r="C117" s="752"/>
      <c r="D117" s="752"/>
      <c r="E117" s="752"/>
      <c r="F117" s="752"/>
      <c r="G117" s="752"/>
      <c r="H117" s="752"/>
      <c r="I117" s="752"/>
      <c r="J117" s="752"/>
    </row>
    <row r="118" spans="1:10" ht="21.9" customHeight="1">
      <c r="A118" s="752"/>
      <c r="B118" s="752"/>
      <c r="C118" s="752"/>
      <c r="D118" s="752"/>
      <c r="E118" s="752"/>
      <c r="F118" s="752"/>
      <c r="G118" s="752"/>
      <c r="H118" s="752"/>
      <c r="I118" s="752"/>
      <c r="J118" s="752"/>
    </row>
    <row r="119" spans="1:10" ht="21.9" customHeight="1">
      <c r="A119" s="752"/>
      <c r="B119" s="752"/>
      <c r="C119" s="752"/>
      <c r="D119" s="752"/>
      <c r="E119" s="752"/>
      <c r="F119" s="752"/>
      <c r="G119" s="752"/>
      <c r="H119" s="752"/>
      <c r="I119" s="752"/>
      <c r="J119" s="752"/>
    </row>
    <row r="120" spans="1:10" ht="21.9" customHeight="1">
      <c r="A120" s="752"/>
      <c r="B120" s="752"/>
      <c r="C120" s="752"/>
      <c r="D120" s="752"/>
      <c r="E120" s="752"/>
      <c r="F120" s="752"/>
      <c r="G120" s="752"/>
      <c r="H120" s="752"/>
      <c r="I120" s="752"/>
      <c r="J120" s="752"/>
    </row>
    <row r="121" spans="1:10" ht="21.9" customHeight="1">
      <c r="A121" s="752"/>
      <c r="B121" s="752"/>
      <c r="C121" s="752"/>
      <c r="D121" s="752"/>
      <c r="E121" s="752"/>
      <c r="F121" s="752"/>
      <c r="G121" s="752"/>
      <c r="H121" s="752"/>
      <c r="I121" s="752"/>
      <c r="J121" s="752"/>
    </row>
    <row r="122" spans="1:10" ht="21.9" customHeight="1">
      <c r="A122" s="752"/>
      <c r="B122" s="752"/>
      <c r="C122" s="752"/>
      <c r="D122" s="752"/>
      <c r="E122" s="752"/>
      <c r="F122" s="752"/>
      <c r="G122" s="752"/>
      <c r="H122" s="752"/>
      <c r="I122" s="752"/>
      <c r="J122" s="752"/>
    </row>
    <row r="123" spans="1:10" ht="21.9" customHeight="1">
      <c r="A123" s="752"/>
      <c r="B123" s="752"/>
      <c r="C123" s="752"/>
      <c r="D123" s="752"/>
      <c r="E123" s="752"/>
      <c r="F123" s="752"/>
      <c r="G123" s="752"/>
      <c r="H123" s="752"/>
      <c r="I123" s="752"/>
      <c r="J123" s="752"/>
    </row>
    <row r="124" spans="1:10" ht="21.9" customHeight="1">
      <c r="A124" s="752"/>
      <c r="B124" s="752"/>
      <c r="C124" s="752"/>
      <c r="D124" s="752"/>
      <c r="E124" s="752"/>
      <c r="F124" s="752"/>
      <c r="G124" s="752"/>
      <c r="H124" s="752"/>
      <c r="I124" s="752"/>
      <c r="J124" s="752"/>
    </row>
    <row r="125" spans="1:10" ht="21.9" customHeight="1">
      <c r="A125" s="752"/>
      <c r="B125" s="752"/>
      <c r="C125" s="752"/>
      <c r="D125" s="752"/>
      <c r="E125" s="752"/>
      <c r="F125" s="752"/>
      <c r="G125" s="752"/>
      <c r="H125" s="752"/>
      <c r="I125" s="752"/>
      <c r="J125" s="752"/>
    </row>
    <row r="126" spans="1:10" ht="21.9" customHeight="1">
      <c r="A126" s="752"/>
      <c r="B126" s="752"/>
      <c r="C126" s="752"/>
      <c r="D126" s="752"/>
      <c r="E126" s="752"/>
      <c r="F126" s="752"/>
      <c r="G126" s="752"/>
      <c r="H126" s="752"/>
      <c r="I126" s="752"/>
      <c r="J126" s="752"/>
    </row>
    <row r="127" spans="1:10" ht="21.9" customHeight="1">
      <c r="A127" s="752"/>
      <c r="B127" s="752"/>
      <c r="C127" s="752"/>
      <c r="D127" s="752"/>
      <c r="E127" s="752"/>
      <c r="F127" s="752"/>
      <c r="G127" s="752"/>
      <c r="H127" s="752"/>
      <c r="I127" s="752"/>
      <c r="J127" s="752"/>
    </row>
    <row r="128" spans="1:10" ht="21.9" customHeight="1">
      <c r="A128" s="752"/>
      <c r="B128" s="752"/>
      <c r="C128" s="752"/>
      <c r="D128" s="752"/>
      <c r="E128" s="752"/>
      <c r="F128" s="752"/>
      <c r="G128" s="752"/>
      <c r="H128" s="752"/>
      <c r="I128" s="752"/>
      <c r="J128" s="752"/>
    </row>
    <row r="129" spans="1:10" ht="21.9" customHeight="1">
      <c r="A129" s="752"/>
      <c r="B129" s="752"/>
      <c r="C129" s="752"/>
      <c r="D129" s="752"/>
      <c r="E129" s="752"/>
      <c r="F129" s="752"/>
      <c r="G129" s="752"/>
      <c r="H129" s="752"/>
      <c r="I129" s="752"/>
      <c r="J129" s="752"/>
    </row>
    <row r="130" spans="1:10" ht="21.9" customHeight="1">
      <c r="A130" s="752"/>
      <c r="B130" s="752"/>
      <c r="C130" s="752"/>
      <c r="D130" s="752"/>
      <c r="E130" s="752"/>
      <c r="F130" s="752"/>
      <c r="G130" s="752"/>
      <c r="H130" s="752"/>
      <c r="I130" s="752"/>
      <c r="J130" s="752"/>
    </row>
    <row r="131" spans="1:10" ht="21.9" customHeight="1">
      <c r="A131" s="752"/>
      <c r="B131" s="752"/>
      <c r="C131" s="752"/>
      <c r="D131" s="752"/>
      <c r="E131" s="752"/>
      <c r="F131" s="752"/>
      <c r="G131" s="752"/>
      <c r="H131" s="752"/>
      <c r="I131" s="752"/>
      <c r="J131" s="752"/>
    </row>
    <row r="132" spans="1:10" ht="21.9" customHeight="1">
      <c r="A132" s="752"/>
      <c r="B132" s="752"/>
      <c r="C132" s="752"/>
      <c r="D132" s="752"/>
      <c r="E132" s="752"/>
      <c r="F132" s="752"/>
      <c r="G132" s="752"/>
      <c r="H132" s="752"/>
      <c r="I132" s="752"/>
      <c r="J132" s="752"/>
    </row>
    <row r="133" spans="1:10" ht="21.9" customHeight="1">
      <c r="A133" s="752"/>
      <c r="B133" s="752"/>
      <c r="C133" s="752"/>
      <c r="D133" s="752"/>
      <c r="E133" s="752"/>
      <c r="F133" s="752"/>
      <c r="G133" s="752"/>
      <c r="H133" s="752"/>
      <c r="I133" s="752"/>
      <c r="J133" s="752"/>
    </row>
    <row r="134" spans="1:10" ht="21.9" customHeight="1">
      <c r="A134" s="752"/>
      <c r="B134" s="752"/>
      <c r="C134" s="752"/>
      <c r="D134" s="752"/>
      <c r="E134" s="752"/>
      <c r="F134" s="752"/>
      <c r="G134" s="752"/>
      <c r="H134" s="752"/>
      <c r="I134" s="752"/>
      <c r="J134" s="752"/>
    </row>
    <row r="135" spans="1:10" ht="21.9" customHeight="1">
      <c r="A135" s="752"/>
      <c r="B135" s="752"/>
      <c r="C135" s="752"/>
      <c r="D135" s="752"/>
      <c r="E135" s="752"/>
      <c r="F135" s="752"/>
      <c r="G135" s="752"/>
      <c r="H135" s="752"/>
      <c r="I135" s="752"/>
      <c r="J135" s="752"/>
    </row>
    <row r="136" spans="1:10" ht="21.9" customHeight="1">
      <c r="A136" s="752"/>
      <c r="B136" s="752"/>
      <c r="C136" s="752"/>
      <c r="D136" s="752"/>
      <c r="E136" s="752"/>
      <c r="F136" s="752"/>
      <c r="G136" s="752"/>
      <c r="H136" s="752"/>
      <c r="I136" s="752"/>
      <c r="J136" s="752"/>
    </row>
    <row r="137" spans="1:10" ht="21.9" customHeight="1">
      <c r="A137" s="752"/>
      <c r="B137" s="752"/>
      <c r="C137" s="752"/>
      <c r="D137" s="752"/>
      <c r="E137" s="752"/>
      <c r="F137" s="752"/>
      <c r="G137" s="752"/>
      <c r="H137" s="752"/>
      <c r="I137" s="752"/>
      <c r="J137" s="752"/>
    </row>
    <row r="138" spans="1:10" ht="21.9" customHeight="1">
      <c r="A138" s="752"/>
      <c r="B138" s="752"/>
      <c r="C138" s="752"/>
      <c r="D138" s="752"/>
      <c r="E138" s="752"/>
      <c r="F138" s="752"/>
      <c r="G138" s="752"/>
      <c r="H138" s="752"/>
      <c r="I138" s="752"/>
      <c r="J138" s="752"/>
    </row>
    <row r="139" spans="1:10" ht="21.9" customHeight="1">
      <c r="A139" s="752"/>
      <c r="B139" s="752"/>
      <c r="C139" s="752"/>
      <c r="D139" s="752"/>
      <c r="E139" s="752"/>
      <c r="F139" s="752"/>
      <c r="G139" s="752"/>
      <c r="H139" s="752"/>
      <c r="I139" s="752"/>
      <c r="J139" s="752"/>
    </row>
    <row r="140" spans="1:10" ht="21.9" customHeight="1">
      <c r="A140" s="752"/>
      <c r="B140" s="752"/>
      <c r="C140" s="752"/>
      <c r="D140" s="752"/>
      <c r="E140" s="752"/>
      <c r="F140" s="752"/>
      <c r="G140" s="752"/>
      <c r="H140" s="752"/>
      <c r="I140" s="752"/>
      <c r="J140" s="752"/>
    </row>
    <row r="141" spans="1:10" ht="21.9" customHeight="1">
      <c r="A141" s="752"/>
      <c r="B141" s="752"/>
      <c r="C141" s="752"/>
      <c r="D141" s="752"/>
      <c r="E141" s="752"/>
      <c r="F141" s="752"/>
      <c r="G141" s="752"/>
      <c r="H141" s="752"/>
      <c r="I141" s="752"/>
      <c r="J141" s="752"/>
    </row>
    <row r="142" spans="1:10" ht="21.9" customHeight="1">
      <c r="A142" s="752"/>
      <c r="B142" s="752"/>
      <c r="C142" s="752"/>
      <c r="D142" s="752"/>
      <c r="E142" s="752"/>
      <c r="F142" s="752"/>
      <c r="G142" s="752"/>
      <c r="H142" s="752"/>
      <c r="I142" s="752"/>
      <c r="J142" s="752"/>
    </row>
    <row r="143" spans="1:10" ht="21.9" customHeight="1">
      <c r="A143" s="752"/>
      <c r="B143" s="752"/>
      <c r="C143" s="752"/>
      <c r="D143" s="752"/>
      <c r="E143" s="752"/>
      <c r="F143" s="752"/>
      <c r="G143" s="752"/>
      <c r="H143" s="752"/>
      <c r="I143" s="752"/>
      <c r="J143" s="752"/>
    </row>
    <row r="144" spans="1:10" ht="21.9" customHeight="1">
      <c r="A144" s="752"/>
      <c r="B144" s="752"/>
      <c r="C144" s="752"/>
      <c r="D144" s="752"/>
      <c r="E144" s="752"/>
      <c r="F144" s="752"/>
      <c r="G144" s="752"/>
      <c r="H144" s="752"/>
      <c r="I144" s="752"/>
      <c r="J144" s="752"/>
    </row>
    <row r="145" spans="1:10" ht="21.9" customHeight="1">
      <c r="A145" s="752"/>
      <c r="B145" s="752"/>
      <c r="C145" s="752"/>
      <c r="D145" s="752"/>
      <c r="E145" s="752"/>
      <c r="F145" s="752"/>
      <c r="G145" s="752"/>
      <c r="H145" s="752"/>
      <c r="I145" s="752"/>
      <c r="J145" s="752"/>
    </row>
    <row r="146" spans="1:10" ht="21.9" customHeight="1">
      <c r="A146" s="752"/>
      <c r="B146" s="752"/>
      <c r="C146" s="752"/>
      <c r="D146" s="752"/>
      <c r="E146" s="752"/>
      <c r="F146" s="752"/>
      <c r="G146" s="752"/>
      <c r="H146" s="752"/>
      <c r="I146" s="752"/>
      <c r="J146" s="752"/>
    </row>
  </sheetData>
  <sheetProtection selectLockedCells="1" selectUnlockedCells="1"/>
  <mergeCells count="22">
    <mergeCell ref="A5:J5"/>
    <mergeCell ref="D17:E17"/>
    <mergeCell ref="A19:C19"/>
    <mergeCell ref="D19:F19"/>
    <mergeCell ref="A1:J1"/>
    <mergeCell ref="A2:F3"/>
    <mergeCell ref="J3:J4"/>
    <mergeCell ref="A4:F4"/>
    <mergeCell ref="K25:N26"/>
    <mergeCell ref="K14:M23"/>
    <mergeCell ref="A15:B15"/>
    <mergeCell ref="A16:C17"/>
    <mergeCell ref="D16:E16"/>
    <mergeCell ref="A18:C18"/>
    <mergeCell ref="D18:J18"/>
    <mergeCell ref="A22:C23"/>
    <mergeCell ref="D20:F20"/>
    <mergeCell ref="A20:C21"/>
    <mergeCell ref="D21:J21"/>
    <mergeCell ref="D23:J23"/>
    <mergeCell ref="D22:J22"/>
    <mergeCell ref="G20:J20"/>
  </mergeCells>
  <phoneticPr fontId="51" type="noConversion"/>
  <dataValidations count="3">
    <dataValidation allowBlank="1" showErrorMessage="1" sqref="H3">
      <formula1>0</formula1>
      <formula2>0</formula2>
    </dataValidation>
    <dataValidation allowBlank="1" showErrorMessage="1" promptTitle="存在调整事项时" prompt="_x000a_选择 “E”" sqref="G20:J20">
      <formula1>0</formula1>
      <formula2>0</formula2>
    </dataValidation>
    <dataValidation type="list" allowBlank="1" showErrorMessage="1" sqref="E7:F14 H7:H14">
      <formula1>"是,否"</formula1>
      <formula2>0</formula2>
    </dataValidation>
  </dataValidations>
  <hyperlinks>
    <hyperlink ref="K7" location="纳税调整明细表!C33" display="纳税调整明细表!C33"/>
    <hyperlink ref="K8" location="管理费用!A1" display="管理费用审核表"/>
    <hyperlink ref="K9" location="营外收支!A1" display="营外收支审核表"/>
    <hyperlink ref="K10" location="营业费用!A1" display="营业费用审核表"/>
    <hyperlink ref="K11" location="凭证检查!A1" display="凭证检查!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T156"/>
  <sheetViews>
    <sheetView workbookViewId="0">
      <selection sqref="A1:L1"/>
    </sheetView>
  </sheetViews>
  <sheetFormatPr defaultColWidth="9" defaultRowHeight="15.6"/>
  <cols>
    <col min="1" max="1" width="4.59765625" style="168" customWidth="1"/>
    <col min="2" max="2" width="7" style="168" customWidth="1"/>
    <col min="3" max="3" width="23.69921875" style="168" customWidth="1"/>
    <col min="4" max="4" width="18.09765625" style="168" customWidth="1"/>
    <col min="5" max="5" width="10.59765625" style="168" customWidth="1"/>
    <col min="6" max="7" width="6.59765625" style="168" customWidth="1"/>
    <col min="8" max="9" width="10.59765625" style="168" customWidth="1"/>
    <col min="10" max="10" width="12.8984375" style="168" customWidth="1"/>
    <col min="11" max="11" width="5.19921875" style="168" customWidth="1"/>
    <col min="12" max="12" width="5.59765625" style="168" customWidth="1"/>
    <col min="13" max="16384" width="9" style="168"/>
  </cols>
  <sheetData>
    <row r="1" spans="1:20" ht="22.2">
      <c r="A1" s="3304" t="s">
        <v>368</v>
      </c>
      <c r="B1" s="3304"/>
      <c r="C1" s="3304"/>
      <c r="D1" s="3304"/>
      <c r="E1" s="3304"/>
      <c r="F1" s="3304"/>
      <c r="G1" s="3304"/>
      <c r="H1" s="3304"/>
      <c r="I1" s="3304"/>
      <c r="J1" s="3304"/>
      <c r="K1" s="3304"/>
      <c r="L1" s="3304"/>
    </row>
    <row r="2" spans="1:20" ht="7.5" customHeight="1">
      <c r="A2" s="753"/>
      <c r="B2" s="753"/>
      <c r="C2" s="753"/>
      <c r="D2" s="753"/>
      <c r="E2" s="753"/>
      <c r="F2" s="753"/>
      <c r="G2" s="753"/>
      <c r="H2" s="753"/>
      <c r="I2" s="753"/>
      <c r="J2" s="753"/>
      <c r="K2" s="753"/>
      <c r="L2" s="753"/>
    </row>
    <row r="3" spans="1:20" ht="19.5" customHeight="1">
      <c r="A3" s="3305" t="s">
        <v>447</v>
      </c>
      <c r="B3" s="3305"/>
      <c r="C3" s="3306">
        <f>基本情况!B2</f>
        <v>0</v>
      </c>
      <c r="D3" s="3306"/>
      <c r="E3" s="3306"/>
      <c r="F3" s="3306"/>
      <c r="G3" s="755" t="s">
        <v>450</v>
      </c>
      <c r="H3" s="756">
        <f>基本情况!B12</f>
        <v>0</v>
      </c>
      <c r="I3" s="755" t="s">
        <v>449</v>
      </c>
      <c r="J3" s="757" t="str">
        <f>TEXT(基本情况!B21,"yyyy-mm-dd")</f>
        <v>2017-03-16</v>
      </c>
      <c r="K3" s="3307" t="s">
        <v>283</v>
      </c>
      <c r="L3" s="3307"/>
    </row>
    <row r="4" spans="1:20" ht="19.5" customHeight="1">
      <c r="A4" s="3286" t="s">
        <v>451</v>
      </c>
      <c r="B4" s="3286"/>
      <c r="C4" s="3308" t="str">
        <f>基本情况!B7</f>
        <v>2016年01月01日至2016年12月31日</v>
      </c>
      <c r="D4" s="3308"/>
      <c r="E4" s="3308"/>
      <c r="F4" s="3308"/>
      <c r="G4" s="759" t="s">
        <v>452</v>
      </c>
      <c r="H4" s="760">
        <f>基本情况!B11</f>
        <v>0</v>
      </c>
      <c r="I4" s="759" t="s">
        <v>449</v>
      </c>
      <c r="J4" s="760" t="str">
        <f>TEXT(基本情况!B22,"yyyy-mm-dd")</f>
        <v>2017-05-04</v>
      </c>
      <c r="K4" s="3309" t="str">
        <f>档案索引!A42</f>
        <v>2A-22</v>
      </c>
      <c r="L4" s="3309"/>
    </row>
    <row r="5" spans="1:20" ht="7.5" customHeight="1">
      <c r="A5" s="3303"/>
      <c r="B5" s="3303"/>
      <c r="C5" s="3303"/>
      <c r="D5" s="3303"/>
      <c r="E5" s="3303"/>
      <c r="F5" s="3303"/>
      <c r="G5" s="3303"/>
      <c r="H5" s="3303"/>
      <c r="I5" s="3303"/>
      <c r="J5" s="3303"/>
      <c r="K5" s="3303"/>
      <c r="L5" s="3303"/>
    </row>
    <row r="6" spans="1:20" ht="9" customHeight="1">
      <c r="A6" s="3298" t="s">
        <v>453</v>
      </c>
      <c r="B6" s="3299" t="s">
        <v>1510</v>
      </c>
      <c r="C6" s="3300" t="s">
        <v>922</v>
      </c>
      <c r="D6" s="3300" t="s">
        <v>923</v>
      </c>
      <c r="E6" s="3300" t="s">
        <v>924</v>
      </c>
      <c r="F6" s="3300" t="s">
        <v>925</v>
      </c>
      <c r="G6" s="3300" t="s">
        <v>926</v>
      </c>
      <c r="H6" s="3300" t="s">
        <v>927</v>
      </c>
      <c r="I6" s="3300" t="s">
        <v>928</v>
      </c>
      <c r="J6" s="3300" t="s">
        <v>929</v>
      </c>
      <c r="K6" s="3301" t="s">
        <v>455</v>
      </c>
      <c r="L6" s="3301"/>
    </row>
    <row r="7" spans="1:20" ht="20.25" customHeight="1">
      <c r="A7" s="3298"/>
      <c r="B7" s="3299"/>
      <c r="C7" s="3300"/>
      <c r="D7" s="3300"/>
      <c r="E7" s="3300"/>
      <c r="F7" s="3300"/>
      <c r="G7" s="3300"/>
      <c r="H7" s="3300"/>
      <c r="I7" s="3300"/>
      <c r="J7" s="3300"/>
      <c r="K7" s="3301"/>
      <c r="L7" s="3301"/>
      <c r="M7" t="s">
        <v>395</v>
      </c>
    </row>
    <row r="8" spans="1:20" ht="17.25" customHeight="1">
      <c r="A8" s="754">
        <v>1</v>
      </c>
      <c r="B8" s="1236"/>
      <c r="C8" s="1236"/>
      <c r="D8" s="1141"/>
      <c r="E8" s="1237"/>
      <c r="F8" s="1141"/>
      <c r="G8" s="1238"/>
      <c r="H8" s="1145"/>
      <c r="I8" s="1145"/>
      <c r="J8" s="715">
        <f t="shared" ref="J8:J17" si="0">H8-I8</f>
        <v>0</v>
      </c>
      <c r="K8" s="3302"/>
      <c r="L8" s="3302"/>
      <c r="M8" s="3279" t="s">
        <v>930</v>
      </c>
      <c r="N8" s="3279"/>
      <c r="O8" s="3279"/>
    </row>
    <row r="9" spans="1:20" ht="17.25" customHeight="1">
      <c r="A9" s="761">
        <v>2</v>
      </c>
      <c r="B9" s="1239"/>
      <c r="C9" s="1239"/>
      <c r="D9" s="1142"/>
      <c r="E9" s="1240"/>
      <c r="F9" s="1142"/>
      <c r="G9" s="1241"/>
      <c r="H9" s="1146"/>
      <c r="I9" s="1146"/>
      <c r="J9" s="545">
        <f t="shared" si="0"/>
        <v>0</v>
      </c>
      <c r="K9" s="3280"/>
      <c r="L9" s="3280"/>
    </row>
    <row r="10" spans="1:20" ht="17.25" customHeight="1">
      <c r="A10" s="761">
        <v>3</v>
      </c>
      <c r="B10" s="1239"/>
      <c r="C10" s="1239"/>
      <c r="D10" s="1142"/>
      <c r="E10" s="1240"/>
      <c r="F10" s="1142"/>
      <c r="G10" s="1241"/>
      <c r="H10" s="1146"/>
      <c r="I10" s="1146"/>
      <c r="J10" s="545">
        <f t="shared" si="0"/>
        <v>0</v>
      </c>
      <c r="K10" s="3280"/>
      <c r="L10" s="3280"/>
      <c r="M10" s="3279" t="s">
        <v>328</v>
      </c>
      <c r="N10" s="3279"/>
      <c r="O10" s="3279"/>
    </row>
    <row r="11" spans="1:20" ht="17.25" customHeight="1">
      <c r="A11" s="761">
        <v>4</v>
      </c>
      <c r="B11" s="1239"/>
      <c r="C11" s="1239"/>
      <c r="D11" s="1142"/>
      <c r="E11" s="1240"/>
      <c r="F11" s="1142"/>
      <c r="G11" s="1241"/>
      <c r="H11" s="1146"/>
      <c r="I11" s="1146"/>
      <c r="J11" s="545">
        <f t="shared" si="0"/>
        <v>0</v>
      </c>
      <c r="K11" s="3280"/>
      <c r="L11" s="3280"/>
    </row>
    <row r="12" spans="1:20" ht="17.25" customHeight="1">
      <c r="A12" s="761">
        <v>5</v>
      </c>
      <c r="B12" s="1239"/>
      <c r="C12" s="1239"/>
      <c r="D12" s="1142"/>
      <c r="E12" s="1240"/>
      <c r="F12" s="1142"/>
      <c r="G12" s="1241"/>
      <c r="H12" s="1146"/>
      <c r="I12" s="1146"/>
      <c r="J12" s="545">
        <f t="shared" si="0"/>
        <v>0</v>
      </c>
      <c r="K12" s="3280"/>
      <c r="L12" s="3280"/>
      <c r="M12" s="3279" t="s">
        <v>931</v>
      </c>
      <c r="N12" s="3279"/>
      <c r="O12" s="3279"/>
    </row>
    <row r="13" spans="1:20" ht="17.25" customHeight="1">
      <c r="A13" s="761">
        <v>6</v>
      </c>
      <c r="B13" s="1239"/>
      <c r="C13" s="1239"/>
      <c r="D13" s="1142"/>
      <c r="E13" s="1240"/>
      <c r="F13" s="1142"/>
      <c r="G13" s="1241"/>
      <c r="H13" s="1146"/>
      <c r="I13" s="1146"/>
      <c r="J13" s="545">
        <f t="shared" si="0"/>
        <v>0</v>
      </c>
      <c r="K13" s="3280"/>
      <c r="L13" s="3280"/>
      <c r="M13" s="3281" t="s">
        <v>963</v>
      </c>
      <c r="N13" s="3281"/>
      <c r="O13" s="3281"/>
      <c r="P13" s="3281"/>
      <c r="Q13" s="3281"/>
      <c r="R13" s="3281"/>
      <c r="S13" s="3281"/>
      <c r="T13" s="3281"/>
    </row>
    <row r="14" spans="1:20" ht="17.25" customHeight="1">
      <c r="A14" s="761">
        <v>7</v>
      </c>
      <c r="B14" s="1239"/>
      <c r="C14" s="1239"/>
      <c r="D14" s="1142"/>
      <c r="E14" s="1240"/>
      <c r="F14" s="1142"/>
      <c r="G14" s="1241"/>
      <c r="H14" s="1146"/>
      <c r="I14" s="1146"/>
      <c r="J14" s="545">
        <f t="shared" si="0"/>
        <v>0</v>
      </c>
      <c r="K14" s="3280"/>
      <c r="L14" s="3280"/>
      <c r="M14" s="3281"/>
      <c r="N14" s="3281"/>
      <c r="O14" s="3281"/>
      <c r="P14" s="3281"/>
      <c r="Q14" s="3281"/>
      <c r="R14" s="3281"/>
      <c r="S14" s="3281"/>
      <c r="T14" s="3281"/>
    </row>
    <row r="15" spans="1:20" ht="17.25" customHeight="1">
      <c r="A15" s="761">
        <v>8</v>
      </c>
      <c r="B15" s="1239"/>
      <c r="C15" s="1239"/>
      <c r="D15" s="1142"/>
      <c r="E15" s="1240"/>
      <c r="F15" s="1142"/>
      <c r="G15" s="1241"/>
      <c r="H15" s="1146"/>
      <c r="I15" s="1146"/>
      <c r="J15" s="545">
        <f t="shared" si="0"/>
        <v>0</v>
      </c>
      <c r="K15" s="3280"/>
      <c r="L15" s="3280"/>
      <c r="M15" s="3281"/>
      <c r="N15" s="3281"/>
      <c r="O15" s="3281"/>
      <c r="P15" s="3281"/>
      <c r="Q15" s="3281"/>
      <c r="R15" s="3281"/>
      <c r="S15" s="3281"/>
      <c r="T15" s="3281"/>
    </row>
    <row r="16" spans="1:20" ht="17.25" customHeight="1">
      <c r="A16" s="761">
        <v>9</v>
      </c>
      <c r="B16" s="1239"/>
      <c r="C16" s="1239"/>
      <c r="D16" s="1142"/>
      <c r="E16" s="1240"/>
      <c r="F16" s="1142"/>
      <c r="G16" s="1241"/>
      <c r="H16" s="1146"/>
      <c r="I16" s="1146"/>
      <c r="J16" s="545">
        <f t="shared" si="0"/>
        <v>0</v>
      </c>
      <c r="K16" s="3280"/>
      <c r="L16" s="3280"/>
      <c r="M16" s="3281"/>
      <c r="N16" s="3281"/>
      <c r="O16" s="3281"/>
      <c r="P16" s="3281"/>
      <c r="Q16" s="3281"/>
      <c r="R16" s="3281"/>
      <c r="S16" s="3281"/>
      <c r="T16" s="3281"/>
    </row>
    <row r="17" spans="1:20" ht="17.25" customHeight="1">
      <c r="A17" s="758">
        <v>10</v>
      </c>
      <c r="B17" s="1242"/>
      <c r="C17" s="1242"/>
      <c r="D17" s="1143"/>
      <c r="E17" s="1243"/>
      <c r="F17" s="1143"/>
      <c r="G17" s="1244"/>
      <c r="H17" s="1147"/>
      <c r="I17" s="1147"/>
      <c r="J17" s="716">
        <f t="shared" si="0"/>
        <v>0</v>
      </c>
      <c r="K17" s="3282"/>
      <c r="L17" s="3282"/>
      <c r="M17" s="3281"/>
      <c r="N17" s="3281"/>
      <c r="O17" s="3281"/>
      <c r="P17" s="3281"/>
      <c r="Q17" s="3281"/>
      <c r="R17" s="3281"/>
      <c r="S17" s="3281"/>
      <c r="T17" s="3281"/>
    </row>
    <row r="18" spans="1:20" ht="19.5" customHeight="1">
      <c r="A18" s="3276" t="s">
        <v>964</v>
      </c>
      <c r="B18" s="3276"/>
      <c r="C18" s="3276"/>
      <c r="D18" s="1144">
        <f>SUM(D8:D17)</f>
        <v>0</v>
      </c>
      <c r="E18" s="762"/>
      <c r="F18" s="1148"/>
      <c r="G18" s="1149"/>
      <c r="H18" s="1144">
        <f>SUM(H8:H17)</f>
        <v>0</v>
      </c>
      <c r="I18" s="1144">
        <f>SUM(I8:I17)</f>
        <v>0</v>
      </c>
      <c r="J18" s="1144">
        <f>SUM(J8:J17)</f>
        <v>0</v>
      </c>
      <c r="K18" s="3289"/>
      <c r="L18" s="3289"/>
      <c r="M18" s="3281"/>
      <c r="N18" s="3281"/>
      <c r="O18" s="3281"/>
      <c r="P18" s="3281"/>
      <c r="Q18" s="3281"/>
      <c r="R18" s="3281"/>
      <c r="S18" s="3281"/>
      <c r="T18" s="3281"/>
    </row>
    <row r="19" spans="1:20" ht="19.5" customHeight="1">
      <c r="A19" s="3290" t="s">
        <v>965</v>
      </c>
      <c r="B19" s="3290"/>
      <c r="C19" s="3290"/>
      <c r="D19" s="3290"/>
      <c r="E19" s="3290"/>
      <c r="F19" s="3290"/>
      <c r="G19" s="3290"/>
      <c r="H19" s="3290"/>
      <c r="I19" s="3290"/>
      <c r="J19" s="3290"/>
      <c r="K19" s="3291"/>
      <c r="L19" s="3291"/>
      <c r="M19" s="3281"/>
      <c r="N19" s="3281"/>
      <c r="O19" s="3281"/>
      <c r="P19" s="3281"/>
      <c r="Q19" s="3281"/>
      <c r="R19" s="3281"/>
      <c r="S19" s="3281"/>
      <c r="T19" s="3281"/>
    </row>
    <row r="20" spans="1:20" ht="19.5" customHeight="1">
      <c r="A20" s="3292" t="s">
        <v>853</v>
      </c>
      <c r="B20" s="3292"/>
      <c r="C20" s="763" t="s">
        <v>966</v>
      </c>
      <c r="D20" s="3293" t="s">
        <v>854</v>
      </c>
      <c r="E20" s="3293"/>
      <c r="F20" s="3293"/>
      <c r="G20" s="3293" t="s">
        <v>856</v>
      </c>
      <c r="H20" s="3293"/>
      <c r="I20" s="3293"/>
      <c r="J20" s="763" t="s">
        <v>702</v>
      </c>
      <c r="K20" s="3294"/>
      <c r="L20" s="3294"/>
      <c r="M20" s="3281"/>
      <c r="N20" s="3281"/>
      <c r="O20" s="3281"/>
      <c r="P20" s="3281"/>
      <c r="Q20" s="3281"/>
      <c r="R20" s="3281"/>
      <c r="S20" s="3281"/>
      <c r="T20" s="3281"/>
    </row>
    <row r="21" spans="1:20" ht="19.5" customHeight="1">
      <c r="A21" s="3297" t="s">
        <v>557</v>
      </c>
      <c r="B21" s="3297"/>
      <c r="C21" s="1150">
        <f>财务费用!H7</f>
        <v>0</v>
      </c>
      <c r="D21" s="3284"/>
      <c r="E21" s="3284"/>
      <c r="F21" s="3284"/>
      <c r="G21" s="3284"/>
      <c r="H21" s="3284"/>
      <c r="I21" s="3284"/>
      <c r="J21" s="1151">
        <f>SUM(C21:I21)</f>
        <v>0</v>
      </c>
      <c r="K21" s="3285"/>
      <c r="L21" s="3285"/>
      <c r="M21" s="3281"/>
      <c r="N21" s="3281"/>
      <c r="O21" s="3281"/>
      <c r="P21" s="3281"/>
      <c r="Q21" s="3281"/>
      <c r="R21" s="3281"/>
      <c r="S21" s="3281"/>
      <c r="T21" s="3281"/>
    </row>
    <row r="22" spans="1:20" ht="19.5" customHeight="1">
      <c r="A22" s="3276" t="s">
        <v>641</v>
      </c>
      <c r="B22" s="3276"/>
      <c r="C22" s="3276"/>
      <c r="D22" s="3277" t="str">
        <f>IF(H18&lt;&gt;J21,"原始凭证检查金额与账载不符，请检查！","原始凭证检查金额与账载相符！")</f>
        <v>原始凭证检查金额与账载相符！</v>
      </c>
      <c r="E22" s="3277"/>
      <c r="F22" s="3277"/>
      <c r="G22" s="3277"/>
      <c r="H22" s="3277"/>
      <c r="I22" s="3277"/>
      <c r="J22" s="3277"/>
      <c r="K22" s="3278"/>
      <c r="L22" s="3278"/>
      <c r="M22" s="3281"/>
      <c r="N22" s="3281"/>
      <c r="O22" s="3281"/>
      <c r="P22" s="3281"/>
      <c r="Q22" s="3281"/>
      <c r="R22" s="3281"/>
      <c r="S22" s="3281"/>
      <c r="T22" s="3281"/>
    </row>
    <row r="23" spans="1:20" ht="15" customHeight="1">
      <c r="A23" s="3295" t="s">
        <v>1323</v>
      </c>
      <c r="B23" s="3295"/>
      <c r="C23" s="3295"/>
      <c r="D23" s="764" t="s">
        <v>497</v>
      </c>
      <c r="E23" s="3283" t="str">
        <f>IF(J18&gt;0,"、E","")</f>
        <v/>
      </c>
      <c r="F23" s="3283"/>
      <c r="G23" s="3283"/>
      <c r="H23" s="3283"/>
      <c r="I23" s="3283"/>
      <c r="J23" s="3283"/>
      <c r="K23" s="3283"/>
      <c r="L23" s="3283"/>
      <c r="M23" s="3281"/>
      <c r="N23" s="3281"/>
      <c r="O23" s="3281"/>
      <c r="P23" s="3281"/>
      <c r="Q23" s="3281"/>
      <c r="R23" s="3281"/>
      <c r="S23" s="3281"/>
      <c r="T23" s="3281"/>
    </row>
    <row r="24" spans="1:20" ht="31.5" customHeight="1">
      <c r="A24" s="3295"/>
      <c r="B24" s="3295"/>
      <c r="C24" s="3295"/>
      <c r="D24" s="3296"/>
      <c r="E24" s="3296"/>
      <c r="F24" s="3296"/>
      <c r="G24" s="3296"/>
      <c r="H24" s="3296"/>
      <c r="I24" s="3296"/>
      <c r="J24" s="3296"/>
      <c r="K24" s="3296"/>
      <c r="L24" s="3296"/>
      <c r="M24" s="3281" t="s">
        <v>967</v>
      </c>
      <c r="N24" s="3281"/>
      <c r="O24" s="3281"/>
      <c r="P24" s="3281"/>
      <c r="Q24" s="3281"/>
      <c r="R24" s="3281"/>
      <c r="S24" s="3281"/>
      <c r="T24" s="3281"/>
    </row>
    <row r="25" spans="1:20" ht="30.75" customHeight="1">
      <c r="A25" s="3295"/>
      <c r="B25" s="3295"/>
      <c r="C25" s="3295"/>
      <c r="D25" s="3296"/>
      <c r="E25" s="3296"/>
      <c r="F25" s="3296"/>
      <c r="G25" s="3296"/>
      <c r="H25" s="3296"/>
      <c r="I25" s="3296"/>
      <c r="J25" s="3296"/>
      <c r="K25" s="3296"/>
      <c r="L25" s="3296"/>
      <c r="M25" s="3281"/>
      <c r="N25" s="3281"/>
      <c r="O25" s="3281"/>
      <c r="P25" s="3281"/>
      <c r="Q25" s="3281"/>
      <c r="R25" s="3281"/>
      <c r="S25" s="3281"/>
      <c r="T25" s="3281"/>
    </row>
    <row r="26" spans="1:20" ht="8.25" customHeight="1">
      <c r="A26" s="3286" t="s">
        <v>574</v>
      </c>
      <c r="B26" s="3286"/>
      <c r="C26" s="3286"/>
      <c r="D26" s="3287" t="str">
        <f>IF(J18&lt;&gt;0,"实际列支利息支出大于税法允许列支的限额,应予纳税调整增加"&amp;DOLLAR(J18,2)&amp;"元！","不存在利息支出调整事项，认可！")</f>
        <v>不存在利息支出调整事项，认可！</v>
      </c>
      <c r="E26" s="3287"/>
      <c r="F26" s="3287"/>
      <c r="G26" s="3287"/>
      <c r="H26" s="3287"/>
      <c r="I26" s="3287"/>
      <c r="J26" s="3287"/>
      <c r="K26" s="3287"/>
      <c r="L26" s="3287"/>
      <c r="M26" s="3288" t="s">
        <v>968</v>
      </c>
      <c r="N26" s="3288"/>
      <c r="O26" s="3288"/>
      <c r="P26" s="3288"/>
      <c r="Q26" s="3288"/>
      <c r="R26" s="3288"/>
      <c r="S26" s="3288"/>
      <c r="T26" s="3288"/>
    </row>
    <row r="27" spans="1:20" ht="8.25" customHeight="1">
      <c r="A27" s="3286"/>
      <c r="B27" s="3286"/>
      <c r="C27" s="3286"/>
      <c r="D27" s="3287"/>
      <c r="E27" s="3287"/>
      <c r="F27" s="3287"/>
      <c r="G27" s="3287"/>
      <c r="H27" s="3287"/>
      <c r="I27" s="3287"/>
      <c r="J27" s="3287"/>
      <c r="K27" s="3287"/>
      <c r="L27" s="3287"/>
      <c r="M27" s="3288"/>
      <c r="N27" s="3288"/>
      <c r="O27" s="3288"/>
      <c r="P27" s="3288"/>
      <c r="Q27" s="3288"/>
      <c r="R27" s="3288"/>
      <c r="S27" s="3288"/>
      <c r="T27" s="3288"/>
    </row>
    <row r="28" spans="1:20" ht="8.25" customHeight="1">
      <c r="A28" s="3286"/>
      <c r="B28" s="3286"/>
      <c r="C28" s="3286"/>
      <c r="D28" s="3287"/>
      <c r="E28" s="3287"/>
      <c r="F28" s="3287"/>
      <c r="G28" s="3287"/>
      <c r="H28" s="3287"/>
      <c r="I28" s="3287"/>
      <c r="J28" s="3287"/>
      <c r="K28" s="3287"/>
      <c r="L28" s="3287"/>
      <c r="M28" s="3288"/>
      <c r="N28" s="3288"/>
      <c r="O28" s="3288"/>
      <c r="P28" s="3288"/>
      <c r="Q28" s="3288"/>
      <c r="R28" s="3288"/>
      <c r="S28" s="3288"/>
      <c r="T28" s="3288"/>
    </row>
    <row r="29" spans="1:20">
      <c r="A29" s="731"/>
      <c r="B29" s="731"/>
      <c r="C29" s="731"/>
      <c r="D29" s="731"/>
      <c r="E29" s="731"/>
      <c r="F29" s="731"/>
      <c r="G29" s="731"/>
      <c r="H29" s="731"/>
      <c r="I29" s="731"/>
      <c r="J29" s="731"/>
      <c r="K29" s="731"/>
      <c r="L29" s="731"/>
      <c r="M29" s="3288"/>
      <c r="N29" s="3288"/>
      <c r="O29" s="3288"/>
      <c r="P29" s="3288"/>
      <c r="Q29" s="3288"/>
      <c r="R29" s="3288"/>
      <c r="S29" s="3288"/>
      <c r="T29" s="3288"/>
    </row>
    <row r="30" spans="1:20">
      <c r="A30" s="731"/>
      <c r="B30" s="731"/>
      <c r="C30" s="731"/>
      <c r="D30" s="731"/>
      <c r="E30" s="731"/>
      <c r="F30" s="731"/>
      <c r="G30" s="731"/>
      <c r="H30" s="731"/>
      <c r="I30" s="731"/>
      <c r="J30" s="731"/>
      <c r="K30" s="731"/>
      <c r="L30" s="731"/>
      <c r="M30" s="3288"/>
      <c r="N30" s="3288"/>
      <c r="O30" s="3288"/>
      <c r="P30" s="3288"/>
      <c r="Q30" s="3288"/>
      <c r="R30" s="3288"/>
      <c r="S30" s="3288"/>
      <c r="T30" s="3288"/>
    </row>
    <row r="31" spans="1:20">
      <c r="A31" s="731"/>
      <c r="B31" s="731"/>
      <c r="C31" s="731"/>
      <c r="D31" s="731"/>
      <c r="E31" s="731"/>
      <c r="F31" s="731"/>
      <c r="G31" s="731"/>
      <c r="H31" s="731"/>
      <c r="I31" s="731"/>
      <c r="J31" s="731"/>
      <c r="K31" s="731"/>
      <c r="L31" s="731"/>
    </row>
    <row r="32" spans="1:20">
      <c r="A32" s="731"/>
      <c r="B32" s="731"/>
      <c r="C32" s="731"/>
      <c r="D32" s="731"/>
      <c r="E32" s="731"/>
      <c r="F32" s="731"/>
      <c r="G32" s="731"/>
      <c r="H32" s="731"/>
      <c r="I32" s="731"/>
      <c r="J32" s="731"/>
      <c r="K32" s="731"/>
      <c r="L32" s="731"/>
    </row>
    <row r="33" spans="1:12">
      <c r="A33" s="731"/>
      <c r="B33" s="731"/>
      <c r="C33" s="731"/>
      <c r="D33" s="731"/>
      <c r="E33" s="731"/>
      <c r="F33" s="731"/>
      <c r="G33" s="731"/>
      <c r="H33" s="731"/>
      <c r="I33" s="731"/>
      <c r="J33" s="731"/>
      <c r="K33" s="731"/>
      <c r="L33" s="731"/>
    </row>
    <row r="34" spans="1:12">
      <c r="A34" s="731"/>
      <c r="B34" s="731"/>
      <c r="C34" s="731"/>
      <c r="D34" s="731"/>
      <c r="E34" s="731"/>
      <c r="F34" s="731"/>
      <c r="G34" s="731"/>
      <c r="H34" s="731"/>
      <c r="I34" s="731"/>
      <c r="J34" s="731"/>
      <c r="K34" s="731"/>
      <c r="L34" s="731"/>
    </row>
    <row r="35" spans="1:12">
      <c r="A35" s="731"/>
      <c r="B35" s="731"/>
      <c r="C35" s="731"/>
      <c r="D35" s="731"/>
      <c r="E35" s="731"/>
      <c r="F35" s="731"/>
      <c r="G35" s="731"/>
      <c r="H35" s="731"/>
      <c r="I35" s="731"/>
      <c r="J35" s="731"/>
      <c r="K35" s="731"/>
      <c r="L35" s="731"/>
    </row>
    <row r="36" spans="1:12">
      <c r="A36" s="731"/>
      <c r="B36" s="731"/>
      <c r="C36" s="731"/>
      <c r="D36" s="731"/>
      <c r="E36" s="731"/>
      <c r="F36" s="731"/>
      <c r="G36" s="731"/>
      <c r="H36" s="731"/>
      <c r="I36" s="731"/>
      <c r="J36" s="731"/>
      <c r="K36" s="731"/>
      <c r="L36" s="731"/>
    </row>
    <row r="37" spans="1:12">
      <c r="A37" s="731"/>
      <c r="B37" s="731"/>
      <c r="C37" s="731"/>
      <c r="D37" s="731"/>
      <c r="E37" s="731"/>
      <c r="F37" s="731"/>
      <c r="G37" s="731"/>
      <c r="H37" s="731"/>
      <c r="I37" s="731"/>
      <c r="J37" s="731"/>
      <c r="K37" s="731"/>
      <c r="L37" s="731"/>
    </row>
    <row r="38" spans="1:12">
      <c r="A38" s="731"/>
      <c r="B38" s="731"/>
      <c r="C38" s="731"/>
      <c r="D38" s="731"/>
      <c r="E38" s="731"/>
      <c r="F38" s="731"/>
      <c r="G38" s="731"/>
      <c r="H38" s="731"/>
      <c r="I38" s="731"/>
      <c r="J38" s="731"/>
      <c r="K38" s="731"/>
      <c r="L38" s="731"/>
    </row>
    <row r="39" spans="1:12">
      <c r="A39" s="731"/>
      <c r="B39" s="731"/>
      <c r="C39" s="731"/>
      <c r="D39" s="731"/>
      <c r="E39" s="731"/>
      <c r="F39" s="731"/>
      <c r="G39" s="731"/>
      <c r="H39" s="731"/>
      <c r="I39" s="731"/>
      <c r="J39" s="731"/>
      <c r="K39" s="731"/>
      <c r="L39" s="731"/>
    </row>
    <row r="40" spans="1:12">
      <c r="A40" s="731"/>
      <c r="B40" s="731"/>
      <c r="C40" s="731"/>
      <c r="D40" s="731"/>
      <c r="E40" s="731"/>
      <c r="F40" s="731"/>
      <c r="G40" s="731"/>
      <c r="H40" s="731"/>
      <c r="I40" s="731"/>
      <c r="J40" s="731"/>
      <c r="K40" s="731"/>
      <c r="L40" s="731"/>
    </row>
    <row r="41" spans="1:12">
      <c r="A41" s="731"/>
      <c r="B41" s="731"/>
      <c r="C41" s="731"/>
      <c r="D41" s="731"/>
      <c r="E41" s="731"/>
      <c r="F41" s="731"/>
      <c r="G41" s="731"/>
      <c r="H41" s="731"/>
      <c r="I41" s="731"/>
      <c r="J41" s="731"/>
      <c r="K41" s="731"/>
      <c r="L41" s="731"/>
    </row>
    <row r="42" spans="1:12">
      <c r="A42" s="731"/>
      <c r="B42" s="731"/>
      <c r="C42" s="731"/>
      <c r="D42" s="731"/>
      <c r="E42" s="731"/>
      <c r="F42" s="731"/>
      <c r="G42" s="731"/>
      <c r="H42" s="731"/>
      <c r="I42" s="731"/>
      <c r="J42" s="731"/>
      <c r="K42" s="731"/>
      <c r="L42" s="731"/>
    </row>
    <row r="43" spans="1:12">
      <c r="A43" s="731"/>
      <c r="B43" s="731"/>
      <c r="C43" s="731"/>
      <c r="D43" s="731"/>
      <c r="E43" s="731"/>
      <c r="F43" s="731"/>
      <c r="G43" s="731"/>
      <c r="H43" s="731"/>
      <c r="I43" s="731"/>
      <c r="J43" s="731"/>
      <c r="K43" s="731"/>
      <c r="L43" s="731"/>
    </row>
    <row r="44" spans="1:12">
      <c r="A44" s="731"/>
      <c r="B44" s="731"/>
      <c r="C44" s="731"/>
      <c r="D44" s="731"/>
      <c r="E44" s="731"/>
      <c r="F44" s="731"/>
      <c r="G44" s="731"/>
      <c r="H44" s="731"/>
      <c r="I44" s="731"/>
      <c r="J44" s="731"/>
      <c r="K44" s="731"/>
      <c r="L44" s="731"/>
    </row>
    <row r="45" spans="1:12">
      <c r="A45" s="731"/>
      <c r="B45" s="731"/>
      <c r="C45" s="731"/>
      <c r="D45" s="731"/>
      <c r="E45" s="731"/>
      <c r="F45" s="731"/>
      <c r="G45" s="731"/>
      <c r="H45" s="731"/>
      <c r="I45" s="731"/>
      <c r="J45" s="731"/>
      <c r="K45" s="731"/>
      <c r="L45" s="731"/>
    </row>
    <row r="46" spans="1:12">
      <c r="A46" s="731"/>
      <c r="B46" s="731"/>
      <c r="C46" s="731"/>
      <c r="D46" s="731"/>
      <c r="E46" s="731"/>
      <c r="F46" s="731"/>
      <c r="G46" s="731"/>
      <c r="H46" s="731"/>
      <c r="I46" s="731"/>
      <c r="J46" s="731"/>
      <c r="K46" s="731"/>
      <c r="L46" s="731"/>
    </row>
    <row r="47" spans="1:12">
      <c r="A47" s="731"/>
      <c r="B47" s="731"/>
      <c r="C47" s="731"/>
      <c r="D47" s="731"/>
      <c r="E47" s="731"/>
      <c r="F47" s="731"/>
      <c r="G47" s="731"/>
      <c r="H47" s="731"/>
      <c r="I47" s="731"/>
      <c r="J47" s="731"/>
      <c r="K47" s="731"/>
      <c r="L47" s="731"/>
    </row>
    <row r="48" spans="1:12">
      <c r="A48" s="731"/>
      <c r="B48" s="731"/>
      <c r="C48" s="731"/>
      <c r="D48" s="731"/>
      <c r="E48" s="731"/>
      <c r="F48" s="731"/>
      <c r="G48" s="731"/>
      <c r="H48" s="731"/>
      <c r="I48" s="731"/>
      <c r="J48" s="731"/>
      <c r="K48" s="731"/>
      <c r="L48" s="731"/>
    </row>
    <row r="49" spans="1:12">
      <c r="A49" s="731"/>
      <c r="B49" s="731"/>
      <c r="C49" s="731"/>
      <c r="D49" s="731"/>
      <c r="E49" s="731"/>
      <c r="F49" s="731"/>
      <c r="G49" s="731"/>
      <c r="H49" s="731"/>
      <c r="I49" s="731"/>
      <c r="J49" s="731"/>
      <c r="K49" s="731"/>
      <c r="L49" s="731"/>
    </row>
    <row r="50" spans="1:12">
      <c r="A50" s="731"/>
      <c r="B50" s="731"/>
      <c r="C50" s="731"/>
      <c r="D50" s="731"/>
      <c r="E50" s="731"/>
      <c r="F50" s="731"/>
      <c r="G50" s="731"/>
      <c r="H50" s="731"/>
      <c r="I50" s="731"/>
      <c r="J50" s="731"/>
      <c r="K50" s="731"/>
      <c r="L50" s="731"/>
    </row>
    <row r="51" spans="1:12">
      <c r="A51" s="731"/>
      <c r="B51" s="731"/>
      <c r="C51" s="731"/>
      <c r="D51" s="731"/>
      <c r="E51" s="731"/>
      <c r="F51" s="731"/>
      <c r="G51" s="731"/>
      <c r="H51" s="731"/>
      <c r="I51" s="731"/>
      <c r="J51" s="731"/>
      <c r="K51" s="731"/>
      <c r="L51" s="731"/>
    </row>
    <row r="52" spans="1:12">
      <c r="A52" s="731"/>
      <c r="B52" s="731"/>
      <c r="C52" s="731"/>
      <c r="D52" s="731"/>
      <c r="E52" s="731"/>
      <c r="F52" s="731"/>
      <c r="G52" s="731"/>
      <c r="H52" s="731"/>
      <c r="I52" s="731"/>
      <c r="J52" s="731"/>
      <c r="K52" s="731"/>
      <c r="L52" s="731"/>
    </row>
    <row r="53" spans="1:12">
      <c r="A53" s="731"/>
      <c r="B53" s="731"/>
      <c r="C53" s="731"/>
      <c r="D53" s="731"/>
      <c r="E53" s="731"/>
      <c r="F53" s="731"/>
      <c r="G53" s="731"/>
      <c r="H53" s="731"/>
      <c r="I53" s="731"/>
      <c r="J53" s="731"/>
      <c r="K53" s="731"/>
      <c r="L53" s="731"/>
    </row>
    <row r="54" spans="1:12">
      <c r="A54" s="731"/>
      <c r="B54" s="731"/>
      <c r="C54" s="731"/>
      <c r="D54" s="731"/>
      <c r="E54" s="731"/>
      <c r="F54" s="731"/>
      <c r="G54" s="731"/>
      <c r="H54" s="731"/>
      <c r="I54" s="731"/>
      <c r="J54" s="731"/>
      <c r="K54" s="731"/>
      <c r="L54" s="731"/>
    </row>
    <row r="55" spans="1:12">
      <c r="A55" s="731"/>
      <c r="B55" s="731"/>
      <c r="C55" s="731"/>
      <c r="D55" s="731"/>
      <c r="E55" s="731"/>
      <c r="F55" s="731"/>
      <c r="G55" s="731"/>
      <c r="H55" s="731"/>
      <c r="I55" s="731"/>
      <c r="J55" s="731"/>
      <c r="K55" s="731"/>
      <c r="L55" s="731"/>
    </row>
    <row r="56" spans="1:12">
      <c r="A56" s="731"/>
      <c r="B56" s="731"/>
      <c r="C56" s="731"/>
      <c r="D56" s="731"/>
      <c r="E56" s="731"/>
      <c r="F56" s="731"/>
      <c r="G56" s="731"/>
      <c r="H56" s="731"/>
      <c r="I56" s="731"/>
      <c r="J56" s="731"/>
      <c r="K56" s="731"/>
      <c r="L56" s="731"/>
    </row>
    <row r="57" spans="1:12">
      <c r="A57" s="731"/>
      <c r="B57" s="731"/>
      <c r="C57" s="731"/>
      <c r="D57" s="731"/>
      <c r="E57" s="731"/>
      <c r="F57" s="731"/>
      <c r="G57" s="731"/>
      <c r="H57" s="731"/>
      <c r="I57" s="731"/>
      <c r="J57" s="731"/>
      <c r="K57" s="731"/>
      <c r="L57" s="731"/>
    </row>
    <row r="58" spans="1:12">
      <c r="A58" s="731"/>
      <c r="B58" s="731"/>
      <c r="C58" s="731"/>
      <c r="D58" s="731"/>
      <c r="E58" s="731"/>
      <c r="F58" s="731"/>
      <c r="G58" s="731"/>
      <c r="H58" s="731"/>
      <c r="I58" s="731"/>
      <c r="J58" s="731"/>
      <c r="K58" s="731"/>
      <c r="L58" s="731"/>
    </row>
    <row r="59" spans="1:12">
      <c r="A59" s="731"/>
      <c r="B59" s="731"/>
      <c r="C59" s="731"/>
      <c r="D59" s="731"/>
      <c r="E59" s="731"/>
      <c r="F59" s="731"/>
      <c r="G59" s="731"/>
      <c r="H59" s="731"/>
      <c r="I59" s="731"/>
      <c r="J59" s="731"/>
      <c r="K59" s="731"/>
      <c r="L59" s="731"/>
    </row>
    <row r="60" spans="1:12">
      <c r="A60" s="731"/>
      <c r="B60" s="731"/>
      <c r="C60" s="731"/>
      <c r="D60" s="731"/>
      <c r="E60" s="731"/>
      <c r="F60" s="731"/>
      <c r="G60" s="731"/>
      <c r="H60" s="731"/>
      <c r="I60" s="731"/>
      <c r="J60" s="731"/>
      <c r="K60" s="731"/>
      <c r="L60" s="731"/>
    </row>
    <row r="61" spans="1:12">
      <c r="A61" s="731"/>
      <c r="B61" s="731"/>
      <c r="C61" s="731"/>
      <c r="D61" s="731"/>
      <c r="E61" s="731"/>
      <c r="F61" s="731"/>
      <c r="G61" s="731"/>
      <c r="H61" s="731"/>
      <c r="I61" s="731"/>
      <c r="J61" s="731"/>
      <c r="K61" s="731"/>
      <c r="L61" s="731"/>
    </row>
    <row r="62" spans="1:12">
      <c r="A62" s="731"/>
      <c r="B62" s="731"/>
      <c r="C62" s="731"/>
      <c r="D62" s="731"/>
      <c r="E62" s="731"/>
      <c r="F62" s="731"/>
      <c r="G62" s="731"/>
      <c r="H62" s="731"/>
      <c r="I62" s="731"/>
      <c r="J62" s="731"/>
      <c r="K62" s="731"/>
      <c r="L62" s="731"/>
    </row>
    <row r="63" spans="1:12">
      <c r="A63" s="731"/>
      <c r="B63" s="731"/>
      <c r="C63" s="731"/>
      <c r="D63" s="731"/>
      <c r="E63" s="731"/>
      <c r="F63" s="731"/>
      <c r="G63" s="731"/>
      <c r="H63" s="731"/>
      <c r="I63" s="731"/>
      <c r="J63" s="731"/>
      <c r="K63" s="731"/>
      <c r="L63" s="731"/>
    </row>
    <row r="64" spans="1:12">
      <c r="A64" s="731"/>
      <c r="B64" s="731"/>
      <c r="C64" s="731"/>
      <c r="D64" s="731"/>
      <c r="E64" s="731"/>
      <c r="F64" s="731"/>
      <c r="G64" s="731"/>
      <c r="H64" s="731"/>
      <c r="I64" s="731"/>
      <c r="J64" s="731"/>
      <c r="K64" s="731"/>
      <c r="L64" s="731"/>
    </row>
    <row r="65" spans="1:12">
      <c r="A65" s="731"/>
      <c r="B65" s="731"/>
      <c r="C65" s="731"/>
      <c r="D65" s="731"/>
      <c r="E65" s="731"/>
      <c r="F65" s="731"/>
      <c r="G65" s="731"/>
      <c r="H65" s="731"/>
      <c r="I65" s="731"/>
      <c r="J65" s="731"/>
      <c r="K65" s="731"/>
      <c r="L65" s="731"/>
    </row>
    <row r="66" spans="1:12">
      <c r="A66" s="731"/>
      <c r="B66" s="731"/>
      <c r="C66" s="731"/>
      <c r="D66" s="731"/>
      <c r="E66" s="731"/>
      <c r="F66" s="731"/>
      <c r="G66" s="731"/>
      <c r="H66" s="731"/>
      <c r="I66" s="731"/>
      <c r="J66" s="731"/>
      <c r="K66" s="731"/>
      <c r="L66" s="731"/>
    </row>
    <row r="67" spans="1:12">
      <c r="A67" s="731"/>
      <c r="B67" s="731"/>
      <c r="C67" s="731"/>
      <c r="D67" s="731"/>
      <c r="E67" s="731"/>
      <c r="F67" s="731"/>
      <c r="G67" s="731"/>
      <c r="H67" s="731"/>
      <c r="I67" s="731"/>
      <c r="J67" s="731"/>
      <c r="K67" s="731"/>
      <c r="L67" s="731"/>
    </row>
    <row r="68" spans="1:12">
      <c r="A68" s="731"/>
      <c r="B68" s="731"/>
      <c r="C68" s="731"/>
      <c r="D68" s="731"/>
      <c r="E68" s="731"/>
      <c r="F68" s="731"/>
      <c r="G68" s="731"/>
      <c r="H68" s="731"/>
      <c r="I68" s="731"/>
      <c r="J68" s="731"/>
      <c r="K68" s="731"/>
      <c r="L68" s="731"/>
    </row>
    <row r="69" spans="1:12">
      <c r="A69" s="731"/>
      <c r="B69" s="731"/>
      <c r="C69" s="731"/>
      <c r="D69" s="731"/>
      <c r="E69" s="731"/>
      <c r="F69" s="731"/>
      <c r="G69" s="731"/>
      <c r="H69" s="731"/>
      <c r="I69" s="731"/>
      <c r="J69" s="731"/>
      <c r="K69" s="731"/>
      <c r="L69" s="731"/>
    </row>
    <row r="70" spans="1:12">
      <c r="A70" s="731"/>
      <c r="B70" s="731"/>
      <c r="C70" s="731"/>
      <c r="D70" s="731"/>
      <c r="E70" s="731"/>
      <c r="F70" s="731"/>
      <c r="G70" s="731"/>
      <c r="H70" s="731"/>
      <c r="I70" s="731"/>
      <c r="J70" s="731"/>
      <c r="K70" s="731"/>
      <c r="L70" s="731"/>
    </row>
    <row r="71" spans="1:12">
      <c r="A71" s="731"/>
      <c r="B71" s="731"/>
      <c r="C71" s="731"/>
      <c r="D71" s="731"/>
      <c r="E71" s="731"/>
      <c r="F71" s="731"/>
      <c r="G71" s="731"/>
      <c r="H71" s="731"/>
      <c r="I71" s="731"/>
      <c r="J71" s="731"/>
      <c r="K71" s="731"/>
      <c r="L71" s="731"/>
    </row>
    <row r="72" spans="1:12">
      <c r="A72" s="731"/>
      <c r="B72" s="731"/>
      <c r="C72" s="731"/>
      <c r="D72" s="731"/>
      <c r="E72" s="731"/>
      <c r="F72" s="731"/>
      <c r="G72" s="731"/>
      <c r="H72" s="731"/>
      <c r="I72" s="731"/>
      <c r="J72" s="731"/>
      <c r="K72" s="731"/>
      <c r="L72" s="731"/>
    </row>
    <row r="73" spans="1:12">
      <c r="A73" s="731"/>
      <c r="B73" s="731"/>
      <c r="C73" s="731"/>
      <c r="D73" s="731"/>
      <c r="E73" s="731"/>
      <c r="F73" s="731"/>
      <c r="G73" s="731"/>
      <c r="H73" s="731"/>
      <c r="I73" s="731"/>
      <c r="J73" s="731"/>
      <c r="K73" s="731"/>
      <c r="L73" s="731"/>
    </row>
    <row r="74" spans="1:12">
      <c r="A74" s="731"/>
      <c r="B74" s="731"/>
      <c r="C74" s="731"/>
      <c r="D74" s="731"/>
      <c r="E74" s="731"/>
      <c r="F74" s="731"/>
      <c r="G74" s="731"/>
      <c r="H74" s="731"/>
      <c r="I74" s="731"/>
      <c r="J74" s="731"/>
      <c r="K74" s="731"/>
      <c r="L74" s="731"/>
    </row>
    <row r="75" spans="1:12">
      <c r="A75" s="731"/>
      <c r="B75" s="731"/>
      <c r="C75" s="731"/>
      <c r="D75" s="731"/>
      <c r="E75" s="731"/>
      <c r="F75" s="731"/>
      <c r="G75" s="731"/>
      <c r="H75" s="731"/>
      <c r="I75" s="731"/>
      <c r="J75" s="731"/>
      <c r="K75" s="731"/>
      <c r="L75" s="731"/>
    </row>
    <row r="76" spans="1:12">
      <c r="A76" s="731"/>
      <c r="B76" s="731"/>
      <c r="C76" s="731"/>
      <c r="D76" s="731"/>
      <c r="E76" s="731"/>
      <c r="F76" s="731"/>
      <c r="G76" s="731"/>
      <c r="H76" s="731"/>
      <c r="I76" s="731"/>
      <c r="J76" s="731"/>
      <c r="K76" s="731"/>
      <c r="L76" s="731"/>
    </row>
    <row r="77" spans="1:12">
      <c r="A77" s="731"/>
      <c r="B77" s="731"/>
      <c r="C77" s="731"/>
      <c r="D77" s="731"/>
      <c r="E77" s="731"/>
      <c r="F77" s="731"/>
      <c r="G77" s="731"/>
      <c r="H77" s="731"/>
      <c r="I77" s="731"/>
      <c r="J77" s="731"/>
      <c r="K77" s="731"/>
      <c r="L77" s="731"/>
    </row>
    <row r="78" spans="1:12">
      <c r="A78" s="731"/>
      <c r="B78" s="731"/>
      <c r="C78" s="731"/>
      <c r="D78" s="731"/>
      <c r="E78" s="731"/>
      <c r="F78" s="731"/>
      <c r="G78" s="731"/>
      <c r="H78" s="731"/>
      <c r="I78" s="731"/>
      <c r="J78" s="731"/>
      <c r="K78" s="731"/>
      <c r="L78" s="731"/>
    </row>
    <row r="79" spans="1:12">
      <c r="A79" s="731"/>
      <c r="B79" s="731"/>
      <c r="C79" s="731"/>
      <c r="D79" s="731"/>
      <c r="E79" s="731"/>
      <c r="F79" s="731"/>
      <c r="G79" s="731"/>
      <c r="H79" s="731"/>
      <c r="I79" s="731"/>
      <c r="J79" s="731"/>
      <c r="K79" s="731"/>
      <c r="L79" s="731"/>
    </row>
    <row r="80" spans="1:12">
      <c r="A80" s="731"/>
      <c r="B80" s="731"/>
      <c r="C80" s="731"/>
      <c r="D80" s="731"/>
      <c r="E80" s="731"/>
      <c r="F80" s="731"/>
      <c r="G80" s="731"/>
      <c r="H80" s="731"/>
      <c r="I80" s="731"/>
      <c r="J80" s="731"/>
      <c r="K80" s="731"/>
      <c r="L80" s="731"/>
    </row>
    <row r="81" spans="1:12">
      <c r="A81" s="731"/>
      <c r="B81" s="731"/>
      <c r="C81" s="731"/>
      <c r="D81" s="731"/>
      <c r="E81" s="731"/>
      <c r="F81" s="731"/>
      <c r="G81" s="731"/>
      <c r="H81" s="731"/>
      <c r="I81" s="731"/>
      <c r="J81" s="731"/>
      <c r="K81" s="731"/>
      <c r="L81" s="731"/>
    </row>
    <row r="82" spans="1:12">
      <c r="A82" s="731"/>
      <c r="B82" s="731"/>
      <c r="C82" s="731"/>
      <c r="D82" s="731"/>
      <c r="E82" s="731"/>
      <c r="F82" s="731"/>
      <c r="G82" s="731"/>
      <c r="H82" s="731"/>
      <c r="I82" s="731"/>
      <c r="J82" s="731"/>
      <c r="K82" s="731"/>
      <c r="L82" s="731"/>
    </row>
    <row r="83" spans="1:12">
      <c r="A83" s="731"/>
      <c r="B83" s="731"/>
      <c r="C83" s="731"/>
      <c r="D83" s="731"/>
      <c r="E83" s="731"/>
      <c r="F83" s="731"/>
      <c r="G83" s="731"/>
      <c r="H83" s="731"/>
      <c r="I83" s="731"/>
      <c r="J83" s="731"/>
      <c r="K83" s="731"/>
      <c r="L83" s="731"/>
    </row>
    <row r="84" spans="1:12">
      <c r="A84" s="731"/>
      <c r="B84" s="731"/>
      <c r="C84" s="731"/>
      <c r="D84" s="731"/>
      <c r="E84" s="731"/>
      <c r="F84" s="731"/>
      <c r="G84" s="731"/>
      <c r="H84" s="731"/>
      <c r="I84" s="731"/>
      <c r="J84" s="731"/>
      <c r="K84" s="731"/>
      <c r="L84" s="731"/>
    </row>
    <row r="85" spans="1:12">
      <c r="A85" s="731"/>
      <c r="B85" s="731"/>
      <c r="C85" s="731"/>
      <c r="D85" s="731"/>
      <c r="E85" s="731"/>
      <c r="F85" s="731"/>
      <c r="G85" s="731"/>
      <c r="H85" s="731"/>
      <c r="I85" s="731"/>
      <c r="J85" s="731"/>
      <c r="K85" s="731"/>
      <c r="L85" s="731"/>
    </row>
    <row r="86" spans="1:12">
      <c r="A86" s="731"/>
      <c r="B86" s="731"/>
      <c r="C86" s="731"/>
      <c r="D86" s="731"/>
      <c r="E86" s="731"/>
      <c r="F86" s="731"/>
      <c r="G86" s="731"/>
      <c r="H86" s="731"/>
      <c r="I86" s="731"/>
      <c r="J86" s="731"/>
      <c r="K86" s="731"/>
      <c r="L86" s="731"/>
    </row>
    <row r="87" spans="1:12">
      <c r="A87" s="731"/>
      <c r="B87" s="731"/>
      <c r="C87" s="731"/>
      <c r="D87" s="731"/>
      <c r="E87" s="731"/>
      <c r="F87" s="731"/>
      <c r="G87" s="731"/>
      <c r="H87" s="731"/>
      <c r="I87" s="731"/>
      <c r="J87" s="731"/>
      <c r="K87" s="731"/>
      <c r="L87" s="731"/>
    </row>
    <row r="88" spans="1:12">
      <c r="A88" s="731"/>
      <c r="B88" s="731"/>
      <c r="C88" s="731"/>
      <c r="D88" s="731"/>
      <c r="E88" s="731"/>
      <c r="F88" s="731"/>
      <c r="G88" s="731"/>
      <c r="H88" s="731"/>
      <c r="I88" s="731"/>
      <c r="J88" s="731"/>
      <c r="K88" s="731"/>
      <c r="L88" s="731"/>
    </row>
    <row r="89" spans="1:12">
      <c r="A89" s="731"/>
      <c r="B89" s="731"/>
      <c r="C89" s="731"/>
      <c r="D89" s="731"/>
      <c r="E89" s="731"/>
      <c r="F89" s="731"/>
      <c r="G89" s="731"/>
      <c r="H89" s="731"/>
      <c r="I89" s="731"/>
      <c r="J89" s="731"/>
      <c r="K89" s="731"/>
      <c r="L89" s="731"/>
    </row>
    <row r="90" spans="1:12">
      <c r="A90" s="731"/>
      <c r="B90" s="731"/>
      <c r="C90" s="731"/>
      <c r="D90" s="731"/>
      <c r="E90" s="731"/>
      <c r="F90" s="731"/>
      <c r="G90" s="731"/>
      <c r="H90" s="731"/>
      <c r="I90" s="731"/>
      <c r="J90" s="731"/>
      <c r="K90" s="731"/>
      <c r="L90" s="731"/>
    </row>
    <row r="91" spans="1:12">
      <c r="A91" s="731"/>
      <c r="B91" s="731"/>
      <c r="C91" s="731"/>
      <c r="D91" s="731"/>
      <c r="E91" s="731"/>
      <c r="F91" s="731"/>
      <c r="G91" s="731"/>
      <c r="H91" s="731"/>
      <c r="I91" s="731"/>
      <c r="J91" s="731"/>
      <c r="K91" s="731"/>
      <c r="L91" s="731"/>
    </row>
    <row r="92" spans="1:12">
      <c r="A92" s="731"/>
      <c r="B92" s="731"/>
      <c r="C92" s="731"/>
      <c r="D92" s="731"/>
      <c r="E92" s="731"/>
      <c r="F92" s="731"/>
      <c r="G92" s="731"/>
      <c r="H92" s="731"/>
      <c r="I92" s="731"/>
      <c r="J92" s="731"/>
      <c r="K92" s="731"/>
      <c r="L92" s="731"/>
    </row>
    <row r="93" spans="1:12">
      <c r="A93" s="731"/>
      <c r="B93" s="731"/>
      <c r="C93" s="731"/>
      <c r="D93" s="731"/>
      <c r="E93" s="731"/>
      <c r="F93" s="731"/>
      <c r="G93" s="731"/>
      <c r="H93" s="731"/>
      <c r="I93" s="731"/>
      <c r="J93" s="731"/>
      <c r="K93" s="731"/>
      <c r="L93" s="731"/>
    </row>
    <row r="94" spans="1:12">
      <c r="A94" s="731"/>
      <c r="B94" s="731"/>
      <c r="C94" s="731"/>
      <c r="D94" s="731"/>
      <c r="E94" s="731"/>
      <c r="F94" s="731"/>
      <c r="G94" s="731"/>
      <c r="H94" s="731"/>
      <c r="I94" s="731"/>
      <c r="J94" s="731"/>
      <c r="K94" s="731"/>
      <c r="L94" s="731"/>
    </row>
    <row r="95" spans="1:12">
      <c r="A95" s="731"/>
      <c r="B95" s="731"/>
      <c r="C95" s="731"/>
      <c r="D95" s="731"/>
      <c r="E95" s="731"/>
      <c r="F95" s="731"/>
      <c r="G95" s="731"/>
      <c r="H95" s="731"/>
      <c r="I95" s="731"/>
      <c r="J95" s="731"/>
      <c r="K95" s="731"/>
      <c r="L95" s="731"/>
    </row>
    <row r="96" spans="1:12">
      <c r="A96" s="731"/>
      <c r="B96" s="731"/>
      <c r="C96" s="731"/>
      <c r="D96" s="731"/>
      <c r="E96" s="731"/>
      <c r="F96" s="731"/>
      <c r="G96" s="731"/>
      <c r="H96" s="731"/>
      <c r="I96" s="731"/>
      <c r="J96" s="731"/>
      <c r="K96" s="731"/>
      <c r="L96" s="731"/>
    </row>
    <row r="97" spans="1:12">
      <c r="A97" s="731"/>
      <c r="B97" s="731"/>
      <c r="C97" s="731"/>
      <c r="D97" s="731"/>
      <c r="E97" s="731"/>
      <c r="F97" s="731"/>
      <c r="G97" s="731"/>
      <c r="H97" s="731"/>
      <c r="I97" s="731"/>
      <c r="J97" s="731"/>
      <c r="K97" s="731"/>
      <c r="L97" s="731"/>
    </row>
    <row r="98" spans="1:12">
      <c r="A98" s="731"/>
      <c r="B98" s="731"/>
      <c r="C98" s="731"/>
      <c r="D98" s="731"/>
      <c r="E98" s="731"/>
      <c r="F98" s="731"/>
      <c r="G98" s="731"/>
      <c r="H98" s="731"/>
      <c r="I98" s="731"/>
      <c r="J98" s="731"/>
      <c r="K98" s="731"/>
      <c r="L98" s="731"/>
    </row>
    <row r="99" spans="1:12">
      <c r="A99" s="731"/>
      <c r="B99" s="731"/>
      <c r="C99" s="731"/>
      <c r="D99" s="731"/>
      <c r="E99" s="731"/>
      <c r="F99" s="731"/>
      <c r="G99" s="731"/>
      <c r="H99" s="731"/>
      <c r="I99" s="731"/>
      <c r="J99" s="731"/>
      <c r="K99" s="731"/>
      <c r="L99" s="731"/>
    </row>
    <row r="100" spans="1:12">
      <c r="A100" s="731"/>
      <c r="B100" s="731"/>
      <c r="C100" s="731"/>
      <c r="D100" s="731"/>
      <c r="E100" s="731"/>
      <c r="F100" s="731"/>
      <c r="G100" s="731"/>
      <c r="H100" s="731"/>
      <c r="I100" s="731"/>
      <c r="J100" s="731"/>
      <c r="K100" s="731"/>
      <c r="L100" s="731"/>
    </row>
    <row r="101" spans="1:12">
      <c r="A101" s="731"/>
      <c r="B101" s="731"/>
      <c r="C101" s="731"/>
      <c r="D101" s="731"/>
      <c r="E101" s="731"/>
      <c r="F101" s="731"/>
      <c r="G101" s="731"/>
      <c r="H101" s="731"/>
      <c r="I101" s="731"/>
      <c r="J101" s="731"/>
      <c r="K101" s="731"/>
      <c r="L101" s="731"/>
    </row>
    <row r="102" spans="1:12">
      <c r="A102" s="731"/>
      <c r="B102" s="731"/>
      <c r="C102" s="731"/>
      <c r="D102" s="731"/>
      <c r="E102" s="731"/>
      <c r="F102" s="731"/>
      <c r="G102" s="731"/>
      <c r="H102" s="731"/>
      <c r="I102" s="731"/>
      <c r="J102" s="731"/>
      <c r="K102" s="731"/>
      <c r="L102" s="731"/>
    </row>
    <row r="103" spans="1:12">
      <c r="A103" s="731"/>
      <c r="B103" s="731"/>
      <c r="C103" s="731"/>
      <c r="D103" s="731"/>
      <c r="E103" s="731"/>
      <c r="F103" s="731"/>
      <c r="G103" s="731"/>
      <c r="H103" s="731"/>
      <c r="I103" s="731"/>
      <c r="J103" s="731"/>
      <c r="K103" s="731"/>
      <c r="L103" s="731"/>
    </row>
    <row r="104" spans="1:12">
      <c r="A104" s="731"/>
      <c r="B104" s="731"/>
      <c r="C104" s="731"/>
      <c r="D104" s="731"/>
      <c r="E104" s="731"/>
      <c r="F104" s="731"/>
      <c r="G104" s="731"/>
      <c r="H104" s="731"/>
      <c r="I104" s="731"/>
      <c r="J104" s="731"/>
      <c r="K104" s="731"/>
      <c r="L104" s="731"/>
    </row>
    <row r="105" spans="1:12">
      <c r="A105" s="731"/>
      <c r="B105" s="731"/>
      <c r="C105" s="731"/>
      <c r="D105" s="731"/>
      <c r="E105" s="731"/>
      <c r="F105" s="731"/>
      <c r="G105" s="731"/>
      <c r="H105" s="731"/>
      <c r="I105" s="731"/>
      <c r="J105" s="731"/>
      <c r="K105" s="731"/>
      <c r="L105" s="731"/>
    </row>
    <row r="106" spans="1:12">
      <c r="A106" s="731"/>
      <c r="B106" s="731"/>
      <c r="C106" s="731"/>
      <c r="D106" s="731"/>
      <c r="E106" s="731"/>
      <c r="F106" s="731"/>
      <c r="G106" s="731"/>
      <c r="H106" s="731"/>
      <c r="I106" s="731"/>
      <c r="J106" s="731"/>
      <c r="K106" s="731"/>
      <c r="L106" s="731"/>
    </row>
    <row r="107" spans="1:12">
      <c r="A107" s="731"/>
      <c r="B107" s="731"/>
      <c r="C107" s="731"/>
      <c r="D107" s="731"/>
      <c r="E107" s="731"/>
      <c r="F107" s="731"/>
      <c r="G107" s="731"/>
      <c r="H107" s="731"/>
      <c r="I107" s="731"/>
      <c r="J107" s="731"/>
      <c r="K107" s="731"/>
      <c r="L107" s="731"/>
    </row>
    <row r="108" spans="1:12">
      <c r="A108" s="731"/>
      <c r="B108" s="731"/>
      <c r="C108" s="731"/>
      <c r="D108" s="731"/>
      <c r="E108" s="731"/>
      <c r="F108" s="731"/>
      <c r="G108" s="731"/>
      <c r="H108" s="731"/>
      <c r="I108" s="731"/>
      <c r="J108" s="731"/>
      <c r="K108" s="731"/>
      <c r="L108" s="731"/>
    </row>
    <row r="109" spans="1:12">
      <c r="A109" s="731"/>
      <c r="B109" s="731"/>
      <c r="C109" s="731"/>
      <c r="D109" s="731"/>
      <c r="E109" s="731"/>
      <c r="F109" s="731"/>
      <c r="G109" s="731"/>
      <c r="H109" s="731"/>
      <c r="I109" s="731"/>
      <c r="J109" s="731"/>
      <c r="K109" s="731"/>
      <c r="L109" s="731"/>
    </row>
    <row r="110" spans="1:12">
      <c r="A110" s="731"/>
      <c r="B110" s="731"/>
      <c r="C110" s="731"/>
      <c r="D110" s="731"/>
      <c r="E110" s="731"/>
      <c r="F110" s="731"/>
      <c r="G110" s="731"/>
      <c r="H110" s="731"/>
      <c r="I110" s="731"/>
      <c r="J110" s="731"/>
      <c r="K110" s="731"/>
      <c r="L110" s="731"/>
    </row>
    <row r="111" spans="1:12">
      <c r="A111" s="731"/>
      <c r="B111" s="731"/>
      <c r="C111" s="731"/>
      <c r="D111" s="731"/>
      <c r="E111" s="731"/>
      <c r="F111" s="731"/>
      <c r="G111" s="731"/>
      <c r="H111" s="731"/>
      <c r="I111" s="731"/>
      <c r="J111" s="731"/>
      <c r="K111" s="731"/>
      <c r="L111" s="731"/>
    </row>
    <row r="112" spans="1:12">
      <c r="A112" s="731"/>
      <c r="B112" s="731"/>
      <c r="C112" s="731"/>
      <c r="D112" s="731"/>
      <c r="E112" s="731"/>
      <c r="F112" s="731"/>
      <c r="G112" s="731"/>
      <c r="H112" s="731"/>
      <c r="I112" s="731"/>
      <c r="J112" s="731"/>
      <c r="K112" s="731"/>
      <c r="L112" s="731"/>
    </row>
    <row r="113" spans="1:12">
      <c r="A113" s="731"/>
      <c r="B113" s="731"/>
      <c r="C113" s="731"/>
      <c r="D113" s="731"/>
      <c r="E113" s="731"/>
      <c r="F113" s="731"/>
      <c r="G113" s="731"/>
      <c r="H113" s="731"/>
      <c r="I113" s="731"/>
      <c r="J113" s="731"/>
      <c r="K113" s="731"/>
      <c r="L113" s="731"/>
    </row>
    <row r="114" spans="1:12">
      <c r="A114" s="731"/>
      <c r="B114" s="731"/>
      <c r="C114" s="731"/>
      <c r="D114" s="731"/>
      <c r="E114" s="731"/>
      <c r="F114" s="731"/>
      <c r="G114" s="731"/>
      <c r="H114" s="731"/>
      <c r="I114" s="731"/>
      <c r="J114" s="731"/>
      <c r="K114" s="731"/>
      <c r="L114" s="731"/>
    </row>
    <row r="115" spans="1:12">
      <c r="A115" s="731"/>
      <c r="B115" s="731"/>
      <c r="C115" s="731"/>
      <c r="D115" s="731"/>
      <c r="E115" s="731"/>
      <c r="F115" s="731"/>
      <c r="G115" s="731"/>
      <c r="H115" s="731"/>
      <c r="I115" s="731"/>
      <c r="J115" s="731"/>
      <c r="K115" s="731"/>
      <c r="L115" s="731"/>
    </row>
    <row r="116" spans="1:12">
      <c r="A116" s="731"/>
      <c r="B116" s="731"/>
      <c r="C116" s="731"/>
      <c r="D116" s="731"/>
      <c r="E116" s="731"/>
      <c r="F116" s="731"/>
      <c r="G116" s="731"/>
      <c r="H116" s="731"/>
      <c r="I116" s="731"/>
      <c r="J116" s="731"/>
      <c r="K116" s="731"/>
      <c r="L116" s="731"/>
    </row>
    <row r="117" spans="1:12">
      <c r="A117" s="731"/>
      <c r="B117" s="731"/>
      <c r="C117" s="731"/>
      <c r="D117" s="731"/>
      <c r="E117" s="731"/>
      <c r="F117" s="731"/>
      <c r="G117" s="731"/>
      <c r="H117" s="731"/>
      <c r="I117" s="731"/>
      <c r="J117" s="731"/>
      <c r="K117" s="731"/>
      <c r="L117" s="731"/>
    </row>
    <row r="118" spans="1:12">
      <c r="A118" s="731"/>
      <c r="B118" s="731"/>
      <c r="C118" s="731"/>
      <c r="D118" s="731"/>
      <c r="E118" s="731"/>
      <c r="F118" s="731"/>
      <c r="G118" s="731"/>
      <c r="H118" s="731"/>
      <c r="I118" s="731"/>
      <c r="J118" s="731"/>
      <c r="K118" s="731"/>
      <c r="L118" s="731"/>
    </row>
    <row r="119" spans="1:12">
      <c r="A119" s="731"/>
      <c r="B119" s="731"/>
      <c r="C119" s="731"/>
      <c r="D119" s="731"/>
      <c r="E119" s="731"/>
      <c r="F119" s="731"/>
      <c r="G119" s="731"/>
      <c r="H119" s="731"/>
      <c r="I119" s="731"/>
      <c r="J119" s="731"/>
      <c r="K119" s="731"/>
      <c r="L119" s="731"/>
    </row>
    <row r="120" spans="1:12">
      <c r="A120" s="731"/>
      <c r="B120" s="731"/>
      <c r="C120" s="731"/>
      <c r="D120" s="731"/>
      <c r="E120" s="731"/>
      <c r="F120" s="731"/>
      <c r="G120" s="731"/>
      <c r="H120" s="731"/>
      <c r="I120" s="731"/>
      <c r="J120" s="731"/>
      <c r="K120" s="731"/>
      <c r="L120" s="731"/>
    </row>
    <row r="121" spans="1:12">
      <c r="A121" s="731"/>
      <c r="B121" s="731"/>
      <c r="C121" s="731"/>
      <c r="D121" s="731"/>
      <c r="E121" s="731"/>
      <c r="F121" s="731"/>
      <c r="G121" s="731"/>
      <c r="H121" s="731"/>
      <c r="I121" s="731"/>
      <c r="J121" s="731"/>
      <c r="K121" s="731"/>
      <c r="L121" s="731"/>
    </row>
    <row r="122" spans="1:12">
      <c r="A122" s="731"/>
      <c r="B122" s="731"/>
      <c r="C122" s="731"/>
      <c r="D122" s="731"/>
      <c r="E122" s="731"/>
      <c r="F122" s="731"/>
      <c r="G122" s="731"/>
      <c r="H122" s="731"/>
      <c r="I122" s="731"/>
      <c r="J122" s="731"/>
      <c r="K122" s="731"/>
      <c r="L122" s="731"/>
    </row>
    <row r="123" spans="1:12">
      <c r="A123" s="731"/>
      <c r="B123" s="731"/>
      <c r="C123" s="731"/>
      <c r="D123" s="731"/>
      <c r="E123" s="731"/>
      <c r="F123" s="731"/>
      <c r="G123" s="731"/>
      <c r="H123" s="731"/>
      <c r="I123" s="731"/>
      <c r="J123" s="731"/>
      <c r="K123" s="731"/>
      <c r="L123" s="731"/>
    </row>
    <row r="124" spans="1:12">
      <c r="A124" s="731"/>
      <c r="B124" s="731"/>
      <c r="C124" s="731"/>
      <c r="D124" s="731"/>
      <c r="E124" s="731"/>
      <c r="F124" s="731"/>
      <c r="G124" s="731"/>
      <c r="H124" s="731"/>
      <c r="I124" s="731"/>
      <c r="J124" s="731"/>
      <c r="K124" s="731"/>
      <c r="L124" s="731"/>
    </row>
    <row r="125" spans="1:12">
      <c r="A125" s="731"/>
      <c r="B125" s="731"/>
      <c r="C125" s="731"/>
      <c r="D125" s="731"/>
      <c r="E125" s="731"/>
      <c r="F125" s="731"/>
      <c r="G125" s="731"/>
      <c r="H125" s="731"/>
      <c r="I125" s="731"/>
      <c r="J125" s="731"/>
      <c r="K125" s="731"/>
      <c r="L125" s="731"/>
    </row>
    <row r="126" spans="1:12">
      <c r="A126" s="731"/>
      <c r="B126" s="731"/>
      <c r="C126" s="731"/>
      <c r="D126" s="731"/>
      <c r="E126" s="731"/>
      <c r="F126" s="731"/>
      <c r="G126" s="731"/>
      <c r="H126" s="731"/>
      <c r="I126" s="731"/>
      <c r="J126" s="731"/>
      <c r="K126" s="731"/>
      <c r="L126" s="731"/>
    </row>
    <row r="127" spans="1:12">
      <c r="A127" s="731"/>
      <c r="B127" s="731"/>
      <c r="C127" s="731"/>
      <c r="D127" s="731"/>
      <c r="E127" s="731"/>
      <c r="F127" s="731"/>
      <c r="G127" s="731"/>
      <c r="H127" s="731"/>
      <c r="I127" s="731"/>
      <c r="J127" s="731"/>
      <c r="K127" s="731"/>
      <c r="L127" s="731"/>
    </row>
    <row r="128" spans="1:12">
      <c r="A128" s="731"/>
      <c r="B128" s="731"/>
      <c r="C128" s="731"/>
      <c r="D128" s="731"/>
      <c r="E128" s="731"/>
      <c r="F128" s="731"/>
      <c r="G128" s="731"/>
      <c r="H128" s="731"/>
      <c r="I128" s="731"/>
      <c r="J128" s="731"/>
      <c r="K128" s="731"/>
      <c r="L128" s="731"/>
    </row>
    <row r="129" spans="1:12">
      <c r="A129" s="731"/>
      <c r="B129" s="731"/>
      <c r="C129" s="731"/>
      <c r="D129" s="731"/>
      <c r="E129" s="731"/>
      <c r="F129" s="731"/>
      <c r="G129" s="731"/>
      <c r="H129" s="731"/>
      <c r="I129" s="731"/>
      <c r="J129" s="731"/>
      <c r="K129" s="731"/>
      <c r="L129" s="731"/>
    </row>
    <row r="130" spans="1:12">
      <c r="A130" s="731"/>
      <c r="B130" s="731"/>
      <c r="C130" s="731"/>
      <c r="D130" s="731"/>
      <c r="E130" s="731"/>
      <c r="F130" s="731"/>
      <c r="G130" s="731"/>
      <c r="H130" s="731"/>
      <c r="I130" s="731"/>
      <c r="J130" s="731"/>
      <c r="K130" s="731"/>
      <c r="L130" s="731"/>
    </row>
    <row r="131" spans="1:12">
      <c r="A131" s="731"/>
      <c r="B131" s="731"/>
      <c r="C131" s="731"/>
      <c r="D131" s="731"/>
      <c r="E131" s="731"/>
      <c r="F131" s="731"/>
      <c r="G131" s="731"/>
      <c r="H131" s="731"/>
      <c r="I131" s="731"/>
      <c r="J131" s="731"/>
      <c r="K131" s="731"/>
      <c r="L131" s="731"/>
    </row>
    <row r="132" spans="1:12">
      <c r="A132" s="731"/>
      <c r="B132" s="731"/>
      <c r="C132" s="731"/>
      <c r="D132" s="731"/>
      <c r="E132" s="731"/>
      <c r="F132" s="731"/>
      <c r="G132" s="731"/>
      <c r="H132" s="731"/>
      <c r="I132" s="731"/>
      <c r="J132" s="731"/>
      <c r="K132" s="731"/>
      <c r="L132" s="731"/>
    </row>
    <row r="133" spans="1:12">
      <c r="A133" s="731"/>
      <c r="B133" s="731"/>
      <c r="C133" s="731"/>
      <c r="D133" s="731"/>
      <c r="E133" s="731"/>
      <c r="F133" s="731"/>
      <c r="G133" s="731"/>
      <c r="H133" s="731"/>
      <c r="I133" s="731"/>
      <c r="J133" s="731"/>
      <c r="K133" s="731"/>
      <c r="L133" s="731"/>
    </row>
    <row r="134" spans="1:12">
      <c r="A134" s="731"/>
      <c r="B134" s="731"/>
      <c r="C134" s="731"/>
      <c r="D134" s="731"/>
      <c r="E134" s="731"/>
      <c r="F134" s="731"/>
      <c r="G134" s="731"/>
      <c r="H134" s="731"/>
      <c r="I134" s="731"/>
      <c r="J134" s="731"/>
      <c r="K134" s="731"/>
      <c r="L134" s="731"/>
    </row>
    <row r="135" spans="1:12">
      <c r="A135" s="731"/>
      <c r="B135" s="731"/>
      <c r="C135" s="731"/>
      <c r="D135" s="731"/>
      <c r="E135" s="731"/>
      <c r="F135" s="731"/>
      <c r="G135" s="731"/>
      <c r="H135" s="731"/>
      <c r="I135" s="731"/>
      <c r="J135" s="731"/>
      <c r="K135" s="731"/>
      <c r="L135" s="731"/>
    </row>
    <row r="136" spans="1:12">
      <c r="A136" s="731"/>
      <c r="B136" s="731"/>
      <c r="C136" s="731"/>
      <c r="D136" s="731"/>
      <c r="E136" s="731"/>
      <c r="F136" s="731"/>
      <c r="G136" s="731"/>
      <c r="H136" s="731"/>
      <c r="I136" s="731"/>
      <c r="J136" s="731"/>
      <c r="K136" s="731"/>
      <c r="L136" s="731"/>
    </row>
    <row r="137" spans="1:12">
      <c r="A137" s="731"/>
      <c r="B137" s="731"/>
      <c r="C137" s="731"/>
      <c r="D137" s="731"/>
      <c r="E137" s="731"/>
      <c r="F137" s="731"/>
      <c r="G137" s="731"/>
      <c r="H137" s="731"/>
      <c r="I137" s="731"/>
      <c r="J137" s="731"/>
      <c r="K137" s="731"/>
      <c r="L137" s="731"/>
    </row>
    <row r="138" spans="1:12">
      <c r="A138" s="731"/>
      <c r="B138" s="731"/>
      <c r="C138" s="731"/>
      <c r="D138" s="731"/>
      <c r="E138" s="731"/>
      <c r="F138" s="731"/>
      <c r="G138" s="731"/>
      <c r="H138" s="731"/>
      <c r="I138" s="731"/>
      <c r="J138" s="731"/>
      <c r="K138" s="731"/>
      <c r="L138" s="731"/>
    </row>
    <row r="139" spans="1:12">
      <c r="A139" s="731"/>
      <c r="B139" s="731"/>
      <c r="C139" s="731"/>
      <c r="D139" s="731"/>
      <c r="E139" s="731"/>
      <c r="F139" s="731"/>
      <c r="G139" s="731"/>
      <c r="H139" s="731"/>
      <c r="I139" s="731"/>
      <c r="J139" s="731"/>
      <c r="K139" s="731"/>
      <c r="L139" s="731"/>
    </row>
    <row r="140" spans="1:12">
      <c r="A140" s="731"/>
      <c r="B140" s="731"/>
      <c r="C140" s="731"/>
      <c r="D140" s="731"/>
      <c r="E140" s="731"/>
      <c r="F140" s="731"/>
      <c r="G140" s="731"/>
      <c r="H140" s="731"/>
      <c r="I140" s="731"/>
      <c r="J140" s="731"/>
      <c r="K140" s="731"/>
      <c r="L140" s="731"/>
    </row>
    <row r="141" spans="1:12">
      <c r="A141" s="731"/>
      <c r="B141" s="731"/>
      <c r="C141" s="731"/>
      <c r="D141" s="731"/>
      <c r="E141" s="731"/>
      <c r="F141" s="731"/>
      <c r="G141" s="731"/>
      <c r="H141" s="731"/>
      <c r="I141" s="731"/>
      <c r="J141" s="731"/>
      <c r="K141" s="731"/>
      <c r="L141" s="731"/>
    </row>
    <row r="142" spans="1:12">
      <c r="A142" s="731"/>
      <c r="B142" s="731"/>
      <c r="C142" s="731"/>
      <c r="D142" s="731"/>
      <c r="E142" s="731"/>
      <c r="F142" s="731"/>
      <c r="G142" s="731"/>
      <c r="H142" s="731"/>
      <c r="I142" s="731"/>
      <c r="J142" s="731"/>
      <c r="K142" s="731"/>
      <c r="L142" s="731"/>
    </row>
    <row r="143" spans="1:12">
      <c r="A143" s="731"/>
      <c r="B143" s="731"/>
      <c r="C143" s="731"/>
      <c r="D143" s="731"/>
      <c r="E143" s="731"/>
      <c r="F143" s="731"/>
      <c r="G143" s="731"/>
      <c r="H143" s="731"/>
      <c r="I143" s="731"/>
      <c r="J143" s="731"/>
      <c r="K143" s="731"/>
      <c r="L143" s="731"/>
    </row>
    <row r="144" spans="1:12">
      <c r="A144" s="731"/>
      <c r="B144" s="731"/>
      <c r="C144" s="731"/>
      <c r="D144" s="731"/>
      <c r="E144" s="731"/>
      <c r="F144" s="731"/>
      <c r="G144" s="731"/>
      <c r="H144" s="731"/>
      <c r="I144" s="731"/>
      <c r="J144" s="731"/>
      <c r="K144" s="731"/>
      <c r="L144" s="731"/>
    </row>
    <row r="145" spans="1:12">
      <c r="A145" s="731"/>
      <c r="B145" s="731"/>
      <c r="C145" s="731"/>
      <c r="D145" s="731"/>
      <c r="E145" s="731"/>
      <c r="F145" s="731"/>
      <c r="G145" s="731"/>
      <c r="H145" s="731"/>
      <c r="I145" s="731"/>
      <c r="J145" s="731"/>
      <c r="K145" s="731"/>
      <c r="L145" s="731"/>
    </row>
    <row r="146" spans="1:12">
      <c r="A146" s="731"/>
      <c r="B146" s="731"/>
      <c r="C146" s="731"/>
      <c r="D146" s="731"/>
      <c r="E146" s="731"/>
      <c r="F146" s="731"/>
      <c r="G146" s="731"/>
      <c r="H146" s="731"/>
      <c r="I146" s="731"/>
      <c r="J146" s="731"/>
      <c r="K146" s="731"/>
      <c r="L146" s="731"/>
    </row>
    <row r="147" spans="1:12">
      <c r="A147" s="731"/>
      <c r="B147" s="731"/>
      <c r="C147" s="731"/>
      <c r="D147" s="731"/>
      <c r="E147" s="731"/>
      <c r="F147" s="731"/>
      <c r="G147" s="731"/>
      <c r="H147" s="731"/>
      <c r="I147" s="731"/>
      <c r="J147" s="731"/>
      <c r="K147" s="731"/>
      <c r="L147" s="731"/>
    </row>
    <row r="148" spans="1:12">
      <c r="A148" s="731"/>
      <c r="B148" s="731"/>
      <c r="C148" s="731"/>
      <c r="D148" s="731"/>
      <c r="E148" s="731"/>
      <c r="F148" s="731"/>
      <c r="G148" s="731"/>
      <c r="H148" s="731"/>
      <c r="I148" s="731"/>
      <c r="J148" s="731"/>
      <c r="K148" s="731"/>
      <c r="L148" s="731"/>
    </row>
    <row r="149" spans="1:12">
      <c r="A149" s="731"/>
      <c r="B149" s="731"/>
      <c r="C149" s="731"/>
      <c r="D149" s="731"/>
      <c r="E149" s="731"/>
      <c r="F149" s="731"/>
      <c r="G149" s="731"/>
      <c r="H149" s="731"/>
      <c r="I149" s="731"/>
      <c r="J149" s="731"/>
      <c r="K149" s="731"/>
      <c r="L149" s="731"/>
    </row>
    <row r="150" spans="1:12">
      <c r="A150" s="731"/>
      <c r="B150" s="731"/>
      <c r="C150" s="731"/>
      <c r="D150" s="731"/>
      <c r="E150" s="731"/>
      <c r="F150" s="731"/>
      <c r="G150" s="731"/>
      <c r="H150" s="731"/>
      <c r="I150" s="731"/>
      <c r="J150" s="731"/>
      <c r="K150" s="731"/>
      <c r="L150" s="731"/>
    </row>
    <row r="151" spans="1:12">
      <c r="A151" s="731"/>
      <c r="B151" s="731"/>
      <c r="C151" s="731"/>
      <c r="D151" s="731"/>
      <c r="E151" s="731"/>
      <c r="F151" s="731"/>
      <c r="G151" s="731"/>
      <c r="H151" s="731"/>
      <c r="I151" s="731"/>
      <c r="J151" s="731"/>
      <c r="K151" s="731"/>
      <c r="L151" s="731"/>
    </row>
    <row r="152" spans="1:12">
      <c r="A152" s="731"/>
      <c r="B152" s="731"/>
      <c r="C152" s="731"/>
      <c r="D152" s="731"/>
      <c r="E152" s="731"/>
      <c r="F152" s="731"/>
      <c r="G152" s="731"/>
      <c r="H152" s="731"/>
      <c r="I152" s="731"/>
      <c r="J152" s="731"/>
      <c r="K152" s="731"/>
      <c r="L152" s="731"/>
    </row>
    <row r="153" spans="1:12">
      <c r="A153" s="731"/>
      <c r="B153" s="731"/>
      <c r="C153" s="731"/>
      <c r="D153" s="731"/>
      <c r="E153" s="731"/>
      <c r="F153" s="731"/>
      <c r="G153" s="731"/>
      <c r="H153" s="731"/>
      <c r="I153" s="731"/>
      <c r="J153" s="731"/>
      <c r="K153" s="731"/>
      <c r="L153" s="731"/>
    </row>
    <row r="154" spans="1:12">
      <c r="A154" s="731"/>
      <c r="B154" s="731"/>
      <c r="C154" s="731"/>
      <c r="D154" s="731"/>
      <c r="E154" s="731"/>
      <c r="F154" s="731"/>
      <c r="G154" s="731"/>
      <c r="H154" s="731"/>
      <c r="I154" s="731"/>
      <c r="J154" s="731"/>
      <c r="K154" s="731"/>
      <c r="L154" s="731"/>
    </row>
    <row r="155" spans="1:12">
      <c r="A155" s="731"/>
      <c r="B155" s="731"/>
      <c r="C155" s="731"/>
      <c r="D155" s="731"/>
      <c r="E155" s="731"/>
      <c r="F155" s="731"/>
      <c r="G155" s="731"/>
      <c r="H155" s="731"/>
      <c r="I155" s="731"/>
      <c r="J155" s="731"/>
      <c r="K155" s="731"/>
      <c r="L155" s="731"/>
    </row>
    <row r="156" spans="1:12">
      <c r="A156" s="731"/>
      <c r="B156" s="731"/>
      <c r="C156" s="731"/>
      <c r="D156" s="731"/>
      <c r="E156" s="731"/>
      <c r="F156" s="731"/>
      <c r="G156" s="731"/>
      <c r="H156" s="731"/>
      <c r="I156" s="731"/>
      <c r="J156" s="731"/>
      <c r="K156" s="731"/>
      <c r="L156" s="731"/>
    </row>
  </sheetData>
  <sheetProtection selectLockedCells="1" selectUnlockedCells="1"/>
  <mergeCells count="55">
    <mergeCell ref="A5:L5"/>
    <mergeCell ref="A1:L1"/>
    <mergeCell ref="A3:B3"/>
    <mergeCell ref="C3:F3"/>
    <mergeCell ref="K3:L3"/>
    <mergeCell ref="A4:B4"/>
    <mergeCell ref="C4:F4"/>
    <mergeCell ref="K4:L4"/>
    <mergeCell ref="M10:O10"/>
    <mergeCell ref="M8:O8"/>
    <mergeCell ref="K9:L9"/>
    <mergeCell ref="E6:E7"/>
    <mergeCell ref="F6:F7"/>
    <mergeCell ref="I6:I7"/>
    <mergeCell ref="J6:J7"/>
    <mergeCell ref="G6:G7"/>
    <mergeCell ref="H6:H7"/>
    <mergeCell ref="A6:A7"/>
    <mergeCell ref="B6:B7"/>
    <mergeCell ref="C6:C7"/>
    <mergeCell ref="D6:D7"/>
    <mergeCell ref="K12:L12"/>
    <mergeCell ref="K6:L7"/>
    <mergeCell ref="K8:L8"/>
    <mergeCell ref="K10:L10"/>
    <mergeCell ref="K11:L11"/>
    <mergeCell ref="A26:C28"/>
    <mergeCell ref="D26:L28"/>
    <mergeCell ref="M26:T30"/>
    <mergeCell ref="A18:C18"/>
    <mergeCell ref="K18:L18"/>
    <mergeCell ref="A19:J19"/>
    <mergeCell ref="K19:L19"/>
    <mergeCell ref="A20:B20"/>
    <mergeCell ref="D20:F20"/>
    <mergeCell ref="D21:F21"/>
    <mergeCell ref="M24:T25"/>
    <mergeCell ref="K20:L20"/>
    <mergeCell ref="G20:I20"/>
    <mergeCell ref="A23:C25"/>
    <mergeCell ref="D24:L25"/>
    <mergeCell ref="A21:B21"/>
    <mergeCell ref="A22:C22"/>
    <mergeCell ref="D22:J22"/>
    <mergeCell ref="K22:L22"/>
    <mergeCell ref="M12:O12"/>
    <mergeCell ref="K13:L13"/>
    <mergeCell ref="M13:T23"/>
    <mergeCell ref="K14:L14"/>
    <mergeCell ref="K15:L15"/>
    <mergeCell ref="K16:L16"/>
    <mergeCell ref="K17:L17"/>
    <mergeCell ref="E23:L23"/>
    <mergeCell ref="G21:I21"/>
    <mergeCell ref="K21:L21"/>
  </mergeCells>
  <phoneticPr fontId="51" type="noConversion"/>
  <dataValidations count="2">
    <dataValidation allowBlank="1" showErrorMessage="1" sqref="D26:L28">
      <formula1>0</formula1>
      <formula2>0</formula2>
    </dataValidation>
    <dataValidation allowBlank="1" showErrorMessage="1" promptTitle="存在调整事项时" prompt="_x000a_选择 “E”" sqref="E23:L23">
      <formula1>0</formula1>
      <formula2>0</formula2>
    </dataValidation>
  </dataValidations>
  <hyperlinks>
    <hyperlink ref="M8" location="纳税调整明细表!C34" display="纳税调整明细表!C34"/>
    <hyperlink ref="M10" location="财务费用!A1" display="财务费用审核表"/>
    <hyperlink ref="M12" location="实收公积!A1" display="实收公积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29"/>
  <sheetViews>
    <sheetView workbookViewId="0">
      <selection activeCell="B9" sqref="B9:C9"/>
    </sheetView>
  </sheetViews>
  <sheetFormatPr defaultColWidth="9" defaultRowHeight="15.6"/>
  <cols>
    <col min="1" max="1" width="10.59765625" style="168" customWidth="1"/>
    <col min="2" max="2" width="9.59765625" style="168" customWidth="1"/>
    <col min="3" max="3" width="11.3984375" style="168" customWidth="1"/>
    <col min="4" max="6" width="12.59765625" style="168" customWidth="1"/>
    <col min="7" max="8" width="12.19921875" style="168" customWidth="1"/>
    <col min="9" max="10" width="12.59765625" style="168" customWidth="1"/>
    <col min="11" max="16384" width="9" style="168"/>
  </cols>
  <sheetData>
    <row r="1" spans="1:17" ht="22.2">
      <c r="A1" s="2719" t="s">
        <v>372</v>
      </c>
      <c r="B1" s="2719"/>
      <c r="C1" s="2719"/>
      <c r="D1" s="2719"/>
      <c r="E1" s="2719"/>
      <c r="F1" s="2719"/>
      <c r="G1" s="2719"/>
      <c r="H1" s="2719"/>
      <c r="I1" s="2719"/>
      <c r="J1" s="2719"/>
      <c r="K1" s="169"/>
      <c r="L1" s="169"/>
      <c r="M1" s="169"/>
      <c r="N1" s="169"/>
      <c r="O1" s="169"/>
      <c r="P1" s="169"/>
      <c r="Q1" s="169"/>
    </row>
    <row r="2" spans="1:17" ht="7.5" customHeight="1">
      <c r="A2" s="170"/>
      <c r="B2" s="170"/>
      <c r="C2" s="170"/>
      <c r="D2" s="170"/>
      <c r="E2" s="170"/>
      <c r="F2" s="170"/>
      <c r="G2" s="170"/>
      <c r="H2" s="170"/>
      <c r="I2" s="170"/>
      <c r="J2" s="170"/>
      <c r="K2" s="169"/>
      <c r="L2" s="169"/>
      <c r="M2" s="169"/>
      <c r="N2" s="169"/>
      <c r="O2" s="169"/>
      <c r="P2" s="169"/>
      <c r="Q2" s="169"/>
    </row>
    <row r="3" spans="1:17" s="172" customFormat="1" ht="24" customHeight="1">
      <c r="A3" s="368" t="s">
        <v>447</v>
      </c>
      <c r="B3" s="2928">
        <f>基本情况!B2</f>
        <v>0</v>
      </c>
      <c r="C3" s="2928"/>
      <c r="D3" s="2928"/>
      <c r="E3" s="369" t="s">
        <v>450</v>
      </c>
      <c r="F3" s="370">
        <f>基本情况!B12</f>
        <v>0</v>
      </c>
      <c r="G3" s="369" t="s">
        <v>449</v>
      </c>
      <c r="H3" s="711" t="str">
        <f>TEXT(基本情况!B21,"yyyy-mm-dd")</f>
        <v>2017-03-16</v>
      </c>
      <c r="I3" s="3063" t="s">
        <v>283</v>
      </c>
      <c r="J3" s="3069" t="str">
        <f>档案索引!A43</f>
        <v>2A-23</v>
      </c>
      <c r="K3" s="171"/>
      <c r="L3" s="171"/>
      <c r="M3" s="171"/>
      <c r="N3" s="171"/>
      <c r="O3" s="171"/>
      <c r="P3" s="171"/>
      <c r="Q3" s="171"/>
    </row>
    <row r="4" spans="1:17" s="172" customFormat="1" ht="24" customHeight="1">
      <c r="A4" s="372" t="s">
        <v>451</v>
      </c>
      <c r="B4" s="2930" t="str">
        <f>基本情况!B7</f>
        <v>2016年01月01日至2016年12月31日</v>
      </c>
      <c r="C4" s="2930"/>
      <c r="D4" s="2930"/>
      <c r="E4" s="373" t="s">
        <v>452</v>
      </c>
      <c r="F4" s="374">
        <f>基本情况!B11</f>
        <v>0</v>
      </c>
      <c r="G4" s="373" t="s">
        <v>449</v>
      </c>
      <c r="H4" s="374" t="str">
        <f>TEXT(基本情况!B22,"yyyy-mm-dd")</f>
        <v>2017-05-04</v>
      </c>
      <c r="I4" s="3063"/>
      <c r="J4" s="3069"/>
      <c r="K4" s="171"/>
      <c r="L4" s="171"/>
      <c r="M4" s="171"/>
      <c r="N4" s="171"/>
      <c r="O4" s="171"/>
      <c r="P4" s="171"/>
      <c r="Q4" s="171"/>
    </row>
    <row r="5" spans="1:17" s="172" customFormat="1" ht="7.5" customHeight="1">
      <c r="A5" s="2926"/>
      <c r="B5" s="2926"/>
      <c r="C5" s="2926"/>
      <c r="D5" s="2926"/>
      <c r="E5" s="2926"/>
      <c r="F5" s="2926"/>
      <c r="G5" s="2926"/>
      <c r="H5" s="2926"/>
      <c r="I5" s="2926"/>
      <c r="J5" s="2926"/>
      <c r="K5" s="171"/>
      <c r="L5" s="171"/>
      <c r="M5" s="171"/>
      <c r="N5" s="171"/>
      <c r="O5" s="171"/>
      <c r="P5" s="171"/>
      <c r="Q5" s="171"/>
    </row>
    <row r="6" spans="1:17" s="172" customFormat="1" ht="19.5" customHeight="1">
      <c r="A6" s="3051" t="s">
        <v>1074</v>
      </c>
      <c r="B6" s="3051"/>
      <c r="C6" s="3051"/>
      <c r="D6" s="3063" t="s">
        <v>702</v>
      </c>
      <c r="E6" s="3092" t="s">
        <v>1250</v>
      </c>
      <c r="F6" s="3092"/>
      <c r="G6" s="3092"/>
      <c r="H6" s="3092"/>
      <c r="I6" s="3092"/>
      <c r="J6" s="3092"/>
      <c r="K6" s="84" t="s">
        <v>395</v>
      </c>
      <c r="L6" s="171"/>
      <c r="M6" s="171"/>
      <c r="N6" s="171"/>
      <c r="O6" s="171"/>
      <c r="P6" s="171"/>
      <c r="Q6" s="171"/>
    </row>
    <row r="7" spans="1:17" s="172" customFormat="1" ht="19.5" customHeight="1">
      <c r="A7" s="3051"/>
      <c r="B7" s="3051"/>
      <c r="C7" s="3051"/>
      <c r="D7" s="3063"/>
      <c r="E7" s="373" t="s">
        <v>969</v>
      </c>
      <c r="F7" s="765"/>
      <c r="G7" s="765"/>
      <c r="H7" s="765"/>
      <c r="I7" s="766"/>
      <c r="J7" s="767"/>
      <c r="K7" s="171"/>
      <c r="L7" s="171"/>
      <c r="M7" s="171"/>
      <c r="N7" s="171"/>
      <c r="O7" s="171"/>
      <c r="P7" s="171"/>
      <c r="Q7" s="171"/>
    </row>
    <row r="8" spans="1:17" s="172" customFormat="1" ht="18" customHeight="1">
      <c r="A8" s="3163" t="s">
        <v>970</v>
      </c>
      <c r="B8" s="2929" t="s">
        <v>971</v>
      </c>
      <c r="C8" s="2929"/>
      <c r="D8" s="715">
        <f>SUM(E8:J8)</f>
        <v>0</v>
      </c>
      <c r="E8" s="1116"/>
      <c r="F8" s="1116"/>
      <c r="G8" s="1116"/>
      <c r="H8" s="1116"/>
      <c r="I8" s="1152"/>
      <c r="J8" s="1153"/>
      <c r="K8" s="3219" t="s">
        <v>972</v>
      </c>
      <c r="L8" s="3219"/>
      <c r="M8" s="3219"/>
      <c r="N8" s="171"/>
      <c r="O8" s="171"/>
      <c r="P8" s="171"/>
      <c r="Q8" s="171"/>
    </row>
    <row r="9" spans="1:17" s="172" customFormat="1" ht="18" customHeight="1">
      <c r="A9" s="3163"/>
      <c r="B9" s="2924" t="s">
        <v>10093</v>
      </c>
      <c r="C9" s="2924"/>
      <c r="D9" s="545">
        <f>SUM(E9:J9)</f>
        <v>0</v>
      </c>
      <c r="E9" s="1117"/>
      <c r="F9" s="1117"/>
      <c r="G9" s="1117"/>
      <c r="H9" s="1117"/>
      <c r="I9" s="1154"/>
      <c r="J9" s="1155"/>
      <c r="K9" s="3219" t="s">
        <v>324</v>
      </c>
      <c r="L9" s="3219"/>
      <c r="M9" s="3219"/>
      <c r="N9" s="171"/>
      <c r="O9" s="171"/>
      <c r="P9" s="171"/>
      <c r="Q9" s="171"/>
    </row>
    <row r="10" spans="1:17" s="172" customFormat="1" ht="18" customHeight="1">
      <c r="A10" s="3163"/>
      <c r="B10" s="2924" t="s">
        <v>973</v>
      </c>
      <c r="C10" s="2924"/>
      <c r="D10" s="768" t="s">
        <v>509</v>
      </c>
      <c r="E10" s="1156"/>
      <c r="F10" s="1156"/>
      <c r="G10" s="1156"/>
      <c r="H10" s="1156"/>
      <c r="I10" s="1157"/>
      <c r="J10" s="1158"/>
      <c r="K10" s="3219" t="s">
        <v>320</v>
      </c>
      <c r="L10" s="3219"/>
      <c r="M10" s="3219"/>
      <c r="N10" s="171"/>
      <c r="O10" s="171"/>
      <c r="P10" s="171"/>
      <c r="Q10" s="171"/>
    </row>
    <row r="11" spans="1:17" s="172" customFormat="1" ht="18" customHeight="1">
      <c r="A11" s="3163"/>
      <c r="B11" s="2924" t="s">
        <v>974</v>
      </c>
      <c r="C11" s="2924"/>
      <c r="D11" s="545">
        <f>SUM(E11:J11)</f>
        <v>0</v>
      </c>
      <c r="E11" s="1117"/>
      <c r="F11" s="1117"/>
      <c r="G11" s="1117"/>
      <c r="H11" s="1117"/>
      <c r="I11" s="1154"/>
      <c r="J11" s="1155"/>
      <c r="K11" s="3107" t="s">
        <v>0</v>
      </c>
      <c r="L11" s="3107"/>
      <c r="M11" s="3107"/>
      <c r="N11" s="3107"/>
      <c r="O11" s="3107"/>
      <c r="P11" s="3107"/>
      <c r="Q11" s="3107"/>
    </row>
    <row r="12" spans="1:17" s="172" customFormat="1" ht="18" customHeight="1">
      <c r="A12" s="3163"/>
      <c r="B12" s="2924" t="s">
        <v>1</v>
      </c>
      <c r="C12" s="2924"/>
      <c r="D12" s="545">
        <f t="shared" ref="D12:D18" si="0">SUM(E12:J12)</f>
        <v>0</v>
      </c>
      <c r="E12" s="1117"/>
      <c r="F12" s="1117"/>
      <c r="G12" s="1117"/>
      <c r="H12" s="1117"/>
      <c r="I12" s="1154"/>
      <c r="J12" s="1155"/>
      <c r="K12" s="3107"/>
      <c r="L12" s="3107"/>
      <c r="M12" s="3107"/>
      <c r="N12" s="3107"/>
      <c r="O12" s="3107"/>
      <c r="P12" s="3107"/>
      <c r="Q12" s="3107"/>
    </row>
    <row r="13" spans="1:17" s="172" customFormat="1" ht="18" customHeight="1">
      <c r="A13" s="3163"/>
      <c r="B13" s="2924" t="s">
        <v>2</v>
      </c>
      <c r="C13" s="2924"/>
      <c r="D13" s="545">
        <f t="shared" si="0"/>
        <v>0</v>
      </c>
      <c r="E13" s="1117"/>
      <c r="F13" s="1117"/>
      <c r="G13" s="1117"/>
      <c r="H13" s="1117"/>
      <c r="I13" s="1154"/>
      <c r="J13" s="1155"/>
      <c r="K13" s="3107"/>
      <c r="L13" s="3107"/>
      <c r="M13" s="3107"/>
      <c r="N13" s="3107"/>
      <c r="O13" s="3107"/>
      <c r="P13" s="3107"/>
      <c r="Q13" s="3107"/>
    </row>
    <row r="14" spans="1:17" s="172" customFormat="1" ht="18" customHeight="1">
      <c r="A14" s="3163"/>
      <c r="B14" s="2924" t="s">
        <v>3</v>
      </c>
      <c r="C14" s="2924"/>
      <c r="D14" s="545">
        <f t="shared" si="0"/>
        <v>0</v>
      </c>
      <c r="E14" s="1117"/>
      <c r="F14" s="1117"/>
      <c r="G14" s="1117"/>
      <c r="H14" s="1117"/>
      <c r="I14" s="1154"/>
      <c r="J14" s="1155"/>
      <c r="K14" s="3107"/>
      <c r="L14" s="3107"/>
      <c r="M14" s="3107"/>
      <c r="N14" s="3107"/>
      <c r="O14" s="3107"/>
      <c r="P14" s="3107"/>
      <c r="Q14" s="3107"/>
    </row>
    <row r="15" spans="1:17" s="172" customFormat="1" ht="18" customHeight="1">
      <c r="A15" s="3163"/>
      <c r="B15" s="2924" t="s">
        <v>853</v>
      </c>
      <c r="C15" s="2924"/>
      <c r="D15" s="768" t="s">
        <v>509</v>
      </c>
      <c r="E15" s="1156"/>
      <c r="F15" s="1156"/>
      <c r="G15" s="1156"/>
      <c r="H15" s="1156"/>
      <c r="I15" s="1157"/>
      <c r="J15" s="1158"/>
      <c r="K15" s="171"/>
      <c r="L15" s="171"/>
      <c r="M15" s="171"/>
      <c r="N15" s="171"/>
      <c r="O15" s="171"/>
      <c r="P15" s="171"/>
      <c r="Q15" s="171"/>
    </row>
    <row r="16" spans="1:17" s="172" customFormat="1" ht="18" customHeight="1">
      <c r="A16" s="3163"/>
      <c r="B16" s="2931" t="s">
        <v>4</v>
      </c>
      <c r="C16" s="2931"/>
      <c r="D16" s="716">
        <f t="shared" si="0"/>
        <v>0</v>
      </c>
      <c r="E16" s="1138"/>
      <c r="F16" s="1138"/>
      <c r="G16" s="1138"/>
      <c r="H16" s="1138"/>
      <c r="I16" s="1159"/>
      <c r="J16" s="1160"/>
      <c r="K16" s="171"/>
      <c r="L16" s="171"/>
      <c r="M16" s="171"/>
      <c r="N16" s="171"/>
      <c r="O16" s="171"/>
      <c r="P16" s="171"/>
      <c r="Q16" s="171"/>
    </row>
    <row r="17" spans="1:17" s="172" customFormat="1" ht="18" customHeight="1">
      <c r="A17" s="3316" t="s">
        <v>5</v>
      </c>
      <c r="B17" s="2929" t="s">
        <v>971</v>
      </c>
      <c r="C17" s="2929"/>
      <c r="D17" s="715">
        <f t="shared" si="0"/>
        <v>0</v>
      </c>
      <c r="E17" s="1116"/>
      <c r="F17" s="1116"/>
      <c r="G17" s="1116"/>
      <c r="H17" s="1116"/>
      <c r="I17" s="1152"/>
      <c r="J17" s="1153"/>
      <c r="K17" s="171"/>
      <c r="L17" s="171"/>
      <c r="M17" s="171"/>
      <c r="N17" s="171"/>
      <c r="O17" s="171"/>
      <c r="P17" s="171"/>
      <c r="Q17" s="171"/>
    </row>
    <row r="18" spans="1:17" s="172" customFormat="1" ht="18" customHeight="1">
      <c r="A18" s="3316"/>
      <c r="B18" s="2931" t="s">
        <v>6</v>
      </c>
      <c r="C18" s="2931"/>
      <c r="D18" s="716">
        <f t="shared" si="0"/>
        <v>0</v>
      </c>
      <c r="E18" s="1138"/>
      <c r="F18" s="1138"/>
      <c r="G18" s="1138"/>
      <c r="H18" s="1138"/>
      <c r="I18" s="1159"/>
      <c r="J18" s="1160"/>
      <c r="K18" s="171"/>
      <c r="L18" s="171"/>
      <c r="M18" s="171"/>
      <c r="N18" s="171"/>
      <c r="O18" s="171"/>
      <c r="P18" s="171"/>
      <c r="Q18" s="171"/>
    </row>
    <row r="19" spans="1:17" s="172" customFormat="1" ht="19.5" customHeight="1">
      <c r="A19" s="3222" t="s">
        <v>7</v>
      </c>
      <c r="B19" s="3222"/>
      <c r="C19" s="3222"/>
      <c r="D19" s="3222"/>
      <c r="E19" s="3222"/>
      <c r="F19" s="3222"/>
      <c r="G19" s="3222"/>
      <c r="H19" s="3222"/>
      <c r="I19" s="3222"/>
      <c r="J19" s="3222"/>
      <c r="K19" s="171"/>
      <c r="L19" s="171"/>
      <c r="M19" s="171"/>
      <c r="N19" s="171"/>
      <c r="O19" s="171"/>
      <c r="P19" s="171"/>
      <c r="Q19" s="171"/>
    </row>
    <row r="20" spans="1:17" s="172" customFormat="1" ht="18" customHeight="1">
      <c r="A20" s="143" t="s">
        <v>853</v>
      </c>
      <c r="B20" s="2924" t="s">
        <v>855</v>
      </c>
      <c r="C20" s="2924"/>
      <c r="D20" s="2924" t="s">
        <v>1292</v>
      </c>
      <c r="E20" s="2924"/>
      <c r="F20" s="2924" t="s">
        <v>854</v>
      </c>
      <c r="G20" s="2924"/>
      <c r="H20" s="158" t="s">
        <v>856</v>
      </c>
      <c r="I20" s="3315" t="s">
        <v>702</v>
      </c>
      <c r="J20" s="3315"/>
      <c r="K20" s="171"/>
      <c r="L20" s="171"/>
      <c r="M20" s="171"/>
      <c r="N20" s="171"/>
      <c r="O20" s="171"/>
      <c r="P20" s="171"/>
      <c r="Q20" s="171"/>
    </row>
    <row r="21" spans="1:17" s="172" customFormat="1" ht="18" customHeight="1">
      <c r="A21" s="695" t="s">
        <v>557</v>
      </c>
      <c r="B21" s="3312">
        <f>营业费用!H21</f>
        <v>0</v>
      </c>
      <c r="C21" s="3312"/>
      <c r="D21" s="3312">
        <f>管理费用!H21</f>
        <v>0</v>
      </c>
      <c r="E21" s="3312"/>
      <c r="F21" s="3313"/>
      <c r="G21" s="3313"/>
      <c r="H21" s="1113"/>
      <c r="I21" s="3314">
        <f>SUM(B21:H21)</f>
        <v>0</v>
      </c>
      <c r="J21" s="3314"/>
      <c r="K21" s="171"/>
      <c r="L21" s="171"/>
      <c r="M21" s="171"/>
      <c r="N21" s="171"/>
      <c r="O21" s="171"/>
      <c r="P21" s="171"/>
      <c r="Q21" s="171"/>
    </row>
    <row r="22" spans="1:17" s="172" customFormat="1" ht="19.5" customHeight="1">
      <c r="A22" s="3051" t="s">
        <v>641</v>
      </c>
      <c r="B22" s="3051"/>
      <c r="C22" s="3051"/>
      <c r="D22" s="3310" t="str">
        <f>IF(I21&lt;&gt;D8+D17,"原始凭证检查金额与账载数不符，请检查！","原始凭证检查金额与账载数相符！")</f>
        <v>原始凭证检查金额与账载数相符！</v>
      </c>
      <c r="E22" s="3310"/>
      <c r="F22" s="3310"/>
      <c r="G22" s="3310"/>
      <c r="H22" s="3310"/>
      <c r="I22" s="3310"/>
      <c r="J22" s="3310"/>
      <c r="K22" s="171"/>
      <c r="L22" s="171"/>
      <c r="M22" s="171"/>
      <c r="N22" s="171"/>
      <c r="O22" s="171"/>
      <c r="P22" s="171"/>
      <c r="Q22" s="171"/>
    </row>
    <row r="23" spans="1:17" s="172" customFormat="1" ht="15" customHeight="1">
      <c r="A23" s="3147" t="s">
        <v>1323</v>
      </c>
      <c r="B23" s="3147"/>
      <c r="C23" s="3147"/>
      <c r="D23" s="3148" t="s">
        <v>8</v>
      </c>
      <c r="E23" s="3148"/>
      <c r="F23" s="3102" t="str">
        <f>IF(OR(D14&lt;&gt;0,D18&lt;&gt;0),"、E","")</f>
        <v/>
      </c>
      <c r="G23" s="3102"/>
      <c r="H23" s="3102"/>
      <c r="I23" s="3102"/>
      <c r="J23" s="3102"/>
      <c r="K23" s="171"/>
      <c r="L23" s="171"/>
      <c r="M23" s="171"/>
      <c r="N23" s="171"/>
      <c r="O23" s="171"/>
      <c r="P23" s="171"/>
      <c r="Q23" s="171"/>
    </row>
    <row r="24" spans="1:17" s="172" customFormat="1" ht="22.5" customHeight="1">
      <c r="A24" s="3147"/>
      <c r="B24" s="3147"/>
      <c r="C24" s="3147"/>
      <c r="D24" s="3311"/>
      <c r="E24" s="3311"/>
      <c r="F24" s="3311"/>
      <c r="G24" s="3311"/>
      <c r="H24" s="3311"/>
      <c r="I24" s="3311"/>
      <c r="J24" s="3311"/>
      <c r="K24" s="171"/>
      <c r="L24" s="171"/>
      <c r="M24" s="171"/>
      <c r="N24" s="171"/>
      <c r="O24" s="171"/>
      <c r="P24" s="171"/>
      <c r="Q24" s="171"/>
    </row>
    <row r="25" spans="1:17" s="172" customFormat="1" ht="25.5" customHeight="1">
      <c r="A25" s="3147"/>
      <c r="B25" s="3147"/>
      <c r="C25" s="3147"/>
      <c r="D25" s="3311"/>
      <c r="E25" s="3311"/>
      <c r="F25" s="3311"/>
      <c r="G25" s="3311"/>
      <c r="H25" s="3311"/>
      <c r="I25" s="3311"/>
      <c r="J25" s="3311"/>
      <c r="K25" s="171"/>
      <c r="L25" s="171"/>
      <c r="M25" s="171"/>
      <c r="N25" s="171"/>
      <c r="O25" s="171"/>
      <c r="P25" s="171"/>
      <c r="Q25" s="171"/>
    </row>
    <row r="26" spans="1:17" s="172" customFormat="1" ht="18.75" customHeight="1">
      <c r="A26" s="2922" t="s">
        <v>574</v>
      </c>
      <c r="B26" s="2922"/>
      <c r="C26" s="2922"/>
      <c r="D26" s="3251" t="str">
        <f>IF(D14&lt;&gt;0,"实际列支经营租赁租金大于税法允许列支的金额,应予纳税调整增加"&amp;DOLLAR(D14,2)&amp;"元！","不存在经营租赁租金调整事项，认可！")</f>
        <v>不存在经营租赁租金调整事项，认可！</v>
      </c>
      <c r="E26" s="3251"/>
      <c r="F26" s="3251"/>
      <c r="G26" s="3251"/>
      <c r="H26" s="3251"/>
      <c r="I26" s="3251"/>
      <c r="J26" s="3251"/>
      <c r="K26" s="171"/>
      <c r="L26" s="171"/>
      <c r="M26" s="171"/>
      <c r="N26" s="171"/>
      <c r="O26" s="171"/>
      <c r="P26" s="171"/>
      <c r="Q26" s="171"/>
    </row>
    <row r="27" spans="1:17" s="172" customFormat="1" ht="12.75" hidden="1" customHeight="1">
      <c r="A27" s="2922"/>
      <c r="B27" s="2922"/>
      <c r="C27" s="2922"/>
      <c r="D27" s="769"/>
      <c r="E27" s="770"/>
      <c r="F27" s="770"/>
      <c r="G27" s="770"/>
      <c r="H27" s="770"/>
      <c r="I27" s="770"/>
      <c r="J27" s="401"/>
      <c r="K27" s="171"/>
      <c r="L27" s="171"/>
      <c r="M27" s="171"/>
      <c r="N27" s="171"/>
      <c r="O27" s="171"/>
      <c r="P27" s="171"/>
      <c r="Q27" s="171"/>
    </row>
    <row r="28" spans="1:17" s="172" customFormat="1" ht="18.75" customHeight="1">
      <c r="A28" s="2922"/>
      <c r="B28" s="2922"/>
      <c r="C28" s="2922"/>
      <c r="D28" s="3253" t="str">
        <f>IF(D18&lt;&gt;0,"实际列支融资租赁租金大于税法允许列支的限额,应予纳税调整增加"&amp;DOLLAR(D18,2)&amp;"元！","不存在融资租赁租金调整事项，认可！")</f>
        <v>不存在融资租赁租金调整事项，认可！</v>
      </c>
      <c r="E28" s="3253"/>
      <c r="F28" s="3253"/>
      <c r="G28" s="3253"/>
      <c r="H28" s="3253"/>
      <c r="I28" s="3253"/>
      <c r="J28" s="3253"/>
      <c r="K28" s="171"/>
      <c r="L28" s="171"/>
      <c r="M28" s="171"/>
      <c r="N28" s="171"/>
      <c r="O28" s="171"/>
      <c r="P28" s="171"/>
      <c r="Q28" s="171"/>
    </row>
    <row r="29" spans="1:17">
      <c r="A29" s="731"/>
      <c r="B29" s="731"/>
      <c r="C29" s="731"/>
      <c r="D29" s="731"/>
      <c r="E29" s="731"/>
      <c r="F29" s="731"/>
      <c r="G29" s="731"/>
      <c r="H29" s="731"/>
    </row>
  </sheetData>
  <sheetProtection selectLockedCells="1" selectUnlockedCells="1"/>
  <mergeCells count="44">
    <mergeCell ref="A6:C7"/>
    <mergeCell ref="D6:D7"/>
    <mergeCell ref="E6:J6"/>
    <mergeCell ref="A5:J5"/>
    <mergeCell ref="A1:J1"/>
    <mergeCell ref="B3:D3"/>
    <mergeCell ref="I3:I4"/>
    <mergeCell ref="J3:J4"/>
    <mergeCell ref="B4:D4"/>
    <mergeCell ref="K8:M8"/>
    <mergeCell ref="B9:C9"/>
    <mergeCell ref="K9:M9"/>
    <mergeCell ref="K11:Q14"/>
    <mergeCell ref="B12:C12"/>
    <mergeCell ref="B11:C11"/>
    <mergeCell ref="B10:C10"/>
    <mergeCell ref="K10:M10"/>
    <mergeCell ref="B13:C13"/>
    <mergeCell ref="B14:C14"/>
    <mergeCell ref="B21:C21"/>
    <mergeCell ref="D21:E21"/>
    <mergeCell ref="F21:G21"/>
    <mergeCell ref="I21:J21"/>
    <mergeCell ref="B15:C15"/>
    <mergeCell ref="B16:C16"/>
    <mergeCell ref="A19:J19"/>
    <mergeCell ref="B20:C20"/>
    <mergeCell ref="D20:E20"/>
    <mergeCell ref="F20:G20"/>
    <mergeCell ref="I20:J20"/>
    <mergeCell ref="A17:A18"/>
    <mergeCell ref="B17:C17"/>
    <mergeCell ref="B18:C18"/>
    <mergeCell ref="A8:A16"/>
    <mergeCell ref="B8:C8"/>
    <mergeCell ref="A26:C28"/>
    <mergeCell ref="D26:J26"/>
    <mergeCell ref="D28:J28"/>
    <mergeCell ref="A22:C22"/>
    <mergeCell ref="D22:J22"/>
    <mergeCell ref="A23:C25"/>
    <mergeCell ref="D23:E23"/>
    <mergeCell ref="F23:J23"/>
    <mergeCell ref="D24:J25"/>
  </mergeCells>
  <phoneticPr fontId="51" type="noConversion"/>
  <dataValidations count="2">
    <dataValidation allowBlank="1" showErrorMessage="1" sqref="F3 D26">
      <formula1>0</formula1>
      <formula2>0</formula2>
    </dataValidation>
    <dataValidation allowBlank="1" showErrorMessage="1" promptTitle="存在调整事项时" prompt="_x000a_选择 “E”" sqref="F23:J23">
      <formula1>0</formula1>
      <formula2>0</formula2>
    </dataValidation>
  </dataValidations>
  <hyperlinks>
    <hyperlink ref="K8" location="纳税调整明细表!G45" display="纳税调整明细表!G45"/>
    <hyperlink ref="K9" location="管理费用!A1" display="管理费用审核表"/>
    <hyperlink ref="K10" location="营业费用!A1" display="营业费用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EE148"/>
  <sheetViews>
    <sheetView workbookViewId="0">
      <selection activeCell="L4" sqref="L4"/>
    </sheetView>
  </sheetViews>
  <sheetFormatPr defaultRowHeight="15.6"/>
  <cols>
    <col min="2" max="5" width="20.8984375" customWidth="1"/>
    <col min="6" max="6" width="10.8984375" customWidth="1"/>
    <col min="7" max="7" width="10" customWidth="1"/>
    <col min="8" max="8" width="8.3984375" customWidth="1"/>
    <col min="9" max="135" width="9" style="705"/>
  </cols>
  <sheetData>
    <row r="1" spans="1:9" ht="22.2">
      <c r="A1" s="2729" t="s">
        <v>376</v>
      </c>
      <c r="B1" s="2729"/>
      <c r="C1" s="2729"/>
      <c r="D1" s="2729"/>
      <c r="E1" s="2729"/>
      <c r="F1" s="2729"/>
      <c r="G1" s="2729"/>
      <c r="H1" s="2729"/>
    </row>
    <row r="2" spans="1:9" ht="14.25" customHeight="1">
      <c r="A2" s="3322" t="str">
        <f>"委托单位："&amp;基本情况!B2</f>
        <v>委托单位：0</v>
      </c>
      <c r="B2" s="3322"/>
      <c r="C2" s="3322"/>
      <c r="D2" s="509"/>
      <c r="E2" s="136" t="s">
        <v>1282</v>
      </c>
      <c r="F2" s="2929" t="s">
        <v>1053</v>
      </c>
      <c r="G2" s="2929"/>
      <c r="H2" s="485" t="s">
        <v>283</v>
      </c>
    </row>
    <row r="3" spans="1:9" ht="18" customHeight="1">
      <c r="A3" s="3322"/>
      <c r="B3" s="3322"/>
      <c r="C3" s="3322"/>
      <c r="D3" s="158" t="s">
        <v>450</v>
      </c>
      <c r="E3" s="777">
        <f>基本情况!B12</f>
        <v>0</v>
      </c>
      <c r="F3" s="3323" t="str">
        <f>TEXT(基本情况!B21,"yyyy-mm-dd")</f>
        <v>2017-03-16</v>
      </c>
      <c r="G3" s="3323"/>
      <c r="H3" s="3138" t="str">
        <f>档案索引!A44</f>
        <v>2A-24</v>
      </c>
    </row>
    <row r="4" spans="1:9" ht="24.75" customHeight="1">
      <c r="A4" s="3324" t="str">
        <f>"会计期间："&amp;基本情况!B7</f>
        <v>会计期间：2016年01月01日至2016年12月31日</v>
      </c>
      <c r="B4" s="3324"/>
      <c r="C4" s="3324"/>
      <c r="D4" s="140" t="s">
        <v>452</v>
      </c>
      <c r="E4" s="778">
        <f>基本情况!B11</f>
        <v>0</v>
      </c>
      <c r="F4" s="3062" t="str">
        <f>TEXT(基本情况!B22,"yyyy-mm-dd")</f>
        <v>2017-05-04</v>
      </c>
      <c r="G4" s="3062"/>
      <c r="H4" s="3138"/>
    </row>
    <row r="5" spans="1:9" ht="6.75" customHeight="1">
      <c r="A5" s="2926"/>
      <c r="B5" s="2926"/>
      <c r="C5" s="2926"/>
      <c r="D5" s="2926"/>
      <c r="E5" s="2926"/>
      <c r="F5" s="2926"/>
      <c r="G5" s="2926"/>
      <c r="H5" s="2926"/>
    </row>
    <row r="6" spans="1:9" ht="26.25" customHeight="1">
      <c r="A6" s="532" t="s">
        <v>16</v>
      </c>
      <c r="B6" s="779" t="s">
        <v>17</v>
      </c>
      <c r="C6" s="582" t="s">
        <v>18</v>
      </c>
      <c r="D6" s="1268" t="s">
        <v>222</v>
      </c>
      <c r="E6" s="780" t="s">
        <v>1012</v>
      </c>
      <c r="F6" s="3064" t="s">
        <v>19</v>
      </c>
      <c r="G6" s="3064"/>
      <c r="H6" s="647" t="s">
        <v>20</v>
      </c>
      <c r="I6" s="706" t="s">
        <v>395</v>
      </c>
    </row>
    <row r="7" spans="1:9" ht="22.5" customHeight="1">
      <c r="A7" s="781">
        <f>本年度-10</f>
        <v>2006</v>
      </c>
      <c r="B7" s="1261"/>
      <c r="C7" s="1261"/>
      <c r="D7" s="1261"/>
      <c r="E7" s="1261"/>
      <c r="F7" s="3319">
        <f>C7-D7+E7</f>
        <v>0</v>
      </c>
      <c r="G7" s="3319"/>
      <c r="H7" s="782" t="s">
        <v>1077</v>
      </c>
    </row>
    <row r="8" spans="1:9" ht="22.5" customHeight="1">
      <c r="A8" s="783">
        <f>本年度-9</f>
        <v>2007</v>
      </c>
      <c r="B8" s="1262"/>
      <c r="C8" s="1262"/>
      <c r="D8" s="1262"/>
      <c r="E8" s="1262"/>
      <c r="F8" s="3318">
        <f t="shared" ref="F8:F15" si="0">C8-D8+E8</f>
        <v>0</v>
      </c>
      <c r="G8" s="3318"/>
      <c r="H8" s="784" t="s">
        <v>1077</v>
      </c>
      <c r="I8" s="708" t="s">
        <v>21</v>
      </c>
    </row>
    <row r="9" spans="1:9" ht="22.5" customHeight="1">
      <c r="A9" s="783">
        <f>本年度-8</f>
        <v>2008</v>
      </c>
      <c r="B9" s="1262"/>
      <c r="C9" s="1262"/>
      <c r="D9" s="1262"/>
      <c r="E9" s="1262"/>
      <c r="F9" s="3318">
        <f t="shared" si="0"/>
        <v>0</v>
      </c>
      <c r="G9" s="3318"/>
      <c r="H9" s="784" t="s">
        <v>1077</v>
      </c>
    </row>
    <row r="10" spans="1:9" ht="22.5" customHeight="1">
      <c r="A10" s="783">
        <f>本年度-7</f>
        <v>2009</v>
      </c>
      <c r="B10" s="1262"/>
      <c r="C10" s="1262"/>
      <c r="D10" s="1262"/>
      <c r="E10" s="1262"/>
      <c r="F10" s="3318">
        <f t="shared" si="0"/>
        <v>0</v>
      </c>
      <c r="G10" s="3318"/>
      <c r="H10" s="784" t="s">
        <v>1077</v>
      </c>
      <c r="I10" s="708" t="s">
        <v>22</v>
      </c>
    </row>
    <row r="11" spans="1:9" ht="22.5" customHeight="1">
      <c r="A11" s="783">
        <f>本年度-6</f>
        <v>2010</v>
      </c>
      <c r="B11" s="1262"/>
      <c r="C11" s="1262"/>
      <c r="D11" s="1262"/>
      <c r="E11" s="1262"/>
      <c r="F11" s="3318">
        <f t="shared" si="0"/>
        <v>0</v>
      </c>
      <c r="G11" s="3318"/>
      <c r="H11" s="784" t="s">
        <v>1077</v>
      </c>
    </row>
    <row r="12" spans="1:9" ht="22.5" customHeight="1">
      <c r="A12" s="783">
        <f>本年度-5</f>
        <v>2011</v>
      </c>
      <c r="B12" s="1262"/>
      <c r="C12" s="1262"/>
      <c r="D12" s="1262"/>
      <c r="E12" s="1262"/>
      <c r="F12" s="3318">
        <f t="shared" si="0"/>
        <v>0</v>
      </c>
      <c r="G12" s="3318"/>
      <c r="H12" s="784" t="s">
        <v>1077</v>
      </c>
    </row>
    <row r="13" spans="1:9" ht="22.5" customHeight="1">
      <c r="A13" s="783">
        <f>本年度-4</f>
        <v>2012</v>
      </c>
      <c r="B13" s="1262"/>
      <c r="C13" s="1262"/>
      <c r="D13" s="1262"/>
      <c r="E13" s="1262"/>
      <c r="F13" s="3318">
        <f t="shared" si="0"/>
        <v>0</v>
      </c>
      <c r="G13" s="3318"/>
      <c r="H13" s="784" t="s">
        <v>1077</v>
      </c>
    </row>
    <row r="14" spans="1:9" ht="22.5" customHeight="1">
      <c r="A14" s="783">
        <f>本年度-3</f>
        <v>2013</v>
      </c>
      <c r="B14" s="1262"/>
      <c r="C14" s="1262"/>
      <c r="D14" s="1262"/>
      <c r="E14" s="1262"/>
      <c r="F14" s="3318">
        <f t="shared" si="0"/>
        <v>0</v>
      </c>
      <c r="G14" s="3318"/>
      <c r="H14" s="784" t="s">
        <v>1077</v>
      </c>
    </row>
    <row r="15" spans="1:9" ht="22.5" customHeight="1">
      <c r="A15" s="783">
        <f>本年度-2</f>
        <v>2014</v>
      </c>
      <c r="B15" s="1262"/>
      <c r="C15" s="1262"/>
      <c r="D15" s="1262"/>
      <c r="E15" s="1262"/>
      <c r="F15" s="3318">
        <f t="shared" si="0"/>
        <v>0</v>
      </c>
      <c r="G15" s="3318"/>
      <c r="H15" s="784" t="s">
        <v>1077</v>
      </c>
    </row>
    <row r="16" spans="1:9" ht="22.5" customHeight="1">
      <c r="A16" s="783">
        <f>本年度-1</f>
        <v>2015</v>
      </c>
      <c r="B16" s="1262"/>
      <c r="C16" s="1262"/>
      <c r="D16" s="1262"/>
      <c r="E16" s="1262"/>
      <c r="F16" s="3318">
        <f t="shared" ref="F16:F17" si="1">C16-D16+E16</f>
        <v>0</v>
      </c>
      <c r="G16" s="3318"/>
      <c r="H16" s="784" t="s">
        <v>1077</v>
      </c>
    </row>
    <row r="17" spans="1:8" ht="22.5" customHeight="1">
      <c r="A17" s="2060">
        <f>本年度</f>
        <v>2016</v>
      </c>
      <c r="B17" s="2063">
        <f>利润!C37</f>
        <v>0</v>
      </c>
      <c r="C17" s="2063">
        <f ca="1">'A100000中华人民共和国企业所得税年度纳税申报表（A类）'!D22</f>
        <v>0</v>
      </c>
      <c r="D17" s="1262"/>
      <c r="E17" s="2061"/>
      <c r="F17" s="3318">
        <f t="shared" ca="1" si="1"/>
        <v>0</v>
      </c>
      <c r="G17" s="3318"/>
      <c r="H17" s="2062"/>
    </row>
    <row r="18" spans="1:8" ht="20.25" customHeight="1">
      <c r="A18" s="3320" t="s">
        <v>1323</v>
      </c>
      <c r="B18" s="3148" t="s">
        <v>23</v>
      </c>
      <c r="C18" s="3148"/>
      <c r="D18" s="3148"/>
      <c r="E18" s="3148"/>
      <c r="F18" s="3102"/>
      <c r="G18" s="3102"/>
      <c r="H18" s="3102"/>
    </row>
    <row r="19" spans="1:8" ht="60" customHeight="1">
      <c r="A19" s="3320"/>
      <c r="B19" s="3321"/>
      <c r="C19" s="3321"/>
      <c r="D19" s="3321"/>
      <c r="E19" s="3321"/>
      <c r="F19" s="3321"/>
      <c r="G19" s="3321"/>
      <c r="H19" s="3321"/>
    </row>
    <row r="20" spans="1:8" ht="29.25" customHeight="1">
      <c r="A20" s="528" t="s">
        <v>574</v>
      </c>
      <c r="B20" s="3317" t="s">
        <v>24</v>
      </c>
      <c r="C20" s="3317"/>
      <c r="D20" s="3317"/>
      <c r="E20" s="3317"/>
      <c r="F20" s="3317"/>
      <c r="G20" s="3317"/>
      <c r="H20" s="3317"/>
    </row>
    <row r="21" spans="1:8">
      <c r="A21" s="705"/>
      <c r="B21" s="705"/>
      <c r="C21" s="705"/>
      <c r="D21" s="705"/>
      <c r="E21" s="705"/>
      <c r="F21" s="705"/>
      <c r="G21" s="705"/>
      <c r="H21" s="705"/>
    </row>
    <row r="22" spans="1:8">
      <c r="A22" s="705"/>
      <c r="B22" s="705"/>
      <c r="C22" s="705"/>
      <c r="D22" s="705"/>
      <c r="E22" s="705"/>
      <c r="F22" s="705"/>
      <c r="G22" s="705"/>
      <c r="H22" s="705"/>
    </row>
    <row r="23" spans="1:8">
      <c r="A23" s="705"/>
      <c r="B23" s="705"/>
      <c r="C23" s="705"/>
      <c r="D23" s="705"/>
      <c r="E23" s="705"/>
      <c r="F23" s="705"/>
      <c r="G23" s="705"/>
      <c r="H23" s="705"/>
    </row>
    <row r="24" spans="1:8">
      <c r="A24" s="705"/>
      <c r="B24" s="705"/>
      <c r="C24" s="705"/>
      <c r="D24" s="705"/>
      <c r="E24" s="705"/>
      <c r="F24" s="705"/>
      <c r="G24" s="705"/>
      <c r="H24" s="705"/>
    </row>
    <row r="25" spans="1:8">
      <c r="A25" s="705"/>
      <c r="B25" s="705"/>
      <c r="C25" s="705"/>
      <c r="D25" s="705"/>
      <c r="E25" s="705"/>
      <c r="F25" s="705"/>
      <c r="G25" s="705"/>
      <c r="H25" s="705"/>
    </row>
    <row r="26" spans="1:8">
      <c r="A26" s="705"/>
      <c r="B26" s="705"/>
      <c r="C26" s="705"/>
      <c r="D26" s="705"/>
      <c r="E26" s="705"/>
      <c r="F26" s="705"/>
      <c r="G26" s="705"/>
      <c r="H26" s="705"/>
    </row>
    <row r="27" spans="1:8">
      <c r="A27" s="705"/>
      <c r="B27" s="705"/>
      <c r="C27" s="705"/>
      <c r="D27" s="705"/>
      <c r="E27" s="705"/>
      <c r="F27" s="705"/>
      <c r="G27" s="705"/>
      <c r="H27" s="705"/>
    </row>
    <row r="28" spans="1:8">
      <c r="A28" s="705"/>
      <c r="B28" s="705"/>
      <c r="C28" s="705"/>
      <c r="D28" s="705"/>
      <c r="E28" s="705"/>
      <c r="F28" s="705"/>
      <c r="G28" s="705"/>
      <c r="H28" s="705"/>
    </row>
    <row r="29" spans="1:8">
      <c r="A29" s="705"/>
      <c r="B29" s="705"/>
      <c r="C29" s="705"/>
      <c r="D29" s="705"/>
      <c r="E29" s="705"/>
      <c r="F29" s="705"/>
      <c r="G29" s="705"/>
      <c r="H29" s="705"/>
    </row>
    <row r="30" spans="1:8">
      <c r="A30" s="705"/>
      <c r="B30" s="705"/>
      <c r="C30" s="705"/>
      <c r="D30" s="705"/>
      <c r="E30" s="705"/>
      <c r="F30" s="705"/>
      <c r="G30" s="705"/>
      <c r="H30" s="705"/>
    </row>
    <row r="31" spans="1:8">
      <c r="A31" s="705"/>
      <c r="B31" s="705"/>
      <c r="C31" s="705"/>
      <c r="D31" s="705"/>
      <c r="E31" s="705"/>
      <c r="F31" s="705"/>
      <c r="G31" s="705"/>
      <c r="H31" s="705"/>
    </row>
    <row r="32" spans="1:8">
      <c r="A32" s="705"/>
      <c r="B32" s="705"/>
      <c r="C32" s="705"/>
      <c r="D32" s="705"/>
      <c r="E32" s="705"/>
      <c r="F32" s="705"/>
      <c r="G32" s="705"/>
      <c r="H32" s="705"/>
    </row>
    <row r="33" spans="1:8">
      <c r="A33" s="705"/>
      <c r="B33" s="705"/>
      <c r="C33" s="705"/>
      <c r="D33" s="705"/>
      <c r="E33" s="705"/>
      <c r="F33" s="705"/>
      <c r="G33" s="705"/>
      <c r="H33" s="705"/>
    </row>
    <row r="34" spans="1:8" s="705" customFormat="1"/>
    <row r="35" spans="1:8" s="705" customFormat="1"/>
    <row r="36" spans="1:8" s="705" customFormat="1"/>
    <row r="37" spans="1:8" s="705" customFormat="1"/>
    <row r="38" spans="1:8" s="705" customFormat="1"/>
    <row r="39" spans="1:8" s="705" customFormat="1"/>
    <row r="40" spans="1:8" s="705" customFormat="1"/>
    <row r="41" spans="1:8" s="705" customFormat="1"/>
    <row r="42" spans="1:8" s="705" customFormat="1"/>
    <row r="43" spans="1:8" s="705" customFormat="1"/>
    <row r="44" spans="1:8" s="705" customFormat="1"/>
    <row r="45" spans="1:8" s="705" customFormat="1"/>
    <row r="46" spans="1:8" s="705" customFormat="1"/>
    <row r="47" spans="1:8" s="705" customFormat="1"/>
    <row r="48" spans="1:8" s="705" customFormat="1"/>
    <row r="49" s="705" customFormat="1"/>
    <row r="50" s="705" customFormat="1"/>
    <row r="51" s="705" customFormat="1"/>
    <row r="52" s="705" customFormat="1"/>
    <row r="53" s="705" customFormat="1"/>
    <row r="54" s="705" customFormat="1"/>
    <row r="55" s="705" customFormat="1"/>
    <row r="56" s="705" customFormat="1"/>
    <row r="57" s="705" customFormat="1"/>
    <row r="58" s="705" customFormat="1"/>
    <row r="59" s="705" customFormat="1"/>
    <row r="60" s="705" customFormat="1"/>
    <row r="61" s="705" customFormat="1"/>
    <row r="62" s="705" customFormat="1"/>
    <row r="63" s="705" customFormat="1"/>
    <row r="64" s="705" customFormat="1"/>
    <row r="65" s="705" customFormat="1"/>
    <row r="66" s="705" customFormat="1"/>
    <row r="67" s="705" customFormat="1"/>
    <row r="68" s="705" customFormat="1"/>
    <row r="69" s="705" customFormat="1"/>
    <row r="70" s="705" customFormat="1"/>
    <row r="71" s="705" customFormat="1"/>
    <row r="72" s="705" customFormat="1"/>
    <row r="73" s="705" customFormat="1"/>
    <row r="74" s="705" customFormat="1"/>
    <row r="75" s="705" customFormat="1"/>
    <row r="76" s="705" customFormat="1"/>
    <row r="77" s="705" customFormat="1"/>
    <row r="78" s="705" customFormat="1"/>
    <row r="79" s="705" customFormat="1"/>
    <row r="80" s="705" customFormat="1"/>
    <row r="81" s="705" customFormat="1"/>
    <row r="82" s="705" customFormat="1"/>
    <row r="83" s="705" customFormat="1"/>
    <row r="84" s="705" customFormat="1"/>
    <row r="85" s="705" customFormat="1"/>
    <row r="86" s="705" customFormat="1"/>
    <row r="87" s="705" customFormat="1"/>
    <row r="88" s="705" customFormat="1"/>
    <row r="89" s="705" customFormat="1"/>
    <row r="90" s="705" customFormat="1"/>
    <row r="91" s="705" customFormat="1"/>
    <row r="92" s="705" customFormat="1"/>
    <row r="93" s="705" customFormat="1"/>
    <row r="94" s="705" customFormat="1"/>
    <row r="95" s="705" customFormat="1"/>
    <row r="96" s="705" customFormat="1"/>
    <row r="97" s="705" customFormat="1"/>
    <row r="98" s="705" customFormat="1"/>
    <row r="99" s="705" customFormat="1"/>
    <row r="100" s="705" customFormat="1"/>
    <row r="101" s="705" customFormat="1"/>
    <row r="102" s="705" customFormat="1"/>
    <row r="103" s="705" customFormat="1"/>
    <row r="104" s="705" customFormat="1"/>
    <row r="105" s="705" customFormat="1"/>
    <row r="106" s="705" customFormat="1"/>
    <row r="107" s="705" customFormat="1"/>
    <row r="108" s="705" customFormat="1"/>
    <row r="109" s="705" customFormat="1"/>
    <row r="110" s="705" customFormat="1"/>
    <row r="111" s="705" customFormat="1"/>
    <row r="112" s="705" customFormat="1"/>
    <row r="113" s="705" customFormat="1"/>
    <row r="114" s="705" customFormat="1"/>
    <row r="115" s="705" customFormat="1"/>
    <row r="116" s="705" customFormat="1"/>
    <row r="117" s="705" customFormat="1"/>
    <row r="118" s="705" customFormat="1"/>
    <row r="119" s="705" customFormat="1"/>
    <row r="120" s="705" customFormat="1"/>
    <row r="121" s="705" customFormat="1"/>
    <row r="122" s="705" customFormat="1"/>
    <row r="123" s="705" customFormat="1"/>
    <row r="124" s="705" customFormat="1"/>
    <row r="125" s="705" customFormat="1"/>
    <row r="126" s="705" customFormat="1"/>
    <row r="127" s="705" customFormat="1"/>
    <row r="128" s="705" customFormat="1"/>
    <row r="129" s="705" customFormat="1"/>
    <row r="130" s="705" customFormat="1"/>
    <row r="131" s="705" customFormat="1"/>
    <row r="132" s="705" customFormat="1"/>
    <row r="133" s="705" customFormat="1"/>
    <row r="134" s="705" customFormat="1"/>
    <row r="135" s="705" customFormat="1"/>
    <row r="136" s="705" customFormat="1"/>
    <row r="137" s="705" customFormat="1"/>
    <row r="138" s="705" customFormat="1"/>
    <row r="139" s="705" customFormat="1"/>
    <row r="140" s="705" customFormat="1"/>
    <row r="141" s="705" customFormat="1"/>
    <row r="142" s="705" customFormat="1"/>
    <row r="143" s="705" customFormat="1"/>
    <row r="144" s="705" customFormat="1"/>
    <row r="145" s="705" customFormat="1"/>
    <row r="146" s="705" customFormat="1"/>
    <row r="147" s="705" customFormat="1"/>
    <row r="148" s="705" customFormat="1"/>
  </sheetData>
  <sheetProtection selectLockedCells="1" selectUnlockedCells="1"/>
  <mergeCells count="25">
    <mergeCell ref="A5:H5"/>
    <mergeCell ref="A1:H1"/>
    <mergeCell ref="A2:C3"/>
    <mergeCell ref="F2:G2"/>
    <mergeCell ref="F3:G3"/>
    <mergeCell ref="H3:H4"/>
    <mergeCell ref="A4:C4"/>
    <mergeCell ref="F4:G4"/>
    <mergeCell ref="F6:G6"/>
    <mergeCell ref="F7:G7"/>
    <mergeCell ref="F8:G8"/>
    <mergeCell ref="A18:A19"/>
    <mergeCell ref="B18:E18"/>
    <mergeCell ref="F18:H18"/>
    <mergeCell ref="B19:H19"/>
    <mergeCell ref="F9:G9"/>
    <mergeCell ref="F10:G10"/>
    <mergeCell ref="B20:H20"/>
    <mergeCell ref="F11:G11"/>
    <mergeCell ref="F12:G12"/>
    <mergeCell ref="F13:G13"/>
    <mergeCell ref="F14:G14"/>
    <mergeCell ref="F15:G15"/>
    <mergeCell ref="F16:G16"/>
    <mergeCell ref="F17:G17"/>
  </mergeCells>
  <phoneticPr fontId="51" type="noConversion"/>
  <conditionalFormatting sqref="D7:D17">
    <cfRule type="expression" dxfId="0" priority="1" stopIfTrue="1">
      <formula>C7&lt;0</formula>
    </cfRule>
  </conditionalFormatting>
  <dataValidations count="3">
    <dataValidation allowBlank="1" showErrorMessage="1" promptTitle="存在调整事项时" prompt="_x000a_选择 “E”" sqref="F18:H18">
      <formula1>0</formula1>
      <formula2>0</formula2>
    </dataValidation>
    <dataValidation type="list" allowBlank="1" showErrorMessage="1" sqref="H7:H17">
      <formula1>"是,否"</formula1>
      <formula2>0</formula2>
    </dataValidation>
    <dataValidation type="decimal" operator="greaterThan" allowBlank="1" showInputMessage="1" showErrorMessage="1" sqref="D7:D17">
      <formula1>0</formula1>
    </dataValidation>
  </dataValidations>
  <hyperlinks>
    <hyperlink ref="I8" location="利润!A1" display="利润表"/>
    <hyperlink ref="I10" location="弥补亏损明细表!A1" display="弥补亏损明细表"/>
  </hyperlinks>
  <pageMargins left="0.78740157480314998" right="0.35433070866141703" top="0.511811023622047" bottom="0.11811023622047198" header="0.511811023622047" footer="0.511811023622047"/>
  <pageSetup paperSize="9" firstPageNumber="0" orientation="landscape" blackAndWhite="1" cellComments="atEnd"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K45"/>
  <sheetViews>
    <sheetView topLeftCell="A10" workbookViewId="0">
      <selection sqref="A1:F1"/>
    </sheetView>
  </sheetViews>
  <sheetFormatPr defaultRowHeight="15.6"/>
  <cols>
    <col min="1" max="1" width="7.59765625" customWidth="1"/>
    <col min="2" max="2" width="27.19921875" customWidth="1"/>
    <col min="3" max="3" width="8.69921875" customWidth="1"/>
    <col min="4" max="6" width="12.5" customWidth="1"/>
    <col min="7" max="7" width="54.59765625" customWidth="1"/>
  </cols>
  <sheetData>
    <row r="1" spans="1:11" ht="32.25" customHeight="1">
      <c r="A1" s="2729" t="s">
        <v>380</v>
      </c>
      <c r="B1" s="2729"/>
      <c r="C1" s="2729"/>
      <c r="D1" s="2729"/>
      <c r="E1" s="2729"/>
      <c r="F1" s="2729"/>
      <c r="G1" s="3180"/>
      <c r="H1" s="84"/>
      <c r="I1" s="84"/>
      <c r="J1" s="84"/>
      <c r="K1" s="84"/>
    </row>
    <row r="2" spans="1:11" ht="20.25" customHeight="1">
      <c r="A2" s="3223" t="str">
        <f>"委托单位："&amp;基本情况!B2</f>
        <v>委托单位：0</v>
      </c>
      <c r="B2" s="3223"/>
      <c r="C2" s="509"/>
      <c r="D2" s="136" t="s">
        <v>1282</v>
      </c>
      <c r="E2" s="136" t="s">
        <v>1053</v>
      </c>
      <c r="F2" s="485" t="s">
        <v>283</v>
      </c>
      <c r="G2" s="3180"/>
      <c r="H2" s="84"/>
      <c r="I2" s="84"/>
      <c r="J2" s="84"/>
      <c r="K2" s="84"/>
    </row>
    <row r="3" spans="1:11" ht="20.25" customHeight="1">
      <c r="A3" s="3223"/>
      <c r="B3" s="3223"/>
      <c r="C3" s="158" t="s">
        <v>450</v>
      </c>
      <c r="D3" s="510">
        <f>基本情况!B12</f>
        <v>0</v>
      </c>
      <c r="E3" s="559" t="str">
        <f>TEXT(基本情况!B21,"yyyy-mm-dd")</f>
        <v>2017-03-16</v>
      </c>
      <c r="F3" s="3138" t="str">
        <f>档案索引!A45</f>
        <v>2A-25</v>
      </c>
      <c r="G3" s="3180"/>
      <c r="H3" s="84"/>
      <c r="I3" s="84"/>
      <c r="J3" s="84"/>
      <c r="K3" s="84"/>
    </row>
    <row r="4" spans="1:11" ht="20.25" customHeight="1">
      <c r="A4" s="3189" t="str">
        <f>"会计期间："&amp;基本情况!B7</f>
        <v>会计期间：2016年01月01日至2016年12月31日</v>
      </c>
      <c r="B4" s="3189"/>
      <c r="C4" s="140" t="s">
        <v>452</v>
      </c>
      <c r="D4" s="513">
        <f>基本情况!B11</f>
        <v>0</v>
      </c>
      <c r="E4" s="513" t="str">
        <f>TEXT(基本情况!B22,"yyyy-mm-dd")</f>
        <v>2017-05-04</v>
      </c>
      <c r="F4" s="3138"/>
      <c r="G4" s="3180"/>
      <c r="H4" s="84"/>
      <c r="I4" s="84"/>
      <c r="J4" s="84"/>
      <c r="K4" s="84"/>
    </row>
    <row r="5" spans="1:11" ht="7.5" customHeight="1">
      <c r="A5" s="2926"/>
      <c r="B5" s="2926"/>
      <c r="C5" s="2926"/>
      <c r="D5" s="2926"/>
      <c r="E5" s="2926"/>
      <c r="F5" s="2926"/>
      <c r="G5" s="543"/>
      <c r="H5" s="84"/>
      <c r="I5" s="84"/>
      <c r="J5" s="84"/>
      <c r="K5" s="84"/>
    </row>
    <row r="6" spans="1:11" ht="27.75" customHeight="1">
      <c r="A6" s="532" t="s">
        <v>25</v>
      </c>
      <c r="B6" s="3063" t="s">
        <v>665</v>
      </c>
      <c r="C6" s="3063"/>
      <c r="D6" s="582" t="s">
        <v>26</v>
      </c>
      <c r="E6" s="582" t="s">
        <v>1300</v>
      </c>
      <c r="F6" s="772" t="s">
        <v>27</v>
      </c>
      <c r="G6" s="84" t="s">
        <v>395</v>
      </c>
      <c r="H6" s="84"/>
      <c r="I6" s="84"/>
      <c r="J6" s="84"/>
      <c r="K6" s="84"/>
    </row>
    <row r="7" spans="1:11" ht="17.25" customHeight="1">
      <c r="A7" s="3051" t="s">
        <v>28</v>
      </c>
      <c r="B7" s="3332" t="s">
        <v>6490</v>
      </c>
      <c r="C7" s="3332"/>
      <c r="D7" s="1162"/>
      <c r="E7" s="1162"/>
      <c r="F7" s="774">
        <f>E7-D7</f>
        <v>0</v>
      </c>
      <c r="G7" s="493" t="s">
        <v>1288</v>
      </c>
      <c r="H7" s="84"/>
      <c r="I7" s="84"/>
      <c r="J7" s="84"/>
      <c r="K7" s="84"/>
    </row>
    <row r="8" spans="1:11" ht="17.25" customHeight="1">
      <c r="A8" s="3051"/>
      <c r="B8" s="3057" t="s">
        <v>6628</v>
      </c>
      <c r="C8" s="3057"/>
      <c r="D8" s="1696"/>
      <c r="E8" s="1696"/>
      <c r="F8" s="1697">
        <f>E8-D8</f>
        <v>0</v>
      </c>
      <c r="G8" s="232" t="s">
        <v>29</v>
      </c>
      <c r="H8" s="84"/>
      <c r="I8" s="84"/>
      <c r="J8" s="84"/>
      <c r="K8" s="84"/>
    </row>
    <row r="9" spans="1:11" ht="17.25" customHeight="1">
      <c r="A9" s="3051"/>
      <c r="B9" s="3057" t="s">
        <v>30</v>
      </c>
      <c r="C9" s="3057"/>
      <c r="D9" s="786" t="s">
        <v>509</v>
      </c>
      <c r="E9" s="1121"/>
      <c r="F9" s="699">
        <f>E9</f>
        <v>0</v>
      </c>
      <c r="G9" s="493" t="s">
        <v>31</v>
      </c>
      <c r="H9" s="84"/>
      <c r="I9" s="84"/>
      <c r="J9" s="84"/>
      <c r="K9" s="84"/>
    </row>
    <row r="10" spans="1:11" ht="17.25" customHeight="1">
      <c r="A10" s="3051"/>
      <c r="B10" s="3057" t="s">
        <v>6489</v>
      </c>
      <c r="C10" s="3057"/>
      <c r="D10" s="1772"/>
      <c r="E10" s="1772"/>
      <c r="F10" s="1697">
        <f>E10-D10</f>
        <v>0</v>
      </c>
      <c r="G10" s="84"/>
      <c r="H10" s="84"/>
      <c r="I10" s="84"/>
      <c r="J10" s="84"/>
      <c r="K10" s="84"/>
    </row>
    <row r="11" spans="1:11" ht="17.25" customHeight="1">
      <c r="A11" s="3051"/>
      <c r="B11" s="3345" t="s">
        <v>6098</v>
      </c>
      <c r="C11" s="3346"/>
      <c r="D11" s="1163"/>
      <c r="E11" s="786" t="s">
        <v>509</v>
      </c>
      <c r="F11" s="699">
        <f>-D11</f>
        <v>0</v>
      </c>
      <c r="G11" s="84"/>
      <c r="H11" s="84"/>
      <c r="I11" s="84"/>
      <c r="J11" s="84"/>
      <c r="K11" s="84"/>
    </row>
    <row r="12" spans="1:11" ht="17.25" customHeight="1">
      <c r="A12" s="3051"/>
      <c r="B12" s="3343" t="s">
        <v>6099</v>
      </c>
      <c r="C12" s="3344"/>
      <c r="D12" s="786" t="s">
        <v>509</v>
      </c>
      <c r="E12" s="1163"/>
      <c r="F12" s="699">
        <f>E12</f>
        <v>0</v>
      </c>
      <c r="G12" s="493" t="s">
        <v>32</v>
      </c>
      <c r="H12" s="84"/>
      <c r="I12" s="84"/>
      <c r="J12" s="84"/>
      <c r="K12" s="84"/>
    </row>
    <row r="13" spans="1:11" ht="17.25" customHeight="1">
      <c r="A13" s="3269" t="s">
        <v>33</v>
      </c>
      <c r="B13" s="3332" t="s">
        <v>34</v>
      </c>
      <c r="C13" s="3332"/>
      <c r="D13" s="1161"/>
      <c r="E13" s="1161"/>
      <c r="F13" s="774">
        <f>D13-E13</f>
        <v>0</v>
      </c>
      <c r="G13" s="84"/>
      <c r="H13" s="84"/>
      <c r="I13" s="84"/>
      <c r="J13" s="84"/>
      <c r="K13" s="84"/>
    </row>
    <row r="14" spans="1:11" ht="17.25" customHeight="1">
      <c r="A14" s="3338"/>
      <c r="B14" s="3057" t="s">
        <v>35</v>
      </c>
      <c r="C14" s="3057"/>
      <c r="D14" s="1120"/>
      <c r="E14" s="1120"/>
      <c r="F14" s="699">
        <f>D14-E14</f>
        <v>0</v>
      </c>
      <c r="G14" s="493" t="s">
        <v>562</v>
      </c>
      <c r="H14" s="84"/>
      <c r="I14" s="84"/>
      <c r="J14" s="84"/>
      <c r="K14" s="84"/>
    </row>
    <row r="15" spans="1:11" ht="17.25" customHeight="1">
      <c r="A15" s="3338"/>
      <c r="B15" s="3057" t="s">
        <v>6490</v>
      </c>
      <c r="C15" s="3057"/>
      <c r="D15" s="1777"/>
      <c r="E15" s="1781"/>
      <c r="F15" s="1697">
        <f>D15-E15</f>
        <v>0</v>
      </c>
      <c r="G15" s="3107" t="s">
        <v>37</v>
      </c>
      <c r="H15" s="3107"/>
      <c r="I15" s="3107"/>
      <c r="J15" s="3107"/>
      <c r="K15" s="3107"/>
    </row>
    <row r="16" spans="1:11" ht="17.25" customHeight="1">
      <c r="A16" s="3338"/>
      <c r="B16" s="3331"/>
      <c r="C16" s="3331"/>
      <c r="D16" s="1140"/>
      <c r="E16" s="1140"/>
      <c r="F16" s="1164"/>
      <c r="G16" s="3107"/>
      <c r="H16" s="3107"/>
      <c r="I16" s="3107"/>
      <c r="J16" s="3107"/>
      <c r="K16" s="3107"/>
    </row>
    <row r="17" spans="1:11" ht="17.25" customHeight="1">
      <c r="A17" s="1785" t="s">
        <v>6496</v>
      </c>
      <c r="B17" s="3339" t="s">
        <v>6490</v>
      </c>
      <c r="C17" s="3340"/>
      <c r="D17" s="2071"/>
      <c r="E17" s="2071"/>
      <c r="F17" s="1786"/>
      <c r="G17" s="3107"/>
      <c r="H17" s="3107"/>
      <c r="I17" s="3107"/>
      <c r="J17" s="3107"/>
      <c r="K17" s="3107"/>
    </row>
    <row r="18" spans="1:11" ht="17.25" customHeight="1">
      <c r="A18" s="1787" t="s">
        <v>6497</v>
      </c>
      <c r="B18" s="3341"/>
      <c r="C18" s="3342"/>
      <c r="D18" s="2071"/>
      <c r="E18" s="2071"/>
      <c r="F18" s="1786"/>
      <c r="G18" s="3107"/>
      <c r="H18" s="3107"/>
      <c r="I18" s="3107"/>
      <c r="J18" s="3107"/>
      <c r="K18" s="3107"/>
    </row>
    <row r="19" spans="1:11" ht="17.25" customHeight="1">
      <c r="A19" s="1783" t="s">
        <v>6498</v>
      </c>
      <c r="B19" s="3337"/>
      <c r="C19" s="3337"/>
      <c r="D19" s="2071"/>
      <c r="E19" s="2071"/>
      <c r="F19" s="1784"/>
      <c r="G19" s="3107"/>
      <c r="H19" s="3107"/>
      <c r="I19" s="3107"/>
      <c r="J19" s="3107"/>
      <c r="K19" s="3107"/>
    </row>
    <row r="20" spans="1:11" ht="17.25" customHeight="1">
      <c r="A20" s="3051" t="s">
        <v>38</v>
      </c>
      <c r="B20" s="3332" t="s">
        <v>6491</v>
      </c>
      <c r="C20" s="3332"/>
      <c r="D20" s="1775">
        <f>A104000期间费用明细表!C11+A104000期间费用明细表!E11</f>
        <v>0</v>
      </c>
      <c r="E20" s="1776"/>
      <c r="F20" s="774">
        <f>D20-E20</f>
        <v>0</v>
      </c>
      <c r="G20" s="232" t="s">
        <v>39</v>
      </c>
      <c r="H20" s="787"/>
      <c r="I20" s="84"/>
      <c r="J20" s="84"/>
      <c r="K20" s="84"/>
    </row>
    <row r="21" spans="1:11" ht="17.25" customHeight="1">
      <c r="A21" s="3051"/>
      <c r="B21" s="3333" t="s">
        <v>6492</v>
      </c>
      <c r="C21" s="3333"/>
      <c r="D21" s="1777"/>
      <c r="E21" s="786" t="s">
        <v>509</v>
      </c>
      <c r="F21" s="699">
        <f t="shared" ref="F21:F34" si="0">D21</f>
        <v>0</v>
      </c>
      <c r="G21" s="787"/>
      <c r="H21" s="787"/>
      <c r="I21" s="84"/>
      <c r="J21" s="84"/>
      <c r="K21" s="84"/>
    </row>
    <row r="22" spans="1:11" ht="17.25" customHeight="1">
      <c r="A22" s="3051"/>
      <c r="B22" s="3334" t="str">
        <f>凭证检查!S14</f>
        <v>未取得合法有效票据的支出</v>
      </c>
      <c r="C22" s="3334"/>
      <c r="D22" s="518">
        <f>SUMIF(凭证检查!M6:M205,凭证检查!R14,凭证检查!G6:G205)</f>
        <v>0</v>
      </c>
      <c r="E22" s="786" t="s">
        <v>509</v>
      </c>
      <c r="F22" s="699">
        <f t="shared" si="0"/>
        <v>0</v>
      </c>
      <c r="G22" s="232" t="s">
        <v>40</v>
      </c>
      <c r="H22" s="787"/>
      <c r="I22" s="84"/>
      <c r="J22" s="84"/>
      <c r="K22" s="84"/>
    </row>
    <row r="23" spans="1:11" ht="17.25" customHeight="1">
      <c r="A23" s="3051"/>
      <c r="B23" s="3334" t="str">
        <f>凭证检查!S17</f>
        <v>非本公司费用</v>
      </c>
      <c r="C23" s="3334"/>
      <c r="D23" s="518">
        <f>SUMIF(凭证检查!M6:M205,凭证检查!R17,凭证检查!G6:G205)</f>
        <v>0</v>
      </c>
      <c r="E23" s="788" t="s">
        <v>509</v>
      </c>
      <c r="F23" s="699">
        <f t="shared" si="0"/>
        <v>0</v>
      </c>
      <c r="G23" s="787"/>
      <c r="H23" s="787"/>
      <c r="I23" s="84"/>
      <c r="J23" s="84"/>
      <c r="K23" s="84"/>
    </row>
    <row r="24" spans="1:11" ht="17.25" customHeight="1">
      <c r="A24" s="3051"/>
      <c r="B24" s="3057" t="s">
        <v>566</v>
      </c>
      <c r="C24" s="3057"/>
      <c r="D24" s="518">
        <f>SUMIF(凭证检查!M6:M205,凭证检查!R16,凭证检查!G6:G205)</f>
        <v>0</v>
      </c>
      <c r="E24" s="786" t="s">
        <v>509</v>
      </c>
      <c r="F24" s="699">
        <f t="shared" si="0"/>
        <v>0</v>
      </c>
      <c r="G24" s="789" t="s">
        <v>41</v>
      </c>
      <c r="H24" s="787"/>
      <c r="I24" s="84"/>
      <c r="J24" s="84"/>
      <c r="K24" s="84"/>
    </row>
    <row r="25" spans="1:11" ht="17.25" customHeight="1">
      <c r="A25" s="3051"/>
      <c r="B25" s="3335" t="str">
        <f>IF(凭证检查!S25="","商业人身保险",凭证检查!S25)</f>
        <v>跨期费用</v>
      </c>
      <c r="C25" s="3335"/>
      <c r="D25" s="1120">
        <f>SUMIF(凭证检查!M6:M205,凭证检查!R25,凭证检查!G6:G205)</f>
        <v>0</v>
      </c>
      <c r="E25" s="786" t="s">
        <v>509</v>
      </c>
      <c r="F25" s="699">
        <f t="shared" si="0"/>
        <v>0</v>
      </c>
      <c r="G25" s="787"/>
      <c r="H25" s="787"/>
      <c r="I25" s="84"/>
      <c r="J25" s="84"/>
      <c r="K25" s="84"/>
    </row>
    <row r="26" spans="1:11" ht="17.25" customHeight="1">
      <c r="A26" s="3051"/>
      <c r="B26" s="3334" t="str">
        <f>凭证检查!S22</f>
        <v>大额购物未附清单</v>
      </c>
      <c r="C26" s="3334"/>
      <c r="D26" s="518">
        <f>SUMIF(凭证检查!M6:M205,凭证检查!R22,凭证检查!G6:G205)</f>
        <v>0</v>
      </c>
      <c r="E26" s="786" t="s">
        <v>509</v>
      </c>
      <c r="F26" s="699">
        <f t="shared" si="0"/>
        <v>0</v>
      </c>
      <c r="G26" s="787"/>
      <c r="H26" s="787"/>
      <c r="I26" s="84"/>
      <c r="J26" s="84"/>
      <c r="K26" s="84"/>
    </row>
    <row r="27" spans="1:11" ht="17.25" customHeight="1">
      <c r="A27" s="3051"/>
      <c r="B27" s="3335" t="s">
        <v>42</v>
      </c>
      <c r="C27" s="3335"/>
      <c r="D27" s="786" t="s">
        <v>509</v>
      </c>
      <c r="E27" s="1110"/>
      <c r="F27" s="791">
        <f>-E27</f>
        <v>0</v>
      </c>
      <c r="G27" s="789"/>
      <c r="H27" s="787"/>
      <c r="I27" s="84"/>
      <c r="J27" s="84"/>
      <c r="K27" s="84"/>
    </row>
    <row r="28" spans="1:11" ht="17.25" customHeight="1">
      <c r="A28" s="3051"/>
      <c r="B28" s="3335" t="str">
        <f>IF(凭证检查!S26="","按权责发生制原则应在以后年度确认的支出",凭证检查!S26)</f>
        <v>按权责发生制原则应在以后年度确认的支出</v>
      </c>
      <c r="C28" s="3335"/>
      <c r="D28" s="1120">
        <f>SUMIF(凭证检查!M6:M205,凭证检查!R26,凭证检查!G6:G205)</f>
        <v>0</v>
      </c>
      <c r="E28" s="786" t="s">
        <v>509</v>
      </c>
      <c r="F28" s="699">
        <f t="shared" si="0"/>
        <v>0</v>
      </c>
      <c r="G28" s="787"/>
      <c r="H28" s="787"/>
      <c r="I28" s="84"/>
      <c r="J28" s="84"/>
      <c r="K28" s="84"/>
    </row>
    <row r="29" spans="1:11" ht="17.25" customHeight="1">
      <c r="A29" s="3051"/>
      <c r="B29" s="3057" t="s">
        <v>571</v>
      </c>
      <c r="C29" s="3057"/>
      <c r="D29" s="518">
        <f>SUMIF(凭证检查!M6:M205,凭证检查!R21,凭证检查!G6:G205)</f>
        <v>0</v>
      </c>
      <c r="E29" s="786" t="s">
        <v>509</v>
      </c>
      <c r="F29" s="699">
        <f t="shared" si="0"/>
        <v>0</v>
      </c>
      <c r="G29" s="789" t="s">
        <v>41</v>
      </c>
      <c r="H29" s="787"/>
      <c r="I29" s="84"/>
      <c r="J29" s="84"/>
      <c r="K29" s="84"/>
    </row>
    <row r="30" spans="1:11" ht="17.25" customHeight="1">
      <c r="A30" s="3051"/>
      <c r="B30" s="3057" t="s">
        <v>6495</v>
      </c>
      <c r="C30" s="3057"/>
      <c r="D30" s="1780">
        <f>SUMIF(凭证检查!M6:M205,凭证检查!R23,凭证检查!G6:G205)</f>
        <v>0</v>
      </c>
      <c r="E30" s="786" t="s">
        <v>509</v>
      </c>
      <c r="F30" s="699">
        <f t="shared" si="0"/>
        <v>0</v>
      </c>
      <c r="G30" s="789" t="s">
        <v>41</v>
      </c>
      <c r="H30" s="787"/>
      <c r="I30" s="84"/>
      <c r="J30" s="84"/>
      <c r="K30" s="84"/>
    </row>
    <row r="31" spans="1:11" ht="17.25" customHeight="1">
      <c r="A31" s="3051"/>
      <c r="B31" s="3336" t="s">
        <v>6603</v>
      </c>
      <c r="C31" s="3336"/>
      <c r="D31" s="2056">
        <f>SUMIF(凭证检查!M6:M205,凭证检查!R18,凭证检查!G6:G205)</f>
        <v>0</v>
      </c>
      <c r="E31" s="1782">
        <f>IF((D31+招待!E15)*0.6&lt;=招待!J21,ROUND(D31*0.6,2),D31-(D31+招待!E15-招待!J21-招待!J23))</f>
        <v>0</v>
      </c>
      <c r="F31" s="1697">
        <f>D31-E31</f>
        <v>0</v>
      </c>
      <c r="G31" s="787"/>
      <c r="H31" s="84"/>
      <c r="I31" s="84"/>
      <c r="J31" s="84"/>
      <c r="K31" s="84"/>
    </row>
    <row r="32" spans="1:11" ht="17.25" customHeight="1">
      <c r="A32" s="3051"/>
      <c r="B32" s="3057" t="str">
        <f>IF(凭证检查!S27="","灾害事故损失获得赔偿部分",凭证检查!S27)</f>
        <v>灾害事故损失获得赔偿部分</v>
      </c>
      <c r="C32" s="3057"/>
      <c r="D32" s="1120">
        <f>SUMIF(凭证检查!M6:M205,凭证检查!R27,凭证检查!G6:G205)</f>
        <v>0</v>
      </c>
      <c r="E32" s="786" t="s">
        <v>509</v>
      </c>
      <c r="F32" s="699">
        <f t="shared" si="0"/>
        <v>0</v>
      </c>
      <c r="G32" s="2057" t="s">
        <v>6604</v>
      </c>
      <c r="H32" s="84"/>
      <c r="I32" s="84"/>
      <c r="J32" s="84"/>
      <c r="K32" s="84"/>
    </row>
    <row r="33" spans="1:11" ht="17.25" customHeight="1">
      <c r="A33" s="3051"/>
      <c r="B33" s="3325" t="s">
        <v>43</v>
      </c>
      <c r="C33" s="3325"/>
      <c r="D33" s="786" t="s">
        <v>509</v>
      </c>
      <c r="E33" s="516">
        <f>-(广宣!J32+招待!J25)</f>
        <v>0</v>
      </c>
      <c r="F33" s="791">
        <f>-E33</f>
        <v>0</v>
      </c>
      <c r="G33" s="787" t="s">
        <v>44</v>
      </c>
      <c r="H33" s="84"/>
      <c r="I33" s="84"/>
      <c r="J33" s="84"/>
      <c r="K33" s="84"/>
    </row>
    <row r="34" spans="1:11" ht="17.25" customHeight="1">
      <c r="A34" s="3051"/>
      <c r="B34" s="3057" t="str">
        <f>IF(凭证检查!S28="","为其他企业贷款担保的支出项目",凭证检查!S28)</f>
        <v>为其他企业贷款担保的支出项目</v>
      </c>
      <c r="C34" s="3057"/>
      <c r="D34" s="1120">
        <f>SUMIF(凭证检查!M6:M205,凭证检查!R28,凭证检查!G6:G205)</f>
        <v>0</v>
      </c>
      <c r="E34" s="786" t="s">
        <v>509</v>
      </c>
      <c r="F34" s="699">
        <f t="shared" si="0"/>
        <v>0</v>
      </c>
      <c r="G34" s="787" t="s">
        <v>45</v>
      </c>
      <c r="H34" s="84"/>
      <c r="I34" s="84"/>
      <c r="J34" s="84"/>
      <c r="K34" s="84"/>
    </row>
    <row r="35" spans="1:11" ht="17.25" customHeight="1">
      <c r="A35" s="3051"/>
      <c r="B35" s="3057" t="s">
        <v>46</v>
      </c>
      <c r="C35" s="3057"/>
      <c r="D35" s="1110"/>
      <c r="E35" s="525">
        <f>D35+D35</f>
        <v>0</v>
      </c>
      <c r="F35" s="791">
        <f>-D35</f>
        <v>0</v>
      </c>
      <c r="G35" s="232" t="s">
        <v>559</v>
      </c>
      <c r="H35" s="84"/>
      <c r="I35" s="84"/>
      <c r="J35" s="84"/>
      <c r="K35" s="84"/>
    </row>
    <row r="36" spans="1:11" ht="17.25" customHeight="1">
      <c r="A36" s="3051"/>
      <c r="B36" s="3325" t="s">
        <v>47</v>
      </c>
      <c r="C36" s="3325"/>
      <c r="D36" s="786" t="s">
        <v>509</v>
      </c>
      <c r="E36" s="1120"/>
      <c r="F36" s="791">
        <f>-E36</f>
        <v>0</v>
      </c>
      <c r="G36" s="84"/>
      <c r="H36" s="84"/>
      <c r="I36" s="84"/>
      <c r="J36" s="84"/>
      <c r="K36" s="84"/>
    </row>
    <row r="37" spans="1:11" ht="17.25" customHeight="1">
      <c r="A37" s="3051"/>
      <c r="B37" s="3326" t="str">
        <f>凭证检查!S20</f>
        <v>不属于应付福利费开支范围的支出</v>
      </c>
      <c r="C37" s="3326"/>
      <c r="D37" s="701">
        <f>SUMIF(凭证检查!M6:M205,凭证检查!R20,凭证检查!G6:G205)</f>
        <v>0</v>
      </c>
      <c r="E37" s="786" t="s">
        <v>509</v>
      </c>
      <c r="F37" s="699">
        <f>D37</f>
        <v>0</v>
      </c>
      <c r="G37" s="792">
        <f>COUNTIF(F7:F41,"&lt;&gt;""")-COUNTBLANK(F7:F41)</f>
        <v>31</v>
      </c>
      <c r="H37" s="84"/>
      <c r="I37" s="84"/>
      <c r="J37" s="84"/>
      <c r="K37" s="84"/>
    </row>
    <row r="38" spans="1:11" ht="17.25" customHeight="1">
      <c r="A38" s="3051"/>
      <c r="B38" s="3327" t="str">
        <f>凭证检查!S19</f>
        <v>产权不属于公司的汽车费用</v>
      </c>
      <c r="C38" s="3327"/>
      <c r="D38" s="701">
        <f>SUMIF(凭证检查!M6:M205,凭证检查!R19,凭证检查!G6:G205)</f>
        <v>0</v>
      </c>
      <c r="E38" s="786" t="s">
        <v>509</v>
      </c>
      <c r="F38" s="699">
        <f>D38</f>
        <v>0</v>
      </c>
      <c r="G38" s="1235" t="s">
        <v>328</v>
      </c>
      <c r="H38" s="84"/>
      <c r="I38" s="84"/>
      <c r="J38" s="84"/>
      <c r="K38" s="84"/>
    </row>
    <row r="39" spans="1:11" ht="17.25" customHeight="1">
      <c r="A39" s="3051"/>
      <c r="B39" s="3057" t="s">
        <v>6106</v>
      </c>
      <c r="C39" s="3057"/>
      <c r="D39" s="1698"/>
      <c r="E39" s="1699"/>
      <c r="F39" s="702">
        <f>D39-E39</f>
        <v>0</v>
      </c>
      <c r="G39" s="1676"/>
      <c r="H39" s="84"/>
      <c r="I39" s="84"/>
      <c r="J39" s="84"/>
      <c r="K39" s="84"/>
    </row>
    <row r="40" spans="1:11" ht="17.25" customHeight="1">
      <c r="A40" s="3051"/>
      <c r="B40" s="3329" t="s">
        <v>6107</v>
      </c>
      <c r="C40" s="3330"/>
      <c r="D40" s="1773">
        <f>SUMIF(凭证检查!M6:M205,凭证检查!R15,凭证检查!G6:G205)</f>
        <v>0</v>
      </c>
      <c r="E40" s="1699"/>
      <c r="F40" s="699">
        <f>D40-E40</f>
        <v>0</v>
      </c>
      <c r="G40" s="1676"/>
      <c r="H40" s="84"/>
      <c r="I40" s="84"/>
      <c r="J40" s="84"/>
      <c r="K40" s="84"/>
    </row>
    <row r="41" spans="1:11" ht="17.25" customHeight="1">
      <c r="A41" s="3051"/>
      <c r="B41" s="3328"/>
      <c r="C41" s="3328"/>
      <c r="D41" s="2229"/>
      <c r="E41" s="2228"/>
      <c r="F41" s="1774">
        <f>D41-E41</f>
        <v>0</v>
      </c>
      <c r="G41" s="793" t="s">
        <v>48</v>
      </c>
      <c r="H41" s="84"/>
      <c r="I41" s="84"/>
      <c r="J41" s="84"/>
      <c r="K41" s="84"/>
    </row>
    <row r="42" spans="1:11" ht="21.75" customHeight="1">
      <c r="A42" s="794"/>
      <c r="B42" s="2926" t="s">
        <v>702</v>
      </c>
      <c r="C42" s="2926"/>
      <c r="D42" s="795">
        <f>SUM(D20:D41)</f>
        <v>0</v>
      </c>
      <c r="E42" s="795">
        <f>SUM(E20:E41)</f>
        <v>0</v>
      </c>
      <c r="F42" s="795">
        <f>SUM(F20:F41)</f>
        <v>0</v>
      </c>
      <c r="G42" s="84"/>
      <c r="H42" s="84"/>
      <c r="I42" s="84"/>
      <c r="J42" s="84"/>
      <c r="K42" s="84"/>
    </row>
    <row r="43" spans="1:11" ht="15" customHeight="1">
      <c r="A43" s="3320" t="s">
        <v>1323</v>
      </c>
      <c r="B43" s="3148" t="s">
        <v>49</v>
      </c>
      <c r="C43" s="3148"/>
      <c r="D43" s="3102" t="str">
        <f>IF(COUNTIF(F7:F41,"&lt;&gt;0")&gt;COUNTBLANK(F7:F41),"、E","")</f>
        <v/>
      </c>
      <c r="E43" s="3102"/>
      <c r="F43" s="3102"/>
      <c r="G43" s="84"/>
      <c r="H43" s="84"/>
      <c r="I43" s="84"/>
      <c r="J43" s="84"/>
      <c r="K43" s="84"/>
    </row>
    <row r="44" spans="1:11" ht="42.75" customHeight="1">
      <c r="A44" s="3320"/>
      <c r="B44" s="3321"/>
      <c r="C44" s="3321"/>
      <c r="D44" s="3321"/>
      <c r="E44" s="3321"/>
      <c r="F44" s="3321"/>
      <c r="G44" s="84"/>
      <c r="H44" s="84"/>
      <c r="I44" s="84"/>
      <c r="J44" s="84"/>
      <c r="K44" s="84"/>
    </row>
    <row r="45" spans="1:11" ht="21.75" customHeight="1">
      <c r="A45" s="528" t="s">
        <v>574</v>
      </c>
      <c r="B45" s="3141" t="str">
        <f>IF(COUNTIF(F7:F41,"&lt;&gt;0")&gt;COUNTBLANK(F7:F41),"调整后认可！","不存在调整事项,认可！")</f>
        <v>不存在调整事项,认可！</v>
      </c>
      <c r="C45" s="3141"/>
      <c r="D45" s="3141"/>
      <c r="E45" s="3141"/>
      <c r="F45" s="3141"/>
      <c r="G45" s="84"/>
      <c r="H45" s="84"/>
      <c r="I45" s="84"/>
      <c r="J45" s="84"/>
      <c r="K45" s="84"/>
    </row>
  </sheetData>
  <sheetProtection selectLockedCells="1" selectUnlockedCells="1"/>
  <mergeCells count="52">
    <mergeCell ref="B10:C10"/>
    <mergeCell ref="B12:C12"/>
    <mergeCell ref="G1:G4"/>
    <mergeCell ref="A2:B3"/>
    <mergeCell ref="F3:F4"/>
    <mergeCell ref="A4:B4"/>
    <mergeCell ref="A5:F5"/>
    <mergeCell ref="B6:C6"/>
    <mergeCell ref="A7:A12"/>
    <mergeCell ref="A1:F1"/>
    <mergeCell ref="B7:C7"/>
    <mergeCell ref="B8:C8"/>
    <mergeCell ref="B9:C9"/>
    <mergeCell ref="B11:C11"/>
    <mergeCell ref="B13:C13"/>
    <mergeCell ref="B14:C14"/>
    <mergeCell ref="B15:C15"/>
    <mergeCell ref="B19:C19"/>
    <mergeCell ref="A13:A16"/>
    <mergeCell ref="B17:C17"/>
    <mergeCell ref="B18:C18"/>
    <mergeCell ref="B32:C32"/>
    <mergeCell ref="G15:K19"/>
    <mergeCell ref="B16:C16"/>
    <mergeCell ref="A20:A41"/>
    <mergeCell ref="B20:C20"/>
    <mergeCell ref="B21:C21"/>
    <mergeCell ref="B22:C22"/>
    <mergeCell ref="B23:C23"/>
    <mergeCell ref="B26:C26"/>
    <mergeCell ref="B24:C24"/>
    <mergeCell ref="B25:C25"/>
    <mergeCell ref="B29:C29"/>
    <mergeCell ref="B30:C30"/>
    <mergeCell ref="B31:C31"/>
    <mergeCell ref="B27:C27"/>
    <mergeCell ref="B28:C28"/>
    <mergeCell ref="B33:C33"/>
    <mergeCell ref="B34:C34"/>
    <mergeCell ref="A43:A44"/>
    <mergeCell ref="B43:C43"/>
    <mergeCell ref="B45:F45"/>
    <mergeCell ref="B35:C35"/>
    <mergeCell ref="B36:C36"/>
    <mergeCell ref="B37:C37"/>
    <mergeCell ref="B38:C38"/>
    <mergeCell ref="B41:C41"/>
    <mergeCell ref="D43:F43"/>
    <mergeCell ref="B44:F44"/>
    <mergeCell ref="B42:C42"/>
    <mergeCell ref="B39:C39"/>
    <mergeCell ref="B40:C40"/>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D43:F43">
      <formula1>0</formula1>
      <formula2>0</formula2>
    </dataValidation>
  </dataValidations>
  <hyperlinks>
    <hyperlink ref="G7" location="资产负债!A1" display="资产负债表"/>
    <hyperlink ref="G8" location="营外收支!A1" display="营外收支!A1"/>
    <hyperlink ref="G9" location="招待!D27" display="招待!D27"/>
    <hyperlink ref="G12" location="事项说明!A52" display="事项说明!A52"/>
    <hyperlink ref="G14" location="纳税调整明细表!E45" display="纳税调整明细表!E45"/>
    <hyperlink ref="G20" location="减值准备纳税调整表!A1" display="减值准备纳税调整表!A1"/>
    <hyperlink ref="G22" location="凭证检查!J7" display="凭证检查!J7"/>
    <hyperlink ref="G35" location="工资福利!A1" display="工资福利!A1"/>
    <hyperlink ref="G38" location="财务费用!A1" display="财务费用审核表"/>
    <hyperlink ref="G32" location="A105000纳税调整项目明细表!A1" display="A105000纳税调整项目明细表!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EE11"/>
  <sheetViews>
    <sheetView workbookViewId="0">
      <selection activeCell="I8" sqref="I8:K8"/>
    </sheetView>
  </sheetViews>
  <sheetFormatPr defaultRowHeight="15.6"/>
  <cols>
    <col min="1" max="1" width="10.8984375" customWidth="1"/>
    <col min="2" max="2" width="19" customWidth="1"/>
    <col min="3" max="3" width="10.5" customWidth="1"/>
    <col min="4" max="4" width="6.69921875" customWidth="1"/>
    <col min="5" max="5" width="10.5" customWidth="1"/>
    <col min="6" max="6" width="6" customWidth="1"/>
    <col min="7" max="7" width="12.09765625" customWidth="1"/>
    <col min="8" max="8" width="9.19921875" customWidth="1"/>
    <col min="9" max="9" width="6.69921875" customWidth="1"/>
    <col min="10" max="11" width="10.5" customWidth="1"/>
  </cols>
  <sheetData>
    <row r="1" spans="1:135" ht="22.2">
      <c r="A1" s="3370" t="s">
        <v>1425</v>
      </c>
      <c r="B1" s="3370"/>
      <c r="C1" s="3370"/>
      <c r="D1" s="3370"/>
      <c r="E1" s="3370"/>
      <c r="F1" s="3370"/>
      <c r="G1" s="3370"/>
      <c r="H1" s="3370"/>
      <c r="I1" s="3370"/>
      <c r="J1" s="3370"/>
      <c r="K1" s="3370"/>
      <c r="L1" s="3370"/>
    </row>
    <row r="2" spans="1:135">
      <c r="A2" s="1292" t="s">
        <v>1434</v>
      </c>
      <c r="B2" s="3379">
        <f>基本情况!B2</f>
        <v>0</v>
      </c>
      <c r="C2" s="3379"/>
      <c r="D2" s="1294" t="s">
        <v>1448</v>
      </c>
      <c r="E2" s="1293">
        <f>基本情况!B12</f>
        <v>0</v>
      </c>
      <c r="F2" s="1294" t="s">
        <v>1450</v>
      </c>
      <c r="G2" s="1295" t="str">
        <f>基本情况!B21</f>
        <v>2017年3月16日</v>
      </c>
      <c r="H2" s="1284" t="s">
        <v>1435</v>
      </c>
      <c r="I2" s="3371" t="str">
        <f>基本情况!B48</f>
        <v>0</v>
      </c>
      <c r="J2" s="3372"/>
      <c r="K2" s="3372"/>
      <c r="L2" s="3373"/>
    </row>
    <row r="3" spans="1:135">
      <c r="A3" s="1296" t="s">
        <v>1436</v>
      </c>
      <c r="B3" s="3380" t="str">
        <f>IF(OR(基本情况!B6&lt;&gt;"12月31日",基本情况!F5&lt;&gt;"01",基本情况!G5&lt;&gt;"01"),基本情况!B7,基本情况!B4&amp;"年度")</f>
        <v>2016年度</v>
      </c>
      <c r="C3" s="3380"/>
      <c r="D3" s="1297" t="s">
        <v>1449</v>
      </c>
      <c r="E3" s="1289">
        <f>基本情况!B11</f>
        <v>0</v>
      </c>
      <c r="F3" s="1297" t="s">
        <v>1450</v>
      </c>
      <c r="G3" s="1298" t="str">
        <f>基本情况!B22</f>
        <v>2017年5月4日</v>
      </c>
      <c r="H3" s="1299"/>
      <c r="I3" s="1299"/>
      <c r="J3" s="1290" t="s">
        <v>1447</v>
      </c>
      <c r="K3" s="3374" t="str">
        <f>档案索引!A33</f>
        <v>2A-13</v>
      </c>
      <c r="L3" s="3375"/>
    </row>
    <row r="4" spans="1:135" ht="6.75" customHeight="1">
      <c r="A4" s="3376"/>
      <c r="B4" s="3377"/>
      <c r="C4" s="3377"/>
      <c r="D4" s="3377"/>
      <c r="E4" s="3377"/>
      <c r="F4" s="3377"/>
      <c r="G4" s="3377"/>
      <c r="H4" s="3377"/>
      <c r="I4" s="3377"/>
      <c r="J4" s="3377"/>
      <c r="K4" s="3377"/>
      <c r="L4" s="3378"/>
      <c r="M4" s="705"/>
      <c r="N4" s="705"/>
      <c r="O4" s="705"/>
      <c r="P4" s="705"/>
      <c r="Q4" s="705"/>
      <c r="R4" s="705"/>
      <c r="S4" s="705"/>
      <c r="T4" s="705"/>
      <c r="U4" s="705"/>
      <c r="V4" s="705"/>
      <c r="W4" s="705"/>
      <c r="X4" s="705"/>
      <c r="Y4" s="705"/>
      <c r="Z4" s="705"/>
      <c r="AA4" s="705"/>
      <c r="AB4" s="705"/>
      <c r="AC4" s="705"/>
      <c r="AD4" s="705"/>
      <c r="AE4" s="705"/>
      <c r="AF4" s="705"/>
      <c r="AG4" s="705"/>
      <c r="AH4" s="705"/>
      <c r="AI4" s="705"/>
      <c r="AJ4" s="705"/>
      <c r="AK4" s="705"/>
      <c r="AL4" s="705"/>
      <c r="AM4" s="705"/>
      <c r="AN4" s="705"/>
      <c r="AO4" s="705"/>
      <c r="AP4" s="705"/>
      <c r="AQ4" s="705"/>
      <c r="AR4" s="705"/>
      <c r="AS4" s="705"/>
      <c r="AT4" s="705"/>
      <c r="AU4" s="705"/>
      <c r="AV4" s="705"/>
      <c r="AW4" s="705"/>
      <c r="AX4" s="705"/>
      <c r="AY4" s="705"/>
      <c r="AZ4" s="705"/>
      <c r="BA4" s="705"/>
      <c r="BB4" s="705"/>
      <c r="BC4" s="705"/>
      <c r="BD4" s="705"/>
      <c r="BE4" s="705"/>
      <c r="BF4" s="705"/>
      <c r="BG4" s="705"/>
      <c r="BH4" s="705"/>
      <c r="BI4" s="705"/>
      <c r="BJ4" s="705"/>
      <c r="BK4" s="705"/>
      <c r="BL4" s="705"/>
      <c r="BM4" s="705"/>
      <c r="BN4" s="705"/>
      <c r="BO4" s="705"/>
      <c r="BP4" s="705"/>
      <c r="BQ4" s="705"/>
      <c r="BR4" s="705"/>
      <c r="BS4" s="705"/>
      <c r="BT4" s="705"/>
      <c r="BU4" s="705"/>
      <c r="BV4" s="705"/>
      <c r="BW4" s="705"/>
      <c r="BX4" s="705"/>
      <c r="BY4" s="705"/>
      <c r="BZ4" s="705"/>
      <c r="CA4" s="705"/>
      <c r="CB4" s="705"/>
      <c r="CC4" s="705"/>
      <c r="CD4" s="705"/>
      <c r="CE4" s="705"/>
      <c r="CF4" s="705"/>
      <c r="CG4" s="705"/>
      <c r="CH4" s="705"/>
      <c r="CI4" s="705"/>
      <c r="CJ4" s="705"/>
      <c r="CK4" s="705"/>
      <c r="CL4" s="705"/>
      <c r="CM4" s="705"/>
      <c r="CN4" s="705"/>
      <c r="CO4" s="705"/>
      <c r="CP4" s="705"/>
      <c r="CQ4" s="705"/>
      <c r="CR4" s="705"/>
      <c r="CS4" s="705"/>
      <c r="CT4" s="705"/>
      <c r="CU4" s="705"/>
      <c r="CV4" s="705"/>
      <c r="CW4" s="705"/>
      <c r="CX4" s="705"/>
      <c r="CY4" s="705"/>
      <c r="CZ4" s="705"/>
      <c r="DA4" s="705"/>
      <c r="DB4" s="705"/>
      <c r="DC4" s="705"/>
      <c r="DD4" s="705"/>
      <c r="DE4" s="705"/>
      <c r="DF4" s="705"/>
      <c r="DG4" s="705"/>
      <c r="DH4" s="705"/>
      <c r="DI4" s="705"/>
      <c r="DJ4" s="705"/>
      <c r="DK4" s="705"/>
      <c r="DL4" s="705"/>
      <c r="DM4" s="705"/>
      <c r="DN4" s="705"/>
      <c r="DO4" s="705"/>
      <c r="DP4" s="705"/>
      <c r="DQ4" s="705"/>
      <c r="DR4" s="705"/>
      <c r="DS4" s="705"/>
      <c r="DT4" s="705"/>
      <c r="DU4" s="705"/>
      <c r="DV4" s="705"/>
      <c r="DW4" s="705"/>
      <c r="DX4" s="705"/>
      <c r="DY4" s="705"/>
      <c r="DZ4" s="705"/>
      <c r="EA4" s="705"/>
      <c r="EB4" s="705"/>
      <c r="EC4" s="705"/>
      <c r="ED4" s="705"/>
      <c r="EE4" s="705"/>
    </row>
    <row r="5" spans="1:135" ht="39.75" customHeight="1">
      <c r="A5" s="3367" t="s">
        <v>1426</v>
      </c>
      <c r="B5" s="3367"/>
      <c r="C5" s="3368" t="s">
        <v>1427</v>
      </c>
      <c r="D5" s="3368"/>
      <c r="E5" s="3368"/>
      <c r="F5" s="3368" t="s">
        <v>1428</v>
      </c>
      <c r="G5" s="3368"/>
      <c r="H5" s="3368"/>
      <c r="I5" s="3368" t="s">
        <v>1306</v>
      </c>
      <c r="J5" s="3368"/>
      <c r="K5" s="3368"/>
      <c r="L5" s="1301" t="s">
        <v>1452</v>
      </c>
      <c r="M5" s="706" t="s">
        <v>395</v>
      </c>
    </row>
    <row r="6" spans="1:135" ht="39.75" customHeight="1">
      <c r="A6" s="3364" t="s">
        <v>1285</v>
      </c>
      <c r="B6" s="3365"/>
      <c r="C6" s="3360">
        <f>工资福利!F19</f>
        <v>0</v>
      </c>
      <c r="D6" s="3361"/>
      <c r="E6" s="3361"/>
      <c r="F6" s="3361">
        <f>工资福利!F21</f>
        <v>0</v>
      </c>
      <c r="G6" s="3361"/>
      <c r="H6" s="3361"/>
      <c r="I6" s="3369">
        <f>工资福利!F23</f>
        <v>0</v>
      </c>
      <c r="J6" s="3369"/>
      <c r="K6" s="3369"/>
      <c r="L6" s="2134"/>
    </row>
    <row r="7" spans="1:135" ht="39.75" customHeight="1">
      <c r="A7" s="3354" t="s">
        <v>1429</v>
      </c>
      <c r="B7" s="3355"/>
      <c r="C7" s="3362"/>
      <c r="D7" s="3347"/>
      <c r="E7" s="3347"/>
      <c r="F7" s="3347"/>
      <c r="G7" s="3347"/>
      <c r="H7" s="3347"/>
      <c r="I7" s="3348"/>
      <c r="J7" s="3348"/>
      <c r="K7" s="3348"/>
      <c r="L7" s="2135"/>
    </row>
    <row r="8" spans="1:135" ht="39.75" customHeight="1">
      <c r="A8" s="3354" t="s">
        <v>1437</v>
      </c>
      <c r="B8" s="3355"/>
      <c r="C8" s="3363">
        <f>A105060广告费和业务宣传费跨年度纳税调整明细表!C10</f>
        <v>0</v>
      </c>
      <c r="D8" s="3350"/>
      <c r="E8" s="3350"/>
      <c r="F8" s="3350">
        <f>A105060广告费和业务宣传费跨年度纳税调整明细表!C12</f>
        <v>0</v>
      </c>
      <c r="G8" s="3350"/>
      <c r="H8" s="3350"/>
      <c r="I8" s="3351">
        <f>A105060广告费和业务宣传费跨年度纳税调整明细表!C16</f>
        <v>0</v>
      </c>
      <c r="J8" s="3351"/>
      <c r="K8" s="3351"/>
      <c r="L8" s="2135"/>
    </row>
    <row r="9" spans="1:135" ht="39.75" customHeight="1">
      <c r="A9" s="3356"/>
      <c r="B9" s="3357"/>
      <c r="C9" s="3366"/>
      <c r="D9" s="3352"/>
      <c r="E9" s="3352"/>
      <c r="F9" s="3352"/>
      <c r="G9" s="3352"/>
      <c r="H9" s="3352"/>
      <c r="I9" s="3353"/>
      <c r="J9" s="3353"/>
      <c r="K9" s="3353"/>
      <c r="L9" s="2137"/>
    </row>
    <row r="10" spans="1:135" ht="39.75" customHeight="1">
      <c r="A10" s="3358" t="s">
        <v>1451</v>
      </c>
      <c r="B10" s="3359"/>
      <c r="C10" s="3349">
        <f>SUM(C6:C9)</f>
        <v>0</v>
      </c>
      <c r="D10" s="3349"/>
      <c r="E10" s="3349"/>
      <c r="F10" s="3349">
        <f>SUM(F6:F9)</f>
        <v>0</v>
      </c>
      <c r="G10" s="3349"/>
      <c r="H10" s="3349"/>
      <c r="I10" s="3349">
        <f>SUM(I6:I9)</f>
        <v>0</v>
      </c>
      <c r="J10" s="3349"/>
      <c r="K10" s="3349"/>
      <c r="L10" s="1300"/>
    </row>
    <row r="11" spans="1:135">
      <c r="A11" s="1277"/>
    </row>
  </sheetData>
  <mergeCells count="30">
    <mergeCell ref="A1:L1"/>
    <mergeCell ref="I2:L2"/>
    <mergeCell ref="K3:L3"/>
    <mergeCell ref="A4:L4"/>
    <mergeCell ref="B2:C2"/>
    <mergeCell ref="B3:C3"/>
    <mergeCell ref="A5:B5"/>
    <mergeCell ref="C5:E5"/>
    <mergeCell ref="F5:H5"/>
    <mergeCell ref="I5:K5"/>
    <mergeCell ref="F6:H6"/>
    <mergeCell ref="I6:K6"/>
    <mergeCell ref="A8:B8"/>
    <mergeCell ref="A9:B9"/>
    <mergeCell ref="A10:B10"/>
    <mergeCell ref="C6:E6"/>
    <mergeCell ref="C7:E7"/>
    <mergeCell ref="C8:E8"/>
    <mergeCell ref="C10:E10"/>
    <mergeCell ref="A6:B6"/>
    <mergeCell ref="A7:B7"/>
    <mergeCell ref="C9:E9"/>
    <mergeCell ref="F7:H7"/>
    <mergeCell ref="I7:K7"/>
    <mergeCell ref="F10:H10"/>
    <mergeCell ref="I10:K10"/>
    <mergeCell ref="F8:H8"/>
    <mergeCell ref="I8:K8"/>
    <mergeCell ref="F9:H9"/>
    <mergeCell ref="I9:K9"/>
  </mergeCells>
  <phoneticPr fontId="51" type="noConversion"/>
  <pageMargins left="0.78740157480314998" right="0.35433070866141703" top="0.511811023622047" bottom="0.11811023622047198" header="0.511811023622047" footer="0.511811023622047"/>
  <pageSetup paperSize="9" orientation="landscape" blackAndWhite="1"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EE19"/>
  <sheetViews>
    <sheetView workbookViewId="0">
      <selection sqref="A1:G1"/>
    </sheetView>
  </sheetViews>
  <sheetFormatPr defaultRowHeight="15.6"/>
  <cols>
    <col min="1" max="1" width="10.69921875" customWidth="1"/>
    <col min="2" max="2" width="19.19921875" customWidth="1"/>
    <col min="4" max="4" width="13.8984375" customWidth="1"/>
    <col min="6" max="6" width="15" customWidth="1"/>
  </cols>
  <sheetData>
    <row r="1" spans="1:135" ht="22.2">
      <c r="A1" s="3370" t="s">
        <v>1430</v>
      </c>
      <c r="B1" s="3370"/>
      <c r="C1" s="3370"/>
      <c r="D1" s="3370"/>
      <c r="E1" s="3370"/>
      <c r="F1" s="3370"/>
      <c r="G1" s="3370"/>
    </row>
    <row r="2" spans="1:135" ht="22.2">
      <c r="A2" s="2091"/>
      <c r="B2" s="2092"/>
      <c r="C2" s="2093"/>
      <c r="D2" s="2094"/>
      <c r="E2" s="1284" t="s">
        <v>1447</v>
      </c>
      <c r="F2" s="3391" t="str">
        <f>档案索引!A34</f>
        <v>2A-14</v>
      </c>
      <c r="G2" s="3392"/>
    </row>
    <row r="3" spans="1:135" ht="24">
      <c r="A3" s="1285" t="s">
        <v>1434</v>
      </c>
      <c r="B3" s="3396">
        <f>基本情况!B2</f>
        <v>0</v>
      </c>
      <c r="C3" s="3396"/>
      <c r="D3" s="1286" t="s">
        <v>1448</v>
      </c>
      <c r="E3" s="1287">
        <f>基本情况!B12</f>
        <v>0</v>
      </c>
      <c r="F3" s="3393" t="str">
        <f>基本情况!B21</f>
        <v>2017年3月16日</v>
      </c>
      <c r="G3" s="3394"/>
      <c r="H3" s="1327"/>
    </row>
    <row r="4" spans="1:135">
      <c r="A4" s="1288" t="s">
        <v>1435</v>
      </c>
      <c r="B4" s="3397" t="str">
        <f>基本情况!B48</f>
        <v>0</v>
      </c>
      <c r="C4" s="3380"/>
      <c r="D4" s="1290" t="s">
        <v>1449</v>
      </c>
      <c r="E4" s="1291">
        <f>基本情况!B11</f>
        <v>0</v>
      </c>
      <c r="F4" s="3374" t="str">
        <f>基本情况!B22</f>
        <v>2017年5月4日</v>
      </c>
      <c r="G4" s="3395"/>
      <c r="H4" s="973"/>
    </row>
    <row r="5" spans="1:135" ht="6.75" customHeight="1">
      <c r="A5" s="3376"/>
      <c r="B5" s="3377"/>
      <c r="C5" s="3377"/>
      <c r="D5" s="3377"/>
      <c r="E5" s="3377"/>
      <c r="F5" s="3377"/>
      <c r="G5" s="3378"/>
      <c r="H5" s="1283"/>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5"/>
      <c r="BK5" s="705"/>
      <c r="BL5" s="705"/>
      <c r="BM5" s="705"/>
      <c r="BN5" s="705"/>
      <c r="BO5" s="705"/>
      <c r="BP5" s="705"/>
      <c r="BQ5" s="705"/>
      <c r="BR5" s="705"/>
      <c r="BS5" s="705"/>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c r="DG5" s="705"/>
      <c r="DH5" s="705"/>
      <c r="DI5" s="705"/>
      <c r="DJ5" s="705"/>
      <c r="DK5" s="705"/>
      <c r="DL5" s="705"/>
      <c r="DM5" s="705"/>
      <c r="DN5" s="705"/>
      <c r="DO5" s="705"/>
      <c r="DP5" s="705"/>
      <c r="DQ5" s="705"/>
      <c r="DR5" s="705"/>
      <c r="DS5" s="705"/>
      <c r="DT5" s="705"/>
      <c r="DU5" s="705"/>
      <c r="DV5" s="705"/>
      <c r="DW5" s="705"/>
      <c r="DX5" s="705"/>
      <c r="DY5" s="705"/>
      <c r="DZ5" s="705"/>
      <c r="EA5" s="705"/>
      <c r="EB5" s="705"/>
      <c r="EC5" s="705"/>
      <c r="ED5" s="705"/>
      <c r="EE5" s="705"/>
    </row>
    <row r="6" spans="1:135" ht="23.4" customHeight="1">
      <c r="A6" s="3368" t="s">
        <v>665</v>
      </c>
      <c r="B6" s="3368"/>
      <c r="C6" s="3368" t="s">
        <v>1431</v>
      </c>
      <c r="D6" s="3368" t="s">
        <v>1432</v>
      </c>
      <c r="E6" s="3368" t="s">
        <v>1433</v>
      </c>
      <c r="F6" s="3368"/>
      <c r="G6" s="3389" t="s">
        <v>1452</v>
      </c>
      <c r="H6" s="973"/>
    </row>
    <row r="7" spans="1:135" ht="23.4" customHeight="1">
      <c r="A7" s="3368"/>
      <c r="B7" s="3368"/>
      <c r="C7" s="3368"/>
      <c r="D7" s="3368"/>
      <c r="E7" s="1276" t="s">
        <v>16</v>
      </c>
      <c r="F7" s="1276" t="s">
        <v>557</v>
      </c>
      <c r="G7" s="3390"/>
      <c r="H7" s="706" t="s">
        <v>395</v>
      </c>
    </row>
    <row r="8" spans="1:135" ht="31.5" customHeight="1">
      <c r="A8" s="3385" t="s">
        <v>1439</v>
      </c>
      <c r="B8" s="3386"/>
      <c r="C8" s="2138"/>
      <c r="D8" s="2139"/>
      <c r="E8" s="2140"/>
      <c r="F8" s="2139"/>
      <c r="G8" s="2134"/>
    </row>
    <row r="9" spans="1:135" ht="31.5" customHeight="1">
      <c r="A9" s="3387" t="s">
        <v>1440</v>
      </c>
      <c r="B9" s="3388"/>
      <c r="C9" s="2141"/>
      <c r="D9" s="2142"/>
      <c r="E9" s="2143"/>
      <c r="F9" s="2142"/>
      <c r="G9" s="2135"/>
    </row>
    <row r="10" spans="1:135" ht="31.5" customHeight="1">
      <c r="A10" s="3387" t="s">
        <v>1441</v>
      </c>
      <c r="B10" s="3388"/>
      <c r="C10" s="2141"/>
      <c r="D10" s="2142"/>
      <c r="E10" s="2143"/>
      <c r="F10" s="2142"/>
      <c r="G10" s="2135"/>
    </row>
    <row r="11" spans="1:135" ht="31.5" customHeight="1">
      <c r="A11" s="3387" t="s">
        <v>1442</v>
      </c>
      <c r="B11" s="3388"/>
      <c r="C11" s="2141"/>
      <c r="D11" s="2142"/>
      <c r="E11" s="2143"/>
      <c r="F11" s="2142"/>
      <c r="G11" s="2135"/>
    </row>
    <row r="12" spans="1:135" ht="31.5" customHeight="1">
      <c r="A12" s="3383"/>
      <c r="B12" s="3384"/>
      <c r="C12" s="2144"/>
      <c r="D12" s="2145"/>
      <c r="E12" s="2146"/>
      <c r="F12" s="2145"/>
      <c r="G12" s="2135"/>
    </row>
    <row r="13" spans="1:135" ht="31.5" customHeight="1">
      <c r="A13" s="3383"/>
      <c r="B13" s="3384"/>
      <c r="C13" s="2141"/>
      <c r="D13" s="2142"/>
      <c r="E13" s="2143"/>
      <c r="F13" s="2142"/>
      <c r="G13" s="2135"/>
    </row>
    <row r="14" spans="1:135" ht="31.5" customHeight="1">
      <c r="A14" s="3383"/>
      <c r="B14" s="3384"/>
      <c r="C14" s="2141"/>
      <c r="D14" s="2142"/>
      <c r="E14" s="2143"/>
      <c r="F14" s="2142"/>
      <c r="G14" s="2135"/>
    </row>
    <row r="15" spans="1:135" ht="31.5" customHeight="1">
      <c r="A15" s="3383"/>
      <c r="B15" s="3384"/>
      <c r="C15" s="2144"/>
      <c r="D15" s="2145"/>
      <c r="E15" s="2146"/>
      <c r="F15" s="2145"/>
      <c r="G15" s="2135"/>
    </row>
    <row r="16" spans="1:135" ht="31.5" customHeight="1">
      <c r="A16" s="3381"/>
      <c r="B16" s="3382"/>
      <c r="C16" s="2147"/>
      <c r="D16" s="2148"/>
      <c r="E16" s="2149"/>
      <c r="F16" s="2148"/>
      <c r="G16" s="2136"/>
    </row>
    <row r="17" spans="1:7" ht="31.5" customHeight="1">
      <c r="A17" s="3368" t="s">
        <v>1438</v>
      </c>
      <c r="B17" s="3368"/>
      <c r="C17" s="1278"/>
      <c r="D17" s="1279">
        <f>SUM(D8:D16)</f>
        <v>0</v>
      </c>
      <c r="E17" s="1278"/>
      <c r="F17" s="1279">
        <f>SUM(F8:F16)</f>
        <v>0</v>
      </c>
      <c r="G17" s="1300"/>
    </row>
    <row r="18" spans="1:7">
      <c r="A18" s="2177"/>
      <c r="B18" s="2177"/>
      <c r="C18" s="2178"/>
      <c r="D18" s="2178"/>
      <c r="E18" s="2178"/>
      <c r="F18" s="2178"/>
      <c r="G18" s="2178"/>
    </row>
    <row r="19" spans="1:7">
      <c r="A19" s="1280"/>
      <c r="B19" s="1280"/>
    </row>
  </sheetData>
  <mergeCells count="22">
    <mergeCell ref="A5:G5"/>
    <mergeCell ref="G6:G7"/>
    <mergeCell ref="E6:F6"/>
    <mergeCell ref="A1:G1"/>
    <mergeCell ref="F2:G2"/>
    <mergeCell ref="F3:G3"/>
    <mergeCell ref="F4:G4"/>
    <mergeCell ref="B3:C3"/>
    <mergeCell ref="B4:C4"/>
    <mergeCell ref="A6:B7"/>
    <mergeCell ref="A16:B16"/>
    <mergeCell ref="C6:C7"/>
    <mergeCell ref="D6:D7"/>
    <mergeCell ref="A17:B17"/>
    <mergeCell ref="A13:B13"/>
    <mergeCell ref="A14:B14"/>
    <mergeCell ref="A15:B15"/>
    <mergeCell ref="A8:B8"/>
    <mergeCell ref="A9:B9"/>
    <mergeCell ref="A10:B10"/>
    <mergeCell ref="A11:B11"/>
    <mergeCell ref="A12:B12"/>
  </mergeCells>
  <phoneticPr fontId="51" type="noConversion"/>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tabColor rgb="FFFFFF00"/>
  </sheetPr>
  <dimension ref="A1:EE62"/>
  <sheetViews>
    <sheetView workbookViewId="0">
      <selection activeCell="H18" sqref="H18"/>
    </sheetView>
  </sheetViews>
  <sheetFormatPr defaultRowHeight="15.6"/>
  <cols>
    <col min="1" max="1" width="9.19921875" style="1555" customWidth="1"/>
    <col min="2" max="2" width="38" style="1651" customWidth="1"/>
    <col min="3" max="4" width="12.3984375" style="1555" customWidth="1"/>
    <col min="5" max="5" width="12.3984375" style="1651" customWidth="1"/>
    <col min="6" max="256" width="9" style="1651"/>
    <col min="257" max="257" width="5.19921875" style="1651" customWidth="1"/>
    <col min="258" max="258" width="54.19921875" style="1651" customWidth="1"/>
    <col min="259" max="260" width="10.5" style="1651" customWidth="1"/>
    <col min="261" max="261" width="26.8984375" style="1651" customWidth="1"/>
    <col min="262" max="512" width="9" style="1651"/>
    <col min="513" max="513" width="5.19921875" style="1651" customWidth="1"/>
    <col min="514" max="514" width="54.19921875" style="1651" customWidth="1"/>
    <col min="515" max="516" width="10.5" style="1651" customWidth="1"/>
    <col min="517" max="517" width="26.8984375" style="1651" customWidth="1"/>
    <col min="518" max="768" width="9" style="1651"/>
    <col min="769" max="769" width="5.19921875" style="1651" customWidth="1"/>
    <col min="770" max="770" width="54.19921875" style="1651" customWidth="1"/>
    <col min="771" max="772" width="10.5" style="1651" customWidth="1"/>
    <col min="773" max="773" width="26.8984375" style="1651" customWidth="1"/>
    <col min="774" max="1024" width="9" style="1651"/>
    <col min="1025" max="1025" width="5.19921875" style="1651" customWidth="1"/>
    <col min="1026" max="1026" width="54.19921875" style="1651" customWidth="1"/>
    <col min="1027" max="1028" width="10.5" style="1651" customWidth="1"/>
    <col min="1029" max="1029" width="26.8984375" style="1651" customWidth="1"/>
    <col min="1030" max="1280" width="9" style="1651"/>
    <col min="1281" max="1281" width="5.19921875" style="1651" customWidth="1"/>
    <col min="1282" max="1282" width="54.19921875" style="1651" customWidth="1"/>
    <col min="1283" max="1284" width="10.5" style="1651" customWidth="1"/>
    <col min="1285" max="1285" width="26.8984375" style="1651" customWidth="1"/>
    <col min="1286" max="1536" width="9" style="1651"/>
    <col min="1537" max="1537" width="5.19921875" style="1651" customWidth="1"/>
    <col min="1538" max="1538" width="54.19921875" style="1651" customWidth="1"/>
    <col min="1539" max="1540" width="10.5" style="1651" customWidth="1"/>
    <col min="1541" max="1541" width="26.8984375" style="1651" customWidth="1"/>
    <col min="1542" max="1792" width="9" style="1651"/>
    <col min="1793" max="1793" width="5.19921875" style="1651" customWidth="1"/>
    <col min="1794" max="1794" width="54.19921875" style="1651" customWidth="1"/>
    <col min="1795" max="1796" width="10.5" style="1651" customWidth="1"/>
    <col min="1797" max="1797" width="26.8984375" style="1651" customWidth="1"/>
    <col min="1798" max="2048" width="9" style="1651"/>
    <col min="2049" max="2049" width="5.19921875" style="1651" customWidth="1"/>
    <col min="2050" max="2050" width="54.19921875" style="1651" customWidth="1"/>
    <col min="2051" max="2052" width="10.5" style="1651" customWidth="1"/>
    <col min="2053" max="2053" width="26.8984375" style="1651" customWidth="1"/>
    <col min="2054" max="2304" width="9" style="1651"/>
    <col min="2305" max="2305" width="5.19921875" style="1651" customWidth="1"/>
    <col min="2306" max="2306" width="54.19921875" style="1651" customWidth="1"/>
    <col min="2307" max="2308" width="10.5" style="1651" customWidth="1"/>
    <col min="2309" max="2309" width="26.8984375" style="1651" customWidth="1"/>
    <col min="2310" max="2560" width="9" style="1651"/>
    <col min="2561" max="2561" width="5.19921875" style="1651" customWidth="1"/>
    <col min="2562" max="2562" width="54.19921875" style="1651" customWidth="1"/>
    <col min="2563" max="2564" width="10.5" style="1651" customWidth="1"/>
    <col min="2565" max="2565" width="26.8984375" style="1651" customWidth="1"/>
    <col min="2566" max="2816" width="9" style="1651"/>
    <col min="2817" max="2817" width="5.19921875" style="1651" customWidth="1"/>
    <col min="2818" max="2818" width="54.19921875" style="1651" customWidth="1"/>
    <col min="2819" max="2820" width="10.5" style="1651" customWidth="1"/>
    <col min="2821" max="2821" width="26.8984375" style="1651" customWidth="1"/>
    <col min="2822" max="3072" width="9" style="1651"/>
    <col min="3073" max="3073" width="5.19921875" style="1651" customWidth="1"/>
    <col min="3074" max="3074" width="54.19921875" style="1651" customWidth="1"/>
    <col min="3075" max="3076" width="10.5" style="1651" customWidth="1"/>
    <col min="3077" max="3077" width="26.8984375" style="1651" customWidth="1"/>
    <col min="3078" max="3328" width="9" style="1651"/>
    <col min="3329" max="3329" width="5.19921875" style="1651" customWidth="1"/>
    <col min="3330" max="3330" width="54.19921875" style="1651" customWidth="1"/>
    <col min="3331" max="3332" width="10.5" style="1651" customWidth="1"/>
    <col min="3333" max="3333" width="26.8984375" style="1651" customWidth="1"/>
    <col min="3334" max="3584" width="9" style="1651"/>
    <col min="3585" max="3585" width="5.19921875" style="1651" customWidth="1"/>
    <col min="3586" max="3586" width="54.19921875" style="1651" customWidth="1"/>
    <col min="3587" max="3588" width="10.5" style="1651" customWidth="1"/>
    <col min="3589" max="3589" width="26.8984375" style="1651" customWidth="1"/>
    <col min="3590" max="3840" width="9" style="1651"/>
    <col min="3841" max="3841" width="5.19921875" style="1651" customWidth="1"/>
    <col min="3842" max="3842" width="54.19921875" style="1651" customWidth="1"/>
    <col min="3843" max="3844" width="10.5" style="1651" customWidth="1"/>
    <col min="3845" max="3845" width="26.8984375" style="1651" customWidth="1"/>
    <col min="3846" max="4096" width="9" style="1651"/>
    <col min="4097" max="4097" width="5.19921875" style="1651" customWidth="1"/>
    <col min="4098" max="4098" width="54.19921875" style="1651" customWidth="1"/>
    <col min="4099" max="4100" width="10.5" style="1651" customWidth="1"/>
    <col min="4101" max="4101" width="26.8984375" style="1651" customWidth="1"/>
    <col min="4102" max="4352" width="9" style="1651"/>
    <col min="4353" max="4353" width="5.19921875" style="1651" customWidth="1"/>
    <col min="4354" max="4354" width="54.19921875" style="1651" customWidth="1"/>
    <col min="4355" max="4356" width="10.5" style="1651" customWidth="1"/>
    <col min="4357" max="4357" width="26.8984375" style="1651" customWidth="1"/>
    <col min="4358" max="4608" width="9" style="1651"/>
    <col min="4609" max="4609" width="5.19921875" style="1651" customWidth="1"/>
    <col min="4610" max="4610" width="54.19921875" style="1651" customWidth="1"/>
    <col min="4611" max="4612" width="10.5" style="1651" customWidth="1"/>
    <col min="4613" max="4613" width="26.8984375" style="1651" customWidth="1"/>
    <col min="4614" max="4864" width="9" style="1651"/>
    <col min="4865" max="4865" width="5.19921875" style="1651" customWidth="1"/>
    <col min="4866" max="4866" width="54.19921875" style="1651" customWidth="1"/>
    <col min="4867" max="4868" width="10.5" style="1651" customWidth="1"/>
    <col min="4869" max="4869" width="26.8984375" style="1651" customWidth="1"/>
    <col min="4870" max="5120" width="9" style="1651"/>
    <col min="5121" max="5121" width="5.19921875" style="1651" customWidth="1"/>
    <col min="5122" max="5122" width="54.19921875" style="1651" customWidth="1"/>
    <col min="5123" max="5124" width="10.5" style="1651" customWidth="1"/>
    <col min="5125" max="5125" width="26.8984375" style="1651" customWidth="1"/>
    <col min="5126" max="5376" width="9" style="1651"/>
    <col min="5377" max="5377" width="5.19921875" style="1651" customWidth="1"/>
    <col min="5378" max="5378" width="54.19921875" style="1651" customWidth="1"/>
    <col min="5379" max="5380" width="10.5" style="1651" customWidth="1"/>
    <col min="5381" max="5381" width="26.8984375" style="1651" customWidth="1"/>
    <col min="5382" max="5632" width="9" style="1651"/>
    <col min="5633" max="5633" width="5.19921875" style="1651" customWidth="1"/>
    <col min="5634" max="5634" width="54.19921875" style="1651" customWidth="1"/>
    <col min="5635" max="5636" width="10.5" style="1651" customWidth="1"/>
    <col min="5637" max="5637" width="26.8984375" style="1651" customWidth="1"/>
    <col min="5638" max="5888" width="9" style="1651"/>
    <col min="5889" max="5889" width="5.19921875" style="1651" customWidth="1"/>
    <col min="5890" max="5890" width="54.19921875" style="1651" customWidth="1"/>
    <col min="5891" max="5892" width="10.5" style="1651" customWidth="1"/>
    <col min="5893" max="5893" width="26.8984375" style="1651" customWidth="1"/>
    <col min="5894" max="6144" width="9" style="1651"/>
    <col min="6145" max="6145" width="5.19921875" style="1651" customWidth="1"/>
    <col min="6146" max="6146" width="54.19921875" style="1651" customWidth="1"/>
    <col min="6147" max="6148" width="10.5" style="1651" customWidth="1"/>
    <col min="6149" max="6149" width="26.8984375" style="1651" customWidth="1"/>
    <col min="6150" max="6400" width="9" style="1651"/>
    <col min="6401" max="6401" width="5.19921875" style="1651" customWidth="1"/>
    <col min="6402" max="6402" width="54.19921875" style="1651" customWidth="1"/>
    <col min="6403" max="6404" width="10.5" style="1651" customWidth="1"/>
    <col min="6405" max="6405" width="26.8984375" style="1651" customWidth="1"/>
    <col min="6406" max="6656" width="9" style="1651"/>
    <col min="6657" max="6657" width="5.19921875" style="1651" customWidth="1"/>
    <col min="6658" max="6658" width="54.19921875" style="1651" customWidth="1"/>
    <col min="6659" max="6660" width="10.5" style="1651" customWidth="1"/>
    <col min="6661" max="6661" width="26.8984375" style="1651" customWidth="1"/>
    <col min="6662" max="6912" width="9" style="1651"/>
    <col min="6913" max="6913" width="5.19921875" style="1651" customWidth="1"/>
    <col min="6914" max="6914" width="54.19921875" style="1651" customWidth="1"/>
    <col min="6915" max="6916" width="10.5" style="1651" customWidth="1"/>
    <col min="6917" max="6917" width="26.8984375" style="1651" customWidth="1"/>
    <col min="6918" max="7168" width="9" style="1651"/>
    <col min="7169" max="7169" width="5.19921875" style="1651" customWidth="1"/>
    <col min="7170" max="7170" width="54.19921875" style="1651" customWidth="1"/>
    <col min="7171" max="7172" width="10.5" style="1651" customWidth="1"/>
    <col min="7173" max="7173" width="26.8984375" style="1651" customWidth="1"/>
    <col min="7174" max="7424" width="9" style="1651"/>
    <col min="7425" max="7425" width="5.19921875" style="1651" customWidth="1"/>
    <col min="7426" max="7426" width="54.19921875" style="1651" customWidth="1"/>
    <col min="7427" max="7428" width="10.5" style="1651" customWidth="1"/>
    <col min="7429" max="7429" width="26.8984375" style="1651" customWidth="1"/>
    <col min="7430" max="7680" width="9" style="1651"/>
    <col min="7681" max="7681" width="5.19921875" style="1651" customWidth="1"/>
    <col min="7682" max="7682" width="54.19921875" style="1651" customWidth="1"/>
    <col min="7683" max="7684" width="10.5" style="1651" customWidth="1"/>
    <col min="7685" max="7685" width="26.8984375" style="1651" customWidth="1"/>
    <col min="7686" max="7936" width="9" style="1651"/>
    <col min="7937" max="7937" width="5.19921875" style="1651" customWidth="1"/>
    <col min="7938" max="7938" width="54.19921875" style="1651" customWidth="1"/>
    <col min="7939" max="7940" width="10.5" style="1651" customWidth="1"/>
    <col min="7941" max="7941" width="26.8984375" style="1651" customWidth="1"/>
    <col min="7942" max="8192" width="9" style="1651"/>
    <col min="8193" max="8193" width="5.19921875" style="1651" customWidth="1"/>
    <col min="8194" max="8194" width="54.19921875" style="1651" customWidth="1"/>
    <col min="8195" max="8196" width="10.5" style="1651" customWidth="1"/>
    <col min="8197" max="8197" width="26.8984375" style="1651" customWidth="1"/>
    <col min="8198" max="8448" width="9" style="1651"/>
    <col min="8449" max="8449" width="5.19921875" style="1651" customWidth="1"/>
    <col min="8450" max="8450" width="54.19921875" style="1651" customWidth="1"/>
    <col min="8451" max="8452" width="10.5" style="1651" customWidth="1"/>
    <col min="8453" max="8453" width="26.8984375" style="1651" customWidth="1"/>
    <col min="8454" max="8704" width="9" style="1651"/>
    <col min="8705" max="8705" width="5.19921875" style="1651" customWidth="1"/>
    <col min="8706" max="8706" width="54.19921875" style="1651" customWidth="1"/>
    <col min="8707" max="8708" width="10.5" style="1651" customWidth="1"/>
    <col min="8709" max="8709" width="26.8984375" style="1651" customWidth="1"/>
    <col min="8710" max="8960" width="9" style="1651"/>
    <col min="8961" max="8961" width="5.19921875" style="1651" customWidth="1"/>
    <col min="8962" max="8962" width="54.19921875" style="1651" customWidth="1"/>
    <col min="8963" max="8964" width="10.5" style="1651" customWidth="1"/>
    <col min="8965" max="8965" width="26.8984375" style="1651" customWidth="1"/>
    <col min="8966" max="9216" width="9" style="1651"/>
    <col min="9217" max="9217" width="5.19921875" style="1651" customWidth="1"/>
    <col min="9218" max="9218" width="54.19921875" style="1651" customWidth="1"/>
    <col min="9219" max="9220" width="10.5" style="1651" customWidth="1"/>
    <col min="9221" max="9221" width="26.8984375" style="1651" customWidth="1"/>
    <col min="9222" max="9472" width="9" style="1651"/>
    <col min="9473" max="9473" width="5.19921875" style="1651" customWidth="1"/>
    <col min="9474" max="9474" width="54.19921875" style="1651" customWidth="1"/>
    <col min="9475" max="9476" width="10.5" style="1651" customWidth="1"/>
    <col min="9477" max="9477" width="26.8984375" style="1651" customWidth="1"/>
    <col min="9478" max="9728" width="9" style="1651"/>
    <col min="9729" max="9729" width="5.19921875" style="1651" customWidth="1"/>
    <col min="9730" max="9730" width="54.19921875" style="1651" customWidth="1"/>
    <col min="9731" max="9732" width="10.5" style="1651" customWidth="1"/>
    <col min="9733" max="9733" width="26.8984375" style="1651" customWidth="1"/>
    <col min="9734" max="9984" width="9" style="1651"/>
    <col min="9985" max="9985" width="5.19921875" style="1651" customWidth="1"/>
    <col min="9986" max="9986" width="54.19921875" style="1651" customWidth="1"/>
    <col min="9987" max="9988" width="10.5" style="1651" customWidth="1"/>
    <col min="9989" max="9989" width="26.8984375" style="1651" customWidth="1"/>
    <col min="9990" max="10240" width="9" style="1651"/>
    <col min="10241" max="10241" width="5.19921875" style="1651" customWidth="1"/>
    <col min="10242" max="10242" width="54.19921875" style="1651" customWidth="1"/>
    <col min="10243" max="10244" width="10.5" style="1651" customWidth="1"/>
    <col min="10245" max="10245" width="26.8984375" style="1651" customWidth="1"/>
    <col min="10246" max="10496" width="9" style="1651"/>
    <col min="10497" max="10497" width="5.19921875" style="1651" customWidth="1"/>
    <col min="10498" max="10498" width="54.19921875" style="1651" customWidth="1"/>
    <col min="10499" max="10500" width="10.5" style="1651" customWidth="1"/>
    <col min="10501" max="10501" width="26.8984375" style="1651" customWidth="1"/>
    <col min="10502" max="10752" width="9" style="1651"/>
    <col min="10753" max="10753" width="5.19921875" style="1651" customWidth="1"/>
    <col min="10754" max="10754" width="54.19921875" style="1651" customWidth="1"/>
    <col min="10755" max="10756" width="10.5" style="1651" customWidth="1"/>
    <col min="10757" max="10757" width="26.8984375" style="1651" customWidth="1"/>
    <col min="10758" max="11008" width="9" style="1651"/>
    <col min="11009" max="11009" width="5.19921875" style="1651" customWidth="1"/>
    <col min="11010" max="11010" width="54.19921875" style="1651" customWidth="1"/>
    <col min="11011" max="11012" width="10.5" style="1651" customWidth="1"/>
    <col min="11013" max="11013" width="26.8984375" style="1651" customWidth="1"/>
    <col min="11014" max="11264" width="9" style="1651"/>
    <col min="11265" max="11265" width="5.19921875" style="1651" customWidth="1"/>
    <col min="11266" max="11266" width="54.19921875" style="1651" customWidth="1"/>
    <col min="11267" max="11268" width="10.5" style="1651" customWidth="1"/>
    <col min="11269" max="11269" width="26.8984375" style="1651" customWidth="1"/>
    <col min="11270" max="11520" width="9" style="1651"/>
    <col min="11521" max="11521" width="5.19921875" style="1651" customWidth="1"/>
    <col min="11522" max="11522" width="54.19921875" style="1651" customWidth="1"/>
    <col min="11523" max="11524" width="10.5" style="1651" customWidth="1"/>
    <col min="11525" max="11525" width="26.8984375" style="1651" customWidth="1"/>
    <col min="11526" max="11776" width="9" style="1651"/>
    <col min="11777" max="11777" width="5.19921875" style="1651" customWidth="1"/>
    <col min="11778" max="11778" width="54.19921875" style="1651" customWidth="1"/>
    <col min="11779" max="11780" width="10.5" style="1651" customWidth="1"/>
    <col min="11781" max="11781" width="26.8984375" style="1651" customWidth="1"/>
    <col min="11782" max="12032" width="9" style="1651"/>
    <col min="12033" max="12033" width="5.19921875" style="1651" customWidth="1"/>
    <col min="12034" max="12034" width="54.19921875" style="1651" customWidth="1"/>
    <col min="12035" max="12036" width="10.5" style="1651" customWidth="1"/>
    <col min="12037" max="12037" width="26.8984375" style="1651" customWidth="1"/>
    <col min="12038" max="12288" width="9" style="1651"/>
    <col min="12289" max="12289" width="5.19921875" style="1651" customWidth="1"/>
    <col min="12290" max="12290" width="54.19921875" style="1651" customWidth="1"/>
    <col min="12291" max="12292" width="10.5" style="1651" customWidth="1"/>
    <col min="12293" max="12293" width="26.8984375" style="1651" customWidth="1"/>
    <col min="12294" max="12544" width="9" style="1651"/>
    <col min="12545" max="12545" width="5.19921875" style="1651" customWidth="1"/>
    <col min="12546" max="12546" width="54.19921875" style="1651" customWidth="1"/>
    <col min="12547" max="12548" width="10.5" style="1651" customWidth="1"/>
    <col min="12549" max="12549" width="26.8984375" style="1651" customWidth="1"/>
    <col min="12550" max="12800" width="9" style="1651"/>
    <col min="12801" max="12801" width="5.19921875" style="1651" customWidth="1"/>
    <col min="12802" max="12802" width="54.19921875" style="1651" customWidth="1"/>
    <col min="12803" max="12804" width="10.5" style="1651" customWidth="1"/>
    <col min="12805" max="12805" width="26.8984375" style="1651" customWidth="1"/>
    <col min="12806" max="13056" width="9" style="1651"/>
    <col min="13057" max="13057" width="5.19921875" style="1651" customWidth="1"/>
    <col min="13058" max="13058" width="54.19921875" style="1651" customWidth="1"/>
    <col min="13059" max="13060" width="10.5" style="1651" customWidth="1"/>
    <col min="13061" max="13061" width="26.8984375" style="1651" customWidth="1"/>
    <col min="13062" max="13312" width="9" style="1651"/>
    <col min="13313" max="13313" width="5.19921875" style="1651" customWidth="1"/>
    <col min="13314" max="13314" width="54.19921875" style="1651" customWidth="1"/>
    <col min="13315" max="13316" width="10.5" style="1651" customWidth="1"/>
    <col min="13317" max="13317" width="26.8984375" style="1651" customWidth="1"/>
    <col min="13318" max="13568" width="9" style="1651"/>
    <col min="13569" max="13569" width="5.19921875" style="1651" customWidth="1"/>
    <col min="13570" max="13570" width="54.19921875" style="1651" customWidth="1"/>
    <col min="13571" max="13572" width="10.5" style="1651" customWidth="1"/>
    <col min="13573" max="13573" width="26.8984375" style="1651" customWidth="1"/>
    <col min="13574" max="13824" width="9" style="1651"/>
    <col min="13825" max="13825" width="5.19921875" style="1651" customWidth="1"/>
    <col min="13826" max="13826" width="54.19921875" style="1651" customWidth="1"/>
    <col min="13827" max="13828" width="10.5" style="1651" customWidth="1"/>
    <col min="13829" max="13829" width="26.8984375" style="1651" customWidth="1"/>
    <col min="13830" max="14080" width="9" style="1651"/>
    <col min="14081" max="14081" width="5.19921875" style="1651" customWidth="1"/>
    <col min="14082" max="14082" width="54.19921875" style="1651" customWidth="1"/>
    <col min="14083" max="14084" width="10.5" style="1651" customWidth="1"/>
    <col min="14085" max="14085" width="26.8984375" style="1651" customWidth="1"/>
    <col min="14086" max="14336" width="9" style="1651"/>
    <col min="14337" max="14337" width="5.19921875" style="1651" customWidth="1"/>
    <col min="14338" max="14338" width="54.19921875" style="1651" customWidth="1"/>
    <col min="14339" max="14340" width="10.5" style="1651" customWidth="1"/>
    <col min="14341" max="14341" width="26.8984375" style="1651" customWidth="1"/>
    <col min="14342" max="14592" width="9" style="1651"/>
    <col min="14593" max="14593" width="5.19921875" style="1651" customWidth="1"/>
    <col min="14594" max="14594" width="54.19921875" style="1651" customWidth="1"/>
    <col min="14595" max="14596" width="10.5" style="1651" customWidth="1"/>
    <col min="14597" max="14597" width="26.8984375" style="1651" customWidth="1"/>
    <col min="14598" max="14848" width="9" style="1651"/>
    <col min="14849" max="14849" width="5.19921875" style="1651" customWidth="1"/>
    <col min="14850" max="14850" width="54.19921875" style="1651" customWidth="1"/>
    <col min="14851" max="14852" width="10.5" style="1651" customWidth="1"/>
    <col min="14853" max="14853" width="26.8984375" style="1651" customWidth="1"/>
    <col min="14854" max="15104" width="9" style="1651"/>
    <col min="15105" max="15105" width="5.19921875" style="1651" customWidth="1"/>
    <col min="15106" max="15106" width="54.19921875" style="1651" customWidth="1"/>
    <col min="15107" max="15108" width="10.5" style="1651" customWidth="1"/>
    <col min="15109" max="15109" width="26.8984375" style="1651" customWidth="1"/>
    <col min="15110" max="15360" width="9" style="1651"/>
    <col min="15361" max="15361" width="5.19921875" style="1651" customWidth="1"/>
    <col min="15362" max="15362" width="54.19921875" style="1651" customWidth="1"/>
    <col min="15363" max="15364" width="10.5" style="1651" customWidth="1"/>
    <col min="15365" max="15365" width="26.8984375" style="1651" customWidth="1"/>
    <col min="15366" max="15616" width="9" style="1651"/>
    <col min="15617" max="15617" width="5.19921875" style="1651" customWidth="1"/>
    <col min="15618" max="15618" width="54.19921875" style="1651" customWidth="1"/>
    <col min="15619" max="15620" width="10.5" style="1651" customWidth="1"/>
    <col min="15621" max="15621" width="26.8984375" style="1651" customWidth="1"/>
    <col min="15622" max="15872" width="9" style="1651"/>
    <col min="15873" max="15873" width="5.19921875" style="1651" customWidth="1"/>
    <col min="15874" max="15874" width="54.19921875" style="1651" customWidth="1"/>
    <col min="15875" max="15876" width="10.5" style="1651" customWidth="1"/>
    <col min="15877" max="15877" width="26.8984375" style="1651" customWidth="1"/>
    <col min="15878" max="16128" width="9" style="1651"/>
    <col min="16129" max="16129" width="5.19921875" style="1651" customWidth="1"/>
    <col min="16130" max="16130" width="54.19921875" style="1651" customWidth="1"/>
    <col min="16131" max="16132" width="10.5" style="1651" customWidth="1"/>
    <col min="16133" max="16133" width="26.8984375" style="1651" customWidth="1"/>
    <col min="16134" max="16384" width="9" style="1651"/>
  </cols>
  <sheetData>
    <row r="1" spans="1:135" ht="20.100000000000001" customHeight="1">
      <c r="A1" s="3398" t="s">
        <v>6692</v>
      </c>
      <c r="B1" s="3398"/>
      <c r="C1" s="3398"/>
      <c r="D1" s="3398"/>
      <c r="E1" s="2154" t="str">
        <f>"索引号："&amp;档案索引!A35</f>
        <v>索引号：2A-15</v>
      </c>
    </row>
    <row r="2" spans="1:135" s="2067" customFormat="1" ht="7.5" customHeight="1">
      <c r="A2" s="2064"/>
      <c r="B2" s="2064"/>
      <c r="C2" s="2064"/>
      <c r="D2" s="2064"/>
      <c r="E2" s="2070"/>
    </row>
    <row r="3" spans="1:135" s="2067" customFormat="1" ht="20.100000000000001" customHeight="1">
      <c r="A3" s="2150" t="s">
        <v>6693</v>
      </c>
      <c r="B3" s="2155">
        <f>基本情况!B2</f>
        <v>0</v>
      </c>
      <c r="C3" s="2151" t="s">
        <v>6695</v>
      </c>
      <c r="D3" s="2157">
        <f>基本情况!B12</f>
        <v>0</v>
      </c>
      <c r="E3" s="2158" t="str">
        <f>TEXT(基本情况!B21,"yyyy-mm-dd")</f>
        <v>2017-03-16</v>
      </c>
    </row>
    <row r="4" spans="1:135" s="2067" customFormat="1" ht="20.100000000000001" customHeight="1">
      <c r="A4" s="2152" t="s">
        <v>6694</v>
      </c>
      <c r="B4" s="2156" t="str">
        <f>基本情况!B7</f>
        <v>2016年01月01日至2016年12月31日</v>
      </c>
      <c r="C4" s="2153" t="s">
        <v>6696</v>
      </c>
      <c r="D4" s="2159">
        <f>基本情况!B11</f>
        <v>0</v>
      </c>
      <c r="E4" s="2160" t="str">
        <f>TEXT(基本情况!B22,"yyyy-mm-dd")</f>
        <v>2017-05-04</v>
      </c>
    </row>
    <row r="5" spans="1:135" customFormat="1" ht="6.75" customHeight="1">
      <c r="A5" s="3376"/>
      <c r="B5" s="3377"/>
      <c r="C5" s="3377"/>
      <c r="D5" s="3377"/>
      <c r="E5" s="3378"/>
      <c r="F5" s="1283"/>
      <c r="G5" s="1283"/>
      <c r="H5" s="1283"/>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5"/>
      <c r="BK5" s="705"/>
      <c r="BL5" s="705"/>
      <c r="BM5" s="705"/>
      <c r="BN5" s="705"/>
      <c r="BO5" s="705"/>
      <c r="BP5" s="705"/>
      <c r="BQ5" s="705"/>
      <c r="BR5" s="705"/>
      <c r="BS5" s="705"/>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c r="DG5" s="705"/>
      <c r="DH5" s="705"/>
      <c r="DI5" s="705"/>
      <c r="DJ5" s="705"/>
      <c r="DK5" s="705"/>
      <c r="DL5" s="705"/>
      <c r="DM5" s="705"/>
      <c r="DN5" s="705"/>
      <c r="DO5" s="705"/>
      <c r="DP5" s="705"/>
      <c r="DQ5" s="705"/>
      <c r="DR5" s="705"/>
      <c r="DS5" s="705"/>
      <c r="DT5" s="705"/>
      <c r="DU5" s="705"/>
      <c r="DV5" s="705"/>
      <c r="DW5" s="705"/>
      <c r="DX5" s="705"/>
      <c r="DY5" s="705"/>
      <c r="DZ5" s="705"/>
      <c r="EA5" s="705"/>
      <c r="EB5" s="705"/>
      <c r="EC5" s="705"/>
      <c r="ED5" s="705"/>
      <c r="EE5" s="705"/>
    </row>
    <row r="6" spans="1:135" s="1552" customFormat="1" ht="14.25" customHeight="1">
      <c r="A6" s="3399" t="s">
        <v>1853</v>
      </c>
      <c r="B6" s="3399" t="s">
        <v>5079</v>
      </c>
      <c r="C6" s="1808" t="s">
        <v>1851</v>
      </c>
      <c r="D6" s="1808" t="s">
        <v>5150</v>
      </c>
      <c r="E6" s="3399" t="s">
        <v>6697</v>
      </c>
    </row>
    <row r="7" spans="1:135" s="1552" customFormat="1" ht="14.25" customHeight="1">
      <c r="A7" s="3399"/>
      <c r="B7" s="3399"/>
      <c r="C7" s="1808">
        <v>1</v>
      </c>
      <c r="D7" s="1808">
        <v>2</v>
      </c>
      <c r="E7" s="3399"/>
    </row>
    <row r="8" spans="1:135" s="1552" customFormat="1" ht="14.25" customHeight="1">
      <c r="A8" s="1808">
        <v>1</v>
      </c>
      <c r="B8" s="1809" t="s">
        <v>5152</v>
      </c>
      <c r="C8" s="2075">
        <f>SUM(C9:C17)</f>
        <v>0</v>
      </c>
      <c r="D8" s="2075">
        <f>SUM(D9:D17)</f>
        <v>0</v>
      </c>
      <c r="E8" s="1809" t="s">
        <v>5153</v>
      </c>
    </row>
    <row r="9" spans="1:135" s="1552" customFormat="1" ht="14.25" customHeight="1">
      <c r="A9" s="1808">
        <v>2</v>
      </c>
      <c r="B9" s="1809" t="s">
        <v>5154</v>
      </c>
      <c r="C9" s="2076"/>
      <c r="D9" s="2075">
        <f>C9</f>
        <v>0</v>
      </c>
      <c r="E9" s="1809" t="s">
        <v>5155</v>
      </c>
    </row>
    <row r="10" spans="1:135" s="1552" customFormat="1" ht="14.25" customHeight="1">
      <c r="A10" s="1808">
        <v>3</v>
      </c>
      <c r="B10" s="1809" t="s">
        <v>5156</v>
      </c>
      <c r="C10" s="2076"/>
      <c r="D10" s="2075">
        <f t="shared" ref="D10:D17" si="0">C10</f>
        <v>0</v>
      </c>
      <c r="E10" s="1809"/>
    </row>
    <row r="11" spans="1:135" s="1552" customFormat="1" ht="14.25" customHeight="1">
      <c r="A11" s="1808">
        <v>4</v>
      </c>
      <c r="B11" s="1809" t="s">
        <v>5157</v>
      </c>
      <c r="C11" s="2076"/>
      <c r="D11" s="2075">
        <f t="shared" si="0"/>
        <v>0</v>
      </c>
      <c r="E11" s="1809"/>
    </row>
    <row r="12" spans="1:135" s="1552" customFormat="1" ht="14.25" customHeight="1">
      <c r="A12" s="1808">
        <v>5</v>
      </c>
      <c r="B12" s="1809" t="s">
        <v>5158</v>
      </c>
      <c r="C12" s="2076"/>
      <c r="D12" s="2075">
        <f t="shared" si="0"/>
        <v>0</v>
      </c>
      <c r="E12" s="1809"/>
    </row>
    <row r="13" spans="1:135" s="1552" customFormat="1" ht="14.25" customHeight="1">
      <c r="A13" s="1808">
        <v>6</v>
      </c>
      <c r="B13" s="1809" t="s">
        <v>5159</v>
      </c>
      <c r="C13" s="2076"/>
      <c r="D13" s="2075">
        <f t="shared" si="0"/>
        <v>0</v>
      </c>
      <c r="E13" s="1809"/>
    </row>
    <row r="14" spans="1:135" s="1552" customFormat="1" ht="14.25" customHeight="1">
      <c r="A14" s="1808">
        <v>7</v>
      </c>
      <c r="B14" s="1809" t="s">
        <v>5160</v>
      </c>
      <c r="C14" s="2076"/>
      <c r="D14" s="2075">
        <f t="shared" si="0"/>
        <v>0</v>
      </c>
      <c r="E14" s="1809"/>
    </row>
    <row r="15" spans="1:135" s="1552" customFormat="1" ht="14.25" customHeight="1">
      <c r="A15" s="1808">
        <v>8</v>
      </c>
      <c r="B15" s="1809" t="s">
        <v>5161</v>
      </c>
      <c r="C15" s="2076"/>
      <c r="D15" s="2075">
        <f t="shared" si="0"/>
        <v>0</v>
      </c>
      <c r="E15" s="1809"/>
    </row>
    <row r="16" spans="1:135" s="1552" customFormat="1" ht="14.25" customHeight="1">
      <c r="A16" s="1808">
        <v>9</v>
      </c>
      <c r="B16" s="1809" t="s">
        <v>5162</v>
      </c>
      <c r="C16" s="2076"/>
      <c r="D16" s="2075">
        <f t="shared" si="0"/>
        <v>0</v>
      </c>
      <c r="E16" s="1809"/>
      <c r="F16" s="1675" t="s">
        <v>6433</v>
      </c>
    </row>
    <row r="17" spans="1:5" s="1552" customFormat="1" ht="14.25" customHeight="1">
      <c r="A17" s="1808">
        <v>10</v>
      </c>
      <c r="B17" s="1809" t="s">
        <v>5163</v>
      </c>
      <c r="C17" s="2076"/>
      <c r="D17" s="2075">
        <f t="shared" si="0"/>
        <v>0</v>
      </c>
      <c r="E17" s="1809"/>
    </row>
    <row r="18" spans="1:5" s="1552" customFormat="1" ht="46.5" customHeight="1">
      <c r="A18" s="1808">
        <v>11</v>
      </c>
      <c r="B18" s="1810" t="s">
        <v>5164</v>
      </c>
      <c r="C18" s="2075">
        <f>SUM(C19:C27)</f>
        <v>0</v>
      </c>
      <c r="D18" s="2075">
        <f>SUM(D19:D27)</f>
        <v>0</v>
      </c>
      <c r="E18" s="1810" t="s">
        <v>5165</v>
      </c>
    </row>
    <row r="19" spans="1:5" s="1552" customFormat="1" ht="14.25" customHeight="1">
      <c r="A19" s="1808">
        <v>12</v>
      </c>
      <c r="B19" s="1809" t="s">
        <v>5166</v>
      </c>
      <c r="C19" s="2076"/>
      <c r="D19" s="2075">
        <f>-C19</f>
        <v>0</v>
      </c>
      <c r="E19" s="1809"/>
    </row>
    <row r="20" spans="1:5" s="1552" customFormat="1" ht="14.25" customHeight="1">
      <c r="A20" s="1808">
        <v>13</v>
      </c>
      <c r="B20" s="1809" t="s">
        <v>5167</v>
      </c>
      <c r="C20" s="2076"/>
      <c r="D20" s="2075">
        <f t="shared" ref="D20:D27" si="1">-C20</f>
        <v>0</v>
      </c>
      <c r="E20" s="1809"/>
    </row>
    <row r="21" spans="1:5" s="1552" customFormat="1" ht="14.25" customHeight="1">
      <c r="A21" s="1808">
        <v>14</v>
      </c>
      <c r="B21" s="1809" t="s">
        <v>5168</v>
      </c>
      <c r="C21" s="2076"/>
      <c r="D21" s="2075">
        <f t="shared" si="1"/>
        <v>0</v>
      </c>
      <c r="E21" s="1809"/>
    </row>
    <row r="22" spans="1:5" s="1552" customFormat="1" ht="14.25" customHeight="1">
      <c r="A22" s="1808">
        <v>15</v>
      </c>
      <c r="B22" s="1809" t="s">
        <v>5169</v>
      </c>
      <c r="C22" s="2076"/>
      <c r="D22" s="2075">
        <f t="shared" si="1"/>
        <v>0</v>
      </c>
      <c r="E22" s="1809"/>
    </row>
    <row r="23" spans="1:5" s="1552" customFormat="1" ht="14.25" customHeight="1">
      <c r="A23" s="1808">
        <v>16</v>
      </c>
      <c r="B23" s="1809" t="s">
        <v>5170</v>
      </c>
      <c r="C23" s="2076"/>
      <c r="D23" s="2075">
        <f t="shared" si="1"/>
        <v>0</v>
      </c>
      <c r="E23" s="1809"/>
    </row>
    <row r="24" spans="1:5" s="1552" customFormat="1" ht="14.25" customHeight="1">
      <c r="A24" s="1808">
        <v>17</v>
      </c>
      <c r="B24" s="1811" t="s">
        <v>5171</v>
      </c>
      <c r="C24" s="2082"/>
      <c r="D24" s="2075">
        <f t="shared" si="1"/>
        <v>0</v>
      </c>
      <c r="E24" s="1809"/>
    </row>
    <row r="25" spans="1:5" s="1552" customFormat="1" ht="14.25" customHeight="1">
      <c r="A25" s="1808">
        <v>18</v>
      </c>
      <c r="B25" s="1809" t="s">
        <v>5172</v>
      </c>
      <c r="C25" s="2076"/>
      <c r="D25" s="2075">
        <f t="shared" si="1"/>
        <v>0</v>
      </c>
      <c r="E25" s="1809"/>
    </row>
    <row r="26" spans="1:5" s="1552" customFormat="1" ht="14.25" customHeight="1">
      <c r="A26" s="1808">
        <v>19</v>
      </c>
      <c r="B26" s="1809" t="s">
        <v>5173</v>
      </c>
      <c r="C26" s="2076"/>
      <c r="D26" s="2075">
        <f t="shared" si="1"/>
        <v>0</v>
      </c>
      <c r="E26" s="1809"/>
    </row>
    <row r="27" spans="1:5" s="1552" customFormat="1" ht="14.25" customHeight="1">
      <c r="A27" s="1808">
        <v>20</v>
      </c>
      <c r="B27" s="1809" t="s">
        <v>5163</v>
      </c>
      <c r="C27" s="2076"/>
      <c r="D27" s="2075">
        <f t="shared" si="1"/>
        <v>0</v>
      </c>
      <c r="E27" s="1809"/>
    </row>
    <row r="28" spans="1:5" s="1552" customFormat="1" ht="48.75" customHeight="1">
      <c r="A28" s="1808">
        <v>21</v>
      </c>
      <c r="B28" s="1810" t="s">
        <v>5174</v>
      </c>
      <c r="C28" s="2075">
        <f>C29-C33</f>
        <v>0</v>
      </c>
      <c r="D28" s="2075">
        <f>D29-D33</f>
        <v>0</v>
      </c>
      <c r="E28" s="1810" t="s">
        <v>5175</v>
      </c>
    </row>
    <row r="29" spans="1:5" s="1552" customFormat="1" ht="26.25" customHeight="1">
      <c r="A29" s="1812">
        <v>22</v>
      </c>
      <c r="B29" s="1813" t="s">
        <v>5176</v>
      </c>
      <c r="C29" s="2078">
        <f>C31-C32</f>
        <v>0</v>
      </c>
      <c r="D29" s="2078">
        <f>D31-D32</f>
        <v>0</v>
      </c>
      <c r="E29" s="1811"/>
    </row>
    <row r="30" spans="1:5" s="1552" customFormat="1" ht="14.25" customHeight="1">
      <c r="A30" s="1808">
        <v>23</v>
      </c>
      <c r="B30" s="1810" t="s">
        <v>5177</v>
      </c>
      <c r="C30" s="2076"/>
      <c r="D30" s="2051" t="s">
        <v>509</v>
      </c>
      <c r="E30" s="1809"/>
    </row>
    <row r="31" spans="1:5" s="1554" customFormat="1" ht="14.25" customHeight="1">
      <c r="A31" s="1808">
        <v>24</v>
      </c>
      <c r="B31" s="1809" t="s">
        <v>5178</v>
      </c>
      <c r="C31" s="2076"/>
      <c r="D31" s="2075">
        <f>C31</f>
        <v>0</v>
      </c>
      <c r="E31" s="1809"/>
    </row>
    <row r="32" spans="1:5" s="1554" customFormat="1" ht="14.25" customHeight="1">
      <c r="A32" s="1808">
        <v>25</v>
      </c>
      <c r="B32" s="1809" t="s">
        <v>5179</v>
      </c>
      <c r="C32" s="2076"/>
      <c r="D32" s="2075">
        <f>C32</f>
        <v>0</v>
      </c>
      <c r="E32" s="1809"/>
    </row>
    <row r="33" spans="1:5" s="1554" customFormat="1" ht="26.25" customHeight="1">
      <c r="A33" s="1812">
        <v>26</v>
      </c>
      <c r="B33" s="1813" t="s">
        <v>5180</v>
      </c>
      <c r="C33" s="2078">
        <f>C35-C36</f>
        <v>0</v>
      </c>
      <c r="D33" s="2078">
        <f>D35-D36</f>
        <v>0</v>
      </c>
      <c r="E33" s="1811"/>
    </row>
    <row r="34" spans="1:5" s="1554" customFormat="1" ht="26.25" customHeight="1">
      <c r="A34" s="1808">
        <v>27</v>
      </c>
      <c r="B34" s="1810" t="s">
        <v>5181</v>
      </c>
      <c r="C34" s="2076"/>
      <c r="D34" s="2051" t="s">
        <v>509</v>
      </c>
      <c r="E34" s="1809"/>
    </row>
    <row r="35" spans="1:5" s="1554" customFormat="1" ht="14.25" customHeight="1">
      <c r="A35" s="1808">
        <v>28</v>
      </c>
      <c r="B35" s="1809" t="s">
        <v>5182</v>
      </c>
      <c r="C35" s="2076"/>
      <c r="D35" s="2075">
        <f>C35</f>
        <v>0</v>
      </c>
      <c r="E35" s="1809"/>
    </row>
    <row r="36" spans="1:5" s="1552" customFormat="1" ht="26.25" customHeight="1">
      <c r="A36" s="1808">
        <v>29</v>
      </c>
      <c r="B36" s="1810" t="s">
        <v>5183</v>
      </c>
      <c r="C36" s="2076"/>
      <c r="D36" s="2075">
        <f>C36</f>
        <v>0</v>
      </c>
      <c r="E36" s="1809"/>
    </row>
    <row r="37" spans="1:5">
      <c r="A37" s="2011"/>
      <c r="B37" s="2070"/>
      <c r="C37" s="2011"/>
      <c r="D37" s="2011"/>
      <c r="E37" s="2070"/>
    </row>
    <row r="38" spans="1:5">
      <c r="A38" s="1651"/>
      <c r="C38" s="1651"/>
      <c r="D38" s="1651"/>
    </row>
    <row r="39" spans="1:5">
      <c r="A39" s="1651"/>
      <c r="C39" s="1651"/>
      <c r="D39" s="1651"/>
    </row>
    <row r="40" spans="1:5">
      <c r="A40" s="1651"/>
      <c r="C40" s="1651"/>
      <c r="D40" s="1651"/>
    </row>
    <row r="41" spans="1:5">
      <c r="A41" s="1651"/>
      <c r="C41" s="1651"/>
      <c r="D41" s="1651"/>
    </row>
    <row r="42" spans="1:5">
      <c r="A42" s="1651"/>
      <c r="C42" s="1651"/>
      <c r="D42" s="1651"/>
    </row>
    <row r="43" spans="1:5">
      <c r="A43" s="1651"/>
      <c r="C43" s="1651"/>
      <c r="D43" s="1651"/>
    </row>
    <row r="44" spans="1:5">
      <c r="A44" s="1651"/>
      <c r="C44" s="1651"/>
      <c r="D44" s="1651"/>
    </row>
    <row r="45" spans="1:5">
      <c r="A45" s="1651"/>
      <c r="C45" s="1651"/>
      <c r="D45" s="1651"/>
    </row>
    <row r="46" spans="1:5">
      <c r="A46" s="1651"/>
      <c r="C46" s="1651"/>
      <c r="D46" s="1651"/>
    </row>
    <row r="47" spans="1:5">
      <c r="A47" s="1651"/>
      <c r="C47" s="1651"/>
      <c r="D47" s="1651"/>
    </row>
    <row r="48" spans="1:5">
      <c r="A48" s="1651"/>
      <c r="C48" s="1651"/>
      <c r="D48" s="1651"/>
    </row>
    <row r="49" spans="1:4">
      <c r="A49" s="1651"/>
      <c r="C49" s="1651"/>
      <c r="D49" s="1651"/>
    </row>
    <row r="50" spans="1:4">
      <c r="A50" s="1651"/>
      <c r="C50" s="1651"/>
      <c r="D50" s="1651"/>
    </row>
    <row r="51" spans="1:4">
      <c r="A51" s="1651"/>
      <c r="C51" s="1651"/>
      <c r="D51" s="1651"/>
    </row>
    <row r="52" spans="1:4">
      <c r="A52" s="1651"/>
      <c r="C52" s="1651"/>
      <c r="D52" s="1651"/>
    </row>
    <row r="53" spans="1:4">
      <c r="A53" s="1651"/>
      <c r="C53" s="1651"/>
      <c r="D53" s="1651"/>
    </row>
    <row r="54" spans="1:4">
      <c r="A54" s="1651"/>
      <c r="C54" s="1651"/>
      <c r="D54" s="1651"/>
    </row>
    <row r="55" spans="1:4">
      <c r="A55" s="1651"/>
      <c r="C55" s="1651"/>
      <c r="D55" s="1651"/>
    </row>
    <row r="56" spans="1:4">
      <c r="A56" s="1651"/>
      <c r="C56" s="1651"/>
      <c r="D56" s="1651"/>
    </row>
    <row r="57" spans="1:4">
      <c r="A57" s="1651"/>
      <c r="C57" s="1651"/>
      <c r="D57" s="1651"/>
    </row>
    <row r="58" spans="1:4">
      <c r="A58" s="1651"/>
      <c r="C58" s="1651"/>
      <c r="D58" s="1651"/>
    </row>
    <row r="59" spans="1:4">
      <c r="A59" s="1651"/>
      <c r="C59" s="1651"/>
      <c r="D59" s="1651"/>
    </row>
    <row r="60" spans="1:4">
      <c r="A60" s="1651"/>
      <c r="C60" s="1651"/>
      <c r="D60" s="1651"/>
    </row>
    <row r="61" spans="1:4">
      <c r="A61" s="1651"/>
      <c r="C61" s="1651"/>
      <c r="D61" s="1651"/>
    </row>
    <row r="62" spans="1:4">
      <c r="A62" s="1651"/>
      <c r="C62" s="1651"/>
      <c r="D62" s="1651"/>
    </row>
  </sheetData>
  <mergeCells count="5">
    <mergeCell ref="A1:D1"/>
    <mergeCell ref="A6:A7"/>
    <mergeCell ref="B6:B7"/>
    <mergeCell ref="E6:E7"/>
    <mergeCell ref="A5:E5"/>
  </mergeCells>
  <phoneticPr fontId="51" type="noConversion"/>
  <hyperlinks>
    <hyperlink ref="F16" location="A105010视同销售和房地产开发企业特定业务纳税调整明细表!A1" display="A105010视同销售和房地产开发企业特定业务纳税调整明细表!A1"/>
  </hyperlinks>
  <printOptions horizontalCentered="1"/>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tabColor rgb="FFFFFF00"/>
  </sheetPr>
  <dimension ref="A1:J20"/>
  <sheetViews>
    <sheetView topLeftCell="A4" workbookViewId="0">
      <selection sqref="A1:H1"/>
    </sheetView>
  </sheetViews>
  <sheetFormatPr defaultRowHeight="12"/>
  <cols>
    <col min="1" max="1" width="5.19921875" style="1557" customWidth="1"/>
    <col min="2" max="2" width="42.59765625" style="1552" customWidth="1"/>
    <col min="3" max="8" width="12" style="1552" customWidth="1"/>
    <col min="9" max="9" width="19.5" style="1552" customWidth="1"/>
    <col min="10" max="256" width="9" style="1552"/>
    <col min="257" max="257" width="5.19921875" style="1552" customWidth="1"/>
    <col min="258" max="258" width="42.59765625" style="1552" customWidth="1"/>
    <col min="259" max="259" width="8.3984375" style="1552" customWidth="1"/>
    <col min="260" max="260" width="8" style="1552" customWidth="1"/>
    <col min="261" max="261" width="7.5" style="1552" customWidth="1"/>
    <col min="262" max="262" width="8.5" style="1552" customWidth="1"/>
    <col min="263" max="263" width="8" style="1552" customWidth="1"/>
    <col min="264" max="264" width="9.8984375" style="1552" customWidth="1"/>
    <col min="265" max="265" width="19.5" style="1552" customWidth="1"/>
    <col min="266" max="512" width="9" style="1552"/>
    <col min="513" max="513" width="5.19921875" style="1552" customWidth="1"/>
    <col min="514" max="514" width="42.59765625" style="1552" customWidth="1"/>
    <col min="515" max="515" width="8.3984375" style="1552" customWidth="1"/>
    <col min="516" max="516" width="8" style="1552" customWidth="1"/>
    <col min="517" max="517" width="7.5" style="1552" customWidth="1"/>
    <col min="518" max="518" width="8.5" style="1552" customWidth="1"/>
    <col min="519" max="519" width="8" style="1552" customWidth="1"/>
    <col min="520" max="520" width="9.8984375" style="1552" customWidth="1"/>
    <col min="521" max="521" width="19.5" style="1552" customWidth="1"/>
    <col min="522" max="768" width="9" style="1552"/>
    <col min="769" max="769" width="5.19921875" style="1552" customWidth="1"/>
    <col min="770" max="770" width="42.59765625" style="1552" customWidth="1"/>
    <col min="771" max="771" width="8.3984375" style="1552" customWidth="1"/>
    <col min="772" max="772" width="8" style="1552" customWidth="1"/>
    <col min="773" max="773" width="7.5" style="1552" customWidth="1"/>
    <col min="774" max="774" width="8.5" style="1552" customWidth="1"/>
    <col min="775" max="775" width="8" style="1552" customWidth="1"/>
    <col min="776" max="776" width="9.8984375" style="1552" customWidth="1"/>
    <col min="777" max="777" width="19.5" style="1552" customWidth="1"/>
    <col min="778" max="1024" width="9" style="1552"/>
    <col min="1025" max="1025" width="5.19921875" style="1552" customWidth="1"/>
    <col min="1026" max="1026" width="42.59765625" style="1552" customWidth="1"/>
    <col min="1027" max="1027" width="8.3984375" style="1552" customWidth="1"/>
    <col min="1028" max="1028" width="8" style="1552" customWidth="1"/>
    <col min="1029" max="1029" width="7.5" style="1552" customWidth="1"/>
    <col min="1030" max="1030" width="8.5" style="1552" customWidth="1"/>
    <col min="1031" max="1031" width="8" style="1552" customWidth="1"/>
    <col min="1032" max="1032" width="9.8984375" style="1552" customWidth="1"/>
    <col min="1033" max="1033" width="19.5" style="1552" customWidth="1"/>
    <col min="1034" max="1280" width="9" style="1552"/>
    <col min="1281" max="1281" width="5.19921875" style="1552" customWidth="1"/>
    <col min="1282" max="1282" width="42.59765625" style="1552" customWidth="1"/>
    <col min="1283" max="1283" width="8.3984375" style="1552" customWidth="1"/>
    <col min="1284" max="1284" width="8" style="1552" customWidth="1"/>
    <col min="1285" max="1285" width="7.5" style="1552" customWidth="1"/>
    <col min="1286" max="1286" width="8.5" style="1552" customWidth="1"/>
    <col min="1287" max="1287" width="8" style="1552" customWidth="1"/>
    <col min="1288" max="1288" width="9.8984375" style="1552" customWidth="1"/>
    <col min="1289" max="1289" width="19.5" style="1552" customWidth="1"/>
    <col min="1290" max="1536" width="9" style="1552"/>
    <col min="1537" max="1537" width="5.19921875" style="1552" customWidth="1"/>
    <col min="1538" max="1538" width="42.59765625" style="1552" customWidth="1"/>
    <col min="1539" max="1539" width="8.3984375" style="1552" customWidth="1"/>
    <col min="1540" max="1540" width="8" style="1552" customWidth="1"/>
    <col min="1541" max="1541" width="7.5" style="1552" customWidth="1"/>
    <col min="1542" max="1542" width="8.5" style="1552" customWidth="1"/>
    <col min="1543" max="1543" width="8" style="1552" customWidth="1"/>
    <col min="1544" max="1544" width="9.8984375" style="1552" customWidth="1"/>
    <col min="1545" max="1545" width="19.5" style="1552" customWidth="1"/>
    <col min="1546" max="1792" width="9" style="1552"/>
    <col min="1793" max="1793" width="5.19921875" style="1552" customWidth="1"/>
    <col min="1794" max="1794" width="42.59765625" style="1552" customWidth="1"/>
    <col min="1795" max="1795" width="8.3984375" style="1552" customWidth="1"/>
    <col min="1796" max="1796" width="8" style="1552" customWidth="1"/>
    <col min="1797" max="1797" width="7.5" style="1552" customWidth="1"/>
    <col min="1798" max="1798" width="8.5" style="1552" customWidth="1"/>
    <col min="1799" max="1799" width="8" style="1552" customWidth="1"/>
    <col min="1800" max="1800" width="9.8984375" style="1552" customWidth="1"/>
    <col min="1801" max="1801" width="19.5" style="1552" customWidth="1"/>
    <col min="1802" max="2048" width="9" style="1552"/>
    <col min="2049" max="2049" width="5.19921875" style="1552" customWidth="1"/>
    <col min="2050" max="2050" width="42.59765625" style="1552" customWidth="1"/>
    <col min="2051" max="2051" width="8.3984375" style="1552" customWidth="1"/>
    <col min="2052" max="2052" width="8" style="1552" customWidth="1"/>
    <col min="2053" max="2053" width="7.5" style="1552" customWidth="1"/>
    <col min="2054" max="2054" width="8.5" style="1552" customWidth="1"/>
    <col min="2055" max="2055" width="8" style="1552" customWidth="1"/>
    <col min="2056" max="2056" width="9.8984375" style="1552" customWidth="1"/>
    <col min="2057" max="2057" width="19.5" style="1552" customWidth="1"/>
    <col min="2058" max="2304" width="9" style="1552"/>
    <col min="2305" max="2305" width="5.19921875" style="1552" customWidth="1"/>
    <col min="2306" max="2306" width="42.59765625" style="1552" customWidth="1"/>
    <col min="2307" max="2307" width="8.3984375" style="1552" customWidth="1"/>
    <col min="2308" max="2308" width="8" style="1552" customWidth="1"/>
    <col min="2309" max="2309" width="7.5" style="1552" customWidth="1"/>
    <col min="2310" max="2310" width="8.5" style="1552" customWidth="1"/>
    <col min="2311" max="2311" width="8" style="1552" customWidth="1"/>
    <col min="2312" max="2312" width="9.8984375" style="1552" customWidth="1"/>
    <col min="2313" max="2313" width="19.5" style="1552" customWidth="1"/>
    <col min="2314" max="2560" width="9" style="1552"/>
    <col min="2561" max="2561" width="5.19921875" style="1552" customWidth="1"/>
    <col min="2562" max="2562" width="42.59765625" style="1552" customWidth="1"/>
    <col min="2563" max="2563" width="8.3984375" style="1552" customWidth="1"/>
    <col min="2564" max="2564" width="8" style="1552" customWidth="1"/>
    <col min="2565" max="2565" width="7.5" style="1552" customWidth="1"/>
    <col min="2566" max="2566" width="8.5" style="1552" customWidth="1"/>
    <col min="2567" max="2567" width="8" style="1552" customWidth="1"/>
    <col min="2568" max="2568" width="9.8984375" style="1552" customWidth="1"/>
    <col min="2569" max="2569" width="19.5" style="1552" customWidth="1"/>
    <col min="2570" max="2816" width="9" style="1552"/>
    <col min="2817" max="2817" width="5.19921875" style="1552" customWidth="1"/>
    <col min="2818" max="2818" width="42.59765625" style="1552" customWidth="1"/>
    <col min="2819" max="2819" width="8.3984375" style="1552" customWidth="1"/>
    <col min="2820" max="2820" width="8" style="1552" customWidth="1"/>
    <col min="2821" max="2821" width="7.5" style="1552" customWidth="1"/>
    <col min="2822" max="2822" width="8.5" style="1552" customWidth="1"/>
    <col min="2823" max="2823" width="8" style="1552" customWidth="1"/>
    <col min="2824" max="2824" width="9.8984375" style="1552" customWidth="1"/>
    <col min="2825" max="2825" width="19.5" style="1552" customWidth="1"/>
    <col min="2826" max="3072" width="9" style="1552"/>
    <col min="3073" max="3073" width="5.19921875" style="1552" customWidth="1"/>
    <col min="3074" max="3074" width="42.59765625" style="1552" customWidth="1"/>
    <col min="3075" max="3075" width="8.3984375" style="1552" customWidth="1"/>
    <col min="3076" max="3076" width="8" style="1552" customWidth="1"/>
    <col min="3077" max="3077" width="7.5" style="1552" customWidth="1"/>
    <col min="3078" max="3078" width="8.5" style="1552" customWidth="1"/>
    <col min="3079" max="3079" width="8" style="1552" customWidth="1"/>
    <col min="3080" max="3080" width="9.8984375" style="1552" customWidth="1"/>
    <col min="3081" max="3081" width="19.5" style="1552" customWidth="1"/>
    <col min="3082" max="3328" width="9" style="1552"/>
    <col min="3329" max="3329" width="5.19921875" style="1552" customWidth="1"/>
    <col min="3330" max="3330" width="42.59765625" style="1552" customWidth="1"/>
    <col min="3331" max="3331" width="8.3984375" style="1552" customWidth="1"/>
    <col min="3332" max="3332" width="8" style="1552" customWidth="1"/>
    <col min="3333" max="3333" width="7.5" style="1552" customWidth="1"/>
    <col min="3334" max="3334" width="8.5" style="1552" customWidth="1"/>
    <col min="3335" max="3335" width="8" style="1552" customWidth="1"/>
    <col min="3336" max="3336" width="9.8984375" style="1552" customWidth="1"/>
    <col min="3337" max="3337" width="19.5" style="1552" customWidth="1"/>
    <col min="3338" max="3584" width="9" style="1552"/>
    <col min="3585" max="3585" width="5.19921875" style="1552" customWidth="1"/>
    <col min="3586" max="3586" width="42.59765625" style="1552" customWidth="1"/>
    <col min="3587" max="3587" width="8.3984375" style="1552" customWidth="1"/>
    <col min="3588" max="3588" width="8" style="1552" customWidth="1"/>
    <col min="3589" max="3589" width="7.5" style="1552" customWidth="1"/>
    <col min="3590" max="3590" width="8.5" style="1552" customWidth="1"/>
    <col min="3591" max="3591" width="8" style="1552" customWidth="1"/>
    <col min="3592" max="3592" width="9.8984375" style="1552" customWidth="1"/>
    <col min="3593" max="3593" width="19.5" style="1552" customWidth="1"/>
    <col min="3594" max="3840" width="9" style="1552"/>
    <col min="3841" max="3841" width="5.19921875" style="1552" customWidth="1"/>
    <col min="3842" max="3842" width="42.59765625" style="1552" customWidth="1"/>
    <col min="3843" max="3843" width="8.3984375" style="1552" customWidth="1"/>
    <col min="3844" max="3844" width="8" style="1552" customWidth="1"/>
    <col min="3845" max="3845" width="7.5" style="1552" customWidth="1"/>
    <col min="3846" max="3846" width="8.5" style="1552" customWidth="1"/>
    <col min="3847" max="3847" width="8" style="1552" customWidth="1"/>
    <col min="3848" max="3848" width="9.8984375" style="1552" customWidth="1"/>
    <col min="3849" max="3849" width="19.5" style="1552" customWidth="1"/>
    <col min="3850" max="4096" width="9" style="1552"/>
    <col min="4097" max="4097" width="5.19921875" style="1552" customWidth="1"/>
    <col min="4098" max="4098" width="42.59765625" style="1552" customWidth="1"/>
    <col min="4099" max="4099" width="8.3984375" style="1552" customWidth="1"/>
    <col min="4100" max="4100" width="8" style="1552" customWidth="1"/>
    <col min="4101" max="4101" width="7.5" style="1552" customWidth="1"/>
    <col min="4102" max="4102" width="8.5" style="1552" customWidth="1"/>
    <col min="4103" max="4103" width="8" style="1552" customWidth="1"/>
    <col min="4104" max="4104" width="9.8984375" style="1552" customWidth="1"/>
    <col min="4105" max="4105" width="19.5" style="1552" customWidth="1"/>
    <col min="4106" max="4352" width="9" style="1552"/>
    <col min="4353" max="4353" width="5.19921875" style="1552" customWidth="1"/>
    <col min="4354" max="4354" width="42.59765625" style="1552" customWidth="1"/>
    <col min="4355" max="4355" width="8.3984375" style="1552" customWidth="1"/>
    <col min="4356" max="4356" width="8" style="1552" customWidth="1"/>
    <col min="4357" max="4357" width="7.5" style="1552" customWidth="1"/>
    <col min="4358" max="4358" width="8.5" style="1552" customWidth="1"/>
    <col min="4359" max="4359" width="8" style="1552" customWidth="1"/>
    <col min="4360" max="4360" width="9.8984375" style="1552" customWidth="1"/>
    <col min="4361" max="4361" width="19.5" style="1552" customWidth="1"/>
    <col min="4362" max="4608" width="9" style="1552"/>
    <col min="4609" max="4609" width="5.19921875" style="1552" customWidth="1"/>
    <col min="4610" max="4610" width="42.59765625" style="1552" customWidth="1"/>
    <col min="4611" max="4611" width="8.3984375" style="1552" customWidth="1"/>
    <col min="4612" max="4612" width="8" style="1552" customWidth="1"/>
    <col min="4613" max="4613" width="7.5" style="1552" customWidth="1"/>
    <col min="4614" max="4614" width="8.5" style="1552" customWidth="1"/>
    <col min="4615" max="4615" width="8" style="1552" customWidth="1"/>
    <col min="4616" max="4616" width="9.8984375" style="1552" customWidth="1"/>
    <col min="4617" max="4617" width="19.5" style="1552" customWidth="1"/>
    <col min="4618" max="4864" width="9" style="1552"/>
    <col min="4865" max="4865" width="5.19921875" style="1552" customWidth="1"/>
    <col min="4866" max="4866" width="42.59765625" style="1552" customWidth="1"/>
    <col min="4867" max="4867" width="8.3984375" style="1552" customWidth="1"/>
    <col min="4868" max="4868" width="8" style="1552" customWidth="1"/>
    <col min="4869" max="4869" width="7.5" style="1552" customWidth="1"/>
    <col min="4870" max="4870" width="8.5" style="1552" customWidth="1"/>
    <col min="4871" max="4871" width="8" style="1552" customWidth="1"/>
    <col min="4872" max="4872" width="9.8984375" style="1552" customWidth="1"/>
    <col min="4873" max="4873" width="19.5" style="1552" customWidth="1"/>
    <col min="4874" max="5120" width="9" style="1552"/>
    <col min="5121" max="5121" width="5.19921875" style="1552" customWidth="1"/>
    <col min="5122" max="5122" width="42.59765625" style="1552" customWidth="1"/>
    <col min="5123" max="5123" width="8.3984375" style="1552" customWidth="1"/>
    <col min="5124" max="5124" width="8" style="1552" customWidth="1"/>
    <col min="5125" max="5125" width="7.5" style="1552" customWidth="1"/>
    <col min="5126" max="5126" width="8.5" style="1552" customWidth="1"/>
    <col min="5127" max="5127" width="8" style="1552" customWidth="1"/>
    <col min="5128" max="5128" width="9.8984375" style="1552" customWidth="1"/>
    <col min="5129" max="5129" width="19.5" style="1552" customWidth="1"/>
    <col min="5130" max="5376" width="9" style="1552"/>
    <col min="5377" max="5377" width="5.19921875" style="1552" customWidth="1"/>
    <col min="5378" max="5378" width="42.59765625" style="1552" customWidth="1"/>
    <col min="5379" max="5379" width="8.3984375" style="1552" customWidth="1"/>
    <col min="5380" max="5380" width="8" style="1552" customWidth="1"/>
    <col min="5381" max="5381" width="7.5" style="1552" customWidth="1"/>
    <col min="5382" max="5382" width="8.5" style="1552" customWidth="1"/>
    <col min="5383" max="5383" width="8" style="1552" customWidth="1"/>
    <col min="5384" max="5384" width="9.8984375" style="1552" customWidth="1"/>
    <col min="5385" max="5385" width="19.5" style="1552" customWidth="1"/>
    <col min="5386" max="5632" width="9" style="1552"/>
    <col min="5633" max="5633" width="5.19921875" style="1552" customWidth="1"/>
    <col min="5634" max="5634" width="42.59765625" style="1552" customWidth="1"/>
    <col min="5635" max="5635" width="8.3984375" style="1552" customWidth="1"/>
    <col min="5636" max="5636" width="8" style="1552" customWidth="1"/>
    <col min="5637" max="5637" width="7.5" style="1552" customWidth="1"/>
    <col min="5638" max="5638" width="8.5" style="1552" customWidth="1"/>
    <col min="5639" max="5639" width="8" style="1552" customWidth="1"/>
    <col min="5640" max="5640" width="9.8984375" style="1552" customWidth="1"/>
    <col min="5641" max="5641" width="19.5" style="1552" customWidth="1"/>
    <col min="5642" max="5888" width="9" style="1552"/>
    <col min="5889" max="5889" width="5.19921875" style="1552" customWidth="1"/>
    <col min="5890" max="5890" width="42.59765625" style="1552" customWidth="1"/>
    <col min="5891" max="5891" width="8.3984375" style="1552" customWidth="1"/>
    <col min="5892" max="5892" width="8" style="1552" customWidth="1"/>
    <col min="5893" max="5893" width="7.5" style="1552" customWidth="1"/>
    <col min="5894" max="5894" width="8.5" style="1552" customWidth="1"/>
    <col min="5895" max="5895" width="8" style="1552" customWidth="1"/>
    <col min="5896" max="5896" width="9.8984375" style="1552" customWidth="1"/>
    <col min="5897" max="5897" width="19.5" style="1552" customWidth="1"/>
    <col min="5898" max="6144" width="9" style="1552"/>
    <col min="6145" max="6145" width="5.19921875" style="1552" customWidth="1"/>
    <col min="6146" max="6146" width="42.59765625" style="1552" customWidth="1"/>
    <col min="6147" max="6147" width="8.3984375" style="1552" customWidth="1"/>
    <col min="6148" max="6148" width="8" style="1552" customWidth="1"/>
    <col min="6149" max="6149" width="7.5" style="1552" customWidth="1"/>
    <col min="6150" max="6150" width="8.5" style="1552" customWidth="1"/>
    <col min="6151" max="6151" width="8" style="1552" customWidth="1"/>
    <col min="6152" max="6152" width="9.8984375" style="1552" customWidth="1"/>
    <col min="6153" max="6153" width="19.5" style="1552" customWidth="1"/>
    <col min="6154" max="6400" width="9" style="1552"/>
    <col min="6401" max="6401" width="5.19921875" style="1552" customWidth="1"/>
    <col min="6402" max="6402" width="42.59765625" style="1552" customWidth="1"/>
    <col min="6403" max="6403" width="8.3984375" style="1552" customWidth="1"/>
    <col min="6404" max="6404" width="8" style="1552" customWidth="1"/>
    <col min="6405" max="6405" width="7.5" style="1552" customWidth="1"/>
    <col min="6406" max="6406" width="8.5" style="1552" customWidth="1"/>
    <col min="6407" max="6407" width="8" style="1552" customWidth="1"/>
    <col min="6408" max="6408" width="9.8984375" style="1552" customWidth="1"/>
    <col min="6409" max="6409" width="19.5" style="1552" customWidth="1"/>
    <col min="6410" max="6656" width="9" style="1552"/>
    <col min="6657" max="6657" width="5.19921875" style="1552" customWidth="1"/>
    <col min="6658" max="6658" width="42.59765625" style="1552" customWidth="1"/>
    <col min="6659" max="6659" width="8.3984375" style="1552" customWidth="1"/>
    <col min="6660" max="6660" width="8" style="1552" customWidth="1"/>
    <col min="6661" max="6661" width="7.5" style="1552" customWidth="1"/>
    <col min="6662" max="6662" width="8.5" style="1552" customWidth="1"/>
    <col min="6663" max="6663" width="8" style="1552" customWidth="1"/>
    <col min="6664" max="6664" width="9.8984375" style="1552" customWidth="1"/>
    <col min="6665" max="6665" width="19.5" style="1552" customWidth="1"/>
    <col min="6666" max="6912" width="9" style="1552"/>
    <col min="6913" max="6913" width="5.19921875" style="1552" customWidth="1"/>
    <col min="6914" max="6914" width="42.59765625" style="1552" customWidth="1"/>
    <col min="6915" max="6915" width="8.3984375" style="1552" customWidth="1"/>
    <col min="6916" max="6916" width="8" style="1552" customWidth="1"/>
    <col min="6917" max="6917" width="7.5" style="1552" customWidth="1"/>
    <col min="6918" max="6918" width="8.5" style="1552" customWidth="1"/>
    <col min="6919" max="6919" width="8" style="1552" customWidth="1"/>
    <col min="6920" max="6920" width="9.8984375" style="1552" customWidth="1"/>
    <col min="6921" max="6921" width="19.5" style="1552" customWidth="1"/>
    <col min="6922" max="7168" width="9" style="1552"/>
    <col min="7169" max="7169" width="5.19921875" style="1552" customWidth="1"/>
    <col min="7170" max="7170" width="42.59765625" style="1552" customWidth="1"/>
    <col min="7171" max="7171" width="8.3984375" style="1552" customWidth="1"/>
    <col min="7172" max="7172" width="8" style="1552" customWidth="1"/>
    <col min="7173" max="7173" width="7.5" style="1552" customWidth="1"/>
    <col min="7174" max="7174" width="8.5" style="1552" customWidth="1"/>
    <col min="7175" max="7175" width="8" style="1552" customWidth="1"/>
    <col min="7176" max="7176" width="9.8984375" style="1552" customWidth="1"/>
    <col min="7177" max="7177" width="19.5" style="1552" customWidth="1"/>
    <col min="7178" max="7424" width="9" style="1552"/>
    <col min="7425" max="7425" width="5.19921875" style="1552" customWidth="1"/>
    <col min="7426" max="7426" width="42.59765625" style="1552" customWidth="1"/>
    <col min="7427" max="7427" width="8.3984375" style="1552" customWidth="1"/>
    <col min="7428" max="7428" width="8" style="1552" customWidth="1"/>
    <col min="7429" max="7429" width="7.5" style="1552" customWidth="1"/>
    <col min="7430" max="7430" width="8.5" style="1552" customWidth="1"/>
    <col min="7431" max="7431" width="8" style="1552" customWidth="1"/>
    <col min="7432" max="7432" width="9.8984375" style="1552" customWidth="1"/>
    <col min="7433" max="7433" width="19.5" style="1552" customWidth="1"/>
    <col min="7434" max="7680" width="9" style="1552"/>
    <col min="7681" max="7681" width="5.19921875" style="1552" customWidth="1"/>
    <col min="7682" max="7682" width="42.59765625" style="1552" customWidth="1"/>
    <col min="7683" max="7683" width="8.3984375" style="1552" customWidth="1"/>
    <col min="7684" max="7684" width="8" style="1552" customWidth="1"/>
    <col min="7685" max="7685" width="7.5" style="1552" customWidth="1"/>
    <col min="7686" max="7686" width="8.5" style="1552" customWidth="1"/>
    <col min="7687" max="7687" width="8" style="1552" customWidth="1"/>
    <col min="7688" max="7688" width="9.8984375" style="1552" customWidth="1"/>
    <col min="7689" max="7689" width="19.5" style="1552" customWidth="1"/>
    <col min="7690" max="7936" width="9" style="1552"/>
    <col min="7937" max="7937" width="5.19921875" style="1552" customWidth="1"/>
    <col min="7938" max="7938" width="42.59765625" style="1552" customWidth="1"/>
    <col min="7939" max="7939" width="8.3984375" style="1552" customWidth="1"/>
    <col min="7940" max="7940" width="8" style="1552" customWidth="1"/>
    <col min="7941" max="7941" width="7.5" style="1552" customWidth="1"/>
    <col min="7942" max="7942" width="8.5" style="1552" customWidth="1"/>
    <col min="7943" max="7943" width="8" style="1552" customWidth="1"/>
    <col min="7944" max="7944" width="9.8984375" style="1552" customWidth="1"/>
    <col min="7945" max="7945" width="19.5" style="1552" customWidth="1"/>
    <col min="7946" max="8192" width="9" style="1552"/>
    <col min="8193" max="8193" width="5.19921875" style="1552" customWidth="1"/>
    <col min="8194" max="8194" width="42.59765625" style="1552" customWidth="1"/>
    <col min="8195" max="8195" width="8.3984375" style="1552" customWidth="1"/>
    <col min="8196" max="8196" width="8" style="1552" customWidth="1"/>
    <col min="8197" max="8197" width="7.5" style="1552" customWidth="1"/>
    <col min="8198" max="8198" width="8.5" style="1552" customWidth="1"/>
    <col min="8199" max="8199" width="8" style="1552" customWidth="1"/>
    <col min="8200" max="8200" width="9.8984375" style="1552" customWidth="1"/>
    <col min="8201" max="8201" width="19.5" style="1552" customWidth="1"/>
    <col min="8202" max="8448" width="9" style="1552"/>
    <col min="8449" max="8449" width="5.19921875" style="1552" customWidth="1"/>
    <col min="8450" max="8450" width="42.59765625" style="1552" customWidth="1"/>
    <col min="8451" max="8451" width="8.3984375" style="1552" customWidth="1"/>
    <col min="8452" max="8452" width="8" style="1552" customWidth="1"/>
    <col min="8453" max="8453" width="7.5" style="1552" customWidth="1"/>
    <col min="8454" max="8454" width="8.5" style="1552" customWidth="1"/>
    <col min="8455" max="8455" width="8" style="1552" customWidth="1"/>
    <col min="8456" max="8456" width="9.8984375" style="1552" customWidth="1"/>
    <col min="8457" max="8457" width="19.5" style="1552" customWidth="1"/>
    <col min="8458" max="8704" width="9" style="1552"/>
    <col min="8705" max="8705" width="5.19921875" style="1552" customWidth="1"/>
    <col min="8706" max="8706" width="42.59765625" style="1552" customWidth="1"/>
    <col min="8707" max="8707" width="8.3984375" style="1552" customWidth="1"/>
    <col min="8708" max="8708" width="8" style="1552" customWidth="1"/>
    <col min="8709" max="8709" width="7.5" style="1552" customWidth="1"/>
    <col min="8710" max="8710" width="8.5" style="1552" customWidth="1"/>
    <col min="8711" max="8711" width="8" style="1552" customWidth="1"/>
    <col min="8712" max="8712" width="9.8984375" style="1552" customWidth="1"/>
    <col min="8713" max="8713" width="19.5" style="1552" customWidth="1"/>
    <col min="8714" max="8960" width="9" style="1552"/>
    <col min="8961" max="8961" width="5.19921875" style="1552" customWidth="1"/>
    <col min="8962" max="8962" width="42.59765625" style="1552" customWidth="1"/>
    <col min="8963" max="8963" width="8.3984375" style="1552" customWidth="1"/>
    <col min="8964" max="8964" width="8" style="1552" customWidth="1"/>
    <col min="8965" max="8965" width="7.5" style="1552" customWidth="1"/>
    <col min="8966" max="8966" width="8.5" style="1552" customWidth="1"/>
    <col min="8967" max="8967" width="8" style="1552" customWidth="1"/>
    <col min="8968" max="8968" width="9.8984375" style="1552" customWidth="1"/>
    <col min="8969" max="8969" width="19.5" style="1552" customWidth="1"/>
    <col min="8970" max="9216" width="9" style="1552"/>
    <col min="9217" max="9217" width="5.19921875" style="1552" customWidth="1"/>
    <col min="9218" max="9218" width="42.59765625" style="1552" customWidth="1"/>
    <col min="9219" max="9219" width="8.3984375" style="1552" customWidth="1"/>
    <col min="9220" max="9220" width="8" style="1552" customWidth="1"/>
    <col min="9221" max="9221" width="7.5" style="1552" customWidth="1"/>
    <col min="9222" max="9222" width="8.5" style="1552" customWidth="1"/>
    <col min="9223" max="9223" width="8" style="1552" customWidth="1"/>
    <col min="9224" max="9224" width="9.8984375" style="1552" customWidth="1"/>
    <col min="9225" max="9225" width="19.5" style="1552" customWidth="1"/>
    <col min="9226" max="9472" width="9" style="1552"/>
    <col min="9473" max="9473" width="5.19921875" style="1552" customWidth="1"/>
    <col min="9474" max="9474" width="42.59765625" style="1552" customWidth="1"/>
    <col min="9475" max="9475" width="8.3984375" style="1552" customWidth="1"/>
    <col min="9476" max="9476" width="8" style="1552" customWidth="1"/>
    <col min="9477" max="9477" width="7.5" style="1552" customWidth="1"/>
    <col min="9478" max="9478" width="8.5" style="1552" customWidth="1"/>
    <col min="9479" max="9479" width="8" style="1552" customWidth="1"/>
    <col min="9480" max="9480" width="9.8984375" style="1552" customWidth="1"/>
    <col min="9481" max="9481" width="19.5" style="1552" customWidth="1"/>
    <col min="9482" max="9728" width="9" style="1552"/>
    <col min="9729" max="9729" width="5.19921875" style="1552" customWidth="1"/>
    <col min="9730" max="9730" width="42.59765625" style="1552" customWidth="1"/>
    <col min="9731" max="9731" width="8.3984375" style="1552" customWidth="1"/>
    <col min="9732" max="9732" width="8" style="1552" customWidth="1"/>
    <col min="9733" max="9733" width="7.5" style="1552" customWidth="1"/>
    <col min="9734" max="9734" width="8.5" style="1552" customWidth="1"/>
    <col min="9735" max="9735" width="8" style="1552" customWidth="1"/>
    <col min="9736" max="9736" width="9.8984375" style="1552" customWidth="1"/>
    <col min="9737" max="9737" width="19.5" style="1552" customWidth="1"/>
    <col min="9738" max="9984" width="9" style="1552"/>
    <col min="9985" max="9985" width="5.19921875" style="1552" customWidth="1"/>
    <col min="9986" max="9986" width="42.59765625" style="1552" customWidth="1"/>
    <col min="9987" max="9987" width="8.3984375" style="1552" customWidth="1"/>
    <col min="9988" max="9988" width="8" style="1552" customWidth="1"/>
    <col min="9989" max="9989" width="7.5" style="1552" customWidth="1"/>
    <col min="9990" max="9990" width="8.5" style="1552" customWidth="1"/>
    <col min="9991" max="9991" width="8" style="1552" customWidth="1"/>
    <col min="9992" max="9992" width="9.8984375" style="1552" customWidth="1"/>
    <col min="9993" max="9993" width="19.5" style="1552" customWidth="1"/>
    <col min="9994" max="10240" width="9" style="1552"/>
    <col min="10241" max="10241" width="5.19921875" style="1552" customWidth="1"/>
    <col min="10242" max="10242" width="42.59765625" style="1552" customWidth="1"/>
    <col min="10243" max="10243" width="8.3984375" style="1552" customWidth="1"/>
    <col min="10244" max="10244" width="8" style="1552" customWidth="1"/>
    <col min="10245" max="10245" width="7.5" style="1552" customWidth="1"/>
    <col min="10246" max="10246" width="8.5" style="1552" customWidth="1"/>
    <col min="10247" max="10247" width="8" style="1552" customWidth="1"/>
    <col min="10248" max="10248" width="9.8984375" style="1552" customWidth="1"/>
    <col min="10249" max="10249" width="19.5" style="1552" customWidth="1"/>
    <col min="10250" max="10496" width="9" style="1552"/>
    <col min="10497" max="10497" width="5.19921875" style="1552" customWidth="1"/>
    <col min="10498" max="10498" width="42.59765625" style="1552" customWidth="1"/>
    <col min="10499" max="10499" width="8.3984375" style="1552" customWidth="1"/>
    <col min="10500" max="10500" width="8" style="1552" customWidth="1"/>
    <col min="10501" max="10501" width="7.5" style="1552" customWidth="1"/>
    <col min="10502" max="10502" width="8.5" style="1552" customWidth="1"/>
    <col min="10503" max="10503" width="8" style="1552" customWidth="1"/>
    <col min="10504" max="10504" width="9.8984375" style="1552" customWidth="1"/>
    <col min="10505" max="10505" width="19.5" style="1552" customWidth="1"/>
    <col min="10506" max="10752" width="9" style="1552"/>
    <col min="10753" max="10753" width="5.19921875" style="1552" customWidth="1"/>
    <col min="10754" max="10754" width="42.59765625" style="1552" customWidth="1"/>
    <col min="10755" max="10755" width="8.3984375" style="1552" customWidth="1"/>
    <col min="10756" max="10756" width="8" style="1552" customWidth="1"/>
    <col min="10757" max="10757" width="7.5" style="1552" customWidth="1"/>
    <col min="10758" max="10758" width="8.5" style="1552" customWidth="1"/>
    <col min="10759" max="10759" width="8" style="1552" customWidth="1"/>
    <col min="10760" max="10760" width="9.8984375" style="1552" customWidth="1"/>
    <col min="10761" max="10761" width="19.5" style="1552" customWidth="1"/>
    <col min="10762" max="11008" width="9" style="1552"/>
    <col min="11009" max="11009" width="5.19921875" style="1552" customWidth="1"/>
    <col min="11010" max="11010" width="42.59765625" style="1552" customWidth="1"/>
    <col min="11011" max="11011" width="8.3984375" style="1552" customWidth="1"/>
    <col min="11012" max="11012" width="8" style="1552" customWidth="1"/>
    <col min="11013" max="11013" width="7.5" style="1552" customWidth="1"/>
    <col min="11014" max="11014" width="8.5" style="1552" customWidth="1"/>
    <col min="11015" max="11015" width="8" style="1552" customWidth="1"/>
    <col min="11016" max="11016" width="9.8984375" style="1552" customWidth="1"/>
    <col min="11017" max="11017" width="19.5" style="1552" customWidth="1"/>
    <col min="11018" max="11264" width="9" style="1552"/>
    <col min="11265" max="11265" width="5.19921875" style="1552" customWidth="1"/>
    <col min="11266" max="11266" width="42.59765625" style="1552" customWidth="1"/>
    <col min="11267" max="11267" width="8.3984375" style="1552" customWidth="1"/>
    <col min="11268" max="11268" width="8" style="1552" customWidth="1"/>
    <col min="11269" max="11269" width="7.5" style="1552" customWidth="1"/>
    <col min="11270" max="11270" width="8.5" style="1552" customWidth="1"/>
    <col min="11271" max="11271" width="8" style="1552" customWidth="1"/>
    <col min="11272" max="11272" width="9.8984375" style="1552" customWidth="1"/>
    <col min="11273" max="11273" width="19.5" style="1552" customWidth="1"/>
    <col min="11274" max="11520" width="9" style="1552"/>
    <col min="11521" max="11521" width="5.19921875" style="1552" customWidth="1"/>
    <col min="11522" max="11522" width="42.59765625" style="1552" customWidth="1"/>
    <col min="11523" max="11523" width="8.3984375" style="1552" customWidth="1"/>
    <col min="11524" max="11524" width="8" style="1552" customWidth="1"/>
    <col min="11525" max="11525" width="7.5" style="1552" customWidth="1"/>
    <col min="11526" max="11526" width="8.5" style="1552" customWidth="1"/>
    <col min="11527" max="11527" width="8" style="1552" customWidth="1"/>
    <col min="11528" max="11528" width="9.8984375" style="1552" customWidth="1"/>
    <col min="11529" max="11529" width="19.5" style="1552" customWidth="1"/>
    <col min="11530" max="11776" width="9" style="1552"/>
    <col min="11777" max="11777" width="5.19921875" style="1552" customWidth="1"/>
    <col min="11778" max="11778" width="42.59765625" style="1552" customWidth="1"/>
    <col min="11779" max="11779" width="8.3984375" style="1552" customWidth="1"/>
    <col min="11780" max="11780" width="8" style="1552" customWidth="1"/>
    <col min="11781" max="11781" width="7.5" style="1552" customWidth="1"/>
    <col min="11782" max="11782" width="8.5" style="1552" customWidth="1"/>
    <col min="11783" max="11783" width="8" style="1552" customWidth="1"/>
    <col min="11784" max="11784" width="9.8984375" style="1552" customWidth="1"/>
    <col min="11785" max="11785" width="19.5" style="1552" customWidth="1"/>
    <col min="11786" max="12032" width="9" style="1552"/>
    <col min="12033" max="12033" width="5.19921875" style="1552" customWidth="1"/>
    <col min="12034" max="12034" width="42.59765625" style="1552" customWidth="1"/>
    <col min="12035" max="12035" width="8.3984375" style="1552" customWidth="1"/>
    <col min="12036" max="12036" width="8" style="1552" customWidth="1"/>
    <col min="12037" max="12037" width="7.5" style="1552" customWidth="1"/>
    <col min="12038" max="12038" width="8.5" style="1552" customWidth="1"/>
    <col min="12039" max="12039" width="8" style="1552" customWidth="1"/>
    <col min="12040" max="12040" width="9.8984375" style="1552" customWidth="1"/>
    <col min="12041" max="12041" width="19.5" style="1552" customWidth="1"/>
    <col min="12042" max="12288" width="9" style="1552"/>
    <col min="12289" max="12289" width="5.19921875" style="1552" customWidth="1"/>
    <col min="12290" max="12290" width="42.59765625" style="1552" customWidth="1"/>
    <col min="12291" max="12291" width="8.3984375" style="1552" customWidth="1"/>
    <col min="12292" max="12292" width="8" style="1552" customWidth="1"/>
    <col min="12293" max="12293" width="7.5" style="1552" customWidth="1"/>
    <col min="12294" max="12294" width="8.5" style="1552" customWidth="1"/>
    <col min="12295" max="12295" width="8" style="1552" customWidth="1"/>
    <col min="12296" max="12296" width="9.8984375" style="1552" customWidth="1"/>
    <col min="12297" max="12297" width="19.5" style="1552" customWidth="1"/>
    <col min="12298" max="12544" width="9" style="1552"/>
    <col min="12545" max="12545" width="5.19921875" style="1552" customWidth="1"/>
    <col min="12546" max="12546" width="42.59765625" style="1552" customWidth="1"/>
    <col min="12547" max="12547" width="8.3984375" style="1552" customWidth="1"/>
    <col min="12548" max="12548" width="8" style="1552" customWidth="1"/>
    <col min="12549" max="12549" width="7.5" style="1552" customWidth="1"/>
    <col min="12550" max="12550" width="8.5" style="1552" customWidth="1"/>
    <col min="12551" max="12551" width="8" style="1552" customWidth="1"/>
    <col min="12552" max="12552" width="9.8984375" style="1552" customWidth="1"/>
    <col min="12553" max="12553" width="19.5" style="1552" customWidth="1"/>
    <col min="12554" max="12800" width="9" style="1552"/>
    <col min="12801" max="12801" width="5.19921875" style="1552" customWidth="1"/>
    <col min="12802" max="12802" width="42.59765625" style="1552" customWidth="1"/>
    <col min="12803" max="12803" width="8.3984375" style="1552" customWidth="1"/>
    <col min="12804" max="12804" width="8" style="1552" customWidth="1"/>
    <col min="12805" max="12805" width="7.5" style="1552" customWidth="1"/>
    <col min="12806" max="12806" width="8.5" style="1552" customWidth="1"/>
    <col min="12807" max="12807" width="8" style="1552" customWidth="1"/>
    <col min="12808" max="12808" width="9.8984375" style="1552" customWidth="1"/>
    <col min="12809" max="12809" width="19.5" style="1552" customWidth="1"/>
    <col min="12810" max="13056" width="9" style="1552"/>
    <col min="13057" max="13057" width="5.19921875" style="1552" customWidth="1"/>
    <col min="13058" max="13058" width="42.59765625" style="1552" customWidth="1"/>
    <col min="13059" max="13059" width="8.3984375" style="1552" customWidth="1"/>
    <col min="13060" max="13060" width="8" style="1552" customWidth="1"/>
    <col min="13061" max="13061" width="7.5" style="1552" customWidth="1"/>
    <col min="13062" max="13062" width="8.5" style="1552" customWidth="1"/>
    <col min="13063" max="13063" width="8" style="1552" customWidth="1"/>
    <col min="13064" max="13064" width="9.8984375" style="1552" customWidth="1"/>
    <col min="13065" max="13065" width="19.5" style="1552" customWidth="1"/>
    <col min="13066" max="13312" width="9" style="1552"/>
    <col min="13313" max="13313" width="5.19921875" style="1552" customWidth="1"/>
    <col min="13314" max="13314" width="42.59765625" style="1552" customWidth="1"/>
    <col min="13315" max="13315" width="8.3984375" style="1552" customWidth="1"/>
    <col min="13316" max="13316" width="8" style="1552" customWidth="1"/>
    <col min="13317" max="13317" width="7.5" style="1552" customWidth="1"/>
    <col min="13318" max="13318" width="8.5" style="1552" customWidth="1"/>
    <col min="13319" max="13319" width="8" style="1552" customWidth="1"/>
    <col min="13320" max="13320" width="9.8984375" style="1552" customWidth="1"/>
    <col min="13321" max="13321" width="19.5" style="1552" customWidth="1"/>
    <col min="13322" max="13568" width="9" style="1552"/>
    <col min="13569" max="13569" width="5.19921875" style="1552" customWidth="1"/>
    <col min="13570" max="13570" width="42.59765625" style="1552" customWidth="1"/>
    <col min="13571" max="13571" width="8.3984375" style="1552" customWidth="1"/>
    <col min="13572" max="13572" width="8" style="1552" customWidth="1"/>
    <col min="13573" max="13573" width="7.5" style="1552" customWidth="1"/>
    <col min="13574" max="13574" width="8.5" style="1552" customWidth="1"/>
    <col min="13575" max="13575" width="8" style="1552" customWidth="1"/>
    <col min="13576" max="13576" width="9.8984375" style="1552" customWidth="1"/>
    <col min="13577" max="13577" width="19.5" style="1552" customWidth="1"/>
    <col min="13578" max="13824" width="9" style="1552"/>
    <col min="13825" max="13825" width="5.19921875" style="1552" customWidth="1"/>
    <col min="13826" max="13826" width="42.59765625" style="1552" customWidth="1"/>
    <col min="13827" max="13827" width="8.3984375" style="1552" customWidth="1"/>
    <col min="13828" max="13828" width="8" style="1552" customWidth="1"/>
    <col min="13829" max="13829" width="7.5" style="1552" customWidth="1"/>
    <col min="13830" max="13830" width="8.5" style="1552" customWidth="1"/>
    <col min="13831" max="13831" width="8" style="1552" customWidth="1"/>
    <col min="13832" max="13832" width="9.8984375" style="1552" customWidth="1"/>
    <col min="13833" max="13833" width="19.5" style="1552" customWidth="1"/>
    <col min="13834" max="14080" width="9" style="1552"/>
    <col min="14081" max="14081" width="5.19921875" style="1552" customWidth="1"/>
    <col min="14082" max="14082" width="42.59765625" style="1552" customWidth="1"/>
    <col min="14083" max="14083" width="8.3984375" style="1552" customWidth="1"/>
    <col min="14084" max="14084" width="8" style="1552" customWidth="1"/>
    <col min="14085" max="14085" width="7.5" style="1552" customWidth="1"/>
    <col min="14086" max="14086" width="8.5" style="1552" customWidth="1"/>
    <col min="14087" max="14087" width="8" style="1552" customWidth="1"/>
    <col min="14088" max="14088" width="9.8984375" style="1552" customWidth="1"/>
    <col min="14089" max="14089" width="19.5" style="1552" customWidth="1"/>
    <col min="14090" max="14336" width="9" style="1552"/>
    <col min="14337" max="14337" width="5.19921875" style="1552" customWidth="1"/>
    <col min="14338" max="14338" width="42.59765625" style="1552" customWidth="1"/>
    <col min="14339" max="14339" width="8.3984375" style="1552" customWidth="1"/>
    <col min="14340" max="14340" width="8" style="1552" customWidth="1"/>
    <col min="14341" max="14341" width="7.5" style="1552" customWidth="1"/>
    <col min="14342" max="14342" width="8.5" style="1552" customWidth="1"/>
    <col min="14343" max="14343" width="8" style="1552" customWidth="1"/>
    <col min="14344" max="14344" width="9.8984375" style="1552" customWidth="1"/>
    <col min="14345" max="14345" width="19.5" style="1552" customWidth="1"/>
    <col min="14346" max="14592" width="9" style="1552"/>
    <col min="14593" max="14593" width="5.19921875" style="1552" customWidth="1"/>
    <col min="14594" max="14594" width="42.59765625" style="1552" customWidth="1"/>
    <col min="14595" max="14595" width="8.3984375" style="1552" customWidth="1"/>
    <col min="14596" max="14596" width="8" style="1552" customWidth="1"/>
    <col min="14597" max="14597" width="7.5" style="1552" customWidth="1"/>
    <col min="14598" max="14598" width="8.5" style="1552" customWidth="1"/>
    <col min="14599" max="14599" width="8" style="1552" customWidth="1"/>
    <col min="14600" max="14600" width="9.8984375" style="1552" customWidth="1"/>
    <col min="14601" max="14601" width="19.5" style="1552" customWidth="1"/>
    <col min="14602" max="14848" width="9" style="1552"/>
    <col min="14849" max="14849" width="5.19921875" style="1552" customWidth="1"/>
    <col min="14850" max="14850" width="42.59765625" style="1552" customWidth="1"/>
    <col min="14851" max="14851" width="8.3984375" style="1552" customWidth="1"/>
    <col min="14852" max="14852" width="8" style="1552" customWidth="1"/>
    <col min="14853" max="14853" width="7.5" style="1552" customWidth="1"/>
    <col min="14854" max="14854" width="8.5" style="1552" customWidth="1"/>
    <col min="14855" max="14855" width="8" style="1552" customWidth="1"/>
    <col min="14856" max="14856" width="9.8984375" style="1552" customWidth="1"/>
    <col min="14857" max="14857" width="19.5" style="1552" customWidth="1"/>
    <col min="14858" max="15104" width="9" style="1552"/>
    <col min="15105" max="15105" width="5.19921875" style="1552" customWidth="1"/>
    <col min="15106" max="15106" width="42.59765625" style="1552" customWidth="1"/>
    <col min="15107" max="15107" width="8.3984375" style="1552" customWidth="1"/>
    <col min="15108" max="15108" width="8" style="1552" customWidth="1"/>
    <col min="15109" max="15109" width="7.5" style="1552" customWidth="1"/>
    <col min="15110" max="15110" width="8.5" style="1552" customWidth="1"/>
    <col min="15111" max="15111" width="8" style="1552" customWidth="1"/>
    <col min="15112" max="15112" width="9.8984375" style="1552" customWidth="1"/>
    <col min="15113" max="15113" width="19.5" style="1552" customWidth="1"/>
    <col min="15114" max="15360" width="9" style="1552"/>
    <col min="15361" max="15361" width="5.19921875" style="1552" customWidth="1"/>
    <col min="15362" max="15362" width="42.59765625" style="1552" customWidth="1"/>
    <col min="15363" max="15363" width="8.3984375" style="1552" customWidth="1"/>
    <col min="15364" max="15364" width="8" style="1552" customWidth="1"/>
    <col min="15365" max="15365" width="7.5" style="1552" customWidth="1"/>
    <col min="15366" max="15366" width="8.5" style="1552" customWidth="1"/>
    <col min="15367" max="15367" width="8" style="1552" customWidth="1"/>
    <col min="15368" max="15368" width="9.8984375" style="1552" customWidth="1"/>
    <col min="15369" max="15369" width="19.5" style="1552" customWidth="1"/>
    <col min="15370" max="15616" width="9" style="1552"/>
    <col min="15617" max="15617" width="5.19921875" style="1552" customWidth="1"/>
    <col min="15618" max="15618" width="42.59765625" style="1552" customWidth="1"/>
    <col min="15619" max="15619" width="8.3984375" style="1552" customWidth="1"/>
    <col min="15620" max="15620" width="8" style="1552" customWidth="1"/>
    <col min="15621" max="15621" width="7.5" style="1552" customWidth="1"/>
    <col min="15622" max="15622" width="8.5" style="1552" customWidth="1"/>
    <col min="15623" max="15623" width="8" style="1552" customWidth="1"/>
    <col min="15624" max="15624" width="9.8984375" style="1552" customWidth="1"/>
    <col min="15625" max="15625" width="19.5" style="1552" customWidth="1"/>
    <col min="15626" max="15872" width="9" style="1552"/>
    <col min="15873" max="15873" width="5.19921875" style="1552" customWidth="1"/>
    <col min="15874" max="15874" width="42.59765625" style="1552" customWidth="1"/>
    <col min="15875" max="15875" width="8.3984375" style="1552" customWidth="1"/>
    <col min="15876" max="15876" width="8" style="1552" customWidth="1"/>
    <col min="15877" max="15877" width="7.5" style="1552" customWidth="1"/>
    <col min="15878" max="15878" width="8.5" style="1552" customWidth="1"/>
    <col min="15879" max="15879" width="8" style="1552" customWidth="1"/>
    <col min="15880" max="15880" width="9.8984375" style="1552" customWidth="1"/>
    <col min="15881" max="15881" width="19.5" style="1552" customWidth="1"/>
    <col min="15882" max="16128" width="9" style="1552"/>
    <col min="16129" max="16129" width="5.19921875" style="1552" customWidth="1"/>
    <col min="16130" max="16130" width="42.59765625" style="1552" customWidth="1"/>
    <col min="16131" max="16131" width="8.3984375" style="1552" customWidth="1"/>
    <col min="16132" max="16132" width="8" style="1552" customWidth="1"/>
    <col min="16133" max="16133" width="7.5" style="1552" customWidth="1"/>
    <col min="16134" max="16134" width="8.5" style="1552" customWidth="1"/>
    <col min="16135" max="16135" width="8" style="1552" customWidth="1"/>
    <col min="16136" max="16136" width="9.8984375" style="1552" customWidth="1"/>
    <col min="16137" max="16137" width="19.5" style="1552" customWidth="1"/>
    <col min="16138" max="16384" width="9" style="1552"/>
  </cols>
  <sheetData>
    <row r="1" spans="1:10" s="1651" customFormat="1" ht="20.100000000000001" customHeight="1">
      <c r="A1" s="3400"/>
      <c r="B1" s="3400"/>
      <c r="C1" s="3400"/>
      <c r="D1" s="3400"/>
      <c r="E1" s="3400"/>
      <c r="F1" s="3400"/>
      <c r="G1" s="3400"/>
      <c r="H1" s="3400"/>
      <c r="I1" s="2070" t="str">
        <f>"索引号："&amp;档案索引!A36</f>
        <v>索引号：2A-16</v>
      </c>
    </row>
    <row r="2" spans="1:10" ht="25.5" customHeight="1">
      <c r="A2" s="3401" t="s">
        <v>5924</v>
      </c>
      <c r="B2" s="3401"/>
      <c r="C2" s="3401"/>
      <c r="D2" s="3401"/>
      <c r="E2" s="3401"/>
      <c r="F2" s="3401"/>
      <c r="G2" s="3401"/>
      <c r="H2" s="3401"/>
      <c r="I2" s="1816"/>
    </row>
    <row r="3" spans="1:10" s="1556" customFormat="1" ht="29.25" customHeight="1">
      <c r="A3" s="3402" t="s">
        <v>1853</v>
      </c>
      <c r="B3" s="3402" t="s">
        <v>5079</v>
      </c>
      <c r="C3" s="3405" t="s">
        <v>5186</v>
      </c>
      <c r="D3" s="3399" t="s">
        <v>1850</v>
      </c>
      <c r="E3" s="3399"/>
      <c r="F3" s="3399" t="s">
        <v>1851</v>
      </c>
      <c r="G3" s="3399"/>
      <c r="H3" s="3405" t="s">
        <v>5187</v>
      </c>
      <c r="I3" s="1814" t="s">
        <v>1857</v>
      </c>
    </row>
    <row r="4" spans="1:10" s="1556" customFormat="1" ht="18" customHeight="1">
      <c r="A4" s="3403"/>
      <c r="B4" s="3403"/>
      <c r="C4" s="3406"/>
      <c r="D4" s="1808" t="s">
        <v>5188</v>
      </c>
      <c r="E4" s="1808" t="s">
        <v>5189</v>
      </c>
      <c r="F4" s="1808" t="s">
        <v>5188</v>
      </c>
      <c r="G4" s="1808" t="s">
        <v>5189</v>
      </c>
      <c r="H4" s="3406"/>
      <c r="I4" s="1851"/>
    </row>
    <row r="5" spans="1:10" ht="14.25" customHeight="1">
      <c r="A5" s="3404"/>
      <c r="B5" s="3404"/>
      <c r="C5" s="1815">
        <v>1</v>
      </c>
      <c r="D5" s="1815">
        <v>2</v>
      </c>
      <c r="E5" s="1815">
        <v>3</v>
      </c>
      <c r="F5" s="1815">
        <v>4</v>
      </c>
      <c r="G5" s="1815">
        <v>5</v>
      </c>
      <c r="H5" s="1815" t="s">
        <v>5190</v>
      </c>
      <c r="I5" s="1809"/>
    </row>
    <row r="6" spans="1:10" ht="14.25" customHeight="1">
      <c r="A6" s="1808">
        <v>1</v>
      </c>
      <c r="B6" s="1809" t="s">
        <v>5191</v>
      </c>
      <c r="C6" s="2075">
        <f>SUM(C7:C9)</f>
        <v>0</v>
      </c>
      <c r="D6" s="2075">
        <f>SUM(D7:D9)</f>
        <v>0</v>
      </c>
      <c r="E6" s="2075">
        <f>SUM(E7:E9)</f>
        <v>0</v>
      </c>
      <c r="F6" s="2075">
        <f>SUM(F7:F9)</f>
        <v>0</v>
      </c>
      <c r="G6" s="2075">
        <f>SUM(G7:G9)</f>
        <v>0</v>
      </c>
      <c r="H6" s="2075">
        <f>F6-D6</f>
        <v>0</v>
      </c>
      <c r="I6" s="1809"/>
    </row>
    <row r="7" spans="1:10" ht="14.25" customHeight="1">
      <c r="A7" s="1808">
        <v>2</v>
      </c>
      <c r="B7" s="1809" t="s">
        <v>5192</v>
      </c>
      <c r="C7" s="2076"/>
      <c r="D7" s="2076"/>
      <c r="E7" s="2076"/>
      <c r="F7" s="2076"/>
      <c r="G7" s="2076"/>
      <c r="H7" s="2075">
        <f t="shared" ref="H7:H18" si="0">F7-D7</f>
        <v>0</v>
      </c>
      <c r="I7" s="1809"/>
    </row>
    <row r="8" spans="1:10" ht="14.25" customHeight="1">
      <c r="A8" s="1808">
        <v>3</v>
      </c>
      <c r="B8" s="1809" t="s">
        <v>5193</v>
      </c>
      <c r="C8" s="2076"/>
      <c r="D8" s="2076"/>
      <c r="E8" s="2076"/>
      <c r="F8" s="2076"/>
      <c r="G8" s="2076"/>
      <c r="H8" s="2075">
        <f t="shared" si="0"/>
        <v>0</v>
      </c>
      <c r="I8" s="1809"/>
    </row>
    <row r="9" spans="1:10" ht="14.25" customHeight="1">
      <c r="A9" s="1808">
        <v>4</v>
      </c>
      <c r="B9" s="1809" t="s">
        <v>5194</v>
      </c>
      <c r="C9" s="2076"/>
      <c r="D9" s="2076"/>
      <c r="E9" s="2076"/>
      <c r="F9" s="2076"/>
      <c r="G9" s="2076"/>
      <c r="H9" s="2075">
        <f t="shared" si="0"/>
        <v>0</v>
      </c>
      <c r="I9" s="1809"/>
    </row>
    <row r="10" spans="1:10" ht="14.25" customHeight="1">
      <c r="A10" s="1808">
        <v>5</v>
      </c>
      <c r="B10" s="1809" t="s">
        <v>5195</v>
      </c>
      <c r="C10" s="2075">
        <f>SUM(C11:C13)</f>
        <v>0</v>
      </c>
      <c r="D10" s="2075">
        <f>SUM(D11:D13)</f>
        <v>0</v>
      </c>
      <c r="E10" s="2075">
        <f>SUM(E11:E13)</f>
        <v>0</v>
      </c>
      <c r="F10" s="2075">
        <f>SUM(F11:F13)</f>
        <v>0</v>
      </c>
      <c r="G10" s="2075">
        <f>SUM(G11:G13)</f>
        <v>0</v>
      </c>
      <c r="H10" s="2075">
        <f t="shared" si="0"/>
        <v>0</v>
      </c>
      <c r="I10" s="1809"/>
    </row>
    <row r="11" spans="1:10" ht="14.25" customHeight="1">
      <c r="A11" s="1808">
        <v>6</v>
      </c>
      <c r="B11" s="1809" t="s">
        <v>5196</v>
      </c>
      <c r="C11" s="2076"/>
      <c r="D11" s="2076"/>
      <c r="E11" s="2076"/>
      <c r="F11" s="2076"/>
      <c r="G11" s="2076"/>
      <c r="H11" s="2075">
        <f t="shared" si="0"/>
        <v>0</v>
      </c>
      <c r="I11" s="1809"/>
      <c r="J11" s="1675" t="s">
        <v>6435</v>
      </c>
    </row>
    <row r="12" spans="1:10" ht="14.25" customHeight="1">
      <c r="A12" s="1808">
        <v>7</v>
      </c>
      <c r="B12" s="1809" t="s">
        <v>5197</v>
      </c>
      <c r="C12" s="2076"/>
      <c r="D12" s="2076"/>
      <c r="E12" s="2076"/>
      <c r="F12" s="2076"/>
      <c r="G12" s="2076"/>
      <c r="H12" s="2075">
        <f t="shared" si="0"/>
        <v>0</v>
      </c>
      <c r="I12" s="1809"/>
    </row>
    <row r="13" spans="1:10" ht="14.25" customHeight="1">
      <c r="A13" s="1808">
        <v>8</v>
      </c>
      <c r="B13" s="1809" t="s">
        <v>5198</v>
      </c>
      <c r="C13" s="2076"/>
      <c r="D13" s="2076"/>
      <c r="E13" s="2076"/>
      <c r="F13" s="2076"/>
      <c r="G13" s="2076"/>
      <c r="H13" s="2075">
        <f t="shared" si="0"/>
        <v>0</v>
      </c>
      <c r="I13" s="1809"/>
    </row>
    <row r="14" spans="1:10" ht="14.25" customHeight="1">
      <c r="A14" s="1808">
        <v>9</v>
      </c>
      <c r="B14" s="1809" t="s">
        <v>5199</v>
      </c>
      <c r="C14" s="2075">
        <f>SUM(C15:C17)</f>
        <v>0</v>
      </c>
      <c r="D14" s="2075">
        <f>SUM(D15:D17)</f>
        <v>0</v>
      </c>
      <c r="E14" s="2075">
        <f>SUM(E15:E17)</f>
        <v>0</v>
      </c>
      <c r="F14" s="2075">
        <f>SUM(F15:F17)</f>
        <v>0</v>
      </c>
      <c r="G14" s="2075">
        <f>SUM(G15:G17)</f>
        <v>0</v>
      </c>
      <c r="H14" s="2075">
        <f t="shared" si="0"/>
        <v>0</v>
      </c>
      <c r="I14" s="1809"/>
    </row>
    <row r="15" spans="1:10" ht="14.25" customHeight="1">
      <c r="A15" s="1808">
        <v>10</v>
      </c>
      <c r="B15" s="1809" t="s">
        <v>5200</v>
      </c>
      <c r="C15" s="2076"/>
      <c r="D15" s="2076"/>
      <c r="E15" s="2076"/>
      <c r="F15" s="2076"/>
      <c r="G15" s="2076"/>
      <c r="H15" s="2075">
        <f t="shared" si="0"/>
        <v>0</v>
      </c>
      <c r="I15" s="1809"/>
    </row>
    <row r="16" spans="1:10" ht="14.25" customHeight="1">
      <c r="A16" s="1808">
        <v>11</v>
      </c>
      <c r="B16" s="1809" t="s">
        <v>5201</v>
      </c>
      <c r="C16" s="2076"/>
      <c r="D16" s="2076"/>
      <c r="E16" s="2076"/>
      <c r="F16" s="2076"/>
      <c r="G16" s="2076"/>
      <c r="H16" s="2075">
        <f t="shared" si="0"/>
        <v>0</v>
      </c>
      <c r="I16" s="1809"/>
    </row>
    <row r="17" spans="1:9" ht="14.25" customHeight="1">
      <c r="A17" s="1808">
        <v>12</v>
      </c>
      <c r="B17" s="1809" t="s">
        <v>5202</v>
      </c>
      <c r="C17" s="2076"/>
      <c r="D17" s="2076"/>
      <c r="E17" s="2076"/>
      <c r="F17" s="2076"/>
      <c r="G17" s="2076"/>
      <c r="H17" s="2075">
        <f t="shared" si="0"/>
        <v>0</v>
      </c>
      <c r="I17" s="1809"/>
    </row>
    <row r="18" spans="1:9" ht="14.25" customHeight="1">
      <c r="A18" s="1808">
        <v>13</v>
      </c>
      <c r="B18" s="1809" t="s">
        <v>5203</v>
      </c>
      <c r="C18" s="2076"/>
      <c r="D18" s="2076"/>
      <c r="E18" s="2076"/>
      <c r="F18" s="2076"/>
      <c r="G18" s="2076"/>
      <c r="H18" s="2075">
        <f t="shared" si="0"/>
        <v>0</v>
      </c>
      <c r="I18" s="1809"/>
    </row>
    <row r="19" spans="1:9" ht="114" customHeight="1">
      <c r="A19" s="1808">
        <v>14</v>
      </c>
      <c r="B19" s="1809" t="s">
        <v>5204</v>
      </c>
      <c r="C19" s="2075">
        <f t="shared" ref="C19:H19" si="1">C6+C10+C14+C18</f>
        <v>0</v>
      </c>
      <c r="D19" s="2075">
        <f t="shared" si="1"/>
        <v>0</v>
      </c>
      <c r="E19" s="2075">
        <f t="shared" si="1"/>
        <v>0</v>
      </c>
      <c r="F19" s="2075">
        <f t="shared" si="1"/>
        <v>0</v>
      </c>
      <c r="G19" s="2075">
        <f t="shared" si="1"/>
        <v>0</v>
      </c>
      <c r="H19" s="2075">
        <f t="shared" si="1"/>
        <v>0</v>
      </c>
      <c r="I19" s="1810" t="s">
        <v>5205</v>
      </c>
    </row>
    <row r="20" spans="1:9">
      <c r="A20" s="2025"/>
      <c r="B20" s="1803"/>
      <c r="C20" s="1803"/>
      <c r="D20" s="1803"/>
      <c r="E20" s="1803"/>
      <c r="F20" s="1803"/>
      <c r="G20" s="1803"/>
      <c r="H20" s="1803"/>
      <c r="I20" s="1803"/>
    </row>
  </sheetData>
  <mergeCells count="8">
    <mergeCell ref="A1:H1"/>
    <mergeCell ref="A2:H2"/>
    <mergeCell ref="A3:A5"/>
    <mergeCell ref="B3:B5"/>
    <mergeCell ref="C3:C4"/>
    <mergeCell ref="D3:E3"/>
    <mergeCell ref="F3:G3"/>
    <mergeCell ref="H3:H4"/>
  </mergeCells>
  <phoneticPr fontId="51" type="noConversion"/>
  <hyperlinks>
    <hyperlink ref="J11" location="A105020未按权责发生制确认收入纳税调整明细表!A1" display="A105020未按权责发生制确认收入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tabColor rgb="FFFFFF00"/>
  </sheetPr>
  <dimension ref="A1:O16"/>
  <sheetViews>
    <sheetView topLeftCell="D1" workbookViewId="0">
      <selection activeCell="O8" sqref="O8"/>
    </sheetView>
  </sheetViews>
  <sheetFormatPr defaultRowHeight="15.6"/>
  <cols>
    <col min="1" max="1" width="4.3984375" style="1651" customWidth="1"/>
    <col min="2" max="2" width="20.59765625" style="1651" customWidth="1"/>
    <col min="3" max="13" width="11.09765625" style="1651" customWidth="1"/>
    <col min="14" max="14" width="15.09765625" style="1651" customWidth="1"/>
    <col min="15" max="256" width="9" style="1651"/>
    <col min="257" max="257" width="4.3984375" style="1651" customWidth="1"/>
    <col min="258" max="258" width="20.59765625" style="1651" customWidth="1"/>
    <col min="259" max="259" width="4.5" style="1651" customWidth="1"/>
    <col min="260" max="260" width="4.8984375" style="1651" customWidth="1"/>
    <col min="261" max="268" width="7.8984375" style="1651" customWidth="1"/>
    <col min="269" max="269" width="8.59765625" style="1651" customWidth="1"/>
    <col min="270" max="270" width="15.09765625" style="1651" customWidth="1"/>
    <col min="271" max="512" width="9" style="1651"/>
    <col min="513" max="513" width="4.3984375" style="1651" customWidth="1"/>
    <col min="514" max="514" width="20.59765625" style="1651" customWidth="1"/>
    <col min="515" max="515" width="4.5" style="1651" customWidth="1"/>
    <col min="516" max="516" width="4.8984375" style="1651" customWidth="1"/>
    <col min="517" max="524" width="7.8984375" style="1651" customWidth="1"/>
    <col min="525" max="525" width="8.59765625" style="1651" customWidth="1"/>
    <col min="526" max="526" width="15.09765625" style="1651" customWidth="1"/>
    <col min="527" max="768" width="9" style="1651"/>
    <col min="769" max="769" width="4.3984375" style="1651" customWidth="1"/>
    <col min="770" max="770" width="20.59765625" style="1651" customWidth="1"/>
    <col min="771" max="771" width="4.5" style="1651" customWidth="1"/>
    <col min="772" max="772" width="4.8984375" style="1651" customWidth="1"/>
    <col min="773" max="780" width="7.8984375" style="1651" customWidth="1"/>
    <col min="781" max="781" width="8.59765625" style="1651" customWidth="1"/>
    <col min="782" max="782" width="15.09765625" style="1651" customWidth="1"/>
    <col min="783" max="1024" width="9" style="1651"/>
    <col min="1025" max="1025" width="4.3984375" style="1651" customWidth="1"/>
    <col min="1026" max="1026" width="20.59765625" style="1651" customWidth="1"/>
    <col min="1027" max="1027" width="4.5" style="1651" customWidth="1"/>
    <col min="1028" max="1028" width="4.8984375" style="1651" customWidth="1"/>
    <col min="1029" max="1036" width="7.8984375" style="1651" customWidth="1"/>
    <col min="1037" max="1037" width="8.59765625" style="1651" customWidth="1"/>
    <col min="1038" max="1038" width="15.09765625" style="1651" customWidth="1"/>
    <col min="1039" max="1280" width="9" style="1651"/>
    <col min="1281" max="1281" width="4.3984375" style="1651" customWidth="1"/>
    <col min="1282" max="1282" width="20.59765625" style="1651" customWidth="1"/>
    <col min="1283" max="1283" width="4.5" style="1651" customWidth="1"/>
    <col min="1284" max="1284" width="4.8984375" style="1651" customWidth="1"/>
    <col min="1285" max="1292" width="7.8984375" style="1651" customWidth="1"/>
    <col min="1293" max="1293" width="8.59765625" style="1651" customWidth="1"/>
    <col min="1294" max="1294" width="15.09765625" style="1651" customWidth="1"/>
    <col min="1295" max="1536" width="9" style="1651"/>
    <col min="1537" max="1537" width="4.3984375" style="1651" customWidth="1"/>
    <col min="1538" max="1538" width="20.59765625" style="1651" customWidth="1"/>
    <col min="1539" max="1539" width="4.5" style="1651" customWidth="1"/>
    <col min="1540" max="1540" width="4.8984375" style="1651" customWidth="1"/>
    <col min="1541" max="1548" width="7.8984375" style="1651" customWidth="1"/>
    <col min="1549" max="1549" width="8.59765625" style="1651" customWidth="1"/>
    <col min="1550" max="1550" width="15.09765625" style="1651" customWidth="1"/>
    <col min="1551" max="1792" width="9" style="1651"/>
    <col min="1793" max="1793" width="4.3984375" style="1651" customWidth="1"/>
    <col min="1794" max="1794" width="20.59765625" style="1651" customWidth="1"/>
    <col min="1795" max="1795" width="4.5" style="1651" customWidth="1"/>
    <col min="1796" max="1796" width="4.8984375" style="1651" customWidth="1"/>
    <col min="1797" max="1804" width="7.8984375" style="1651" customWidth="1"/>
    <col min="1805" max="1805" width="8.59765625" style="1651" customWidth="1"/>
    <col min="1806" max="1806" width="15.09765625" style="1651" customWidth="1"/>
    <col min="1807" max="2048" width="9" style="1651"/>
    <col min="2049" max="2049" width="4.3984375" style="1651" customWidth="1"/>
    <col min="2050" max="2050" width="20.59765625" style="1651" customWidth="1"/>
    <col min="2051" max="2051" width="4.5" style="1651" customWidth="1"/>
    <col min="2052" max="2052" width="4.8984375" style="1651" customWidth="1"/>
    <col min="2053" max="2060" width="7.8984375" style="1651" customWidth="1"/>
    <col min="2061" max="2061" width="8.59765625" style="1651" customWidth="1"/>
    <col min="2062" max="2062" width="15.09765625" style="1651" customWidth="1"/>
    <col min="2063" max="2304" width="9" style="1651"/>
    <col min="2305" max="2305" width="4.3984375" style="1651" customWidth="1"/>
    <col min="2306" max="2306" width="20.59765625" style="1651" customWidth="1"/>
    <col min="2307" max="2307" width="4.5" style="1651" customWidth="1"/>
    <col min="2308" max="2308" width="4.8984375" style="1651" customWidth="1"/>
    <col min="2309" max="2316" width="7.8984375" style="1651" customWidth="1"/>
    <col min="2317" max="2317" width="8.59765625" style="1651" customWidth="1"/>
    <col min="2318" max="2318" width="15.09765625" style="1651" customWidth="1"/>
    <col min="2319" max="2560" width="9" style="1651"/>
    <col min="2561" max="2561" width="4.3984375" style="1651" customWidth="1"/>
    <col min="2562" max="2562" width="20.59765625" style="1651" customWidth="1"/>
    <col min="2563" max="2563" width="4.5" style="1651" customWidth="1"/>
    <col min="2564" max="2564" width="4.8984375" style="1651" customWidth="1"/>
    <col min="2565" max="2572" width="7.8984375" style="1651" customWidth="1"/>
    <col min="2573" max="2573" width="8.59765625" style="1651" customWidth="1"/>
    <col min="2574" max="2574" width="15.09765625" style="1651" customWidth="1"/>
    <col min="2575" max="2816" width="9" style="1651"/>
    <col min="2817" max="2817" width="4.3984375" style="1651" customWidth="1"/>
    <col min="2818" max="2818" width="20.59765625" style="1651" customWidth="1"/>
    <col min="2819" max="2819" width="4.5" style="1651" customWidth="1"/>
    <col min="2820" max="2820" width="4.8984375" style="1651" customWidth="1"/>
    <col min="2821" max="2828" width="7.8984375" style="1651" customWidth="1"/>
    <col min="2829" max="2829" width="8.59765625" style="1651" customWidth="1"/>
    <col min="2830" max="2830" width="15.09765625" style="1651" customWidth="1"/>
    <col min="2831" max="3072" width="9" style="1651"/>
    <col min="3073" max="3073" width="4.3984375" style="1651" customWidth="1"/>
    <col min="3074" max="3074" width="20.59765625" style="1651" customWidth="1"/>
    <col min="3075" max="3075" width="4.5" style="1651" customWidth="1"/>
    <col min="3076" max="3076" width="4.8984375" style="1651" customWidth="1"/>
    <col min="3077" max="3084" width="7.8984375" style="1651" customWidth="1"/>
    <col min="3085" max="3085" width="8.59765625" style="1651" customWidth="1"/>
    <col min="3086" max="3086" width="15.09765625" style="1651" customWidth="1"/>
    <col min="3087" max="3328" width="9" style="1651"/>
    <col min="3329" max="3329" width="4.3984375" style="1651" customWidth="1"/>
    <col min="3330" max="3330" width="20.59765625" style="1651" customWidth="1"/>
    <col min="3331" max="3331" width="4.5" style="1651" customWidth="1"/>
    <col min="3332" max="3332" width="4.8984375" style="1651" customWidth="1"/>
    <col min="3333" max="3340" width="7.8984375" style="1651" customWidth="1"/>
    <col min="3341" max="3341" width="8.59765625" style="1651" customWidth="1"/>
    <col min="3342" max="3342" width="15.09765625" style="1651" customWidth="1"/>
    <col min="3343" max="3584" width="9" style="1651"/>
    <col min="3585" max="3585" width="4.3984375" style="1651" customWidth="1"/>
    <col min="3586" max="3586" width="20.59765625" style="1651" customWidth="1"/>
    <col min="3587" max="3587" width="4.5" style="1651" customWidth="1"/>
    <col min="3588" max="3588" width="4.8984375" style="1651" customWidth="1"/>
    <col min="3589" max="3596" width="7.8984375" style="1651" customWidth="1"/>
    <col min="3597" max="3597" width="8.59765625" style="1651" customWidth="1"/>
    <col min="3598" max="3598" width="15.09765625" style="1651" customWidth="1"/>
    <col min="3599" max="3840" width="9" style="1651"/>
    <col min="3841" max="3841" width="4.3984375" style="1651" customWidth="1"/>
    <col min="3842" max="3842" width="20.59765625" style="1651" customWidth="1"/>
    <col min="3843" max="3843" width="4.5" style="1651" customWidth="1"/>
    <col min="3844" max="3844" width="4.8984375" style="1651" customWidth="1"/>
    <col min="3845" max="3852" width="7.8984375" style="1651" customWidth="1"/>
    <col min="3853" max="3853" width="8.59765625" style="1651" customWidth="1"/>
    <col min="3854" max="3854" width="15.09765625" style="1651" customWidth="1"/>
    <col min="3855" max="4096" width="9" style="1651"/>
    <col min="4097" max="4097" width="4.3984375" style="1651" customWidth="1"/>
    <col min="4098" max="4098" width="20.59765625" style="1651" customWidth="1"/>
    <col min="4099" max="4099" width="4.5" style="1651" customWidth="1"/>
    <col min="4100" max="4100" width="4.8984375" style="1651" customWidth="1"/>
    <col min="4101" max="4108" width="7.8984375" style="1651" customWidth="1"/>
    <col min="4109" max="4109" width="8.59765625" style="1651" customWidth="1"/>
    <col min="4110" max="4110" width="15.09765625" style="1651" customWidth="1"/>
    <col min="4111" max="4352" width="9" style="1651"/>
    <col min="4353" max="4353" width="4.3984375" style="1651" customWidth="1"/>
    <col min="4354" max="4354" width="20.59765625" style="1651" customWidth="1"/>
    <col min="4355" max="4355" width="4.5" style="1651" customWidth="1"/>
    <col min="4356" max="4356" width="4.8984375" style="1651" customWidth="1"/>
    <col min="4357" max="4364" width="7.8984375" style="1651" customWidth="1"/>
    <col min="4365" max="4365" width="8.59765625" style="1651" customWidth="1"/>
    <col min="4366" max="4366" width="15.09765625" style="1651" customWidth="1"/>
    <col min="4367" max="4608" width="9" style="1651"/>
    <col min="4609" max="4609" width="4.3984375" style="1651" customWidth="1"/>
    <col min="4610" max="4610" width="20.59765625" style="1651" customWidth="1"/>
    <col min="4611" max="4611" width="4.5" style="1651" customWidth="1"/>
    <col min="4612" max="4612" width="4.8984375" style="1651" customWidth="1"/>
    <col min="4613" max="4620" width="7.8984375" style="1651" customWidth="1"/>
    <col min="4621" max="4621" width="8.59765625" style="1651" customWidth="1"/>
    <col min="4622" max="4622" width="15.09765625" style="1651" customWidth="1"/>
    <col min="4623" max="4864" width="9" style="1651"/>
    <col min="4865" max="4865" width="4.3984375" style="1651" customWidth="1"/>
    <col min="4866" max="4866" width="20.59765625" style="1651" customWidth="1"/>
    <col min="4867" max="4867" width="4.5" style="1651" customWidth="1"/>
    <col min="4868" max="4868" width="4.8984375" style="1651" customWidth="1"/>
    <col min="4869" max="4876" width="7.8984375" style="1651" customWidth="1"/>
    <col min="4877" max="4877" width="8.59765625" style="1651" customWidth="1"/>
    <col min="4878" max="4878" width="15.09765625" style="1651" customWidth="1"/>
    <col min="4879" max="5120" width="9" style="1651"/>
    <col min="5121" max="5121" width="4.3984375" style="1651" customWidth="1"/>
    <col min="5122" max="5122" width="20.59765625" style="1651" customWidth="1"/>
    <col min="5123" max="5123" width="4.5" style="1651" customWidth="1"/>
    <col min="5124" max="5124" width="4.8984375" style="1651" customWidth="1"/>
    <col min="5125" max="5132" width="7.8984375" style="1651" customWidth="1"/>
    <col min="5133" max="5133" width="8.59765625" style="1651" customWidth="1"/>
    <col min="5134" max="5134" width="15.09765625" style="1651" customWidth="1"/>
    <col min="5135" max="5376" width="9" style="1651"/>
    <col min="5377" max="5377" width="4.3984375" style="1651" customWidth="1"/>
    <col min="5378" max="5378" width="20.59765625" style="1651" customWidth="1"/>
    <col min="5379" max="5379" width="4.5" style="1651" customWidth="1"/>
    <col min="5380" max="5380" width="4.8984375" style="1651" customWidth="1"/>
    <col min="5381" max="5388" width="7.8984375" style="1651" customWidth="1"/>
    <col min="5389" max="5389" width="8.59765625" style="1651" customWidth="1"/>
    <col min="5390" max="5390" width="15.09765625" style="1651" customWidth="1"/>
    <col min="5391" max="5632" width="9" style="1651"/>
    <col min="5633" max="5633" width="4.3984375" style="1651" customWidth="1"/>
    <col min="5634" max="5634" width="20.59765625" style="1651" customWidth="1"/>
    <col min="5635" max="5635" width="4.5" style="1651" customWidth="1"/>
    <col min="5636" max="5636" width="4.8984375" style="1651" customWidth="1"/>
    <col min="5637" max="5644" width="7.8984375" style="1651" customWidth="1"/>
    <col min="5645" max="5645" width="8.59765625" style="1651" customWidth="1"/>
    <col min="5646" max="5646" width="15.09765625" style="1651" customWidth="1"/>
    <col min="5647" max="5888" width="9" style="1651"/>
    <col min="5889" max="5889" width="4.3984375" style="1651" customWidth="1"/>
    <col min="5890" max="5890" width="20.59765625" style="1651" customWidth="1"/>
    <col min="5891" max="5891" width="4.5" style="1651" customWidth="1"/>
    <col min="5892" max="5892" width="4.8984375" style="1651" customWidth="1"/>
    <col min="5893" max="5900" width="7.8984375" style="1651" customWidth="1"/>
    <col min="5901" max="5901" width="8.59765625" style="1651" customWidth="1"/>
    <col min="5902" max="5902" width="15.09765625" style="1651" customWidth="1"/>
    <col min="5903" max="6144" width="9" style="1651"/>
    <col min="6145" max="6145" width="4.3984375" style="1651" customWidth="1"/>
    <col min="6146" max="6146" width="20.59765625" style="1651" customWidth="1"/>
    <col min="6147" max="6147" width="4.5" style="1651" customWidth="1"/>
    <col min="6148" max="6148" width="4.8984375" style="1651" customWidth="1"/>
    <col min="6149" max="6156" width="7.8984375" style="1651" customWidth="1"/>
    <col min="6157" max="6157" width="8.59765625" style="1651" customWidth="1"/>
    <col min="6158" max="6158" width="15.09765625" style="1651" customWidth="1"/>
    <col min="6159" max="6400" width="9" style="1651"/>
    <col min="6401" max="6401" width="4.3984375" style="1651" customWidth="1"/>
    <col min="6402" max="6402" width="20.59765625" style="1651" customWidth="1"/>
    <col min="6403" max="6403" width="4.5" style="1651" customWidth="1"/>
    <col min="6404" max="6404" width="4.8984375" style="1651" customWidth="1"/>
    <col min="6405" max="6412" width="7.8984375" style="1651" customWidth="1"/>
    <col min="6413" max="6413" width="8.59765625" style="1651" customWidth="1"/>
    <col min="6414" max="6414" width="15.09765625" style="1651" customWidth="1"/>
    <col min="6415" max="6656" width="9" style="1651"/>
    <col min="6657" max="6657" width="4.3984375" style="1651" customWidth="1"/>
    <col min="6658" max="6658" width="20.59765625" style="1651" customWidth="1"/>
    <col min="6659" max="6659" width="4.5" style="1651" customWidth="1"/>
    <col min="6660" max="6660" width="4.8984375" style="1651" customWidth="1"/>
    <col min="6661" max="6668" width="7.8984375" style="1651" customWidth="1"/>
    <col min="6669" max="6669" width="8.59765625" style="1651" customWidth="1"/>
    <col min="6670" max="6670" width="15.09765625" style="1651" customWidth="1"/>
    <col min="6671" max="6912" width="9" style="1651"/>
    <col min="6913" max="6913" width="4.3984375" style="1651" customWidth="1"/>
    <col min="6914" max="6914" width="20.59765625" style="1651" customWidth="1"/>
    <col min="6915" max="6915" width="4.5" style="1651" customWidth="1"/>
    <col min="6916" max="6916" width="4.8984375" style="1651" customWidth="1"/>
    <col min="6917" max="6924" width="7.8984375" style="1651" customWidth="1"/>
    <col min="6925" max="6925" width="8.59765625" style="1651" customWidth="1"/>
    <col min="6926" max="6926" width="15.09765625" style="1651" customWidth="1"/>
    <col min="6927" max="7168" width="9" style="1651"/>
    <col min="7169" max="7169" width="4.3984375" style="1651" customWidth="1"/>
    <col min="7170" max="7170" width="20.59765625" style="1651" customWidth="1"/>
    <col min="7171" max="7171" width="4.5" style="1651" customWidth="1"/>
    <col min="7172" max="7172" width="4.8984375" style="1651" customWidth="1"/>
    <col min="7173" max="7180" width="7.8984375" style="1651" customWidth="1"/>
    <col min="7181" max="7181" width="8.59765625" style="1651" customWidth="1"/>
    <col min="7182" max="7182" width="15.09765625" style="1651" customWidth="1"/>
    <col min="7183" max="7424" width="9" style="1651"/>
    <col min="7425" max="7425" width="4.3984375" style="1651" customWidth="1"/>
    <col min="7426" max="7426" width="20.59765625" style="1651" customWidth="1"/>
    <col min="7427" max="7427" width="4.5" style="1651" customWidth="1"/>
    <col min="7428" max="7428" width="4.8984375" style="1651" customWidth="1"/>
    <col min="7429" max="7436" width="7.8984375" style="1651" customWidth="1"/>
    <col min="7437" max="7437" width="8.59765625" style="1651" customWidth="1"/>
    <col min="7438" max="7438" width="15.09765625" style="1651" customWidth="1"/>
    <col min="7439" max="7680" width="9" style="1651"/>
    <col min="7681" max="7681" width="4.3984375" style="1651" customWidth="1"/>
    <col min="7682" max="7682" width="20.59765625" style="1651" customWidth="1"/>
    <col min="7683" max="7683" width="4.5" style="1651" customWidth="1"/>
    <col min="7684" max="7684" width="4.8984375" style="1651" customWidth="1"/>
    <col min="7685" max="7692" width="7.8984375" style="1651" customWidth="1"/>
    <col min="7693" max="7693" width="8.59765625" style="1651" customWidth="1"/>
    <col min="7694" max="7694" width="15.09765625" style="1651" customWidth="1"/>
    <col min="7695" max="7936" width="9" style="1651"/>
    <col min="7937" max="7937" width="4.3984375" style="1651" customWidth="1"/>
    <col min="7938" max="7938" width="20.59765625" style="1651" customWidth="1"/>
    <col min="7939" max="7939" width="4.5" style="1651" customWidth="1"/>
    <col min="7940" max="7940" width="4.8984375" style="1651" customWidth="1"/>
    <col min="7941" max="7948" width="7.8984375" style="1651" customWidth="1"/>
    <col min="7949" max="7949" width="8.59765625" style="1651" customWidth="1"/>
    <col min="7950" max="7950" width="15.09765625" style="1651" customWidth="1"/>
    <col min="7951" max="8192" width="9" style="1651"/>
    <col min="8193" max="8193" width="4.3984375" style="1651" customWidth="1"/>
    <col min="8194" max="8194" width="20.59765625" style="1651" customWidth="1"/>
    <col min="8195" max="8195" width="4.5" style="1651" customWidth="1"/>
    <col min="8196" max="8196" width="4.8984375" style="1651" customWidth="1"/>
    <col min="8197" max="8204" width="7.8984375" style="1651" customWidth="1"/>
    <col min="8205" max="8205" width="8.59765625" style="1651" customWidth="1"/>
    <col min="8206" max="8206" width="15.09765625" style="1651" customWidth="1"/>
    <col min="8207" max="8448" width="9" style="1651"/>
    <col min="8449" max="8449" width="4.3984375" style="1651" customWidth="1"/>
    <col min="8450" max="8450" width="20.59765625" style="1651" customWidth="1"/>
    <col min="8451" max="8451" width="4.5" style="1651" customWidth="1"/>
    <col min="8452" max="8452" width="4.8984375" style="1651" customWidth="1"/>
    <col min="8453" max="8460" width="7.8984375" style="1651" customWidth="1"/>
    <col min="8461" max="8461" width="8.59765625" style="1651" customWidth="1"/>
    <col min="8462" max="8462" width="15.09765625" style="1651" customWidth="1"/>
    <col min="8463" max="8704" width="9" style="1651"/>
    <col min="8705" max="8705" width="4.3984375" style="1651" customWidth="1"/>
    <col min="8706" max="8706" width="20.59765625" style="1651" customWidth="1"/>
    <col min="8707" max="8707" width="4.5" style="1651" customWidth="1"/>
    <col min="8708" max="8708" width="4.8984375" style="1651" customWidth="1"/>
    <col min="8709" max="8716" width="7.8984375" style="1651" customWidth="1"/>
    <col min="8717" max="8717" width="8.59765625" style="1651" customWidth="1"/>
    <col min="8718" max="8718" width="15.09765625" style="1651" customWidth="1"/>
    <col min="8719" max="8960" width="9" style="1651"/>
    <col min="8961" max="8961" width="4.3984375" style="1651" customWidth="1"/>
    <col min="8962" max="8962" width="20.59765625" style="1651" customWidth="1"/>
    <col min="8963" max="8963" width="4.5" style="1651" customWidth="1"/>
    <col min="8964" max="8964" width="4.8984375" style="1651" customWidth="1"/>
    <col min="8965" max="8972" width="7.8984375" style="1651" customWidth="1"/>
    <col min="8973" max="8973" width="8.59765625" style="1651" customWidth="1"/>
    <col min="8974" max="8974" width="15.09765625" style="1651" customWidth="1"/>
    <col min="8975" max="9216" width="9" style="1651"/>
    <col min="9217" max="9217" width="4.3984375" style="1651" customWidth="1"/>
    <col min="9218" max="9218" width="20.59765625" style="1651" customWidth="1"/>
    <col min="9219" max="9219" width="4.5" style="1651" customWidth="1"/>
    <col min="9220" max="9220" width="4.8984375" style="1651" customWidth="1"/>
    <col min="9221" max="9228" width="7.8984375" style="1651" customWidth="1"/>
    <col min="9229" max="9229" width="8.59765625" style="1651" customWidth="1"/>
    <col min="9230" max="9230" width="15.09765625" style="1651" customWidth="1"/>
    <col min="9231" max="9472" width="9" style="1651"/>
    <col min="9473" max="9473" width="4.3984375" style="1651" customWidth="1"/>
    <col min="9474" max="9474" width="20.59765625" style="1651" customWidth="1"/>
    <col min="9475" max="9475" width="4.5" style="1651" customWidth="1"/>
    <col min="9476" max="9476" width="4.8984375" style="1651" customWidth="1"/>
    <col min="9477" max="9484" width="7.8984375" style="1651" customWidth="1"/>
    <col min="9485" max="9485" width="8.59765625" style="1651" customWidth="1"/>
    <col min="9486" max="9486" width="15.09765625" style="1651" customWidth="1"/>
    <col min="9487" max="9728" width="9" style="1651"/>
    <col min="9729" max="9729" width="4.3984375" style="1651" customWidth="1"/>
    <col min="9730" max="9730" width="20.59765625" style="1651" customWidth="1"/>
    <col min="9731" max="9731" width="4.5" style="1651" customWidth="1"/>
    <col min="9732" max="9732" width="4.8984375" style="1651" customWidth="1"/>
    <col min="9733" max="9740" width="7.8984375" style="1651" customWidth="1"/>
    <col min="9741" max="9741" width="8.59765625" style="1651" customWidth="1"/>
    <col min="9742" max="9742" width="15.09765625" style="1651" customWidth="1"/>
    <col min="9743" max="9984" width="9" style="1651"/>
    <col min="9985" max="9985" width="4.3984375" style="1651" customWidth="1"/>
    <col min="9986" max="9986" width="20.59765625" style="1651" customWidth="1"/>
    <col min="9987" max="9987" width="4.5" style="1651" customWidth="1"/>
    <col min="9988" max="9988" width="4.8984375" style="1651" customWidth="1"/>
    <col min="9989" max="9996" width="7.8984375" style="1651" customWidth="1"/>
    <col min="9997" max="9997" width="8.59765625" style="1651" customWidth="1"/>
    <col min="9998" max="9998" width="15.09765625" style="1651" customWidth="1"/>
    <col min="9999" max="10240" width="9" style="1651"/>
    <col min="10241" max="10241" width="4.3984375" style="1651" customWidth="1"/>
    <col min="10242" max="10242" width="20.59765625" style="1651" customWidth="1"/>
    <col min="10243" max="10243" width="4.5" style="1651" customWidth="1"/>
    <col min="10244" max="10244" width="4.8984375" style="1651" customWidth="1"/>
    <col min="10245" max="10252" width="7.8984375" style="1651" customWidth="1"/>
    <col min="10253" max="10253" width="8.59765625" style="1651" customWidth="1"/>
    <col min="10254" max="10254" width="15.09765625" style="1651" customWidth="1"/>
    <col min="10255" max="10496" width="9" style="1651"/>
    <col min="10497" max="10497" width="4.3984375" style="1651" customWidth="1"/>
    <col min="10498" max="10498" width="20.59765625" style="1651" customWidth="1"/>
    <col min="10499" max="10499" width="4.5" style="1651" customWidth="1"/>
    <col min="10500" max="10500" width="4.8984375" style="1651" customWidth="1"/>
    <col min="10501" max="10508" width="7.8984375" style="1651" customWidth="1"/>
    <col min="10509" max="10509" width="8.59765625" style="1651" customWidth="1"/>
    <col min="10510" max="10510" width="15.09765625" style="1651" customWidth="1"/>
    <col min="10511" max="10752" width="9" style="1651"/>
    <col min="10753" max="10753" width="4.3984375" style="1651" customWidth="1"/>
    <col min="10754" max="10754" width="20.59765625" style="1651" customWidth="1"/>
    <col min="10755" max="10755" width="4.5" style="1651" customWidth="1"/>
    <col min="10756" max="10756" width="4.8984375" style="1651" customWidth="1"/>
    <col min="10757" max="10764" width="7.8984375" style="1651" customWidth="1"/>
    <col min="10765" max="10765" width="8.59765625" style="1651" customWidth="1"/>
    <col min="10766" max="10766" width="15.09765625" style="1651" customWidth="1"/>
    <col min="10767" max="11008" width="9" style="1651"/>
    <col min="11009" max="11009" width="4.3984375" style="1651" customWidth="1"/>
    <col min="11010" max="11010" width="20.59765625" style="1651" customWidth="1"/>
    <col min="11011" max="11011" width="4.5" style="1651" customWidth="1"/>
    <col min="11012" max="11012" width="4.8984375" style="1651" customWidth="1"/>
    <col min="11013" max="11020" width="7.8984375" style="1651" customWidth="1"/>
    <col min="11021" max="11021" width="8.59765625" style="1651" customWidth="1"/>
    <col min="11022" max="11022" width="15.09765625" style="1651" customWidth="1"/>
    <col min="11023" max="11264" width="9" style="1651"/>
    <col min="11265" max="11265" width="4.3984375" style="1651" customWidth="1"/>
    <col min="11266" max="11266" width="20.59765625" style="1651" customWidth="1"/>
    <col min="11267" max="11267" width="4.5" style="1651" customWidth="1"/>
    <col min="11268" max="11268" width="4.8984375" style="1651" customWidth="1"/>
    <col min="11269" max="11276" width="7.8984375" style="1651" customWidth="1"/>
    <col min="11277" max="11277" width="8.59765625" style="1651" customWidth="1"/>
    <col min="11278" max="11278" width="15.09765625" style="1651" customWidth="1"/>
    <col min="11279" max="11520" width="9" style="1651"/>
    <col min="11521" max="11521" width="4.3984375" style="1651" customWidth="1"/>
    <col min="11522" max="11522" width="20.59765625" style="1651" customWidth="1"/>
    <col min="11523" max="11523" width="4.5" style="1651" customWidth="1"/>
    <col min="11524" max="11524" width="4.8984375" style="1651" customWidth="1"/>
    <col min="11525" max="11532" width="7.8984375" style="1651" customWidth="1"/>
    <col min="11533" max="11533" width="8.59765625" style="1651" customWidth="1"/>
    <col min="11534" max="11534" width="15.09765625" style="1651" customWidth="1"/>
    <col min="11535" max="11776" width="9" style="1651"/>
    <col min="11777" max="11777" width="4.3984375" style="1651" customWidth="1"/>
    <col min="11778" max="11778" width="20.59765625" style="1651" customWidth="1"/>
    <col min="11779" max="11779" width="4.5" style="1651" customWidth="1"/>
    <col min="11780" max="11780" width="4.8984375" style="1651" customWidth="1"/>
    <col min="11781" max="11788" width="7.8984375" style="1651" customWidth="1"/>
    <col min="11789" max="11789" width="8.59765625" style="1651" customWidth="1"/>
    <col min="11790" max="11790" width="15.09765625" style="1651" customWidth="1"/>
    <col min="11791" max="12032" width="9" style="1651"/>
    <col min="12033" max="12033" width="4.3984375" style="1651" customWidth="1"/>
    <col min="12034" max="12034" width="20.59765625" style="1651" customWidth="1"/>
    <col min="12035" max="12035" width="4.5" style="1651" customWidth="1"/>
    <col min="12036" max="12036" width="4.8984375" style="1651" customWidth="1"/>
    <col min="12037" max="12044" width="7.8984375" style="1651" customWidth="1"/>
    <col min="12045" max="12045" width="8.59765625" style="1651" customWidth="1"/>
    <col min="12046" max="12046" width="15.09765625" style="1651" customWidth="1"/>
    <col min="12047" max="12288" width="9" style="1651"/>
    <col min="12289" max="12289" width="4.3984375" style="1651" customWidth="1"/>
    <col min="12290" max="12290" width="20.59765625" style="1651" customWidth="1"/>
    <col min="12291" max="12291" width="4.5" style="1651" customWidth="1"/>
    <col min="12292" max="12292" width="4.8984375" style="1651" customWidth="1"/>
    <col min="12293" max="12300" width="7.8984375" style="1651" customWidth="1"/>
    <col min="12301" max="12301" width="8.59765625" style="1651" customWidth="1"/>
    <col min="12302" max="12302" width="15.09765625" style="1651" customWidth="1"/>
    <col min="12303" max="12544" width="9" style="1651"/>
    <col min="12545" max="12545" width="4.3984375" style="1651" customWidth="1"/>
    <col min="12546" max="12546" width="20.59765625" style="1651" customWidth="1"/>
    <col min="12547" max="12547" width="4.5" style="1651" customWidth="1"/>
    <col min="12548" max="12548" width="4.8984375" style="1651" customWidth="1"/>
    <col min="12549" max="12556" width="7.8984375" style="1651" customWidth="1"/>
    <col min="12557" max="12557" width="8.59765625" style="1651" customWidth="1"/>
    <col min="12558" max="12558" width="15.09765625" style="1651" customWidth="1"/>
    <col min="12559" max="12800" width="9" style="1651"/>
    <col min="12801" max="12801" width="4.3984375" style="1651" customWidth="1"/>
    <col min="12802" max="12802" width="20.59765625" style="1651" customWidth="1"/>
    <col min="12803" max="12803" width="4.5" style="1651" customWidth="1"/>
    <col min="12804" max="12804" width="4.8984375" style="1651" customWidth="1"/>
    <col min="12805" max="12812" width="7.8984375" style="1651" customWidth="1"/>
    <col min="12813" max="12813" width="8.59765625" style="1651" customWidth="1"/>
    <col min="12814" max="12814" width="15.09765625" style="1651" customWidth="1"/>
    <col min="12815" max="13056" width="9" style="1651"/>
    <col min="13057" max="13057" width="4.3984375" style="1651" customWidth="1"/>
    <col min="13058" max="13058" width="20.59765625" style="1651" customWidth="1"/>
    <col min="13059" max="13059" width="4.5" style="1651" customWidth="1"/>
    <col min="13060" max="13060" width="4.8984375" style="1651" customWidth="1"/>
    <col min="13061" max="13068" width="7.8984375" style="1651" customWidth="1"/>
    <col min="13069" max="13069" width="8.59765625" style="1651" customWidth="1"/>
    <col min="13070" max="13070" width="15.09765625" style="1651" customWidth="1"/>
    <col min="13071" max="13312" width="9" style="1651"/>
    <col min="13313" max="13313" width="4.3984375" style="1651" customWidth="1"/>
    <col min="13314" max="13314" width="20.59765625" style="1651" customWidth="1"/>
    <col min="13315" max="13315" width="4.5" style="1651" customWidth="1"/>
    <col min="13316" max="13316" width="4.8984375" style="1651" customWidth="1"/>
    <col min="13317" max="13324" width="7.8984375" style="1651" customWidth="1"/>
    <col min="13325" max="13325" width="8.59765625" style="1651" customWidth="1"/>
    <col min="13326" max="13326" width="15.09765625" style="1651" customWidth="1"/>
    <col min="13327" max="13568" width="9" style="1651"/>
    <col min="13569" max="13569" width="4.3984375" style="1651" customWidth="1"/>
    <col min="13570" max="13570" width="20.59765625" style="1651" customWidth="1"/>
    <col min="13571" max="13571" width="4.5" style="1651" customWidth="1"/>
    <col min="13572" max="13572" width="4.8984375" style="1651" customWidth="1"/>
    <col min="13573" max="13580" width="7.8984375" style="1651" customWidth="1"/>
    <col min="13581" max="13581" width="8.59765625" style="1651" customWidth="1"/>
    <col min="13582" max="13582" width="15.09765625" style="1651" customWidth="1"/>
    <col min="13583" max="13824" width="9" style="1651"/>
    <col min="13825" max="13825" width="4.3984375" style="1651" customWidth="1"/>
    <col min="13826" max="13826" width="20.59765625" style="1651" customWidth="1"/>
    <col min="13827" max="13827" width="4.5" style="1651" customWidth="1"/>
    <col min="13828" max="13828" width="4.8984375" style="1651" customWidth="1"/>
    <col min="13829" max="13836" width="7.8984375" style="1651" customWidth="1"/>
    <col min="13837" max="13837" width="8.59765625" style="1651" customWidth="1"/>
    <col min="13838" max="13838" width="15.09765625" style="1651" customWidth="1"/>
    <col min="13839" max="14080" width="9" style="1651"/>
    <col min="14081" max="14081" width="4.3984375" style="1651" customWidth="1"/>
    <col min="14082" max="14082" width="20.59765625" style="1651" customWidth="1"/>
    <col min="14083" max="14083" width="4.5" style="1651" customWidth="1"/>
    <col min="14084" max="14084" width="4.8984375" style="1651" customWidth="1"/>
    <col min="14085" max="14092" width="7.8984375" style="1651" customWidth="1"/>
    <col min="14093" max="14093" width="8.59765625" style="1651" customWidth="1"/>
    <col min="14094" max="14094" width="15.09765625" style="1651" customWidth="1"/>
    <col min="14095" max="14336" width="9" style="1651"/>
    <col min="14337" max="14337" width="4.3984375" style="1651" customWidth="1"/>
    <col min="14338" max="14338" width="20.59765625" style="1651" customWidth="1"/>
    <col min="14339" max="14339" width="4.5" style="1651" customWidth="1"/>
    <col min="14340" max="14340" width="4.8984375" style="1651" customWidth="1"/>
    <col min="14341" max="14348" width="7.8984375" style="1651" customWidth="1"/>
    <col min="14349" max="14349" width="8.59765625" style="1651" customWidth="1"/>
    <col min="14350" max="14350" width="15.09765625" style="1651" customWidth="1"/>
    <col min="14351" max="14592" width="9" style="1651"/>
    <col min="14593" max="14593" width="4.3984375" style="1651" customWidth="1"/>
    <col min="14594" max="14594" width="20.59765625" style="1651" customWidth="1"/>
    <col min="14595" max="14595" width="4.5" style="1651" customWidth="1"/>
    <col min="14596" max="14596" width="4.8984375" style="1651" customWidth="1"/>
    <col min="14597" max="14604" width="7.8984375" style="1651" customWidth="1"/>
    <col min="14605" max="14605" width="8.59765625" style="1651" customWidth="1"/>
    <col min="14606" max="14606" width="15.09765625" style="1651" customWidth="1"/>
    <col min="14607" max="14848" width="9" style="1651"/>
    <col min="14849" max="14849" width="4.3984375" style="1651" customWidth="1"/>
    <col min="14850" max="14850" width="20.59765625" style="1651" customWidth="1"/>
    <col min="14851" max="14851" width="4.5" style="1651" customWidth="1"/>
    <col min="14852" max="14852" width="4.8984375" style="1651" customWidth="1"/>
    <col min="14853" max="14860" width="7.8984375" style="1651" customWidth="1"/>
    <col min="14861" max="14861" width="8.59765625" style="1651" customWidth="1"/>
    <col min="14862" max="14862" width="15.09765625" style="1651" customWidth="1"/>
    <col min="14863" max="15104" width="9" style="1651"/>
    <col min="15105" max="15105" width="4.3984375" style="1651" customWidth="1"/>
    <col min="15106" max="15106" width="20.59765625" style="1651" customWidth="1"/>
    <col min="15107" max="15107" width="4.5" style="1651" customWidth="1"/>
    <col min="15108" max="15108" width="4.8984375" style="1651" customWidth="1"/>
    <col min="15109" max="15116" width="7.8984375" style="1651" customWidth="1"/>
    <col min="15117" max="15117" width="8.59765625" style="1651" customWidth="1"/>
    <col min="15118" max="15118" width="15.09765625" style="1651" customWidth="1"/>
    <col min="15119" max="15360" width="9" style="1651"/>
    <col min="15361" max="15361" width="4.3984375" style="1651" customWidth="1"/>
    <col min="15362" max="15362" width="20.59765625" style="1651" customWidth="1"/>
    <col min="15363" max="15363" width="4.5" style="1651" customWidth="1"/>
    <col min="15364" max="15364" width="4.8984375" style="1651" customWidth="1"/>
    <col min="15365" max="15372" width="7.8984375" style="1651" customWidth="1"/>
    <col min="15373" max="15373" width="8.59765625" style="1651" customWidth="1"/>
    <col min="15374" max="15374" width="15.09765625" style="1651" customWidth="1"/>
    <col min="15375" max="15616" width="9" style="1651"/>
    <col min="15617" max="15617" width="4.3984375" style="1651" customWidth="1"/>
    <col min="15618" max="15618" width="20.59765625" style="1651" customWidth="1"/>
    <col min="15619" max="15619" width="4.5" style="1651" customWidth="1"/>
    <col min="15620" max="15620" width="4.8984375" style="1651" customWidth="1"/>
    <col min="15621" max="15628" width="7.8984375" style="1651" customWidth="1"/>
    <col min="15629" max="15629" width="8.59765625" style="1651" customWidth="1"/>
    <col min="15630" max="15630" width="15.09765625" style="1651" customWidth="1"/>
    <col min="15631" max="15872" width="9" style="1651"/>
    <col min="15873" max="15873" width="4.3984375" style="1651" customWidth="1"/>
    <col min="15874" max="15874" width="20.59765625" style="1651" customWidth="1"/>
    <col min="15875" max="15875" width="4.5" style="1651" customWidth="1"/>
    <col min="15876" max="15876" width="4.8984375" style="1651" customWidth="1"/>
    <col min="15877" max="15884" width="7.8984375" style="1651" customWidth="1"/>
    <col min="15885" max="15885" width="8.59765625" style="1651" customWidth="1"/>
    <col min="15886" max="15886" width="15.09765625" style="1651" customWidth="1"/>
    <col min="15887" max="16128" width="9" style="1651"/>
    <col min="16129" max="16129" width="4.3984375" style="1651" customWidth="1"/>
    <col min="16130" max="16130" width="20.59765625" style="1651" customWidth="1"/>
    <col min="16131" max="16131" width="4.5" style="1651" customWidth="1"/>
    <col min="16132" max="16132" width="4.8984375" style="1651" customWidth="1"/>
    <col min="16133" max="16140" width="7.8984375" style="1651" customWidth="1"/>
    <col min="16141" max="16141" width="8.59765625" style="1651" customWidth="1"/>
    <col min="16142" max="16142" width="15.09765625" style="1651" customWidth="1"/>
    <col min="16143" max="16384" width="9" style="1651"/>
  </cols>
  <sheetData>
    <row r="1" spans="1:15" ht="20.100000000000001" customHeight="1">
      <c r="A1" s="3400"/>
      <c r="B1" s="3400"/>
      <c r="C1" s="3400"/>
      <c r="D1" s="3400"/>
      <c r="E1" s="3400"/>
      <c r="F1" s="3400"/>
      <c r="G1" s="3400"/>
      <c r="H1" s="3400"/>
      <c r="I1" s="3400"/>
      <c r="J1" s="3400"/>
      <c r="K1" s="3400"/>
      <c r="L1" s="3400"/>
      <c r="M1" s="3400"/>
      <c r="N1" s="2070" t="str">
        <f>"索引号："&amp;档案索引!A37</f>
        <v>索引号：2A-17</v>
      </c>
    </row>
    <row r="2" spans="1:15" ht="25.5" customHeight="1">
      <c r="A2" s="3401" t="s">
        <v>5925</v>
      </c>
      <c r="B2" s="3401"/>
      <c r="C2" s="3401"/>
      <c r="D2" s="3401"/>
      <c r="E2" s="3401"/>
      <c r="F2" s="3401"/>
      <c r="G2" s="3401"/>
      <c r="H2" s="3401"/>
      <c r="I2" s="3401"/>
      <c r="J2" s="3401"/>
      <c r="K2" s="3401"/>
      <c r="L2" s="3401"/>
      <c r="M2" s="3408"/>
      <c r="N2" s="1821"/>
    </row>
    <row r="3" spans="1:15" ht="14.25" customHeight="1">
      <c r="A3" s="3407" t="s">
        <v>1853</v>
      </c>
      <c r="B3" s="3405" t="s">
        <v>5079</v>
      </c>
      <c r="C3" s="3410" t="s">
        <v>5208</v>
      </c>
      <c r="D3" s="3411"/>
      <c r="E3" s="3412"/>
      <c r="F3" s="3410" t="s">
        <v>5209</v>
      </c>
      <c r="G3" s="3411"/>
      <c r="H3" s="3411"/>
      <c r="I3" s="3411"/>
      <c r="J3" s="3411"/>
      <c r="K3" s="3411"/>
      <c r="L3" s="3412"/>
      <c r="M3" s="3407" t="s">
        <v>5150</v>
      </c>
      <c r="N3" s="3407" t="s">
        <v>5151</v>
      </c>
    </row>
    <row r="4" spans="1:15" ht="39.75" customHeight="1">
      <c r="A4" s="3407"/>
      <c r="B4" s="3409"/>
      <c r="C4" s="1814" t="s">
        <v>1850</v>
      </c>
      <c r="D4" s="1814" t="s">
        <v>1851</v>
      </c>
      <c r="E4" s="1814" t="s">
        <v>5150</v>
      </c>
      <c r="F4" s="1814" t="s">
        <v>5210</v>
      </c>
      <c r="G4" s="1814" t="s">
        <v>5211</v>
      </c>
      <c r="H4" s="1814" t="s">
        <v>5212</v>
      </c>
      <c r="I4" s="1814" t="s">
        <v>5213</v>
      </c>
      <c r="J4" s="1814" t="s">
        <v>5214</v>
      </c>
      <c r="K4" s="1814" t="s">
        <v>5215</v>
      </c>
      <c r="L4" s="1814" t="s">
        <v>5150</v>
      </c>
      <c r="M4" s="3407"/>
      <c r="N4" s="3407"/>
    </row>
    <row r="5" spans="1:15" ht="14.25" customHeight="1">
      <c r="A5" s="3407"/>
      <c r="B5" s="3409"/>
      <c r="C5" s="1812">
        <v>1</v>
      </c>
      <c r="D5" s="1812">
        <v>2</v>
      </c>
      <c r="E5" s="1812" t="s">
        <v>5216</v>
      </c>
      <c r="F5" s="1812">
        <v>4</v>
      </c>
      <c r="G5" s="1812">
        <v>5</v>
      </c>
      <c r="H5" s="1812">
        <v>6</v>
      </c>
      <c r="I5" s="1812">
        <v>7</v>
      </c>
      <c r="J5" s="1814" t="s">
        <v>5217</v>
      </c>
      <c r="K5" s="1814" t="s">
        <v>5218</v>
      </c>
      <c r="L5" s="1814" t="s">
        <v>5219</v>
      </c>
      <c r="M5" s="1812" t="s">
        <v>5220</v>
      </c>
      <c r="N5" s="1968"/>
    </row>
    <row r="6" spans="1:15" ht="14.25" customHeight="1">
      <c r="A6" s="1808">
        <v>1</v>
      </c>
      <c r="B6" s="1817" t="s">
        <v>5221</v>
      </c>
      <c r="C6" s="2076"/>
      <c r="D6" s="2076"/>
      <c r="E6" s="2075">
        <f>D6-C6</f>
        <v>0</v>
      </c>
      <c r="F6" s="2076"/>
      <c r="G6" s="2076"/>
      <c r="H6" s="2076"/>
      <c r="I6" s="2076"/>
      <c r="J6" s="2075">
        <f>F6-H6</f>
        <v>0</v>
      </c>
      <c r="K6" s="2075">
        <f>G6-I6</f>
        <v>0</v>
      </c>
      <c r="L6" s="2075">
        <f>K6-J6</f>
        <v>0</v>
      </c>
      <c r="M6" s="2075">
        <f>E6+L6</f>
        <v>0</v>
      </c>
      <c r="N6" s="1968"/>
    </row>
    <row r="7" spans="1:15" ht="14.25" customHeight="1">
      <c r="A7" s="1808">
        <v>2</v>
      </c>
      <c r="B7" s="1818" t="s">
        <v>5222</v>
      </c>
      <c r="C7" s="2076"/>
      <c r="D7" s="2076"/>
      <c r="E7" s="2075">
        <f t="shared" ref="E7:E14" si="0">D7-C7</f>
        <v>0</v>
      </c>
      <c r="F7" s="2076"/>
      <c r="G7" s="2076"/>
      <c r="H7" s="2076"/>
      <c r="I7" s="2076"/>
      <c r="J7" s="2075">
        <f t="shared" ref="J7:J14" si="1">F7-H7</f>
        <v>0</v>
      </c>
      <c r="K7" s="2075">
        <f t="shared" ref="K7:K14" si="2">G7-I7</f>
        <v>0</v>
      </c>
      <c r="L7" s="2075">
        <f t="shared" ref="L7:L14" si="3">K7-J7</f>
        <v>0</v>
      </c>
      <c r="M7" s="2075">
        <f t="shared" ref="M7:M14" si="4">E7+L7</f>
        <v>0</v>
      </c>
      <c r="N7" s="1968"/>
    </row>
    <row r="8" spans="1:15" ht="14.25" customHeight="1">
      <c r="A8" s="1808">
        <v>3</v>
      </c>
      <c r="B8" s="1819" t="s">
        <v>5223</v>
      </c>
      <c r="C8" s="2076"/>
      <c r="D8" s="2076"/>
      <c r="E8" s="2075">
        <f t="shared" si="0"/>
        <v>0</v>
      </c>
      <c r="F8" s="2076"/>
      <c r="G8" s="2076"/>
      <c r="H8" s="2076"/>
      <c r="I8" s="2076"/>
      <c r="J8" s="2075">
        <f t="shared" si="1"/>
        <v>0</v>
      </c>
      <c r="K8" s="2075">
        <f t="shared" si="2"/>
        <v>0</v>
      </c>
      <c r="L8" s="2075">
        <f t="shared" si="3"/>
        <v>0</v>
      </c>
      <c r="M8" s="2075">
        <f t="shared" si="4"/>
        <v>0</v>
      </c>
      <c r="N8" s="1968"/>
      <c r="O8" s="1675" t="s">
        <v>5987</v>
      </c>
    </row>
    <row r="9" spans="1:15" ht="14.25" customHeight="1">
      <c r="A9" s="1808">
        <v>4</v>
      </c>
      <c r="B9" s="1818" t="s">
        <v>5224</v>
      </c>
      <c r="C9" s="2076"/>
      <c r="D9" s="2076"/>
      <c r="E9" s="2075">
        <f t="shared" si="0"/>
        <v>0</v>
      </c>
      <c r="F9" s="2076"/>
      <c r="G9" s="2076"/>
      <c r="H9" s="2076"/>
      <c r="I9" s="2076"/>
      <c r="J9" s="2075">
        <f t="shared" si="1"/>
        <v>0</v>
      </c>
      <c r="K9" s="2075">
        <f t="shared" si="2"/>
        <v>0</v>
      </c>
      <c r="L9" s="2075">
        <f t="shared" si="3"/>
        <v>0</v>
      </c>
      <c r="M9" s="2075">
        <f t="shared" si="4"/>
        <v>0</v>
      </c>
      <c r="N9" s="1968"/>
    </row>
    <row r="10" spans="1:15" ht="14.25" customHeight="1">
      <c r="A10" s="1808">
        <v>5</v>
      </c>
      <c r="B10" s="1818" t="s">
        <v>5225</v>
      </c>
      <c r="C10" s="2076"/>
      <c r="D10" s="2076"/>
      <c r="E10" s="2075">
        <f t="shared" si="0"/>
        <v>0</v>
      </c>
      <c r="F10" s="2076"/>
      <c r="G10" s="2076"/>
      <c r="H10" s="2076"/>
      <c r="I10" s="2076"/>
      <c r="J10" s="2075">
        <f t="shared" si="1"/>
        <v>0</v>
      </c>
      <c r="K10" s="2075">
        <f t="shared" si="2"/>
        <v>0</v>
      </c>
      <c r="L10" s="2075">
        <f t="shared" si="3"/>
        <v>0</v>
      </c>
      <c r="M10" s="2075">
        <f t="shared" si="4"/>
        <v>0</v>
      </c>
      <c r="N10" s="1968"/>
      <c r="O10" s="1675" t="s">
        <v>6437</v>
      </c>
    </row>
    <row r="11" spans="1:15" ht="14.25" customHeight="1">
      <c r="A11" s="1808">
        <v>6</v>
      </c>
      <c r="B11" s="1819" t="s">
        <v>5226</v>
      </c>
      <c r="C11" s="2076"/>
      <c r="D11" s="2076"/>
      <c r="E11" s="2075">
        <f t="shared" si="0"/>
        <v>0</v>
      </c>
      <c r="F11" s="2076"/>
      <c r="G11" s="2076"/>
      <c r="H11" s="2076"/>
      <c r="I11" s="2076"/>
      <c r="J11" s="2075">
        <f t="shared" si="1"/>
        <v>0</v>
      </c>
      <c r="K11" s="2075">
        <f t="shared" si="2"/>
        <v>0</v>
      </c>
      <c r="L11" s="2075">
        <f t="shared" si="3"/>
        <v>0</v>
      </c>
      <c r="M11" s="2075">
        <f t="shared" si="4"/>
        <v>0</v>
      </c>
      <c r="N11" s="1968"/>
    </row>
    <row r="12" spans="1:15" ht="14.25" customHeight="1">
      <c r="A12" s="1808">
        <v>7</v>
      </c>
      <c r="B12" s="1819" t="s">
        <v>5227</v>
      </c>
      <c r="C12" s="2076"/>
      <c r="D12" s="2076"/>
      <c r="E12" s="2075">
        <f t="shared" si="0"/>
        <v>0</v>
      </c>
      <c r="F12" s="2076"/>
      <c r="G12" s="2076"/>
      <c r="H12" s="2076"/>
      <c r="I12" s="2076"/>
      <c r="J12" s="2075">
        <f t="shared" si="1"/>
        <v>0</v>
      </c>
      <c r="K12" s="2075">
        <f t="shared" si="2"/>
        <v>0</v>
      </c>
      <c r="L12" s="2075">
        <f t="shared" si="3"/>
        <v>0</v>
      </c>
      <c r="M12" s="2075">
        <f t="shared" si="4"/>
        <v>0</v>
      </c>
      <c r="N12" s="1968"/>
    </row>
    <row r="13" spans="1:15" ht="14.25" customHeight="1">
      <c r="A13" s="1808">
        <v>8</v>
      </c>
      <c r="B13" s="1819" t="s">
        <v>5228</v>
      </c>
      <c r="C13" s="2076"/>
      <c r="D13" s="2076"/>
      <c r="E13" s="2075">
        <f t="shared" si="0"/>
        <v>0</v>
      </c>
      <c r="F13" s="2076"/>
      <c r="G13" s="2076"/>
      <c r="H13" s="2076"/>
      <c r="I13" s="2076"/>
      <c r="J13" s="2075">
        <f t="shared" si="1"/>
        <v>0</v>
      </c>
      <c r="K13" s="2075">
        <f t="shared" si="2"/>
        <v>0</v>
      </c>
      <c r="L13" s="2075">
        <f t="shared" si="3"/>
        <v>0</v>
      </c>
      <c r="M13" s="2075">
        <f t="shared" si="4"/>
        <v>0</v>
      </c>
      <c r="N13" s="1968"/>
    </row>
    <row r="14" spans="1:15" ht="14.25" customHeight="1">
      <c r="A14" s="1808">
        <v>9</v>
      </c>
      <c r="B14" s="1818" t="s">
        <v>5229</v>
      </c>
      <c r="C14" s="2076"/>
      <c r="D14" s="2076"/>
      <c r="E14" s="2075">
        <f t="shared" si="0"/>
        <v>0</v>
      </c>
      <c r="F14" s="2076"/>
      <c r="G14" s="2076"/>
      <c r="H14" s="2076"/>
      <c r="I14" s="2076"/>
      <c r="J14" s="2075">
        <f t="shared" si="1"/>
        <v>0</v>
      </c>
      <c r="K14" s="2075">
        <f t="shared" si="2"/>
        <v>0</v>
      </c>
      <c r="L14" s="2075">
        <f t="shared" si="3"/>
        <v>0</v>
      </c>
      <c r="M14" s="2075">
        <f t="shared" si="4"/>
        <v>0</v>
      </c>
      <c r="N14" s="1968"/>
    </row>
    <row r="15" spans="1:15" ht="129" customHeight="1">
      <c r="A15" s="1808">
        <v>10</v>
      </c>
      <c r="B15" s="1820" t="s">
        <v>5230</v>
      </c>
      <c r="C15" s="2075">
        <f>SUM(C6:C14)</f>
        <v>0</v>
      </c>
      <c r="D15" s="2075">
        <f t="shared" ref="D15:M15" si="5">SUM(D6:D14)</f>
        <v>0</v>
      </c>
      <c r="E15" s="2075">
        <f t="shared" si="5"/>
        <v>0</v>
      </c>
      <c r="F15" s="2075">
        <f t="shared" si="5"/>
        <v>0</v>
      </c>
      <c r="G15" s="2075">
        <f t="shared" si="5"/>
        <v>0</v>
      </c>
      <c r="H15" s="2075">
        <f t="shared" si="5"/>
        <v>0</v>
      </c>
      <c r="I15" s="2075">
        <f t="shared" si="5"/>
        <v>0</v>
      </c>
      <c r="J15" s="2075">
        <f t="shared" si="5"/>
        <v>0</v>
      </c>
      <c r="K15" s="2075">
        <f t="shared" si="5"/>
        <v>0</v>
      </c>
      <c r="L15" s="2075">
        <f t="shared" si="5"/>
        <v>0</v>
      </c>
      <c r="M15" s="2075">
        <f t="shared" si="5"/>
        <v>0</v>
      </c>
      <c r="N15" s="1819" t="s">
        <v>5231</v>
      </c>
    </row>
    <row r="16" spans="1:15">
      <c r="A16" s="2070"/>
      <c r="B16" s="2070"/>
      <c r="C16" s="2026"/>
      <c r="D16" s="2070"/>
      <c r="E16" s="2070"/>
      <c r="F16" s="2070"/>
      <c r="G16" s="2070"/>
      <c r="H16" s="2070"/>
      <c r="I16" s="2070"/>
      <c r="J16" s="2070"/>
      <c r="K16" s="2070"/>
      <c r="L16" s="2070"/>
      <c r="M16" s="2070"/>
      <c r="N16" s="2070"/>
    </row>
  </sheetData>
  <mergeCells count="8">
    <mergeCell ref="N3:N4"/>
    <mergeCell ref="A1:M1"/>
    <mergeCell ref="A2:M2"/>
    <mergeCell ref="A3:A5"/>
    <mergeCell ref="B3:B5"/>
    <mergeCell ref="C3:E3"/>
    <mergeCell ref="F3:L3"/>
    <mergeCell ref="M3:M4"/>
  </mergeCells>
  <phoneticPr fontId="51" type="noConversion"/>
  <hyperlinks>
    <hyperlink ref="O10" location="A105030投资收益纳税调整明细表!A1" display="A105030投资收益纳税调整明细表!A1"/>
    <hyperlink ref="O8" location="利润!A26" display="利润"/>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tabColor rgb="FFFFFF00"/>
  </sheetPr>
  <dimension ref="A1:S17"/>
  <sheetViews>
    <sheetView workbookViewId="0">
      <selection activeCell="E20" sqref="E19:E20"/>
    </sheetView>
  </sheetViews>
  <sheetFormatPr defaultRowHeight="15.6"/>
  <cols>
    <col min="1" max="1" width="4.3984375" style="1559" customWidth="1"/>
    <col min="2" max="2" width="7.09765625" style="1559" customWidth="1"/>
    <col min="3" max="3" width="5.3984375" style="1559" customWidth="1"/>
    <col min="4" max="16" width="10.19921875" style="1559" customWidth="1"/>
    <col min="17" max="17" width="7.09765625" style="1558" customWidth="1"/>
    <col min="18" max="18" width="35.19921875" style="1558" customWidth="1"/>
    <col min="19" max="256" width="9" style="1558"/>
    <col min="257" max="257" width="4.3984375" style="1558" customWidth="1"/>
    <col min="258" max="258" width="19" style="1558" customWidth="1"/>
    <col min="259" max="259" width="6.5" style="1558" customWidth="1"/>
    <col min="260" max="260" width="6" style="1558" customWidth="1"/>
    <col min="261" max="261" width="6.8984375" style="1558" customWidth="1"/>
    <col min="262" max="266" width="7.69921875" style="1558" customWidth="1"/>
    <col min="267" max="267" width="6.69921875" style="1558" customWidth="1"/>
    <col min="268" max="268" width="5.09765625" style="1558" customWidth="1"/>
    <col min="269" max="269" width="7.69921875" style="1558" customWidth="1"/>
    <col min="270" max="270" width="4.3984375" style="1558" customWidth="1"/>
    <col min="271" max="272" width="6.59765625" style="1558" customWidth="1"/>
    <col min="273" max="273" width="14" style="1558" customWidth="1"/>
    <col min="274" max="274" width="35.19921875" style="1558" customWidth="1"/>
    <col min="275" max="512" width="9" style="1558"/>
    <col min="513" max="513" width="4.3984375" style="1558" customWidth="1"/>
    <col min="514" max="514" width="19" style="1558" customWidth="1"/>
    <col min="515" max="515" width="6.5" style="1558" customWidth="1"/>
    <col min="516" max="516" width="6" style="1558" customWidth="1"/>
    <col min="517" max="517" width="6.8984375" style="1558" customWidth="1"/>
    <col min="518" max="522" width="7.69921875" style="1558" customWidth="1"/>
    <col min="523" max="523" width="6.69921875" style="1558" customWidth="1"/>
    <col min="524" max="524" width="5.09765625" style="1558" customWidth="1"/>
    <col min="525" max="525" width="7.69921875" style="1558" customWidth="1"/>
    <col min="526" max="526" width="4.3984375" style="1558" customWidth="1"/>
    <col min="527" max="528" width="6.59765625" style="1558" customWidth="1"/>
    <col min="529" max="529" width="14" style="1558" customWidth="1"/>
    <col min="530" max="530" width="35.19921875" style="1558" customWidth="1"/>
    <col min="531" max="768" width="9" style="1558"/>
    <col min="769" max="769" width="4.3984375" style="1558" customWidth="1"/>
    <col min="770" max="770" width="19" style="1558" customWidth="1"/>
    <col min="771" max="771" width="6.5" style="1558" customWidth="1"/>
    <col min="772" max="772" width="6" style="1558" customWidth="1"/>
    <col min="773" max="773" width="6.8984375" style="1558" customWidth="1"/>
    <col min="774" max="778" width="7.69921875" style="1558" customWidth="1"/>
    <col min="779" max="779" width="6.69921875" style="1558" customWidth="1"/>
    <col min="780" max="780" width="5.09765625" style="1558" customWidth="1"/>
    <col min="781" max="781" width="7.69921875" style="1558" customWidth="1"/>
    <col min="782" max="782" width="4.3984375" style="1558" customWidth="1"/>
    <col min="783" max="784" width="6.59765625" style="1558" customWidth="1"/>
    <col min="785" max="785" width="14" style="1558" customWidth="1"/>
    <col min="786" max="786" width="35.19921875" style="1558" customWidth="1"/>
    <col min="787" max="1024" width="9" style="1558"/>
    <col min="1025" max="1025" width="4.3984375" style="1558" customWidth="1"/>
    <col min="1026" max="1026" width="19" style="1558" customWidth="1"/>
    <col min="1027" max="1027" width="6.5" style="1558" customWidth="1"/>
    <col min="1028" max="1028" width="6" style="1558" customWidth="1"/>
    <col min="1029" max="1029" width="6.8984375" style="1558" customWidth="1"/>
    <col min="1030" max="1034" width="7.69921875" style="1558" customWidth="1"/>
    <col min="1035" max="1035" width="6.69921875" style="1558" customWidth="1"/>
    <col min="1036" max="1036" width="5.09765625" style="1558" customWidth="1"/>
    <col min="1037" max="1037" width="7.69921875" style="1558" customWidth="1"/>
    <col min="1038" max="1038" width="4.3984375" style="1558" customWidth="1"/>
    <col min="1039" max="1040" width="6.59765625" style="1558" customWidth="1"/>
    <col min="1041" max="1041" width="14" style="1558" customWidth="1"/>
    <col min="1042" max="1042" width="35.19921875" style="1558" customWidth="1"/>
    <col min="1043" max="1280" width="9" style="1558"/>
    <col min="1281" max="1281" width="4.3984375" style="1558" customWidth="1"/>
    <col min="1282" max="1282" width="19" style="1558" customWidth="1"/>
    <col min="1283" max="1283" width="6.5" style="1558" customWidth="1"/>
    <col min="1284" max="1284" width="6" style="1558" customWidth="1"/>
    <col min="1285" max="1285" width="6.8984375" style="1558" customWidth="1"/>
    <col min="1286" max="1290" width="7.69921875" style="1558" customWidth="1"/>
    <col min="1291" max="1291" width="6.69921875" style="1558" customWidth="1"/>
    <col min="1292" max="1292" width="5.09765625" style="1558" customWidth="1"/>
    <col min="1293" max="1293" width="7.69921875" style="1558" customWidth="1"/>
    <col min="1294" max="1294" width="4.3984375" style="1558" customWidth="1"/>
    <col min="1295" max="1296" width="6.59765625" style="1558" customWidth="1"/>
    <col min="1297" max="1297" width="14" style="1558" customWidth="1"/>
    <col min="1298" max="1298" width="35.19921875" style="1558" customWidth="1"/>
    <col min="1299" max="1536" width="9" style="1558"/>
    <col min="1537" max="1537" width="4.3984375" style="1558" customWidth="1"/>
    <col min="1538" max="1538" width="19" style="1558" customWidth="1"/>
    <col min="1539" max="1539" width="6.5" style="1558" customWidth="1"/>
    <col min="1540" max="1540" width="6" style="1558" customWidth="1"/>
    <col min="1541" max="1541" width="6.8984375" style="1558" customWidth="1"/>
    <col min="1542" max="1546" width="7.69921875" style="1558" customWidth="1"/>
    <col min="1547" max="1547" width="6.69921875" style="1558" customWidth="1"/>
    <col min="1548" max="1548" width="5.09765625" style="1558" customWidth="1"/>
    <col min="1549" max="1549" width="7.69921875" style="1558" customWidth="1"/>
    <col min="1550" max="1550" width="4.3984375" style="1558" customWidth="1"/>
    <col min="1551" max="1552" width="6.59765625" style="1558" customWidth="1"/>
    <col min="1553" max="1553" width="14" style="1558" customWidth="1"/>
    <col min="1554" max="1554" width="35.19921875" style="1558" customWidth="1"/>
    <col min="1555" max="1792" width="9" style="1558"/>
    <col min="1793" max="1793" width="4.3984375" style="1558" customWidth="1"/>
    <col min="1794" max="1794" width="19" style="1558" customWidth="1"/>
    <col min="1795" max="1795" width="6.5" style="1558" customWidth="1"/>
    <col min="1796" max="1796" width="6" style="1558" customWidth="1"/>
    <col min="1797" max="1797" width="6.8984375" style="1558" customWidth="1"/>
    <col min="1798" max="1802" width="7.69921875" style="1558" customWidth="1"/>
    <col min="1803" max="1803" width="6.69921875" style="1558" customWidth="1"/>
    <col min="1804" max="1804" width="5.09765625" style="1558" customWidth="1"/>
    <col min="1805" max="1805" width="7.69921875" style="1558" customWidth="1"/>
    <col min="1806" max="1806" width="4.3984375" style="1558" customWidth="1"/>
    <col min="1807" max="1808" width="6.59765625" style="1558" customWidth="1"/>
    <col min="1809" max="1809" width="14" style="1558" customWidth="1"/>
    <col min="1810" max="1810" width="35.19921875" style="1558" customWidth="1"/>
    <col min="1811" max="2048" width="9" style="1558"/>
    <col min="2049" max="2049" width="4.3984375" style="1558" customWidth="1"/>
    <col min="2050" max="2050" width="19" style="1558" customWidth="1"/>
    <col min="2051" max="2051" width="6.5" style="1558" customWidth="1"/>
    <col min="2052" max="2052" width="6" style="1558" customWidth="1"/>
    <col min="2053" max="2053" width="6.8984375" style="1558" customWidth="1"/>
    <col min="2054" max="2058" width="7.69921875" style="1558" customWidth="1"/>
    <col min="2059" max="2059" width="6.69921875" style="1558" customWidth="1"/>
    <col min="2060" max="2060" width="5.09765625" style="1558" customWidth="1"/>
    <col min="2061" max="2061" width="7.69921875" style="1558" customWidth="1"/>
    <col min="2062" max="2062" width="4.3984375" style="1558" customWidth="1"/>
    <col min="2063" max="2064" width="6.59765625" style="1558" customWidth="1"/>
    <col min="2065" max="2065" width="14" style="1558" customWidth="1"/>
    <col min="2066" max="2066" width="35.19921875" style="1558" customWidth="1"/>
    <col min="2067" max="2304" width="9" style="1558"/>
    <col min="2305" max="2305" width="4.3984375" style="1558" customWidth="1"/>
    <col min="2306" max="2306" width="19" style="1558" customWidth="1"/>
    <col min="2307" max="2307" width="6.5" style="1558" customWidth="1"/>
    <col min="2308" max="2308" width="6" style="1558" customWidth="1"/>
    <col min="2309" max="2309" width="6.8984375" style="1558" customWidth="1"/>
    <col min="2310" max="2314" width="7.69921875" style="1558" customWidth="1"/>
    <col min="2315" max="2315" width="6.69921875" style="1558" customWidth="1"/>
    <col min="2316" max="2316" width="5.09765625" style="1558" customWidth="1"/>
    <col min="2317" max="2317" width="7.69921875" style="1558" customWidth="1"/>
    <col min="2318" max="2318" width="4.3984375" style="1558" customWidth="1"/>
    <col min="2319" max="2320" width="6.59765625" style="1558" customWidth="1"/>
    <col min="2321" max="2321" width="14" style="1558" customWidth="1"/>
    <col min="2322" max="2322" width="35.19921875" style="1558" customWidth="1"/>
    <col min="2323" max="2560" width="9" style="1558"/>
    <col min="2561" max="2561" width="4.3984375" style="1558" customWidth="1"/>
    <col min="2562" max="2562" width="19" style="1558" customWidth="1"/>
    <col min="2563" max="2563" width="6.5" style="1558" customWidth="1"/>
    <col min="2564" max="2564" width="6" style="1558" customWidth="1"/>
    <col min="2565" max="2565" width="6.8984375" style="1558" customWidth="1"/>
    <col min="2566" max="2570" width="7.69921875" style="1558" customWidth="1"/>
    <col min="2571" max="2571" width="6.69921875" style="1558" customWidth="1"/>
    <col min="2572" max="2572" width="5.09765625" style="1558" customWidth="1"/>
    <col min="2573" max="2573" width="7.69921875" style="1558" customWidth="1"/>
    <col min="2574" max="2574" width="4.3984375" style="1558" customWidth="1"/>
    <col min="2575" max="2576" width="6.59765625" style="1558" customWidth="1"/>
    <col min="2577" max="2577" width="14" style="1558" customWidth="1"/>
    <col min="2578" max="2578" width="35.19921875" style="1558" customWidth="1"/>
    <col min="2579" max="2816" width="9" style="1558"/>
    <col min="2817" max="2817" width="4.3984375" style="1558" customWidth="1"/>
    <col min="2818" max="2818" width="19" style="1558" customWidth="1"/>
    <col min="2819" max="2819" width="6.5" style="1558" customWidth="1"/>
    <col min="2820" max="2820" width="6" style="1558" customWidth="1"/>
    <col min="2821" max="2821" width="6.8984375" style="1558" customWidth="1"/>
    <col min="2822" max="2826" width="7.69921875" style="1558" customWidth="1"/>
    <col min="2827" max="2827" width="6.69921875" style="1558" customWidth="1"/>
    <col min="2828" max="2828" width="5.09765625" style="1558" customWidth="1"/>
    <col min="2829" max="2829" width="7.69921875" style="1558" customWidth="1"/>
    <col min="2830" max="2830" width="4.3984375" style="1558" customWidth="1"/>
    <col min="2831" max="2832" width="6.59765625" style="1558" customWidth="1"/>
    <col min="2833" max="2833" width="14" style="1558" customWidth="1"/>
    <col min="2834" max="2834" width="35.19921875" style="1558" customWidth="1"/>
    <col min="2835" max="3072" width="9" style="1558"/>
    <col min="3073" max="3073" width="4.3984375" style="1558" customWidth="1"/>
    <col min="3074" max="3074" width="19" style="1558" customWidth="1"/>
    <col min="3075" max="3075" width="6.5" style="1558" customWidth="1"/>
    <col min="3076" max="3076" width="6" style="1558" customWidth="1"/>
    <col min="3077" max="3077" width="6.8984375" style="1558" customWidth="1"/>
    <col min="3078" max="3082" width="7.69921875" style="1558" customWidth="1"/>
    <col min="3083" max="3083" width="6.69921875" style="1558" customWidth="1"/>
    <col min="3084" max="3084" width="5.09765625" style="1558" customWidth="1"/>
    <col min="3085" max="3085" width="7.69921875" style="1558" customWidth="1"/>
    <col min="3086" max="3086" width="4.3984375" style="1558" customWidth="1"/>
    <col min="3087" max="3088" width="6.59765625" style="1558" customWidth="1"/>
    <col min="3089" max="3089" width="14" style="1558" customWidth="1"/>
    <col min="3090" max="3090" width="35.19921875" style="1558" customWidth="1"/>
    <col min="3091" max="3328" width="9" style="1558"/>
    <col min="3329" max="3329" width="4.3984375" style="1558" customWidth="1"/>
    <col min="3330" max="3330" width="19" style="1558" customWidth="1"/>
    <col min="3331" max="3331" width="6.5" style="1558" customWidth="1"/>
    <col min="3332" max="3332" width="6" style="1558" customWidth="1"/>
    <col min="3333" max="3333" width="6.8984375" style="1558" customWidth="1"/>
    <col min="3334" max="3338" width="7.69921875" style="1558" customWidth="1"/>
    <col min="3339" max="3339" width="6.69921875" style="1558" customWidth="1"/>
    <col min="3340" max="3340" width="5.09765625" style="1558" customWidth="1"/>
    <col min="3341" max="3341" width="7.69921875" style="1558" customWidth="1"/>
    <col min="3342" max="3342" width="4.3984375" style="1558" customWidth="1"/>
    <col min="3343" max="3344" width="6.59765625" style="1558" customWidth="1"/>
    <col min="3345" max="3345" width="14" style="1558" customWidth="1"/>
    <col min="3346" max="3346" width="35.19921875" style="1558" customWidth="1"/>
    <col min="3347" max="3584" width="9" style="1558"/>
    <col min="3585" max="3585" width="4.3984375" style="1558" customWidth="1"/>
    <col min="3586" max="3586" width="19" style="1558" customWidth="1"/>
    <col min="3587" max="3587" width="6.5" style="1558" customWidth="1"/>
    <col min="3588" max="3588" width="6" style="1558" customWidth="1"/>
    <col min="3589" max="3589" width="6.8984375" style="1558" customWidth="1"/>
    <col min="3590" max="3594" width="7.69921875" style="1558" customWidth="1"/>
    <col min="3595" max="3595" width="6.69921875" style="1558" customWidth="1"/>
    <col min="3596" max="3596" width="5.09765625" style="1558" customWidth="1"/>
    <col min="3597" max="3597" width="7.69921875" style="1558" customWidth="1"/>
    <col min="3598" max="3598" width="4.3984375" style="1558" customWidth="1"/>
    <col min="3599" max="3600" width="6.59765625" style="1558" customWidth="1"/>
    <col min="3601" max="3601" width="14" style="1558" customWidth="1"/>
    <col min="3602" max="3602" width="35.19921875" style="1558" customWidth="1"/>
    <col min="3603" max="3840" width="9" style="1558"/>
    <col min="3841" max="3841" width="4.3984375" style="1558" customWidth="1"/>
    <col min="3842" max="3842" width="19" style="1558" customWidth="1"/>
    <col min="3843" max="3843" width="6.5" style="1558" customWidth="1"/>
    <col min="3844" max="3844" width="6" style="1558" customWidth="1"/>
    <col min="3845" max="3845" width="6.8984375" style="1558" customWidth="1"/>
    <col min="3846" max="3850" width="7.69921875" style="1558" customWidth="1"/>
    <col min="3851" max="3851" width="6.69921875" style="1558" customWidth="1"/>
    <col min="3852" max="3852" width="5.09765625" style="1558" customWidth="1"/>
    <col min="3853" max="3853" width="7.69921875" style="1558" customWidth="1"/>
    <col min="3854" max="3854" width="4.3984375" style="1558" customWidth="1"/>
    <col min="3855" max="3856" width="6.59765625" style="1558" customWidth="1"/>
    <col min="3857" max="3857" width="14" style="1558" customWidth="1"/>
    <col min="3858" max="3858" width="35.19921875" style="1558" customWidth="1"/>
    <col min="3859" max="4096" width="9" style="1558"/>
    <col min="4097" max="4097" width="4.3984375" style="1558" customWidth="1"/>
    <col min="4098" max="4098" width="19" style="1558" customWidth="1"/>
    <col min="4099" max="4099" width="6.5" style="1558" customWidth="1"/>
    <col min="4100" max="4100" width="6" style="1558" customWidth="1"/>
    <col min="4101" max="4101" width="6.8984375" style="1558" customWidth="1"/>
    <col min="4102" max="4106" width="7.69921875" style="1558" customWidth="1"/>
    <col min="4107" max="4107" width="6.69921875" style="1558" customWidth="1"/>
    <col min="4108" max="4108" width="5.09765625" style="1558" customWidth="1"/>
    <col min="4109" max="4109" width="7.69921875" style="1558" customWidth="1"/>
    <col min="4110" max="4110" width="4.3984375" style="1558" customWidth="1"/>
    <col min="4111" max="4112" width="6.59765625" style="1558" customWidth="1"/>
    <col min="4113" max="4113" width="14" style="1558" customWidth="1"/>
    <col min="4114" max="4114" width="35.19921875" style="1558" customWidth="1"/>
    <col min="4115" max="4352" width="9" style="1558"/>
    <col min="4353" max="4353" width="4.3984375" style="1558" customWidth="1"/>
    <col min="4354" max="4354" width="19" style="1558" customWidth="1"/>
    <col min="4355" max="4355" width="6.5" style="1558" customWidth="1"/>
    <col min="4356" max="4356" width="6" style="1558" customWidth="1"/>
    <col min="4357" max="4357" width="6.8984375" style="1558" customWidth="1"/>
    <col min="4358" max="4362" width="7.69921875" style="1558" customWidth="1"/>
    <col min="4363" max="4363" width="6.69921875" style="1558" customWidth="1"/>
    <col min="4364" max="4364" width="5.09765625" style="1558" customWidth="1"/>
    <col min="4365" max="4365" width="7.69921875" style="1558" customWidth="1"/>
    <col min="4366" max="4366" width="4.3984375" style="1558" customWidth="1"/>
    <col min="4367" max="4368" width="6.59765625" style="1558" customWidth="1"/>
    <col min="4369" max="4369" width="14" style="1558" customWidth="1"/>
    <col min="4370" max="4370" width="35.19921875" style="1558" customWidth="1"/>
    <col min="4371" max="4608" width="9" style="1558"/>
    <col min="4609" max="4609" width="4.3984375" style="1558" customWidth="1"/>
    <col min="4610" max="4610" width="19" style="1558" customWidth="1"/>
    <col min="4611" max="4611" width="6.5" style="1558" customWidth="1"/>
    <col min="4612" max="4612" width="6" style="1558" customWidth="1"/>
    <col min="4613" max="4613" width="6.8984375" style="1558" customWidth="1"/>
    <col min="4614" max="4618" width="7.69921875" style="1558" customWidth="1"/>
    <col min="4619" max="4619" width="6.69921875" style="1558" customWidth="1"/>
    <col min="4620" max="4620" width="5.09765625" style="1558" customWidth="1"/>
    <col min="4621" max="4621" width="7.69921875" style="1558" customWidth="1"/>
    <col min="4622" max="4622" width="4.3984375" style="1558" customWidth="1"/>
    <col min="4623" max="4624" width="6.59765625" style="1558" customWidth="1"/>
    <col min="4625" max="4625" width="14" style="1558" customWidth="1"/>
    <col min="4626" max="4626" width="35.19921875" style="1558" customWidth="1"/>
    <col min="4627" max="4864" width="9" style="1558"/>
    <col min="4865" max="4865" width="4.3984375" style="1558" customWidth="1"/>
    <col min="4866" max="4866" width="19" style="1558" customWidth="1"/>
    <col min="4867" max="4867" width="6.5" style="1558" customWidth="1"/>
    <col min="4868" max="4868" width="6" style="1558" customWidth="1"/>
    <col min="4869" max="4869" width="6.8984375" style="1558" customWidth="1"/>
    <col min="4870" max="4874" width="7.69921875" style="1558" customWidth="1"/>
    <col min="4875" max="4875" width="6.69921875" style="1558" customWidth="1"/>
    <col min="4876" max="4876" width="5.09765625" style="1558" customWidth="1"/>
    <col min="4877" max="4877" width="7.69921875" style="1558" customWidth="1"/>
    <col min="4878" max="4878" width="4.3984375" style="1558" customWidth="1"/>
    <col min="4879" max="4880" width="6.59765625" style="1558" customWidth="1"/>
    <col min="4881" max="4881" width="14" style="1558" customWidth="1"/>
    <col min="4882" max="4882" width="35.19921875" style="1558" customWidth="1"/>
    <col min="4883" max="5120" width="9" style="1558"/>
    <col min="5121" max="5121" width="4.3984375" style="1558" customWidth="1"/>
    <col min="5122" max="5122" width="19" style="1558" customWidth="1"/>
    <col min="5123" max="5123" width="6.5" style="1558" customWidth="1"/>
    <col min="5124" max="5124" width="6" style="1558" customWidth="1"/>
    <col min="5125" max="5125" width="6.8984375" style="1558" customWidth="1"/>
    <col min="5126" max="5130" width="7.69921875" style="1558" customWidth="1"/>
    <col min="5131" max="5131" width="6.69921875" style="1558" customWidth="1"/>
    <col min="5132" max="5132" width="5.09765625" style="1558" customWidth="1"/>
    <col min="5133" max="5133" width="7.69921875" style="1558" customWidth="1"/>
    <col min="5134" max="5134" width="4.3984375" style="1558" customWidth="1"/>
    <col min="5135" max="5136" width="6.59765625" style="1558" customWidth="1"/>
    <col min="5137" max="5137" width="14" style="1558" customWidth="1"/>
    <col min="5138" max="5138" width="35.19921875" style="1558" customWidth="1"/>
    <col min="5139" max="5376" width="9" style="1558"/>
    <col min="5377" max="5377" width="4.3984375" style="1558" customWidth="1"/>
    <col min="5378" max="5378" width="19" style="1558" customWidth="1"/>
    <col min="5379" max="5379" width="6.5" style="1558" customWidth="1"/>
    <col min="5380" max="5380" width="6" style="1558" customWidth="1"/>
    <col min="5381" max="5381" width="6.8984375" style="1558" customWidth="1"/>
    <col min="5382" max="5386" width="7.69921875" style="1558" customWidth="1"/>
    <col min="5387" max="5387" width="6.69921875" style="1558" customWidth="1"/>
    <col min="5388" max="5388" width="5.09765625" style="1558" customWidth="1"/>
    <col min="5389" max="5389" width="7.69921875" style="1558" customWidth="1"/>
    <col min="5390" max="5390" width="4.3984375" style="1558" customWidth="1"/>
    <col min="5391" max="5392" width="6.59765625" style="1558" customWidth="1"/>
    <col min="5393" max="5393" width="14" style="1558" customWidth="1"/>
    <col min="5394" max="5394" width="35.19921875" style="1558" customWidth="1"/>
    <col min="5395" max="5632" width="9" style="1558"/>
    <col min="5633" max="5633" width="4.3984375" style="1558" customWidth="1"/>
    <col min="5634" max="5634" width="19" style="1558" customWidth="1"/>
    <col min="5635" max="5635" width="6.5" style="1558" customWidth="1"/>
    <col min="5636" max="5636" width="6" style="1558" customWidth="1"/>
    <col min="5637" max="5637" width="6.8984375" style="1558" customWidth="1"/>
    <col min="5638" max="5642" width="7.69921875" style="1558" customWidth="1"/>
    <col min="5643" max="5643" width="6.69921875" style="1558" customWidth="1"/>
    <col min="5644" max="5644" width="5.09765625" style="1558" customWidth="1"/>
    <col min="5645" max="5645" width="7.69921875" style="1558" customWidth="1"/>
    <col min="5646" max="5646" width="4.3984375" style="1558" customWidth="1"/>
    <col min="5647" max="5648" width="6.59765625" style="1558" customWidth="1"/>
    <col min="5649" max="5649" width="14" style="1558" customWidth="1"/>
    <col min="5650" max="5650" width="35.19921875" style="1558" customWidth="1"/>
    <col min="5651" max="5888" width="9" style="1558"/>
    <col min="5889" max="5889" width="4.3984375" style="1558" customWidth="1"/>
    <col min="5890" max="5890" width="19" style="1558" customWidth="1"/>
    <col min="5891" max="5891" width="6.5" style="1558" customWidth="1"/>
    <col min="5892" max="5892" width="6" style="1558" customWidth="1"/>
    <col min="5893" max="5893" width="6.8984375" style="1558" customWidth="1"/>
    <col min="5894" max="5898" width="7.69921875" style="1558" customWidth="1"/>
    <col min="5899" max="5899" width="6.69921875" style="1558" customWidth="1"/>
    <col min="5900" max="5900" width="5.09765625" style="1558" customWidth="1"/>
    <col min="5901" max="5901" width="7.69921875" style="1558" customWidth="1"/>
    <col min="5902" max="5902" width="4.3984375" style="1558" customWidth="1"/>
    <col min="5903" max="5904" width="6.59765625" style="1558" customWidth="1"/>
    <col min="5905" max="5905" width="14" style="1558" customWidth="1"/>
    <col min="5906" max="5906" width="35.19921875" style="1558" customWidth="1"/>
    <col min="5907" max="6144" width="9" style="1558"/>
    <col min="6145" max="6145" width="4.3984375" style="1558" customWidth="1"/>
    <col min="6146" max="6146" width="19" style="1558" customWidth="1"/>
    <col min="6147" max="6147" width="6.5" style="1558" customWidth="1"/>
    <col min="6148" max="6148" width="6" style="1558" customWidth="1"/>
    <col min="6149" max="6149" width="6.8984375" style="1558" customWidth="1"/>
    <col min="6150" max="6154" width="7.69921875" style="1558" customWidth="1"/>
    <col min="6155" max="6155" width="6.69921875" style="1558" customWidth="1"/>
    <col min="6156" max="6156" width="5.09765625" style="1558" customWidth="1"/>
    <col min="6157" max="6157" width="7.69921875" style="1558" customWidth="1"/>
    <col min="6158" max="6158" width="4.3984375" style="1558" customWidth="1"/>
    <col min="6159" max="6160" width="6.59765625" style="1558" customWidth="1"/>
    <col min="6161" max="6161" width="14" style="1558" customWidth="1"/>
    <col min="6162" max="6162" width="35.19921875" style="1558" customWidth="1"/>
    <col min="6163" max="6400" width="9" style="1558"/>
    <col min="6401" max="6401" width="4.3984375" style="1558" customWidth="1"/>
    <col min="6402" max="6402" width="19" style="1558" customWidth="1"/>
    <col min="6403" max="6403" width="6.5" style="1558" customWidth="1"/>
    <col min="6404" max="6404" width="6" style="1558" customWidth="1"/>
    <col min="6405" max="6405" width="6.8984375" style="1558" customWidth="1"/>
    <col min="6406" max="6410" width="7.69921875" style="1558" customWidth="1"/>
    <col min="6411" max="6411" width="6.69921875" style="1558" customWidth="1"/>
    <col min="6412" max="6412" width="5.09765625" style="1558" customWidth="1"/>
    <col min="6413" max="6413" width="7.69921875" style="1558" customWidth="1"/>
    <col min="6414" max="6414" width="4.3984375" style="1558" customWidth="1"/>
    <col min="6415" max="6416" width="6.59765625" style="1558" customWidth="1"/>
    <col min="6417" max="6417" width="14" style="1558" customWidth="1"/>
    <col min="6418" max="6418" width="35.19921875" style="1558" customWidth="1"/>
    <col min="6419" max="6656" width="9" style="1558"/>
    <col min="6657" max="6657" width="4.3984375" style="1558" customWidth="1"/>
    <col min="6658" max="6658" width="19" style="1558" customWidth="1"/>
    <col min="6659" max="6659" width="6.5" style="1558" customWidth="1"/>
    <col min="6660" max="6660" width="6" style="1558" customWidth="1"/>
    <col min="6661" max="6661" width="6.8984375" style="1558" customWidth="1"/>
    <col min="6662" max="6666" width="7.69921875" style="1558" customWidth="1"/>
    <col min="6667" max="6667" width="6.69921875" style="1558" customWidth="1"/>
    <col min="6668" max="6668" width="5.09765625" style="1558" customWidth="1"/>
    <col min="6669" max="6669" width="7.69921875" style="1558" customWidth="1"/>
    <col min="6670" max="6670" width="4.3984375" style="1558" customWidth="1"/>
    <col min="6671" max="6672" width="6.59765625" style="1558" customWidth="1"/>
    <col min="6673" max="6673" width="14" style="1558" customWidth="1"/>
    <col min="6674" max="6674" width="35.19921875" style="1558" customWidth="1"/>
    <col min="6675" max="6912" width="9" style="1558"/>
    <col min="6913" max="6913" width="4.3984375" style="1558" customWidth="1"/>
    <col min="6914" max="6914" width="19" style="1558" customWidth="1"/>
    <col min="6915" max="6915" width="6.5" style="1558" customWidth="1"/>
    <col min="6916" max="6916" width="6" style="1558" customWidth="1"/>
    <col min="6917" max="6917" width="6.8984375" style="1558" customWidth="1"/>
    <col min="6918" max="6922" width="7.69921875" style="1558" customWidth="1"/>
    <col min="6923" max="6923" width="6.69921875" style="1558" customWidth="1"/>
    <col min="6924" max="6924" width="5.09765625" style="1558" customWidth="1"/>
    <col min="6925" max="6925" width="7.69921875" style="1558" customWidth="1"/>
    <col min="6926" max="6926" width="4.3984375" style="1558" customWidth="1"/>
    <col min="6927" max="6928" width="6.59765625" style="1558" customWidth="1"/>
    <col min="6929" max="6929" width="14" style="1558" customWidth="1"/>
    <col min="6930" max="6930" width="35.19921875" style="1558" customWidth="1"/>
    <col min="6931" max="7168" width="9" style="1558"/>
    <col min="7169" max="7169" width="4.3984375" style="1558" customWidth="1"/>
    <col min="7170" max="7170" width="19" style="1558" customWidth="1"/>
    <col min="7171" max="7171" width="6.5" style="1558" customWidth="1"/>
    <col min="7172" max="7172" width="6" style="1558" customWidth="1"/>
    <col min="7173" max="7173" width="6.8984375" style="1558" customWidth="1"/>
    <col min="7174" max="7178" width="7.69921875" style="1558" customWidth="1"/>
    <col min="7179" max="7179" width="6.69921875" style="1558" customWidth="1"/>
    <col min="7180" max="7180" width="5.09765625" style="1558" customWidth="1"/>
    <col min="7181" max="7181" width="7.69921875" style="1558" customWidth="1"/>
    <col min="7182" max="7182" width="4.3984375" style="1558" customWidth="1"/>
    <col min="7183" max="7184" width="6.59765625" style="1558" customWidth="1"/>
    <col min="7185" max="7185" width="14" style="1558" customWidth="1"/>
    <col min="7186" max="7186" width="35.19921875" style="1558" customWidth="1"/>
    <col min="7187" max="7424" width="9" style="1558"/>
    <col min="7425" max="7425" width="4.3984375" style="1558" customWidth="1"/>
    <col min="7426" max="7426" width="19" style="1558" customWidth="1"/>
    <col min="7427" max="7427" width="6.5" style="1558" customWidth="1"/>
    <col min="7428" max="7428" width="6" style="1558" customWidth="1"/>
    <col min="7429" max="7429" width="6.8984375" style="1558" customWidth="1"/>
    <col min="7430" max="7434" width="7.69921875" style="1558" customWidth="1"/>
    <col min="7435" max="7435" width="6.69921875" style="1558" customWidth="1"/>
    <col min="7436" max="7436" width="5.09765625" style="1558" customWidth="1"/>
    <col min="7437" max="7437" width="7.69921875" style="1558" customWidth="1"/>
    <col min="7438" max="7438" width="4.3984375" style="1558" customWidth="1"/>
    <col min="7439" max="7440" width="6.59765625" style="1558" customWidth="1"/>
    <col min="7441" max="7441" width="14" style="1558" customWidth="1"/>
    <col min="7442" max="7442" width="35.19921875" style="1558" customWidth="1"/>
    <col min="7443" max="7680" width="9" style="1558"/>
    <col min="7681" max="7681" width="4.3984375" style="1558" customWidth="1"/>
    <col min="7682" max="7682" width="19" style="1558" customWidth="1"/>
    <col min="7683" max="7683" width="6.5" style="1558" customWidth="1"/>
    <col min="7684" max="7684" width="6" style="1558" customWidth="1"/>
    <col min="7685" max="7685" width="6.8984375" style="1558" customWidth="1"/>
    <col min="7686" max="7690" width="7.69921875" style="1558" customWidth="1"/>
    <col min="7691" max="7691" width="6.69921875" style="1558" customWidth="1"/>
    <col min="7692" max="7692" width="5.09765625" style="1558" customWidth="1"/>
    <col min="7693" max="7693" width="7.69921875" style="1558" customWidth="1"/>
    <col min="7694" max="7694" width="4.3984375" style="1558" customWidth="1"/>
    <col min="7695" max="7696" width="6.59765625" style="1558" customWidth="1"/>
    <col min="7697" max="7697" width="14" style="1558" customWidth="1"/>
    <col min="7698" max="7698" width="35.19921875" style="1558" customWidth="1"/>
    <col min="7699" max="7936" width="9" style="1558"/>
    <col min="7937" max="7937" width="4.3984375" style="1558" customWidth="1"/>
    <col min="7938" max="7938" width="19" style="1558" customWidth="1"/>
    <col min="7939" max="7939" width="6.5" style="1558" customWidth="1"/>
    <col min="7940" max="7940" width="6" style="1558" customWidth="1"/>
    <col min="7941" max="7941" width="6.8984375" style="1558" customWidth="1"/>
    <col min="7942" max="7946" width="7.69921875" style="1558" customWidth="1"/>
    <col min="7947" max="7947" width="6.69921875" style="1558" customWidth="1"/>
    <col min="7948" max="7948" width="5.09765625" style="1558" customWidth="1"/>
    <col min="7949" max="7949" width="7.69921875" style="1558" customWidth="1"/>
    <col min="7950" max="7950" width="4.3984375" style="1558" customWidth="1"/>
    <col min="7951" max="7952" width="6.59765625" style="1558" customWidth="1"/>
    <col min="7953" max="7953" width="14" style="1558" customWidth="1"/>
    <col min="7954" max="7954" width="35.19921875" style="1558" customWidth="1"/>
    <col min="7955" max="8192" width="9" style="1558"/>
    <col min="8193" max="8193" width="4.3984375" style="1558" customWidth="1"/>
    <col min="8194" max="8194" width="19" style="1558" customWidth="1"/>
    <col min="8195" max="8195" width="6.5" style="1558" customWidth="1"/>
    <col min="8196" max="8196" width="6" style="1558" customWidth="1"/>
    <col min="8197" max="8197" width="6.8984375" style="1558" customWidth="1"/>
    <col min="8198" max="8202" width="7.69921875" style="1558" customWidth="1"/>
    <col min="8203" max="8203" width="6.69921875" style="1558" customWidth="1"/>
    <col min="8204" max="8204" width="5.09765625" style="1558" customWidth="1"/>
    <col min="8205" max="8205" width="7.69921875" style="1558" customWidth="1"/>
    <col min="8206" max="8206" width="4.3984375" style="1558" customWidth="1"/>
    <col min="8207" max="8208" width="6.59765625" style="1558" customWidth="1"/>
    <col min="8209" max="8209" width="14" style="1558" customWidth="1"/>
    <col min="8210" max="8210" width="35.19921875" style="1558" customWidth="1"/>
    <col min="8211" max="8448" width="9" style="1558"/>
    <col min="8449" max="8449" width="4.3984375" style="1558" customWidth="1"/>
    <col min="8450" max="8450" width="19" style="1558" customWidth="1"/>
    <col min="8451" max="8451" width="6.5" style="1558" customWidth="1"/>
    <col min="8452" max="8452" width="6" style="1558" customWidth="1"/>
    <col min="8453" max="8453" width="6.8984375" style="1558" customWidth="1"/>
    <col min="8454" max="8458" width="7.69921875" style="1558" customWidth="1"/>
    <col min="8459" max="8459" width="6.69921875" style="1558" customWidth="1"/>
    <col min="8460" max="8460" width="5.09765625" style="1558" customWidth="1"/>
    <col min="8461" max="8461" width="7.69921875" style="1558" customWidth="1"/>
    <col min="8462" max="8462" width="4.3984375" style="1558" customWidth="1"/>
    <col min="8463" max="8464" width="6.59765625" style="1558" customWidth="1"/>
    <col min="8465" max="8465" width="14" style="1558" customWidth="1"/>
    <col min="8466" max="8466" width="35.19921875" style="1558" customWidth="1"/>
    <col min="8467" max="8704" width="9" style="1558"/>
    <col min="8705" max="8705" width="4.3984375" style="1558" customWidth="1"/>
    <col min="8706" max="8706" width="19" style="1558" customWidth="1"/>
    <col min="8707" max="8707" width="6.5" style="1558" customWidth="1"/>
    <col min="8708" max="8708" width="6" style="1558" customWidth="1"/>
    <col min="8709" max="8709" width="6.8984375" style="1558" customWidth="1"/>
    <col min="8710" max="8714" width="7.69921875" style="1558" customWidth="1"/>
    <col min="8715" max="8715" width="6.69921875" style="1558" customWidth="1"/>
    <col min="8716" max="8716" width="5.09765625" style="1558" customWidth="1"/>
    <col min="8717" max="8717" width="7.69921875" style="1558" customWidth="1"/>
    <col min="8718" max="8718" width="4.3984375" style="1558" customWidth="1"/>
    <col min="8719" max="8720" width="6.59765625" style="1558" customWidth="1"/>
    <col min="8721" max="8721" width="14" style="1558" customWidth="1"/>
    <col min="8722" max="8722" width="35.19921875" style="1558" customWidth="1"/>
    <col min="8723" max="8960" width="9" style="1558"/>
    <col min="8961" max="8961" width="4.3984375" style="1558" customWidth="1"/>
    <col min="8962" max="8962" width="19" style="1558" customWidth="1"/>
    <col min="8963" max="8963" width="6.5" style="1558" customWidth="1"/>
    <col min="8964" max="8964" width="6" style="1558" customWidth="1"/>
    <col min="8965" max="8965" width="6.8984375" style="1558" customWidth="1"/>
    <col min="8966" max="8970" width="7.69921875" style="1558" customWidth="1"/>
    <col min="8971" max="8971" width="6.69921875" style="1558" customWidth="1"/>
    <col min="8972" max="8972" width="5.09765625" style="1558" customWidth="1"/>
    <col min="8973" max="8973" width="7.69921875" style="1558" customWidth="1"/>
    <col min="8974" max="8974" width="4.3984375" style="1558" customWidth="1"/>
    <col min="8975" max="8976" width="6.59765625" style="1558" customWidth="1"/>
    <col min="8977" max="8977" width="14" style="1558" customWidth="1"/>
    <col min="8978" max="8978" width="35.19921875" style="1558" customWidth="1"/>
    <col min="8979" max="9216" width="9" style="1558"/>
    <col min="9217" max="9217" width="4.3984375" style="1558" customWidth="1"/>
    <col min="9218" max="9218" width="19" style="1558" customWidth="1"/>
    <col min="9219" max="9219" width="6.5" style="1558" customWidth="1"/>
    <col min="9220" max="9220" width="6" style="1558" customWidth="1"/>
    <col min="9221" max="9221" width="6.8984375" style="1558" customWidth="1"/>
    <col min="9222" max="9226" width="7.69921875" style="1558" customWidth="1"/>
    <col min="9227" max="9227" width="6.69921875" style="1558" customWidth="1"/>
    <col min="9228" max="9228" width="5.09765625" style="1558" customWidth="1"/>
    <col min="9229" max="9229" width="7.69921875" style="1558" customWidth="1"/>
    <col min="9230" max="9230" width="4.3984375" style="1558" customWidth="1"/>
    <col min="9231" max="9232" width="6.59765625" style="1558" customWidth="1"/>
    <col min="9233" max="9233" width="14" style="1558" customWidth="1"/>
    <col min="9234" max="9234" width="35.19921875" style="1558" customWidth="1"/>
    <col min="9235" max="9472" width="9" style="1558"/>
    <col min="9473" max="9473" width="4.3984375" style="1558" customWidth="1"/>
    <col min="9474" max="9474" width="19" style="1558" customWidth="1"/>
    <col min="9475" max="9475" width="6.5" style="1558" customWidth="1"/>
    <col min="9476" max="9476" width="6" style="1558" customWidth="1"/>
    <col min="9477" max="9477" width="6.8984375" style="1558" customWidth="1"/>
    <col min="9478" max="9482" width="7.69921875" style="1558" customWidth="1"/>
    <col min="9483" max="9483" width="6.69921875" style="1558" customWidth="1"/>
    <col min="9484" max="9484" width="5.09765625" style="1558" customWidth="1"/>
    <col min="9485" max="9485" width="7.69921875" style="1558" customWidth="1"/>
    <col min="9486" max="9486" width="4.3984375" style="1558" customWidth="1"/>
    <col min="9487" max="9488" width="6.59765625" style="1558" customWidth="1"/>
    <col min="9489" max="9489" width="14" style="1558" customWidth="1"/>
    <col min="9490" max="9490" width="35.19921875" style="1558" customWidth="1"/>
    <col min="9491" max="9728" width="9" style="1558"/>
    <col min="9729" max="9729" width="4.3984375" style="1558" customWidth="1"/>
    <col min="9730" max="9730" width="19" style="1558" customWidth="1"/>
    <col min="9731" max="9731" width="6.5" style="1558" customWidth="1"/>
    <col min="9732" max="9732" width="6" style="1558" customWidth="1"/>
    <col min="9733" max="9733" width="6.8984375" style="1558" customWidth="1"/>
    <col min="9734" max="9738" width="7.69921875" style="1558" customWidth="1"/>
    <col min="9739" max="9739" width="6.69921875" style="1558" customWidth="1"/>
    <col min="9740" max="9740" width="5.09765625" style="1558" customWidth="1"/>
    <col min="9741" max="9741" width="7.69921875" style="1558" customWidth="1"/>
    <col min="9742" max="9742" width="4.3984375" style="1558" customWidth="1"/>
    <col min="9743" max="9744" width="6.59765625" style="1558" customWidth="1"/>
    <col min="9745" max="9745" width="14" style="1558" customWidth="1"/>
    <col min="9746" max="9746" width="35.19921875" style="1558" customWidth="1"/>
    <col min="9747" max="9984" width="9" style="1558"/>
    <col min="9985" max="9985" width="4.3984375" style="1558" customWidth="1"/>
    <col min="9986" max="9986" width="19" style="1558" customWidth="1"/>
    <col min="9987" max="9987" width="6.5" style="1558" customWidth="1"/>
    <col min="9988" max="9988" width="6" style="1558" customWidth="1"/>
    <col min="9989" max="9989" width="6.8984375" style="1558" customWidth="1"/>
    <col min="9990" max="9994" width="7.69921875" style="1558" customWidth="1"/>
    <col min="9995" max="9995" width="6.69921875" style="1558" customWidth="1"/>
    <col min="9996" max="9996" width="5.09765625" style="1558" customWidth="1"/>
    <col min="9997" max="9997" width="7.69921875" style="1558" customWidth="1"/>
    <col min="9998" max="9998" width="4.3984375" style="1558" customWidth="1"/>
    <col min="9999" max="10000" width="6.59765625" style="1558" customWidth="1"/>
    <col min="10001" max="10001" width="14" style="1558" customWidth="1"/>
    <col min="10002" max="10002" width="35.19921875" style="1558" customWidth="1"/>
    <col min="10003" max="10240" width="9" style="1558"/>
    <col min="10241" max="10241" width="4.3984375" style="1558" customWidth="1"/>
    <col min="10242" max="10242" width="19" style="1558" customWidth="1"/>
    <col min="10243" max="10243" width="6.5" style="1558" customWidth="1"/>
    <col min="10244" max="10244" width="6" style="1558" customWidth="1"/>
    <col min="10245" max="10245" width="6.8984375" style="1558" customWidth="1"/>
    <col min="10246" max="10250" width="7.69921875" style="1558" customWidth="1"/>
    <col min="10251" max="10251" width="6.69921875" style="1558" customWidth="1"/>
    <col min="10252" max="10252" width="5.09765625" style="1558" customWidth="1"/>
    <col min="10253" max="10253" width="7.69921875" style="1558" customWidth="1"/>
    <col min="10254" max="10254" width="4.3984375" style="1558" customWidth="1"/>
    <col min="10255" max="10256" width="6.59765625" style="1558" customWidth="1"/>
    <col min="10257" max="10257" width="14" style="1558" customWidth="1"/>
    <col min="10258" max="10258" width="35.19921875" style="1558" customWidth="1"/>
    <col min="10259" max="10496" width="9" style="1558"/>
    <col min="10497" max="10497" width="4.3984375" style="1558" customWidth="1"/>
    <col min="10498" max="10498" width="19" style="1558" customWidth="1"/>
    <col min="10499" max="10499" width="6.5" style="1558" customWidth="1"/>
    <col min="10500" max="10500" width="6" style="1558" customWidth="1"/>
    <col min="10501" max="10501" width="6.8984375" style="1558" customWidth="1"/>
    <col min="10502" max="10506" width="7.69921875" style="1558" customWidth="1"/>
    <col min="10507" max="10507" width="6.69921875" style="1558" customWidth="1"/>
    <col min="10508" max="10508" width="5.09765625" style="1558" customWidth="1"/>
    <col min="10509" max="10509" width="7.69921875" style="1558" customWidth="1"/>
    <col min="10510" max="10510" width="4.3984375" style="1558" customWidth="1"/>
    <col min="10511" max="10512" width="6.59765625" style="1558" customWidth="1"/>
    <col min="10513" max="10513" width="14" style="1558" customWidth="1"/>
    <col min="10514" max="10514" width="35.19921875" style="1558" customWidth="1"/>
    <col min="10515" max="10752" width="9" style="1558"/>
    <col min="10753" max="10753" width="4.3984375" style="1558" customWidth="1"/>
    <col min="10754" max="10754" width="19" style="1558" customWidth="1"/>
    <col min="10755" max="10755" width="6.5" style="1558" customWidth="1"/>
    <col min="10756" max="10756" width="6" style="1558" customWidth="1"/>
    <col min="10757" max="10757" width="6.8984375" style="1558" customWidth="1"/>
    <col min="10758" max="10762" width="7.69921875" style="1558" customWidth="1"/>
    <col min="10763" max="10763" width="6.69921875" style="1558" customWidth="1"/>
    <col min="10764" max="10764" width="5.09765625" style="1558" customWidth="1"/>
    <col min="10765" max="10765" width="7.69921875" style="1558" customWidth="1"/>
    <col min="10766" max="10766" width="4.3984375" style="1558" customWidth="1"/>
    <col min="10767" max="10768" width="6.59765625" style="1558" customWidth="1"/>
    <col min="10769" max="10769" width="14" style="1558" customWidth="1"/>
    <col min="10770" max="10770" width="35.19921875" style="1558" customWidth="1"/>
    <col min="10771" max="11008" width="9" style="1558"/>
    <col min="11009" max="11009" width="4.3984375" style="1558" customWidth="1"/>
    <col min="11010" max="11010" width="19" style="1558" customWidth="1"/>
    <col min="11011" max="11011" width="6.5" style="1558" customWidth="1"/>
    <col min="11012" max="11012" width="6" style="1558" customWidth="1"/>
    <col min="11013" max="11013" width="6.8984375" style="1558" customWidth="1"/>
    <col min="11014" max="11018" width="7.69921875" style="1558" customWidth="1"/>
    <col min="11019" max="11019" width="6.69921875" style="1558" customWidth="1"/>
    <col min="11020" max="11020" width="5.09765625" style="1558" customWidth="1"/>
    <col min="11021" max="11021" width="7.69921875" style="1558" customWidth="1"/>
    <col min="11022" max="11022" width="4.3984375" style="1558" customWidth="1"/>
    <col min="11023" max="11024" width="6.59765625" style="1558" customWidth="1"/>
    <col min="11025" max="11025" width="14" style="1558" customWidth="1"/>
    <col min="11026" max="11026" width="35.19921875" style="1558" customWidth="1"/>
    <col min="11027" max="11264" width="9" style="1558"/>
    <col min="11265" max="11265" width="4.3984375" style="1558" customWidth="1"/>
    <col min="11266" max="11266" width="19" style="1558" customWidth="1"/>
    <col min="11267" max="11267" width="6.5" style="1558" customWidth="1"/>
    <col min="11268" max="11268" width="6" style="1558" customWidth="1"/>
    <col min="11269" max="11269" width="6.8984375" style="1558" customWidth="1"/>
    <col min="11270" max="11274" width="7.69921875" style="1558" customWidth="1"/>
    <col min="11275" max="11275" width="6.69921875" style="1558" customWidth="1"/>
    <col min="11276" max="11276" width="5.09765625" style="1558" customWidth="1"/>
    <col min="11277" max="11277" width="7.69921875" style="1558" customWidth="1"/>
    <col min="11278" max="11278" width="4.3984375" style="1558" customWidth="1"/>
    <col min="11279" max="11280" width="6.59765625" style="1558" customWidth="1"/>
    <col min="11281" max="11281" width="14" style="1558" customWidth="1"/>
    <col min="11282" max="11282" width="35.19921875" style="1558" customWidth="1"/>
    <col min="11283" max="11520" width="9" style="1558"/>
    <col min="11521" max="11521" width="4.3984375" style="1558" customWidth="1"/>
    <col min="11522" max="11522" width="19" style="1558" customWidth="1"/>
    <col min="11523" max="11523" width="6.5" style="1558" customWidth="1"/>
    <col min="11524" max="11524" width="6" style="1558" customWidth="1"/>
    <col min="11525" max="11525" width="6.8984375" style="1558" customWidth="1"/>
    <col min="11526" max="11530" width="7.69921875" style="1558" customWidth="1"/>
    <col min="11531" max="11531" width="6.69921875" style="1558" customWidth="1"/>
    <col min="11532" max="11532" width="5.09765625" style="1558" customWidth="1"/>
    <col min="11533" max="11533" width="7.69921875" style="1558" customWidth="1"/>
    <col min="11534" max="11534" width="4.3984375" style="1558" customWidth="1"/>
    <col min="11535" max="11536" width="6.59765625" style="1558" customWidth="1"/>
    <col min="11537" max="11537" width="14" style="1558" customWidth="1"/>
    <col min="11538" max="11538" width="35.19921875" style="1558" customWidth="1"/>
    <col min="11539" max="11776" width="9" style="1558"/>
    <col min="11777" max="11777" width="4.3984375" style="1558" customWidth="1"/>
    <col min="11778" max="11778" width="19" style="1558" customWidth="1"/>
    <col min="11779" max="11779" width="6.5" style="1558" customWidth="1"/>
    <col min="11780" max="11780" width="6" style="1558" customWidth="1"/>
    <col min="11781" max="11781" width="6.8984375" style="1558" customWidth="1"/>
    <col min="11782" max="11786" width="7.69921875" style="1558" customWidth="1"/>
    <col min="11787" max="11787" width="6.69921875" style="1558" customWidth="1"/>
    <col min="11788" max="11788" width="5.09765625" style="1558" customWidth="1"/>
    <col min="11789" max="11789" width="7.69921875" style="1558" customWidth="1"/>
    <col min="11790" max="11790" width="4.3984375" style="1558" customWidth="1"/>
    <col min="11791" max="11792" width="6.59765625" style="1558" customWidth="1"/>
    <col min="11793" max="11793" width="14" style="1558" customWidth="1"/>
    <col min="11794" max="11794" width="35.19921875" style="1558" customWidth="1"/>
    <col min="11795" max="12032" width="9" style="1558"/>
    <col min="12033" max="12033" width="4.3984375" style="1558" customWidth="1"/>
    <col min="12034" max="12034" width="19" style="1558" customWidth="1"/>
    <col min="12035" max="12035" width="6.5" style="1558" customWidth="1"/>
    <col min="12036" max="12036" width="6" style="1558" customWidth="1"/>
    <col min="12037" max="12037" width="6.8984375" style="1558" customWidth="1"/>
    <col min="12038" max="12042" width="7.69921875" style="1558" customWidth="1"/>
    <col min="12043" max="12043" width="6.69921875" style="1558" customWidth="1"/>
    <col min="12044" max="12044" width="5.09765625" style="1558" customWidth="1"/>
    <col min="12045" max="12045" width="7.69921875" style="1558" customWidth="1"/>
    <col min="12046" max="12046" width="4.3984375" style="1558" customWidth="1"/>
    <col min="12047" max="12048" width="6.59765625" style="1558" customWidth="1"/>
    <col min="12049" max="12049" width="14" style="1558" customWidth="1"/>
    <col min="12050" max="12050" width="35.19921875" style="1558" customWidth="1"/>
    <col min="12051" max="12288" width="9" style="1558"/>
    <col min="12289" max="12289" width="4.3984375" style="1558" customWidth="1"/>
    <col min="12290" max="12290" width="19" style="1558" customWidth="1"/>
    <col min="12291" max="12291" width="6.5" style="1558" customWidth="1"/>
    <col min="12292" max="12292" width="6" style="1558" customWidth="1"/>
    <col min="12293" max="12293" width="6.8984375" style="1558" customWidth="1"/>
    <col min="12294" max="12298" width="7.69921875" style="1558" customWidth="1"/>
    <col min="12299" max="12299" width="6.69921875" style="1558" customWidth="1"/>
    <col min="12300" max="12300" width="5.09765625" style="1558" customWidth="1"/>
    <col min="12301" max="12301" width="7.69921875" style="1558" customWidth="1"/>
    <col min="12302" max="12302" width="4.3984375" style="1558" customWidth="1"/>
    <col min="12303" max="12304" width="6.59765625" style="1558" customWidth="1"/>
    <col min="12305" max="12305" width="14" style="1558" customWidth="1"/>
    <col min="12306" max="12306" width="35.19921875" style="1558" customWidth="1"/>
    <col min="12307" max="12544" width="9" style="1558"/>
    <col min="12545" max="12545" width="4.3984375" style="1558" customWidth="1"/>
    <col min="12546" max="12546" width="19" style="1558" customWidth="1"/>
    <col min="12547" max="12547" width="6.5" style="1558" customWidth="1"/>
    <col min="12548" max="12548" width="6" style="1558" customWidth="1"/>
    <col min="12549" max="12549" width="6.8984375" style="1558" customWidth="1"/>
    <col min="12550" max="12554" width="7.69921875" style="1558" customWidth="1"/>
    <col min="12555" max="12555" width="6.69921875" style="1558" customWidth="1"/>
    <col min="12556" max="12556" width="5.09765625" style="1558" customWidth="1"/>
    <col min="12557" max="12557" width="7.69921875" style="1558" customWidth="1"/>
    <col min="12558" max="12558" width="4.3984375" style="1558" customWidth="1"/>
    <col min="12559" max="12560" width="6.59765625" style="1558" customWidth="1"/>
    <col min="12561" max="12561" width="14" style="1558" customWidth="1"/>
    <col min="12562" max="12562" width="35.19921875" style="1558" customWidth="1"/>
    <col min="12563" max="12800" width="9" style="1558"/>
    <col min="12801" max="12801" width="4.3984375" style="1558" customWidth="1"/>
    <col min="12802" max="12802" width="19" style="1558" customWidth="1"/>
    <col min="12803" max="12803" width="6.5" style="1558" customWidth="1"/>
    <col min="12804" max="12804" width="6" style="1558" customWidth="1"/>
    <col min="12805" max="12805" width="6.8984375" style="1558" customWidth="1"/>
    <col min="12806" max="12810" width="7.69921875" style="1558" customWidth="1"/>
    <col min="12811" max="12811" width="6.69921875" style="1558" customWidth="1"/>
    <col min="12812" max="12812" width="5.09765625" style="1558" customWidth="1"/>
    <col min="12813" max="12813" width="7.69921875" style="1558" customWidth="1"/>
    <col min="12814" max="12814" width="4.3984375" style="1558" customWidth="1"/>
    <col min="12815" max="12816" width="6.59765625" style="1558" customWidth="1"/>
    <col min="12817" max="12817" width="14" style="1558" customWidth="1"/>
    <col min="12818" max="12818" width="35.19921875" style="1558" customWidth="1"/>
    <col min="12819" max="13056" width="9" style="1558"/>
    <col min="13057" max="13057" width="4.3984375" style="1558" customWidth="1"/>
    <col min="13058" max="13058" width="19" style="1558" customWidth="1"/>
    <col min="13059" max="13059" width="6.5" style="1558" customWidth="1"/>
    <col min="13060" max="13060" width="6" style="1558" customWidth="1"/>
    <col min="13061" max="13061" width="6.8984375" style="1558" customWidth="1"/>
    <col min="13062" max="13066" width="7.69921875" style="1558" customWidth="1"/>
    <col min="13067" max="13067" width="6.69921875" style="1558" customWidth="1"/>
    <col min="13068" max="13068" width="5.09765625" style="1558" customWidth="1"/>
    <col min="13069" max="13069" width="7.69921875" style="1558" customWidth="1"/>
    <col min="13070" max="13070" width="4.3984375" style="1558" customWidth="1"/>
    <col min="13071" max="13072" width="6.59765625" style="1558" customWidth="1"/>
    <col min="13073" max="13073" width="14" style="1558" customWidth="1"/>
    <col min="13074" max="13074" width="35.19921875" style="1558" customWidth="1"/>
    <col min="13075" max="13312" width="9" style="1558"/>
    <col min="13313" max="13313" width="4.3984375" style="1558" customWidth="1"/>
    <col min="13314" max="13314" width="19" style="1558" customWidth="1"/>
    <col min="13315" max="13315" width="6.5" style="1558" customWidth="1"/>
    <col min="13316" max="13316" width="6" style="1558" customWidth="1"/>
    <col min="13317" max="13317" width="6.8984375" style="1558" customWidth="1"/>
    <col min="13318" max="13322" width="7.69921875" style="1558" customWidth="1"/>
    <col min="13323" max="13323" width="6.69921875" style="1558" customWidth="1"/>
    <col min="13324" max="13324" width="5.09765625" style="1558" customWidth="1"/>
    <col min="13325" max="13325" width="7.69921875" style="1558" customWidth="1"/>
    <col min="13326" max="13326" width="4.3984375" style="1558" customWidth="1"/>
    <col min="13327" max="13328" width="6.59765625" style="1558" customWidth="1"/>
    <col min="13329" max="13329" width="14" style="1558" customWidth="1"/>
    <col min="13330" max="13330" width="35.19921875" style="1558" customWidth="1"/>
    <col min="13331" max="13568" width="9" style="1558"/>
    <col min="13569" max="13569" width="4.3984375" style="1558" customWidth="1"/>
    <col min="13570" max="13570" width="19" style="1558" customWidth="1"/>
    <col min="13571" max="13571" width="6.5" style="1558" customWidth="1"/>
    <col min="13572" max="13572" width="6" style="1558" customWidth="1"/>
    <col min="13573" max="13573" width="6.8984375" style="1558" customWidth="1"/>
    <col min="13574" max="13578" width="7.69921875" style="1558" customWidth="1"/>
    <col min="13579" max="13579" width="6.69921875" style="1558" customWidth="1"/>
    <col min="13580" max="13580" width="5.09765625" style="1558" customWidth="1"/>
    <col min="13581" max="13581" width="7.69921875" style="1558" customWidth="1"/>
    <col min="13582" max="13582" width="4.3984375" style="1558" customWidth="1"/>
    <col min="13583" max="13584" width="6.59765625" style="1558" customWidth="1"/>
    <col min="13585" max="13585" width="14" style="1558" customWidth="1"/>
    <col min="13586" max="13586" width="35.19921875" style="1558" customWidth="1"/>
    <col min="13587" max="13824" width="9" style="1558"/>
    <col min="13825" max="13825" width="4.3984375" style="1558" customWidth="1"/>
    <col min="13826" max="13826" width="19" style="1558" customWidth="1"/>
    <col min="13827" max="13827" width="6.5" style="1558" customWidth="1"/>
    <col min="13828" max="13828" width="6" style="1558" customWidth="1"/>
    <col min="13829" max="13829" width="6.8984375" style="1558" customWidth="1"/>
    <col min="13830" max="13834" width="7.69921875" style="1558" customWidth="1"/>
    <col min="13835" max="13835" width="6.69921875" style="1558" customWidth="1"/>
    <col min="13836" max="13836" width="5.09765625" style="1558" customWidth="1"/>
    <col min="13837" max="13837" width="7.69921875" style="1558" customWidth="1"/>
    <col min="13838" max="13838" width="4.3984375" style="1558" customWidth="1"/>
    <col min="13839" max="13840" width="6.59765625" style="1558" customWidth="1"/>
    <col min="13841" max="13841" width="14" style="1558" customWidth="1"/>
    <col min="13842" max="13842" width="35.19921875" style="1558" customWidth="1"/>
    <col min="13843" max="14080" width="9" style="1558"/>
    <col min="14081" max="14081" width="4.3984375" style="1558" customWidth="1"/>
    <col min="14082" max="14082" width="19" style="1558" customWidth="1"/>
    <col min="14083" max="14083" width="6.5" style="1558" customWidth="1"/>
    <col min="14084" max="14084" width="6" style="1558" customWidth="1"/>
    <col min="14085" max="14085" width="6.8984375" style="1558" customWidth="1"/>
    <col min="14086" max="14090" width="7.69921875" style="1558" customWidth="1"/>
    <col min="14091" max="14091" width="6.69921875" style="1558" customWidth="1"/>
    <col min="14092" max="14092" width="5.09765625" style="1558" customWidth="1"/>
    <col min="14093" max="14093" width="7.69921875" style="1558" customWidth="1"/>
    <col min="14094" max="14094" width="4.3984375" style="1558" customWidth="1"/>
    <col min="14095" max="14096" width="6.59765625" style="1558" customWidth="1"/>
    <col min="14097" max="14097" width="14" style="1558" customWidth="1"/>
    <col min="14098" max="14098" width="35.19921875" style="1558" customWidth="1"/>
    <col min="14099" max="14336" width="9" style="1558"/>
    <col min="14337" max="14337" width="4.3984375" style="1558" customWidth="1"/>
    <col min="14338" max="14338" width="19" style="1558" customWidth="1"/>
    <col min="14339" max="14339" width="6.5" style="1558" customWidth="1"/>
    <col min="14340" max="14340" width="6" style="1558" customWidth="1"/>
    <col min="14341" max="14341" width="6.8984375" style="1558" customWidth="1"/>
    <col min="14342" max="14346" width="7.69921875" style="1558" customWidth="1"/>
    <col min="14347" max="14347" width="6.69921875" style="1558" customWidth="1"/>
    <col min="14348" max="14348" width="5.09765625" style="1558" customWidth="1"/>
    <col min="14349" max="14349" width="7.69921875" style="1558" customWidth="1"/>
    <col min="14350" max="14350" width="4.3984375" style="1558" customWidth="1"/>
    <col min="14351" max="14352" width="6.59765625" style="1558" customWidth="1"/>
    <col min="14353" max="14353" width="14" style="1558" customWidth="1"/>
    <col min="14354" max="14354" width="35.19921875" style="1558" customWidth="1"/>
    <col min="14355" max="14592" width="9" style="1558"/>
    <col min="14593" max="14593" width="4.3984375" style="1558" customWidth="1"/>
    <col min="14594" max="14594" width="19" style="1558" customWidth="1"/>
    <col min="14595" max="14595" width="6.5" style="1558" customWidth="1"/>
    <col min="14596" max="14596" width="6" style="1558" customWidth="1"/>
    <col min="14597" max="14597" width="6.8984375" style="1558" customWidth="1"/>
    <col min="14598" max="14602" width="7.69921875" style="1558" customWidth="1"/>
    <col min="14603" max="14603" width="6.69921875" style="1558" customWidth="1"/>
    <col min="14604" max="14604" width="5.09765625" style="1558" customWidth="1"/>
    <col min="14605" max="14605" width="7.69921875" style="1558" customWidth="1"/>
    <col min="14606" max="14606" width="4.3984375" style="1558" customWidth="1"/>
    <col min="14607" max="14608" width="6.59765625" style="1558" customWidth="1"/>
    <col min="14609" max="14609" width="14" style="1558" customWidth="1"/>
    <col min="14610" max="14610" width="35.19921875" style="1558" customWidth="1"/>
    <col min="14611" max="14848" width="9" style="1558"/>
    <col min="14849" max="14849" width="4.3984375" style="1558" customWidth="1"/>
    <col min="14850" max="14850" width="19" style="1558" customWidth="1"/>
    <col min="14851" max="14851" width="6.5" style="1558" customWidth="1"/>
    <col min="14852" max="14852" width="6" style="1558" customWidth="1"/>
    <col min="14853" max="14853" width="6.8984375" style="1558" customWidth="1"/>
    <col min="14854" max="14858" width="7.69921875" style="1558" customWidth="1"/>
    <col min="14859" max="14859" width="6.69921875" style="1558" customWidth="1"/>
    <col min="14860" max="14860" width="5.09765625" style="1558" customWidth="1"/>
    <col min="14861" max="14861" width="7.69921875" style="1558" customWidth="1"/>
    <col min="14862" max="14862" width="4.3984375" style="1558" customWidth="1"/>
    <col min="14863" max="14864" width="6.59765625" style="1558" customWidth="1"/>
    <col min="14865" max="14865" width="14" style="1558" customWidth="1"/>
    <col min="14866" max="14866" width="35.19921875" style="1558" customWidth="1"/>
    <col min="14867" max="15104" width="9" style="1558"/>
    <col min="15105" max="15105" width="4.3984375" style="1558" customWidth="1"/>
    <col min="15106" max="15106" width="19" style="1558" customWidth="1"/>
    <col min="15107" max="15107" width="6.5" style="1558" customWidth="1"/>
    <col min="15108" max="15108" width="6" style="1558" customWidth="1"/>
    <col min="15109" max="15109" width="6.8984375" style="1558" customWidth="1"/>
    <col min="15110" max="15114" width="7.69921875" style="1558" customWidth="1"/>
    <col min="15115" max="15115" width="6.69921875" style="1558" customWidth="1"/>
    <col min="15116" max="15116" width="5.09765625" style="1558" customWidth="1"/>
    <col min="15117" max="15117" width="7.69921875" style="1558" customWidth="1"/>
    <col min="15118" max="15118" width="4.3984375" style="1558" customWidth="1"/>
    <col min="15119" max="15120" width="6.59765625" style="1558" customWidth="1"/>
    <col min="15121" max="15121" width="14" style="1558" customWidth="1"/>
    <col min="15122" max="15122" width="35.19921875" style="1558" customWidth="1"/>
    <col min="15123" max="15360" width="9" style="1558"/>
    <col min="15361" max="15361" width="4.3984375" style="1558" customWidth="1"/>
    <col min="15362" max="15362" width="19" style="1558" customWidth="1"/>
    <col min="15363" max="15363" width="6.5" style="1558" customWidth="1"/>
    <col min="15364" max="15364" width="6" style="1558" customWidth="1"/>
    <col min="15365" max="15365" width="6.8984375" style="1558" customWidth="1"/>
    <col min="15366" max="15370" width="7.69921875" style="1558" customWidth="1"/>
    <col min="15371" max="15371" width="6.69921875" style="1558" customWidth="1"/>
    <col min="15372" max="15372" width="5.09765625" style="1558" customWidth="1"/>
    <col min="15373" max="15373" width="7.69921875" style="1558" customWidth="1"/>
    <col min="15374" max="15374" width="4.3984375" style="1558" customWidth="1"/>
    <col min="15375" max="15376" width="6.59765625" style="1558" customWidth="1"/>
    <col min="15377" max="15377" width="14" style="1558" customWidth="1"/>
    <col min="15378" max="15378" width="35.19921875" style="1558" customWidth="1"/>
    <col min="15379" max="15616" width="9" style="1558"/>
    <col min="15617" max="15617" width="4.3984375" style="1558" customWidth="1"/>
    <col min="15618" max="15618" width="19" style="1558" customWidth="1"/>
    <col min="15619" max="15619" width="6.5" style="1558" customWidth="1"/>
    <col min="15620" max="15620" width="6" style="1558" customWidth="1"/>
    <col min="15621" max="15621" width="6.8984375" style="1558" customWidth="1"/>
    <col min="15622" max="15626" width="7.69921875" style="1558" customWidth="1"/>
    <col min="15627" max="15627" width="6.69921875" style="1558" customWidth="1"/>
    <col min="15628" max="15628" width="5.09765625" style="1558" customWidth="1"/>
    <col min="15629" max="15629" width="7.69921875" style="1558" customWidth="1"/>
    <col min="15630" max="15630" width="4.3984375" style="1558" customWidth="1"/>
    <col min="15631" max="15632" width="6.59765625" style="1558" customWidth="1"/>
    <col min="15633" max="15633" width="14" style="1558" customWidth="1"/>
    <col min="15634" max="15634" width="35.19921875" style="1558" customWidth="1"/>
    <col min="15635" max="15872" width="9" style="1558"/>
    <col min="15873" max="15873" width="4.3984375" style="1558" customWidth="1"/>
    <col min="15874" max="15874" width="19" style="1558" customWidth="1"/>
    <col min="15875" max="15875" width="6.5" style="1558" customWidth="1"/>
    <col min="15876" max="15876" width="6" style="1558" customWidth="1"/>
    <col min="15877" max="15877" width="6.8984375" style="1558" customWidth="1"/>
    <col min="15878" max="15882" width="7.69921875" style="1558" customWidth="1"/>
    <col min="15883" max="15883" width="6.69921875" style="1558" customWidth="1"/>
    <col min="15884" max="15884" width="5.09765625" style="1558" customWidth="1"/>
    <col min="15885" max="15885" width="7.69921875" style="1558" customWidth="1"/>
    <col min="15886" max="15886" width="4.3984375" style="1558" customWidth="1"/>
    <col min="15887" max="15888" width="6.59765625" style="1558" customWidth="1"/>
    <col min="15889" max="15889" width="14" style="1558" customWidth="1"/>
    <col min="15890" max="15890" width="35.19921875" style="1558" customWidth="1"/>
    <col min="15891" max="16128" width="9" style="1558"/>
    <col min="16129" max="16129" width="4.3984375" style="1558" customWidth="1"/>
    <col min="16130" max="16130" width="19" style="1558" customWidth="1"/>
    <col min="16131" max="16131" width="6.5" style="1558" customWidth="1"/>
    <col min="16132" max="16132" width="6" style="1558" customWidth="1"/>
    <col min="16133" max="16133" width="6.8984375" style="1558" customWidth="1"/>
    <col min="16134" max="16138" width="7.69921875" style="1558" customWidth="1"/>
    <col min="16139" max="16139" width="6.69921875" style="1558" customWidth="1"/>
    <col min="16140" max="16140" width="5.09765625" style="1558" customWidth="1"/>
    <col min="16141" max="16141" width="7.69921875" style="1558" customWidth="1"/>
    <col min="16142" max="16142" width="4.3984375" style="1558" customWidth="1"/>
    <col min="16143" max="16144" width="6.59765625" style="1558" customWidth="1"/>
    <col min="16145" max="16145" width="14" style="1558" customWidth="1"/>
    <col min="16146" max="16146" width="35.19921875" style="1558" customWidth="1"/>
    <col min="16147" max="16384" width="9" style="1558"/>
  </cols>
  <sheetData>
    <row r="1" spans="1:19" ht="20.100000000000001" customHeight="1">
      <c r="A1" s="2162"/>
      <c r="B1" s="2162"/>
      <c r="C1" s="2162"/>
      <c r="D1" s="2162"/>
      <c r="E1" s="2162"/>
      <c r="F1" s="2162"/>
      <c r="G1" s="2162"/>
      <c r="H1" s="2162"/>
      <c r="I1" s="2162"/>
      <c r="J1" s="2162"/>
      <c r="K1" s="2162"/>
      <c r="L1" s="2162"/>
      <c r="M1" s="2162"/>
      <c r="N1" s="2162"/>
      <c r="O1" s="2162"/>
      <c r="P1" s="2162"/>
      <c r="Q1" s="2163" t="str">
        <f>"索引号："&amp;档案索引!A38</f>
        <v>索引号：2A-18</v>
      </c>
    </row>
    <row r="2" spans="1:19" ht="25.5" customHeight="1">
      <c r="A2" s="3401" t="s">
        <v>5926</v>
      </c>
      <c r="B2" s="3401"/>
      <c r="C2" s="3401"/>
      <c r="D2" s="3401"/>
      <c r="E2" s="3401"/>
      <c r="F2" s="3401"/>
      <c r="G2" s="3401"/>
      <c r="H2" s="3401"/>
      <c r="I2" s="3401"/>
      <c r="J2" s="3401"/>
      <c r="K2" s="3401"/>
      <c r="L2" s="3401"/>
      <c r="M2" s="3401"/>
      <c r="N2" s="3401"/>
      <c r="O2" s="3401"/>
      <c r="P2" s="3401"/>
      <c r="Q2" s="1856"/>
    </row>
    <row r="3" spans="1:19" s="1555" customFormat="1" ht="14.25" customHeight="1">
      <c r="A3" s="3418" t="s">
        <v>1853</v>
      </c>
      <c r="B3" s="3418" t="s">
        <v>1854</v>
      </c>
      <c r="C3" s="3414" t="s">
        <v>5234</v>
      </c>
      <c r="D3" s="3414" t="s">
        <v>5235</v>
      </c>
      <c r="E3" s="3419" t="s">
        <v>5236</v>
      </c>
      <c r="F3" s="3419"/>
      <c r="G3" s="3420" t="s">
        <v>5237</v>
      </c>
      <c r="H3" s="3421"/>
      <c r="I3" s="3421"/>
      <c r="J3" s="3421"/>
      <c r="K3" s="3422"/>
      <c r="L3" s="3419" t="s">
        <v>5238</v>
      </c>
      <c r="M3" s="3419"/>
      <c r="N3" s="3419" t="s">
        <v>5239</v>
      </c>
      <c r="O3" s="3419"/>
      <c r="P3" s="3419"/>
      <c r="Q3" s="3414" t="s">
        <v>5151</v>
      </c>
    </row>
    <row r="4" spans="1:19" s="1555" customFormat="1" ht="32.25" customHeight="1">
      <c r="A4" s="3418"/>
      <c r="B4" s="3418"/>
      <c r="C4" s="3415"/>
      <c r="D4" s="3415"/>
      <c r="E4" s="3419"/>
      <c r="F4" s="3419"/>
      <c r="G4" s="3416" t="s">
        <v>5240</v>
      </c>
      <c r="H4" s="3416" t="s">
        <v>5241</v>
      </c>
      <c r="I4" s="3416" t="s">
        <v>5242</v>
      </c>
      <c r="J4" s="3416" t="s">
        <v>5243</v>
      </c>
      <c r="K4" s="3416" t="s">
        <v>5244</v>
      </c>
      <c r="L4" s="3414" t="s">
        <v>5245</v>
      </c>
      <c r="M4" s="3414" t="s">
        <v>5246</v>
      </c>
      <c r="N4" s="3414" t="s">
        <v>5247</v>
      </c>
      <c r="O4" s="3414" t="s">
        <v>5248</v>
      </c>
      <c r="P4" s="3414" t="s">
        <v>5249</v>
      </c>
      <c r="Q4" s="3415"/>
    </row>
    <row r="5" spans="1:19" s="1555" customFormat="1" ht="30.75" customHeight="1">
      <c r="A5" s="3418"/>
      <c r="B5" s="3418"/>
      <c r="C5" s="3415"/>
      <c r="D5" s="3415"/>
      <c r="E5" s="1857" t="s">
        <v>2436</v>
      </c>
      <c r="F5" s="1857" t="s">
        <v>5250</v>
      </c>
      <c r="G5" s="3417"/>
      <c r="H5" s="3417"/>
      <c r="I5" s="3417"/>
      <c r="J5" s="3417"/>
      <c r="K5" s="3417"/>
      <c r="L5" s="3415"/>
      <c r="M5" s="3415"/>
      <c r="N5" s="3415"/>
      <c r="O5" s="3415"/>
      <c r="P5" s="3415"/>
      <c r="Q5" s="3415"/>
    </row>
    <row r="6" spans="1:19" s="1555" customFormat="1" ht="14.25" customHeight="1">
      <c r="A6" s="3418"/>
      <c r="B6" s="3418"/>
      <c r="C6" s="1858">
        <v>1</v>
      </c>
      <c r="D6" s="1858">
        <v>2</v>
      </c>
      <c r="E6" s="1858">
        <v>3</v>
      </c>
      <c r="F6" s="1858">
        <v>4</v>
      </c>
      <c r="G6" s="1858">
        <v>5</v>
      </c>
      <c r="H6" s="1858">
        <v>6</v>
      </c>
      <c r="I6" s="1858">
        <v>7</v>
      </c>
      <c r="J6" s="1858">
        <v>8</v>
      </c>
      <c r="K6" s="1858">
        <v>9</v>
      </c>
      <c r="L6" s="1858">
        <v>10</v>
      </c>
      <c r="M6" s="1858">
        <v>11</v>
      </c>
      <c r="N6" s="1858">
        <v>12</v>
      </c>
      <c r="O6" s="1858">
        <v>13</v>
      </c>
      <c r="P6" s="1858">
        <v>14</v>
      </c>
      <c r="Q6" s="1921"/>
    </row>
    <row r="7" spans="1:19" s="1559" customFormat="1" ht="14.25" customHeight="1">
      <c r="A7" s="1858">
        <v>1</v>
      </c>
      <c r="B7" s="1859" t="s">
        <v>6630</v>
      </c>
      <c r="C7" s="2054">
        <f>C8-1</f>
        <v>2011</v>
      </c>
      <c r="D7" s="2083"/>
      <c r="E7" s="2083"/>
      <c r="F7" s="2076"/>
      <c r="G7" s="2083"/>
      <c r="H7" s="2083"/>
      <c r="I7" s="2083"/>
      <c r="J7" s="2083"/>
      <c r="K7" s="2083"/>
      <c r="L7" s="2076"/>
      <c r="M7" s="2076"/>
      <c r="N7" s="2085">
        <f t="shared" ref="N7:N12" si="0">E7-SUM(G7:L7)</f>
        <v>0</v>
      </c>
      <c r="O7" s="2083"/>
      <c r="P7" s="2083"/>
      <c r="Q7" s="1969"/>
    </row>
    <row r="8" spans="1:19" s="1559" customFormat="1" ht="14.25" customHeight="1">
      <c r="A8" s="1858">
        <v>2</v>
      </c>
      <c r="B8" s="1859" t="s">
        <v>1348</v>
      </c>
      <c r="C8" s="2054">
        <f>C9-1</f>
        <v>2012</v>
      </c>
      <c r="D8" s="2083"/>
      <c r="E8" s="2083"/>
      <c r="F8" s="2083"/>
      <c r="G8" s="2052" t="s">
        <v>509</v>
      </c>
      <c r="H8" s="2083"/>
      <c r="I8" s="2083"/>
      <c r="J8" s="2083"/>
      <c r="K8" s="2083"/>
      <c r="L8" s="2083"/>
      <c r="M8" s="2083"/>
      <c r="N8" s="2085">
        <f t="shared" si="0"/>
        <v>0</v>
      </c>
      <c r="O8" s="2083"/>
      <c r="P8" s="2083"/>
      <c r="Q8" s="1969"/>
    </row>
    <row r="9" spans="1:19" ht="14.25" customHeight="1">
      <c r="A9" s="1858">
        <v>3</v>
      </c>
      <c r="B9" s="1859" t="s">
        <v>1349</v>
      </c>
      <c r="C9" s="2054">
        <f>C10-1</f>
        <v>2013</v>
      </c>
      <c r="D9" s="2083"/>
      <c r="E9" s="2083"/>
      <c r="F9" s="2083"/>
      <c r="G9" s="2052" t="s">
        <v>509</v>
      </c>
      <c r="H9" s="2052" t="s">
        <v>509</v>
      </c>
      <c r="I9" s="2083"/>
      <c r="J9" s="2083"/>
      <c r="K9" s="2083"/>
      <c r="L9" s="2083"/>
      <c r="M9" s="2083"/>
      <c r="N9" s="2085">
        <f t="shared" si="0"/>
        <v>0</v>
      </c>
      <c r="O9" s="2083"/>
      <c r="P9" s="2083"/>
      <c r="Q9" s="1969"/>
    </row>
    <row r="10" spans="1:19" ht="14.25" customHeight="1">
      <c r="A10" s="1858">
        <v>4</v>
      </c>
      <c r="B10" s="1859" t="s">
        <v>1350</v>
      </c>
      <c r="C10" s="2054">
        <f>C11-1</f>
        <v>2014</v>
      </c>
      <c r="D10" s="2083"/>
      <c r="E10" s="2083"/>
      <c r="F10" s="2083"/>
      <c r="G10" s="2052" t="s">
        <v>509</v>
      </c>
      <c r="H10" s="2052" t="s">
        <v>509</v>
      </c>
      <c r="I10" s="2052" t="s">
        <v>509</v>
      </c>
      <c r="J10" s="2083"/>
      <c r="K10" s="2083"/>
      <c r="L10" s="2083"/>
      <c r="M10" s="2083"/>
      <c r="N10" s="2085">
        <f t="shared" si="0"/>
        <v>0</v>
      </c>
      <c r="O10" s="2083"/>
      <c r="P10" s="2083"/>
      <c r="Q10" s="1969"/>
    </row>
    <row r="11" spans="1:19" ht="14.25" customHeight="1">
      <c r="A11" s="1858">
        <v>5</v>
      </c>
      <c r="B11" s="1859" t="s">
        <v>1351</v>
      </c>
      <c r="C11" s="2054">
        <f>C12-1</f>
        <v>2015</v>
      </c>
      <c r="D11" s="2083"/>
      <c r="E11" s="2076"/>
      <c r="F11" s="2076"/>
      <c r="G11" s="2052" t="s">
        <v>509</v>
      </c>
      <c r="H11" s="2052" t="s">
        <v>509</v>
      </c>
      <c r="I11" s="2052" t="s">
        <v>509</v>
      </c>
      <c r="J11" s="2052" t="s">
        <v>509</v>
      </c>
      <c r="K11" s="2076"/>
      <c r="L11" s="2076"/>
      <c r="M11" s="2076"/>
      <c r="N11" s="2085">
        <f t="shared" si="0"/>
        <v>0</v>
      </c>
      <c r="O11" s="2076"/>
      <c r="P11" s="2083"/>
      <c r="Q11" s="1969"/>
      <c r="R11" s="1675" t="s">
        <v>6439</v>
      </c>
    </row>
    <row r="12" spans="1:19" ht="14.25" customHeight="1">
      <c r="A12" s="1858">
        <v>6</v>
      </c>
      <c r="B12" s="1859" t="s">
        <v>5252</v>
      </c>
      <c r="C12" s="2054">
        <f>本年度</f>
        <v>2016</v>
      </c>
      <c r="D12" s="2083"/>
      <c r="E12" s="2076"/>
      <c r="F12" s="2076"/>
      <c r="G12" s="2052" t="s">
        <v>509</v>
      </c>
      <c r="H12" s="2052" t="s">
        <v>509</v>
      </c>
      <c r="I12" s="2052" t="s">
        <v>509</v>
      </c>
      <c r="J12" s="2052" t="s">
        <v>509</v>
      </c>
      <c r="K12" s="2052" t="s">
        <v>509</v>
      </c>
      <c r="L12" s="2076"/>
      <c r="M12" s="2076"/>
      <c r="N12" s="2085">
        <f t="shared" si="0"/>
        <v>0</v>
      </c>
      <c r="O12" s="2076"/>
      <c r="P12" s="2083"/>
      <c r="Q12" s="1969"/>
    </row>
    <row r="13" spans="1:19" s="1559" customFormat="1" ht="19.5" customHeight="1">
      <c r="A13" s="1860">
        <v>7</v>
      </c>
      <c r="B13" s="1861" t="s">
        <v>5253</v>
      </c>
      <c r="C13" s="1924" t="s">
        <v>1859</v>
      </c>
      <c r="D13" s="2078">
        <f>SUM(D7:D12)</f>
        <v>0</v>
      </c>
      <c r="E13" s="2084">
        <f>SUM(E7:E12)</f>
        <v>0</v>
      </c>
      <c r="F13" s="2084">
        <f>SUM(F7:F12)</f>
        <v>0</v>
      </c>
      <c r="G13" s="2053" t="s">
        <v>509</v>
      </c>
      <c r="H13" s="2053" t="s">
        <v>509</v>
      </c>
      <c r="I13" s="2053" t="s">
        <v>509</v>
      </c>
      <c r="J13" s="2053" t="s">
        <v>509</v>
      </c>
      <c r="K13" s="2053" t="s">
        <v>509</v>
      </c>
      <c r="L13" s="2078">
        <f>SUM(L7:L12)</f>
        <v>0</v>
      </c>
      <c r="M13" s="2078">
        <f>SUM(M7:M12)</f>
        <v>0</v>
      </c>
      <c r="N13" s="2074"/>
      <c r="O13" s="2074"/>
      <c r="P13" s="2074"/>
      <c r="Q13" s="1861" t="s">
        <v>5254</v>
      </c>
    </row>
    <row r="14" spans="1:19" s="1560" customFormat="1" ht="14.25" customHeight="1">
      <c r="A14" s="2176"/>
      <c r="B14" s="2176"/>
      <c r="C14" s="2176"/>
      <c r="D14" s="2176"/>
      <c r="E14" s="2176"/>
      <c r="F14" s="2176"/>
      <c r="G14" s="2176"/>
      <c r="H14" s="2176"/>
      <c r="I14" s="2176"/>
      <c r="J14" s="2176"/>
      <c r="K14" s="2176"/>
      <c r="L14" s="2176"/>
      <c r="M14" s="2176"/>
      <c r="N14" s="2176"/>
      <c r="O14" s="2176"/>
      <c r="P14" s="2176"/>
      <c r="Q14" s="1992"/>
      <c r="R14" s="1558"/>
      <c r="S14" s="1558"/>
    </row>
    <row r="15" spans="1:19">
      <c r="A15" s="3413"/>
      <c r="B15" s="3413"/>
      <c r="C15" s="3413"/>
      <c r="D15" s="3413"/>
      <c r="E15" s="3413"/>
      <c r="F15" s="3413"/>
      <c r="G15" s="3413"/>
      <c r="H15" s="3413"/>
      <c r="I15" s="3413"/>
      <c r="J15" s="3413"/>
      <c r="K15" s="3413"/>
      <c r="L15" s="3413"/>
      <c r="M15" s="3413"/>
      <c r="N15" s="3413"/>
      <c r="O15" s="3413"/>
      <c r="P15" s="3413"/>
      <c r="Q15" s="3413"/>
    </row>
    <row r="16" spans="1:19">
      <c r="A16" s="3413"/>
      <c r="B16" s="3413"/>
      <c r="C16" s="3413"/>
      <c r="D16" s="3413"/>
      <c r="E16" s="3413"/>
      <c r="F16" s="3413"/>
      <c r="G16" s="3413"/>
      <c r="H16" s="3413"/>
      <c r="I16" s="3413"/>
      <c r="J16" s="3413"/>
      <c r="K16" s="3413"/>
      <c r="L16" s="3413"/>
      <c r="M16" s="3413"/>
      <c r="N16" s="3413"/>
      <c r="O16" s="3413"/>
      <c r="P16" s="3413"/>
      <c r="Q16" s="3413"/>
    </row>
    <row r="17" spans="1:17">
      <c r="A17" s="3413"/>
      <c r="B17" s="3413"/>
      <c r="C17" s="3413"/>
      <c r="D17" s="3413"/>
      <c r="E17" s="3413"/>
      <c r="F17" s="3413"/>
      <c r="G17" s="3413"/>
      <c r="H17" s="3413"/>
      <c r="I17" s="3413"/>
      <c r="J17" s="3413"/>
      <c r="K17" s="3413"/>
      <c r="L17" s="3413"/>
      <c r="M17" s="3413"/>
      <c r="N17" s="3413"/>
      <c r="O17" s="3413"/>
      <c r="P17" s="3413"/>
      <c r="Q17" s="3413"/>
    </row>
  </sheetData>
  <mergeCells count="23">
    <mergeCell ref="A2:P2"/>
    <mergeCell ref="A3:A6"/>
    <mergeCell ref="B3:B6"/>
    <mergeCell ref="C3:C5"/>
    <mergeCell ref="D3:D5"/>
    <mergeCell ref="E3:F4"/>
    <mergeCell ref="G3:K3"/>
    <mergeCell ref="L3:M3"/>
    <mergeCell ref="N3:P3"/>
    <mergeCell ref="P4:P5"/>
    <mergeCell ref="A15:Q15"/>
    <mergeCell ref="A16:Q16"/>
    <mergeCell ref="A17:Q17"/>
    <mergeCell ref="Q3:Q5"/>
    <mergeCell ref="G4:G5"/>
    <mergeCell ref="H4:H5"/>
    <mergeCell ref="I4:I5"/>
    <mergeCell ref="J4:J5"/>
    <mergeCell ref="K4:K5"/>
    <mergeCell ref="L4:L5"/>
    <mergeCell ref="M4:M5"/>
    <mergeCell ref="N4:N5"/>
    <mergeCell ref="O4:O5"/>
  </mergeCells>
  <phoneticPr fontId="51" type="noConversion"/>
  <hyperlinks>
    <hyperlink ref="R11" location="A105040专项用途财政性资金纳税调整表!A1" display="A105040专项用途财政性资金纳税调整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tabColor rgb="FFFFFF00"/>
  </sheetPr>
  <dimension ref="A1:W172"/>
  <sheetViews>
    <sheetView workbookViewId="0">
      <selection activeCell="A18" sqref="A18"/>
    </sheetView>
  </sheetViews>
  <sheetFormatPr defaultRowHeight="15.6"/>
  <cols>
    <col min="1" max="1" width="4.19921875" style="1532" customWidth="1"/>
    <col min="2" max="2" width="8.19921875" style="2000" customWidth="1"/>
    <col min="3" max="3" width="15.59765625" style="1532" customWidth="1"/>
    <col min="4" max="8" width="9" style="1532" customWidth="1"/>
    <col min="9" max="9" width="9" style="1537" customWidth="1"/>
    <col min="10" max="13" width="9" style="1532" customWidth="1"/>
    <col min="14" max="15" width="9" style="2000" customWidth="1"/>
    <col min="16" max="16" width="9" style="1532" customWidth="1"/>
    <col min="17" max="17" width="9" style="2000" customWidth="1"/>
    <col min="18" max="21" width="9" style="1532" customWidth="1"/>
    <col min="22" max="22" width="7.19921875" style="1532" customWidth="1"/>
    <col min="23" max="23" width="19.8984375" style="1532" customWidth="1"/>
    <col min="24" max="255" width="9" style="1532"/>
    <col min="256" max="256" width="4.19921875" style="1532" customWidth="1"/>
    <col min="257" max="257" width="29.5" style="1532" customWidth="1"/>
    <col min="258" max="272" width="4.5" style="1532" customWidth="1"/>
    <col min="273" max="273" width="3.8984375" style="1532" customWidth="1"/>
    <col min="274" max="274" width="4" style="1532" customWidth="1"/>
    <col min="275" max="275" width="4.3984375" style="1532" customWidth="1"/>
    <col min="276" max="276" width="4.5" style="1532" customWidth="1"/>
    <col min="277" max="277" width="3.8984375" style="1532" customWidth="1"/>
    <col min="278" max="278" width="16.09765625" style="1532" customWidth="1"/>
    <col min="279" max="279" width="19.8984375" style="1532" customWidth="1"/>
    <col min="280" max="511" width="9" style="1532"/>
    <col min="512" max="512" width="4.19921875" style="1532" customWidth="1"/>
    <col min="513" max="513" width="29.5" style="1532" customWidth="1"/>
    <col min="514" max="528" width="4.5" style="1532" customWidth="1"/>
    <col min="529" max="529" width="3.8984375" style="1532" customWidth="1"/>
    <col min="530" max="530" width="4" style="1532" customWidth="1"/>
    <col min="531" max="531" width="4.3984375" style="1532" customWidth="1"/>
    <col min="532" max="532" width="4.5" style="1532" customWidth="1"/>
    <col min="533" max="533" width="3.8984375" style="1532" customWidth="1"/>
    <col min="534" max="534" width="16.09765625" style="1532" customWidth="1"/>
    <col min="535" max="535" width="19.8984375" style="1532" customWidth="1"/>
    <col min="536" max="767" width="9" style="1532"/>
    <col min="768" max="768" width="4.19921875" style="1532" customWidth="1"/>
    <col min="769" max="769" width="29.5" style="1532" customWidth="1"/>
    <col min="770" max="784" width="4.5" style="1532" customWidth="1"/>
    <col min="785" max="785" width="3.8984375" style="1532" customWidth="1"/>
    <col min="786" max="786" width="4" style="1532" customWidth="1"/>
    <col min="787" max="787" width="4.3984375" style="1532" customWidth="1"/>
    <col min="788" max="788" width="4.5" style="1532" customWidth="1"/>
    <col min="789" max="789" width="3.8984375" style="1532" customWidth="1"/>
    <col min="790" max="790" width="16.09765625" style="1532" customWidth="1"/>
    <col min="791" max="791" width="19.8984375" style="1532" customWidth="1"/>
    <col min="792" max="1023" width="9" style="1532"/>
    <col min="1024" max="1024" width="4.19921875" style="1532" customWidth="1"/>
    <col min="1025" max="1025" width="29.5" style="1532" customWidth="1"/>
    <col min="1026" max="1040" width="4.5" style="1532" customWidth="1"/>
    <col min="1041" max="1041" width="3.8984375" style="1532" customWidth="1"/>
    <col min="1042" max="1042" width="4" style="1532" customWidth="1"/>
    <col min="1043" max="1043" width="4.3984375" style="1532" customWidth="1"/>
    <col min="1044" max="1044" width="4.5" style="1532" customWidth="1"/>
    <col min="1045" max="1045" width="3.8984375" style="1532" customWidth="1"/>
    <col min="1046" max="1046" width="16.09765625" style="1532" customWidth="1"/>
    <col min="1047" max="1047" width="19.8984375" style="1532" customWidth="1"/>
    <col min="1048" max="1279" width="9" style="1532"/>
    <col min="1280" max="1280" width="4.19921875" style="1532" customWidth="1"/>
    <col min="1281" max="1281" width="29.5" style="1532" customWidth="1"/>
    <col min="1282" max="1296" width="4.5" style="1532" customWidth="1"/>
    <col min="1297" max="1297" width="3.8984375" style="1532" customWidth="1"/>
    <col min="1298" max="1298" width="4" style="1532" customWidth="1"/>
    <col min="1299" max="1299" width="4.3984375" style="1532" customWidth="1"/>
    <col min="1300" max="1300" width="4.5" style="1532" customWidth="1"/>
    <col min="1301" max="1301" width="3.8984375" style="1532" customWidth="1"/>
    <col min="1302" max="1302" width="16.09765625" style="1532" customWidth="1"/>
    <col min="1303" max="1303" width="19.8984375" style="1532" customWidth="1"/>
    <col min="1304" max="1535" width="9" style="1532"/>
    <col min="1536" max="1536" width="4.19921875" style="1532" customWidth="1"/>
    <col min="1537" max="1537" width="29.5" style="1532" customWidth="1"/>
    <col min="1538" max="1552" width="4.5" style="1532" customWidth="1"/>
    <col min="1553" max="1553" width="3.8984375" style="1532" customWidth="1"/>
    <col min="1554" max="1554" width="4" style="1532" customWidth="1"/>
    <col min="1555" max="1555" width="4.3984375" style="1532" customWidth="1"/>
    <col min="1556" max="1556" width="4.5" style="1532" customWidth="1"/>
    <col min="1557" max="1557" width="3.8984375" style="1532" customWidth="1"/>
    <col min="1558" max="1558" width="16.09765625" style="1532" customWidth="1"/>
    <col min="1559" max="1559" width="19.8984375" style="1532" customWidth="1"/>
    <col min="1560" max="1791" width="9" style="1532"/>
    <col min="1792" max="1792" width="4.19921875" style="1532" customWidth="1"/>
    <col min="1793" max="1793" width="29.5" style="1532" customWidth="1"/>
    <col min="1794" max="1808" width="4.5" style="1532" customWidth="1"/>
    <col min="1809" max="1809" width="3.8984375" style="1532" customWidth="1"/>
    <col min="1810" max="1810" width="4" style="1532" customWidth="1"/>
    <col min="1811" max="1811" width="4.3984375" style="1532" customWidth="1"/>
    <col min="1812" max="1812" width="4.5" style="1532" customWidth="1"/>
    <col min="1813" max="1813" width="3.8984375" style="1532" customWidth="1"/>
    <col min="1814" max="1814" width="16.09765625" style="1532" customWidth="1"/>
    <col min="1815" max="1815" width="19.8984375" style="1532" customWidth="1"/>
    <col min="1816" max="2047" width="9" style="1532"/>
    <col min="2048" max="2048" width="4.19921875" style="1532" customWidth="1"/>
    <col min="2049" max="2049" width="29.5" style="1532" customWidth="1"/>
    <col min="2050" max="2064" width="4.5" style="1532" customWidth="1"/>
    <col min="2065" max="2065" width="3.8984375" style="1532" customWidth="1"/>
    <col min="2066" max="2066" width="4" style="1532" customWidth="1"/>
    <col min="2067" max="2067" width="4.3984375" style="1532" customWidth="1"/>
    <col min="2068" max="2068" width="4.5" style="1532" customWidth="1"/>
    <col min="2069" max="2069" width="3.8984375" style="1532" customWidth="1"/>
    <col min="2070" max="2070" width="16.09765625" style="1532" customWidth="1"/>
    <col min="2071" max="2071" width="19.8984375" style="1532" customWidth="1"/>
    <col min="2072" max="2303" width="9" style="1532"/>
    <col min="2304" max="2304" width="4.19921875" style="1532" customWidth="1"/>
    <col min="2305" max="2305" width="29.5" style="1532" customWidth="1"/>
    <col min="2306" max="2320" width="4.5" style="1532" customWidth="1"/>
    <col min="2321" max="2321" width="3.8984375" style="1532" customWidth="1"/>
    <col min="2322" max="2322" width="4" style="1532" customWidth="1"/>
    <col min="2323" max="2323" width="4.3984375" style="1532" customWidth="1"/>
    <col min="2324" max="2324" width="4.5" style="1532" customWidth="1"/>
    <col min="2325" max="2325" width="3.8984375" style="1532" customWidth="1"/>
    <col min="2326" max="2326" width="16.09765625" style="1532" customWidth="1"/>
    <col min="2327" max="2327" width="19.8984375" style="1532" customWidth="1"/>
    <col min="2328" max="2559" width="9" style="1532"/>
    <col min="2560" max="2560" width="4.19921875" style="1532" customWidth="1"/>
    <col min="2561" max="2561" width="29.5" style="1532" customWidth="1"/>
    <col min="2562" max="2576" width="4.5" style="1532" customWidth="1"/>
    <col min="2577" max="2577" width="3.8984375" style="1532" customWidth="1"/>
    <col min="2578" max="2578" width="4" style="1532" customWidth="1"/>
    <col min="2579" max="2579" width="4.3984375" style="1532" customWidth="1"/>
    <col min="2580" max="2580" width="4.5" style="1532" customWidth="1"/>
    <col min="2581" max="2581" width="3.8984375" style="1532" customWidth="1"/>
    <col min="2582" max="2582" width="16.09765625" style="1532" customWidth="1"/>
    <col min="2583" max="2583" width="19.8984375" style="1532" customWidth="1"/>
    <col min="2584" max="2815" width="9" style="1532"/>
    <col min="2816" max="2816" width="4.19921875" style="1532" customWidth="1"/>
    <col min="2817" max="2817" width="29.5" style="1532" customWidth="1"/>
    <col min="2818" max="2832" width="4.5" style="1532" customWidth="1"/>
    <col min="2833" max="2833" width="3.8984375" style="1532" customWidth="1"/>
    <col min="2834" max="2834" width="4" style="1532" customWidth="1"/>
    <col min="2835" max="2835" width="4.3984375" style="1532" customWidth="1"/>
    <col min="2836" max="2836" width="4.5" style="1532" customWidth="1"/>
    <col min="2837" max="2837" width="3.8984375" style="1532" customWidth="1"/>
    <col min="2838" max="2838" width="16.09765625" style="1532" customWidth="1"/>
    <col min="2839" max="2839" width="19.8984375" style="1532" customWidth="1"/>
    <col min="2840" max="3071" width="9" style="1532"/>
    <col min="3072" max="3072" width="4.19921875" style="1532" customWidth="1"/>
    <col min="3073" max="3073" width="29.5" style="1532" customWidth="1"/>
    <col min="3074" max="3088" width="4.5" style="1532" customWidth="1"/>
    <col min="3089" max="3089" width="3.8984375" style="1532" customWidth="1"/>
    <col min="3090" max="3090" width="4" style="1532" customWidth="1"/>
    <col min="3091" max="3091" width="4.3984375" style="1532" customWidth="1"/>
    <col min="3092" max="3092" width="4.5" style="1532" customWidth="1"/>
    <col min="3093" max="3093" width="3.8984375" style="1532" customWidth="1"/>
    <col min="3094" max="3094" width="16.09765625" style="1532" customWidth="1"/>
    <col min="3095" max="3095" width="19.8984375" style="1532" customWidth="1"/>
    <col min="3096" max="3327" width="9" style="1532"/>
    <col min="3328" max="3328" width="4.19921875" style="1532" customWidth="1"/>
    <col min="3329" max="3329" width="29.5" style="1532" customWidth="1"/>
    <col min="3330" max="3344" width="4.5" style="1532" customWidth="1"/>
    <col min="3345" max="3345" width="3.8984375" style="1532" customWidth="1"/>
    <col min="3346" max="3346" width="4" style="1532" customWidth="1"/>
    <col min="3347" max="3347" width="4.3984375" style="1532" customWidth="1"/>
    <col min="3348" max="3348" width="4.5" style="1532" customWidth="1"/>
    <col min="3349" max="3349" width="3.8984375" style="1532" customWidth="1"/>
    <col min="3350" max="3350" width="16.09765625" style="1532" customWidth="1"/>
    <col min="3351" max="3351" width="19.8984375" style="1532" customWidth="1"/>
    <col min="3352" max="3583" width="9" style="1532"/>
    <col min="3584" max="3584" width="4.19921875" style="1532" customWidth="1"/>
    <col min="3585" max="3585" width="29.5" style="1532" customWidth="1"/>
    <col min="3586" max="3600" width="4.5" style="1532" customWidth="1"/>
    <col min="3601" max="3601" width="3.8984375" style="1532" customWidth="1"/>
    <col min="3602" max="3602" width="4" style="1532" customWidth="1"/>
    <col min="3603" max="3603" width="4.3984375" style="1532" customWidth="1"/>
    <col min="3604" max="3604" width="4.5" style="1532" customWidth="1"/>
    <col min="3605" max="3605" width="3.8984375" style="1532" customWidth="1"/>
    <col min="3606" max="3606" width="16.09765625" style="1532" customWidth="1"/>
    <col min="3607" max="3607" width="19.8984375" style="1532" customWidth="1"/>
    <col min="3608" max="3839" width="9" style="1532"/>
    <col min="3840" max="3840" width="4.19921875" style="1532" customWidth="1"/>
    <col min="3841" max="3841" width="29.5" style="1532" customWidth="1"/>
    <col min="3842" max="3856" width="4.5" style="1532" customWidth="1"/>
    <col min="3857" max="3857" width="3.8984375" style="1532" customWidth="1"/>
    <col min="3858" max="3858" width="4" style="1532" customWidth="1"/>
    <col min="3859" max="3859" width="4.3984375" style="1532" customWidth="1"/>
    <col min="3860" max="3860" width="4.5" style="1532" customWidth="1"/>
    <col min="3861" max="3861" width="3.8984375" style="1532" customWidth="1"/>
    <col min="3862" max="3862" width="16.09765625" style="1532" customWidth="1"/>
    <col min="3863" max="3863" width="19.8984375" style="1532" customWidth="1"/>
    <col min="3864" max="4095" width="9" style="1532"/>
    <col min="4096" max="4096" width="4.19921875" style="1532" customWidth="1"/>
    <col min="4097" max="4097" width="29.5" style="1532" customWidth="1"/>
    <col min="4098" max="4112" width="4.5" style="1532" customWidth="1"/>
    <col min="4113" max="4113" width="3.8984375" style="1532" customWidth="1"/>
    <col min="4114" max="4114" width="4" style="1532" customWidth="1"/>
    <col min="4115" max="4115" width="4.3984375" style="1532" customWidth="1"/>
    <col min="4116" max="4116" width="4.5" style="1532" customWidth="1"/>
    <col min="4117" max="4117" width="3.8984375" style="1532" customWidth="1"/>
    <col min="4118" max="4118" width="16.09765625" style="1532" customWidth="1"/>
    <col min="4119" max="4119" width="19.8984375" style="1532" customWidth="1"/>
    <col min="4120" max="4351" width="9" style="1532"/>
    <col min="4352" max="4352" width="4.19921875" style="1532" customWidth="1"/>
    <col min="4353" max="4353" width="29.5" style="1532" customWidth="1"/>
    <col min="4354" max="4368" width="4.5" style="1532" customWidth="1"/>
    <col min="4369" max="4369" width="3.8984375" style="1532" customWidth="1"/>
    <col min="4370" max="4370" width="4" style="1532" customWidth="1"/>
    <col min="4371" max="4371" width="4.3984375" style="1532" customWidth="1"/>
    <col min="4372" max="4372" width="4.5" style="1532" customWidth="1"/>
    <col min="4373" max="4373" width="3.8984375" style="1532" customWidth="1"/>
    <col min="4374" max="4374" width="16.09765625" style="1532" customWidth="1"/>
    <col min="4375" max="4375" width="19.8984375" style="1532" customWidth="1"/>
    <col min="4376" max="4607" width="9" style="1532"/>
    <col min="4608" max="4608" width="4.19921875" style="1532" customWidth="1"/>
    <col min="4609" max="4609" width="29.5" style="1532" customWidth="1"/>
    <col min="4610" max="4624" width="4.5" style="1532" customWidth="1"/>
    <col min="4625" max="4625" width="3.8984375" style="1532" customWidth="1"/>
    <col min="4626" max="4626" width="4" style="1532" customWidth="1"/>
    <col min="4627" max="4627" width="4.3984375" style="1532" customWidth="1"/>
    <col min="4628" max="4628" width="4.5" style="1532" customWidth="1"/>
    <col min="4629" max="4629" width="3.8984375" style="1532" customWidth="1"/>
    <col min="4630" max="4630" width="16.09765625" style="1532" customWidth="1"/>
    <col min="4631" max="4631" width="19.8984375" style="1532" customWidth="1"/>
    <col min="4632" max="4863" width="9" style="1532"/>
    <col min="4864" max="4864" width="4.19921875" style="1532" customWidth="1"/>
    <col min="4865" max="4865" width="29.5" style="1532" customWidth="1"/>
    <col min="4866" max="4880" width="4.5" style="1532" customWidth="1"/>
    <col min="4881" max="4881" width="3.8984375" style="1532" customWidth="1"/>
    <col min="4882" max="4882" width="4" style="1532" customWidth="1"/>
    <col min="4883" max="4883" width="4.3984375" style="1532" customWidth="1"/>
    <col min="4884" max="4884" width="4.5" style="1532" customWidth="1"/>
    <col min="4885" max="4885" width="3.8984375" style="1532" customWidth="1"/>
    <col min="4886" max="4886" width="16.09765625" style="1532" customWidth="1"/>
    <col min="4887" max="4887" width="19.8984375" style="1532" customWidth="1"/>
    <col min="4888" max="5119" width="9" style="1532"/>
    <col min="5120" max="5120" width="4.19921875" style="1532" customWidth="1"/>
    <col min="5121" max="5121" width="29.5" style="1532" customWidth="1"/>
    <col min="5122" max="5136" width="4.5" style="1532" customWidth="1"/>
    <col min="5137" max="5137" width="3.8984375" style="1532" customWidth="1"/>
    <col min="5138" max="5138" width="4" style="1532" customWidth="1"/>
    <col min="5139" max="5139" width="4.3984375" style="1532" customWidth="1"/>
    <col min="5140" max="5140" width="4.5" style="1532" customWidth="1"/>
    <col min="5141" max="5141" width="3.8984375" style="1532" customWidth="1"/>
    <col min="5142" max="5142" width="16.09765625" style="1532" customWidth="1"/>
    <col min="5143" max="5143" width="19.8984375" style="1532" customWidth="1"/>
    <col min="5144" max="5375" width="9" style="1532"/>
    <col min="5376" max="5376" width="4.19921875" style="1532" customWidth="1"/>
    <col min="5377" max="5377" width="29.5" style="1532" customWidth="1"/>
    <col min="5378" max="5392" width="4.5" style="1532" customWidth="1"/>
    <col min="5393" max="5393" width="3.8984375" style="1532" customWidth="1"/>
    <col min="5394" max="5394" width="4" style="1532" customWidth="1"/>
    <col min="5395" max="5395" width="4.3984375" style="1532" customWidth="1"/>
    <col min="5396" max="5396" width="4.5" style="1532" customWidth="1"/>
    <col min="5397" max="5397" width="3.8984375" style="1532" customWidth="1"/>
    <col min="5398" max="5398" width="16.09765625" style="1532" customWidth="1"/>
    <col min="5399" max="5399" width="19.8984375" style="1532" customWidth="1"/>
    <col min="5400" max="5631" width="9" style="1532"/>
    <col min="5632" max="5632" width="4.19921875" style="1532" customWidth="1"/>
    <col min="5633" max="5633" width="29.5" style="1532" customWidth="1"/>
    <col min="5634" max="5648" width="4.5" style="1532" customWidth="1"/>
    <col min="5649" max="5649" width="3.8984375" style="1532" customWidth="1"/>
    <col min="5650" max="5650" width="4" style="1532" customWidth="1"/>
    <col min="5651" max="5651" width="4.3984375" style="1532" customWidth="1"/>
    <col min="5652" max="5652" width="4.5" style="1532" customWidth="1"/>
    <col min="5653" max="5653" width="3.8984375" style="1532" customWidth="1"/>
    <col min="5654" max="5654" width="16.09765625" style="1532" customWidth="1"/>
    <col min="5655" max="5655" width="19.8984375" style="1532" customWidth="1"/>
    <col min="5656" max="5887" width="9" style="1532"/>
    <col min="5888" max="5888" width="4.19921875" style="1532" customWidth="1"/>
    <col min="5889" max="5889" width="29.5" style="1532" customWidth="1"/>
    <col min="5890" max="5904" width="4.5" style="1532" customWidth="1"/>
    <col min="5905" max="5905" width="3.8984375" style="1532" customWidth="1"/>
    <col min="5906" max="5906" width="4" style="1532" customWidth="1"/>
    <col min="5907" max="5907" width="4.3984375" style="1532" customWidth="1"/>
    <col min="5908" max="5908" width="4.5" style="1532" customWidth="1"/>
    <col min="5909" max="5909" width="3.8984375" style="1532" customWidth="1"/>
    <col min="5910" max="5910" width="16.09765625" style="1532" customWidth="1"/>
    <col min="5911" max="5911" width="19.8984375" style="1532" customWidth="1"/>
    <col min="5912" max="6143" width="9" style="1532"/>
    <col min="6144" max="6144" width="4.19921875" style="1532" customWidth="1"/>
    <col min="6145" max="6145" width="29.5" style="1532" customWidth="1"/>
    <col min="6146" max="6160" width="4.5" style="1532" customWidth="1"/>
    <col min="6161" max="6161" width="3.8984375" style="1532" customWidth="1"/>
    <col min="6162" max="6162" width="4" style="1532" customWidth="1"/>
    <col min="6163" max="6163" width="4.3984375" style="1532" customWidth="1"/>
    <col min="6164" max="6164" width="4.5" style="1532" customWidth="1"/>
    <col min="6165" max="6165" width="3.8984375" style="1532" customWidth="1"/>
    <col min="6166" max="6166" width="16.09765625" style="1532" customWidth="1"/>
    <col min="6167" max="6167" width="19.8984375" style="1532" customWidth="1"/>
    <col min="6168" max="6399" width="9" style="1532"/>
    <col min="6400" max="6400" width="4.19921875" style="1532" customWidth="1"/>
    <col min="6401" max="6401" width="29.5" style="1532" customWidth="1"/>
    <col min="6402" max="6416" width="4.5" style="1532" customWidth="1"/>
    <col min="6417" max="6417" width="3.8984375" style="1532" customWidth="1"/>
    <col min="6418" max="6418" width="4" style="1532" customWidth="1"/>
    <col min="6419" max="6419" width="4.3984375" style="1532" customWidth="1"/>
    <col min="6420" max="6420" width="4.5" style="1532" customWidth="1"/>
    <col min="6421" max="6421" width="3.8984375" style="1532" customWidth="1"/>
    <col min="6422" max="6422" width="16.09765625" style="1532" customWidth="1"/>
    <col min="6423" max="6423" width="19.8984375" style="1532" customWidth="1"/>
    <col min="6424" max="6655" width="9" style="1532"/>
    <col min="6656" max="6656" width="4.19921875" style="1532" customWidth="1"/>
    <col min="6657" max="6657" width="29.5" style="1532" customWidth="1"/>
    <col min="6658" max="6672" width="4.5" style="1532" customWidth="1"/>
    <col min="6673" max="6673" width="3.8984375" style="1532" customWidth="1"/>
    <col min="6674" max="6674" width="4" style="1532" customWidth="1"/>
    <col min="6675" max="6675" width="4.3984375" style="1532" customWidth="1"/>
    <col min="6676" max="6676" width="4.5" style="1532" customWidth="1"/>
    <col min="6677" max="6677" width="3.8984375" style="1532" customWidth="1"/>
    <col min="6678" max="6678" width="16.09765625" style="1532" customWidth="1"/>
    <col min="6679" max="6679" width="19.8984375" style="1532" customWidth="1"/>
    <col min="6680" max="6911" width="9" style="1532"/>
    <col min="6912" max="6912" width="4.19921875" style="1532" customWidth="1"/>
    <col min="6913" max="6913" width="29.5" style="1532" customWidth="1"/>
    <col min="6914" max="6928" width="4.5" style="1532" customWidth="1"/>
    <col min="6929" max="6929" width="3.8984375" style="1532" customWidth="1"/>
    <col min="6930" max="6930" width="4" style="1532" customWidth="1"/>
    <col min="6931" max="6931" width="4.3984375" style="1532" customWidth="1"/>
    <col min="6932" max="6932" width="4.5" style="1532" customWidth="1"/>
    <col min="6933" max="6933" width="3.8984375" style="1532" customWidth="1"/>
    <col min="6934" max="6934" width="16.09765625" style="1532" customWidth="1"/>
    <col min="6935" max="6935" width="19.8984375" style="1532" customWidth="1"/>
    <col min="6936" max="7167" width="9" style="1532"/>
    <col min="7168" max="7168" width="4.19921875" style="1532" customWidth="1"/>
    <col min="7169" max="7169" width="29.5" style="1532" customWidth="1"/>
    <col min="7170" max="7184" width="4.5" style="1532" customWidth="1"/>
    <col min="7185" max="7185" width="3.8984375" style="1532" customWidth="1"/>
    <col min="7186" max="7186" width="4" style="1532" customWidth="1"/>
    <col min="7187" max="7187" width="4.3984375" style="1532" customWidth="1"/>
    <col min="7188" max="7188" width="4.5" style="1532" customWidth="1"/>
    <col min="7189" max="7189" width="3.8984375" style="1532" customWidth="1"/>
    <col min="7190" max="7190" width="16.09765625" style="1532" customWidth="1"/>
    <col min="7191" max="7191" width="19.8984375" style="1532" customWidth="1"/>
    <col min="7192" max="7423" width="9" style="1532"/>
    <col min="7424" max="7424" width="4.19921875" style="1532" customWidth="1"/>
    <col min="7425" max="7425" width="29.5" style="1532" customWidth="1"/>
    <col min="7426" max="7440" width="4.5" style="1532" customWidth="1"/>
    <col min="7441" max="7441" width="3.8984375" style="1532" customWidth="1"/>
    <col min="7442" max="7442" width="4" style="1532" customWidth="1"/>
    <col min="7443" max="7443" width="4.3984375" style="1532" customWidth="1"/>
    <col min="7444" max="7444" width="4.5" style="1532" customWidth="1"/>
    <col min="7445" max="7445" width="3.8984375" style="1532" customWidth="1"/>
    <col min="7446" max="7446" width="16.09765625" style="1532" customWidth="1"/>
    <col min="7447" max="7447" width="19.8984375" style="1532" customWidth="1"/>
    <col min="7448" max="7679" width="9" style="1532"/>
    <col min="7680" max="7680" width="4.19921875" style="1532" customWidth="1"/>
    <col min="7681" max="7681" width="29.5" style="1532" customWidth="1"/>
    <col min="7682" max="7696" width="4.5" style="1532" customWidth="1"/>
    <col min="7697" max="7697" width="3.8984375" style="1532" customWidth="1"/>
    <col min="7698" max="7698" width="4" style="1532" customWidth="1"/>
    <col min="7699" max="7699" width="4.3984375" style="1532" customWidth="1"/>
    <col min="7700" max="7700" width="4.5" style="1532" customWidth="1"/>
    <col min="7701" max="7701" width="3.8984375" style="1532" customWidth="1"/>
    <col min="7702" max="7702" width="16.09765625" style="1532" customWidth="1"/>
    <col min="7703" max="7703" width="19.8984375" style="1532" customWidth="1"/>
    <col min="7704" max="7935" width="9" style="1532"/>
    <col min="7936" max="7936" width="4.19921875" style="1532" customWidth="1"/>
    <col min="7937" max="7937" width="29.5" style="1532" customWidth="1"/>
    <col min="7938" max="7952" width="4.5" style="1532" customWidth="1"/>
    <col min="7953" max="7953" width="3.8984375" style="1532" customWidth="1"/>
    <col min="7954" max="7954" width="4" style="1532" customWidth="1"/>
    <col min="7955" max="7955" width="4.3984375" style="1532" customWidth="1"/>
    <col min="7956" max="7956" width="4.5" style="1532" customWidth="1"/>
    <col min="7957" max="7957" width="3.8984375" style="1532" customWidth="1"/>
    <col min="7958" max="7958" width="16.09765625" style="1532" customWidth="1"/>
    <col min="7959" max="7959" width="19.8984375" style="1532" customWidth="1"/>
    <col min="7960" max="8191" width="9" style="1532"/>
    <col min="8192" max="8192" width="4.19921875" style="1532" customWidth="1"/>
    <col min="8193" max="8193" width="29.5" style="1532" customWidth="1"/>
    <col min="8194" max="8208" width="4.5" style="1532" customWidth="1"/>
    <col min="8209" max="8209" width="3.8984375" style="1532" customWidth="1"/>
    <col min="8210" max="8210" width="4" style="1532" customWidth="1"/>
    <col min="8211" max="8211" width="4.3984375" style="1532" customWidth="1"/>
    <col min="8212" max="8212" width="4.5" style="1532" customWidth="1"/>
    <col min="8213" max="8213" width="3.8984375" style="1532" customWidth="1"/>
    <col min="8214" max="8214" width="16.09765625" style="1532" customWidth="1"/>
    <col min="8215" max="8215" width="19.8984375" style="1532" customWidth="1"/>
    <col min="8216" max="8447" width="9" style="1532"/>
    <col min="8448" max="8448" width="4.19921875" style="1532" customWidth="1"/>
    <col min="8449" max="8449" width="29.5" style="1532" customWidth="1"/>
    <col min="8450" max="8464" width="4.5" style="1532" customWidth="1"/>
    <col min="8465" max="8465" width="3.8984375" style="1532" customWidth="1"/>
    <col min="8466" max="8466" width="4" style="1532" customWidth="1"/>
    <col min="8467" max="8467" width="4.3984375" style="1532" customWidth="1"/>
    <col min="8468" max="8468" width="4.5" style="1532" customWidth="1"/>
    <col min="8469" max="8469" width="3.8984375" style="1532" customWidth="1"/>
    <col min="8470" max="8470" width="16.09765625" style="1532" customWidth="1"/>
    <col min="8471" max="8471" width="19.8984375" style="1532" customWidth="1"/>
    <col min="8472" max="8703" width="9" style="1532"/>
    <col min="8704" max="8704" width="4.19921875" style="1532" customWidth="1"/>
    <col min="8705" max="8705" width="29.5" style="1532" customWidth="1"/>
    <col min="8706" max="8720" width="4.5" style="1532" customWidth="1"/>
    <col min="8721" max="8721" width="3.8984375" style="1532" customWidth="1"/>
    <col min="8722" max="8722" width="4" style="1532" customWidth="1"/>
    <col min="8723" max="8723" width="4.3984375" style="1532" customWidth="1"/>
    <col min="8724" max="8724" width="4.5" style="1532" customWidth="1"/>
    <col min="8725" max="8725" width="3.8984375" style="1532" customWidth="1"/>
    <col min="8726" max="8726" width="16.09765625" style="1532" customWidth="1"/>
    <col min="8727" max="8727" width="19.8984375" style="1532" customWidth="1"/>
    <col min="8728" max="8959" width="9" style="1532"/>
    <col min="8960" max="8960" width="4.19921875" style="1532" customWidth="1"/>
    <col min="8961" max="8961" width="29.5" style="1532" customWidth="1"/>
    <col min="8962" max="8976" width="4.5" style="1532" customWidth="1"/>
    <col min="8977" max="8977" width="3.8984375" style="1532" customWidth="1"/>
    <col min="8978" max="8978" width="4" style="1532" customWidth="1"/>
    <col min="8979" max="8979" width="4.3984375" style="1532" customWidth="1"/>
    <col min="8980" max="8980" width="4.5" style="1532" customWidth="1"/>
    <col min="8981" max="8981" width="3.8984375" style="1532" customWidth="1"/>
    <col min="8982" max="8982" width="16.09765625" style="1532" customWidth="1"/>
    <col min="8983" max="8983" width="19.8984375" style="1532" customWidth="1"/>
    <col min="8984" max="9215" width="9" style="1532"/>
    <col min="9216" max="9216" width="4.19921875" style="1532" customWidth="1"/>
    <col min="9217" max="9217" width="29.5" style="1532" customWidth="1"/>
    <col min="9218" max="9232" width="4.5" style="1532" customWidth="1"/>
    <col min="9233" max="9233" width="3.8984375" style="1532" customWidth="1"/>
    <col min="9234" max="9234" width="4" style="1532" customWidth="1"/>
    <col min="9235" max="9235" width="4.3984375" style="1532" customWidth="1"/>
    <col min="9236" max="9236" width="4.5" style="1532" customWidth="1"/>
    <col min="9237" max="9237" width="3.8984375" style="1532" customWidth="1"/>
    <col min="9238" max="9238" width="16.09765625" style="1532" customWidth="1"/>
    <col min="9239" max="9239" width="19.8984375" style="1532" customWidth="1"/>
    <col min="9240" max="9471" width="9" style="1532"/>
    <col min="9472" max="9472" width="4.19921875" style="1532" customWidth="1"/>
    <col min="9473" max="9473" width="29.5" style="1532" customWidth="1"/>
    <col min="9474" max="9488" width="4.5" style="1532" customWidth="1"/>
    <col min="9489" max="9489" width="3.8984375" style="1532" customWidth="1"/>
    <col min="9490" max="9490" width="4" style="1532" customWidth="1"/>
    <col min="9491" max="9491" width="4.3984375" style="1532" customWidth="1"/>
    <col min="9492" max="9492" width="4.5" style="1532" customWidth="1"/>
    <col min="9493" max="9493" width="3.8984375" style="1532" customWidth="1"/>
    <col min="9494" max="9494" width="16.09765625" style="1532" customWidth="1"/>
    <col min="9495" max="9495" width="19.8984375" style="1532" customWidth="1"/>
    <col min="9496" max="9727" width="9" style="1532"/>
    <col min="9728" max="9728" width="4.19921875" style="1532" customWidth="1"/>
    <col min="9729" max="9729" width="29.5" style="1532" customWidth="1"/>
    <col min="9730" max="9744" width="4.5" style="1532" customWidth="1"/>
    <col min="9745" max="9745" width="3.8984375" style="1532" customWidth="1"/>
    <col min="9746" max="9746" width="4" style="1532" customWidth="1"/>
    <col min="9747" max="9747" width="4.3984375" style="1532" customWidth="1"/>
    <col min="9748" max="9748" width="4.5" style="1532" customWidth="1"/>
    <col min="9749" max="9749" width="3.8984375" style="1532" customWidth="1"/>
    <col min="9750" max="9750" width="16.09765625" style="1532" customWidth="1"/>
    <col min="9751" max="9751" width="19.8984375" style="1532" customWidth="1"/>
    <col min="9752" max="9983" width="9" style="1532"/>
    <col min="9984" max="9984" width="4.19921875" style="1532" customWidth="1"/>
    <col min="9985" max="9985" width="29.5" style="1532" customWidth="1"/>
    <col min="9986" max="10000" width="4.5" style="1532" customWidth="1"/>
    <col min="10001" max="10001" width="3.8984375" style="1532" customWidth="1"/>
    <col min="10002" max="10002" width="4" style="1532" customWidth="1"/>
    <col min="10003" max="10003" width="4.3984375" style="1532" customWidth="1"/>
    <col min="10004" max="10004" width="4.5" style="1532" customWidth="1"/>
    <col min="10005" max="10005" width="3.8984375" style="1532" customWidth="1"/>
    <col min="10006" max="10006" width="16.09765625" style="1532" customWidth="1"/>
    <col min="10007" max="10007" width="19.8984375" style="1532" customWidth="1"/>
    <col min="10008" max="10239" width="9" style="1532"/>
    <col min="10240" max="10240" width="4.19921875" style="1532" customWidth="1"/>
    <col min="10241" max="10241" width="29.5" style="1532" customWidth="1"/>
    <col min="10242" max="10256" width="4.5" style="1532" customWidth="1"/>
    <col min="10257" max="10257" width="3.8984375" style="1532" customWidth="1"/>
    <col min="10258" max="10258" width="4" style="1532" customWidth="1"/>
    <col min="10259" max="10259" width="4.3984375" style="1532" customWidth="1"/>
    <col min="10260" max="10260" width="4.5" style="1532" customWidth="1"/>
    <col min="10261" max="10261" width="3.8984375" style="1532" customWidth="1"/>
    <col min="10262" max="10262" width="16.09765625" style="1532" customWidth="1"/>
    <col min="10263" max="10263" width="19.8984375" style="1532" customWidth="1"/>
    <col min="10264" max="10495" width="9" style="1532"/>
    <col min="10496" max="10496" width="4.19921875" style="1532" customWidth="1"/>
    <col min="10497" max="10497" width="29.5" style="1532" customWidth="1"/>
    <col min="10498" max="10512" width="4.5" style="1532" customWidth="1"/>
    <col min="10513" max="10513" width="3.8984375" style="1532" customWidth="1"/>
    <col min="10514" max="10514" width="4" style="1532" customWidth="1"/>
    <col min="10515" max="10515" width="4.3984375" style="1532" customWidth="1"/>
    <col min="10516" max="10516" width="4.5" style="1532" customWidth="1"/>
    <col min="10517" max="10517" width="3.8984375" style="1532" customWidth="1"/>
    <col min="10518" max="10518" width="16.09765625" style="1532" customWidth="1"/>
    <col min="10519" max="10519" width="19.8984375" style="1532" customWidth="1"/>
    <col min="10520" max="10751" width="9" style="1532"/>
    <col min="10752" max="10752" width="4.19921875" style="1532" customWidth="1"/>
    <col min="10753" max="10753" width="29.5" style="1532" customWidth="1"/>
    <col min="10754" max="10768" width="4.5" style="1532" customWidth="1"/>
    <col min="10769" max="10769" width="3.8984375" style="1532" customWidth="1"/>
    <col min="10770" max="10770" width="4" style="1532" customWidth="1"/>
    <col min="10771" max="10771" width="4.3984375" style="1532" customWidth="1"/>
    <col min="10772" max="10772" width="4.5" style="1532" customWidth="1"/>
    <col min="10773" max="10773" width="3.8984375" style="1532" customWidth="1"/>
    <col min="10774" max="10774" width="16.09765625" style="1532" customWidth="1"/>
    <col min="10775" max="10775" width="19.8984375" style="1532" customWidth="1"/>
    <col min="10776" max="11007" width="9" style="1532"/>
    <col min="11008" max="11008" width="4.19921875" style="1532" customWidth="1"/>
    <col min="11009" max="11009" width="29.5" style="1532" customWidth="1"/>
    <col min="11010" max="11024" width="4.5" style="1532" customWidth="1"/>
    <col min="11025" max="11025" width="3.8984375" style="1532" customWidth="1"/>
    <col min="11026" max="11026" width="4" style="1532" customWidth="1"/>
    <col min="11027" max="11027" width="4.3984375" style="1532" customWidth="1"/>
    <col min="11028" max="11028" width="4.5" style="1532" customWidth="1"/>
    <col min="11029" max="11029" width="3.8984375" style="1532" customWidth="1"/>
    <col min="11030" max="11030" width="16.09765625" style="1532" customWidth="1"/>
    <col min="11031" max="11031" width="19.8984375" style="1532" customWidth="1"/>
    <col min="11032" max="11263" width="9" style="1532"/>
    <col min="11264" max="11264" width="4.19921875" style="1532" customWidth="1"/>
    <col min="11265" max="11265" width="29.5" style="1532" customWidth="1"/>
    <col min="11266" max="11280" width="4.5" style="1532" customWidth="1"/>
    <col min="11281" max="11281" width="3.8984375" style="1532" customWidth="1"/>
    <col min="11282" max="11282" width="4" style="1532" customWidth="1"/>
    <col min="11283" max="11283" width="4.3984375" style="1532" customWidth="1"/>
    <col min="11284" max="11284" width="4.5" style="1532" customWidth="1"/>
    <col min="11285" max="11285" width="3.8984375" style="1532" customWidth="1"/>
    <col min="11286" max="11286" width="16.09765625" style="1532" customWidth="1"/>
    <col min="11287" max="11287" width="19.8984375" style="1532" customWidth="1"/>
    <col min="11288" max="11519" width="9" style="1532"/>
    <col min="11520" max="11520" width="4.19921875" style="1532" customWidth="1"/>
    <col min="11521" max="11521" width="29.5" style="1532" customWidth="1"/>
    <col min="11522" max="11536" width="4.5" style="1532" customWidth="1"/>
    <col min="11537" max="11537" width="3.8984375" style="1532" customWidth="1"/>
    <col min="11538" max="11538" width="4" style="1532" customWidth="1"/>
    <col min="11539" max="11539" width="4.3984375" style="1532" customWidth="1"/>
    <col min="11540" max="11540" width="4.5" style="1532" customWidth="1"/>
    <col min="11541" max="11541" width="3.8984375" style="1532" customWidth="1"/>
    <col min="11542" max="11542" width="16.09765625" style="1532" customWidth="1"/>
    <col min="11543" max="11543" width="19.8984375" style="1532" customWidth="1"/>
    <col min="11544" max="11775" width="9" style="1532"/>
    <col min="11776" max="11776" width="4.19921875" style="1532" customWidth="1"/>
    <col min="11777" max="11777" width="29.5" style="1532" customWidth="1"/>
    <col min="11778" max="11792" width="4.5" style="1532" customWidth="1"/>
    <col min="11793" max="11793" width="3.8984375" style="1532" customWidth="1"/>
    <col min="11794" max="11794" width="4" style="1532" customWidth="1"/>
    <col min="11795" max="11795" width="4.3984375" style="1532" customWidth="1"/>
    <col min="11796" max="11796" width="4.5" style="1532" customWidth="1"/>
    <col min="11797" max="11797" width="3.8984375" style="1532" customWidth="1"/>
    <col min="11798" max="11798" width="16.09765625" style="1532" customWidth="1"/>
    <col min="11799" max="11799" width="19.8984375" style="1532" customWidth="1"/>
    <col min="11800" max="12031" width="9" style="1532"/>
    <col min="12032" max="12032" width="4.19921875" style="1532" customWidth="1"/>
    <col min="12033" max="12033" width="29.5" style="1532" customWidth="1"/>
    <col min="12034" max="12048" width="4.5" style="1532" customWidth="1"/>
    <col min="12049" max="12049" width="3.8984375" style="1532" customWidth="1"/>
    <col min="12050" max="12050" width="4" style="1532" customWidth="1"/>
    <col min="12051" max="12051" width="4.3984375" style="1532" customWidth="1"/>
    <col min="12052" max="12052" width="4.5" style="1532" customWidth="1"/>
    <col min="12053" max="12053" width="3.8984375" style="1532" customWidth="1"/>
    <col min="12054" max="12054" width="16.09765625" style="1532" customWidth="1"/>
    <col min="12055" max="12055" width="19.8984375" style="1532" customWidth="1"/>
    <col min="12056" max="12287" width="9" style="1532"/>
    <col min="12288" max="12288" width="4.19921875" style="1532" customWidth="1"/>
    <col min="12289" max="12289" width="29.5" style="1532" customWidth="1"/>
    <col min="12290" max="12304" width="4.5" style="1532" customWidth="1"/>
    <col min="12305" max="12305" width="3.8984375" style="1532" customWidth="1"/>
    <col min="12306" max="12306" width="4" style="1532" customWidth="1"/>
    <col min="12307" max="12307" width="4.3984375" style="1532" customWidth="1"/>
    <col min="12308" max="12308" width="4.5" style="1532" customWidth="1"/>
    <col min="12309" max="12309" width="3.8984375" style="1532" customWidth="1"/>
    <col min="12310" max="12310" width="16.09765625" style="1532" customWidth="1"/>
    <col min="12311" max="12311" width="19.8984375" style="1532" customWidth="1"/>
    <col min="12312" max="12543" width="9" style="1532"/>
    <col min="12544" max="12544" width="4.19921875" style="1532" customWidth="1"/>
    <col min="12545" max="12545" width="29.5" style="1532" customWidth="1"/>
    <col min="12546" max="12560" width="4.5" style="1532" customWidth="1"/>
    <col min="12561" max="12561" width="3.8984375" style="1532" customWidth="1"/>
    <col min="12562" max="12562" width="4" style="1532" customWidth="1"/>
    <col min="12563" max="12563" width="4.3984375" style="1532" customWidth="1"/>
    <col min="12564" max="12564" width="4.5" style="1532" customWidth="1"/>
    <col min="12565" max="12565" width="3.8984375" style="1532" customWidth="1"/>
    <col min="12566" max="12566" width="16.09765625" style="1532" customWidth="1"/>
    <col min="12567" max="12567" width="19.8984375" style="1532" customWidth="1"/>
    <col min="12568" max="12799" width="9" style="1532"/>
    <col min="12800" max="12800" width="4.19921875" style="1532" customWidth="1"/>
    <col min="12801" max="12801" width="29.5" style="1532" customWidth="1"/>
    <col min="12802" max="12816" width="4.5" style="1532" customWidth="1"/>
    <col min="12817" max="12817" width="3.8984375" style="1532" customWidth="1"/>
    <col min="12818" max="12818" width="4" style="1532" customWidth="1"/>
    <col min="12819" max="12819" width="4.3984375" style="1532" customWidth="1"/>
    <col min="12820" max="12820" width="4.5" style="1532" customWidth="1"/>
    <col min="12821" max="12821" width="3.8984375" style="1532" customWidth="1"/>
    <col min="12822" max="12822" width="16.09765625" style="1532" customWidth="1"/>
    <col min="12823" max="12823" width="19.8984375" style="1532" customWidth="1"/>
    <col min="12824" max="13055" width="9" style="1532"/>
    <col min="13056" max="13056" width="4.19921875" style="1532" customWidth="1"/>
    <col min="13057" max="13057" width="29.5" style="1532" customWidth="1"/>
    <col min="13058" max="13072" width="4.5" style="1532" customWidth="1"/>
    <col min="13073" max="13073" width="3.8984375" style="1532" customWidth="1"/>
    <col min="13074" max="13074" width="4" style="1532" customWidth="1"/>
    <col min="13075" max="13075" width="4.3984375" style="1532" customWidth="1"/>
    <col min="13076" max="13076" width="4.5" style="1532" customWidth="1"/>
    <col min="13077" max="13077" width="3.8984375" style="1532" customWidth="1"/>
    <col min="13078" max="13078" width="16.09765625" style="1532" customWidth="1"/>
    <col min="13079" max="13079" width="19.8984375" style="1532" customWidth="1"/>
    <col min="13080" max="13311" width="9" style="1532"/>
    <col min="13312" max="13312" width="4.19921875" style="1532" customWidth="1"/>
    <col min="13313" max="13313" width="29.5" style="1532" customWidth="1"/>
    <col min="13314" max="13328" width="4.5" style="1532" customWidth="1"/>
    <col min="13329" max="13329" width="3.8984375" style="1532" customWidth="1"/>
    <col min="13330" max="13330" width="4" style="1532" customWidth="1"/>
    <col min="13331" max="13331" width="4.3984375" style="1532" customWidth="1"/>
    <col min="13332" max="13332" width="4.5" style="1532" customWidth="1"/>
    <col min="13333" max="13333" width="3.8984375" style="1532" customWidth="1"/>
    <col min="13334" max="13334" width="16.09765625" style="1532" customWidth="1"/>
    <col min="13335" max="13335" width="19.8984375" style="1532" customWidth="1"/>
    <col min="13336" max="13567" width="9" style="1532"/>
    <col min="13568" max="13568" width="4.19921875" style="1532" customWidth="1"/>
    <col min="13569" max="13569" width="29.5" style="1532" customWidth="1"/>
    <col min="13570" max="13584" width="4.5" style="1532" customWidth="1"/>
    <col min="13585" max="13585" width="3.8984375" style="1532" customWidth="1"/>
    <col min="13586" max="13586" width="4" style="1532" customWidth="1"/>
    <col min="13587" max="13587" width="4.3984375" style="1532" customWidth="1"/>
    <col min="13588" max="13588" width="4.5" style="1532" customWidth="1"/>
    <col min="13589" max="13589" width="3.8984375" style="1532" customWidth="1"/>
    <col min="13590" max="13590" width="16.09765625" style="1532" customWidth="1"/>
    <col min="13591" max="13591" width="19.8984375" style="1532" customWidth="1"/>
    <col min="13592" max="13823" width="9" style="1532"/>
    <col min="13824" max="13824" width="4.19921875" style="1532" customWidth="1"/>
    <col min="13825" max="13825" width="29.5" style="1532" customWidth="1"/>
    <col min="13826" max="13840" width="4.5" style="1532" customWidth="1"/>
    <col min="13841" max="13841" width="3.8984375" style="1532" customWidth="1"/>
    <col min="13842" max="13842" width="4" style="1532" customWidth="1"/>
    <col min="13843" max="13843" width="4.3984375" style="1532" customWidth="1"/>
    <col min="13844" max="13844" width="4.5" style="1532" customWidth="1"/>
    <col min="13845" max="13845" width="3.8984375" style="1532" customWidth="1"/>
    <col min="13846" max="13846" width="16.09765625" style="1532" customWidth="1"/>
    <col min="13847" max="13847" width="19.8984375" style="1532" customWidth="1"/>
    <col min="13848" max="14079" width="9" style="1532"/>
    <col min="14080" max="14080" width="4.19921875" style="1532" customWidth="1"/>
    <col min="14081" max="14081" width="29.5" style="1532" customWidth="1"/>
    <col min="14082" max="14096" width="4.5" style="1532" customWidth="1"/>
    <col min="14097" max="14097" width="3.8984375" style="1532" customWidth="1"/>
    <col min="14098" max="14098" width="4" style="1532" customWidth="1"/>
    <col min="14099" max="14099" width="4.3984375" style="1532" customWidth="1"/>
    <col min="14100" max="14100" width="4.5" style="1532" customWidth="1"/>
    <col min="14101" max="14101" width="3.8984375" style="1532" customWidth="1"/>
    <col min="14102" max="14102" width="16.09765625" style="1532" customWidth="1"/>
    <col min="14103" max="14103" width="19.8984375" style="1532" customWidth="1"/>
    <col min="14104" max="14335" width="9" style="1532"/>
    <col min="14336" max="14336" width="4.19921875" style="1532" customWidth="1"/>
    <col min="14337" max="14337" width="29.5" style="1532" customWidth="1"/>
    <col min="14338" max="14352" width="4.5" style="1532" customWidth="1"/>
    <col min="14353" max="14353" width="3.8984375" style="1532" customWidth="1"/>
    <col min="14354" max="14354" width="4" style="1532" customWidth="1"/>
    <col min="14355" max="14355" width="4.3984375" style="1532" customWidth="1"/>
    <col min="14356" max="14356" width="4.5" style="1532" customWidth="1"/>
    <col min="14357" max="14357" width="3.8984375" style="1532" customWidth="1"/>
    <col min="14358" max="14358" width="16.09765625" style="1532" customWidth="1"/>
    <col min="14359" max="14359" width="19.8984375" style="1532" customWidth="1"/>
    <col min="14360" max="14591" width="9" style="1532"/>
    <col min="14592" max="14592" width="4.19921875" style="1532" customWidth="1"/>
    <col min="14593" max="14593" width="29.5" style="1532" customWidth="1"/>
    <col min="14594" max="14608" width="4.5" style="1532" customWidth="1"/>
    <col min="14609" max="14609" width="3.8984375" style="1532" customWidth="1"/>
    <col min="14610" max="14610" width="4" style="1532" customWidth="1"/>
    <col min="14611" max="14611" width="4.3984375" style="1532" customWidth="1"/>
    <col min="14612" max="14612" width="4.5" style="1532" customWidth="1"/>
    <col min="14613" max="14613" width="3.8984375" style="1532" customWidth="1"/>
    <col min="14614" max="14614" width="16.09765625" style="1532" customWidth="1"/>
    <col min="14615" max="14615" width="19.8984375" style="1532" customWidth="1"/>
    <col min="14616" max="14847" width="9" style="1532"/>
    <col min="14848" max="14848" width="4.19921875" style="1532" customWidth="1"/>
    <col min="14849" max="14849" width="29.5" style="1532" customWidth="1"/>
    <col min="14850" max="14864" width="4.5" style="1532" customWidth="1"/>
    <col min="14865" max="14865" width="3.8984375" style="1532" customWidth="1"/>
    <col min="14866" max="14866" width="4" style="1532" customWidth="1"/>
    <col min="14867" max="14867" width="4.3984375" style="1532" customWidth="1"/>
    <col min="14868" max="14868" width="4.5" style="1532" customWidth="1"/>
    <col min="14869" max="14869" width="3.8984375" style="1532" customWidth="1"/>
    <col min="14870" max="14870" width="16.09765625" style="1532" customWidth="1"/>
    <col min="14871" max="14871" width="19.8984375" style="1532" customWidth="1"/>
    <col min="14872" max="15103" width="9" style="1532"/>
    <col min="15104" max="15104" width="4.19921875" style="1532" customWidth="1"/>
    <col min="15105" max="15105" width="29.5" style="1532" customWidth="1"/>
    <col min="15106" max="15120" width="4.5" style="1532" customWidth="1"/>
    <col min="15121" max="15121" width="3.8984375" style="1532" customWidth="1"/>
    <col min="15122" max="15122" width="4" style="1532" customWidth="1"/>
    <col min="15123" max="15123" width="4.3984375" style="1532" customWidth="1"/>
    <col min="15124" max="15124" width="4.5" style="1532" customWidth="1"/>
    <col min="15125" max="15125" width="3.8984375" style="1532" customWidth="1"/>
    <col min="15126" max="15126" width="16.09765625" style="1532" customWidth="1"/>
    <col min="15127" max="15127" width="19.8984375" style="1532" customWidth="1"/>
    <col min="15128" max="15359" width="9" style="1532"/>
    <col min="15360" max="15360" width="4.19921875" style="1532" customWidth="1"/>
    <col min="15361" max="15361" width="29.5" style="1532" customWidth="1"/>
    <col min="15362" max="15376" width="4.5" style="1532" customWidth="1"/>
    <col min="15377" max="15377" width="3.8984375" style="1532" customWidth="1"/>
    <col min="15378" max="15378" width="4" style="1532" customWidth="1"/>
    <col min="15379" max="15379" width="4.3984375" style="1532" customWidth="1"/>
    <col min="15380" max="15380" width="4.5" style="1532" customWidth="1"/>
    <col min="15381" max="15381" width="3.8984375" style="1532" customWidth="1"/>
    <col min="15382" max="15382" width="16.09765625" style="1532" customWidth="1"/>
    <col min="15383" max="15383" width="19.8984375" style="1532" customWidth="1"/>
    <col min="15384" max="15615" width="9" style="1532"/>
    <col min="15616" max="15616" width="4.19921875" style="1532" customWidth="1"/>
    <col min="15617" max="15617" width="29.5" style="1532" customWidth="1"/>
    <col min="15618" max="15632" width="4.5" style="1532" customWidth="1"/>
    <col min="15633" max="15633" width="3.8984375" style="1532" customWidth="1"/>
    <col min="15634" max="15634" width="4" style="1532" customWidth="1"/>
    <col min="15635" max="15635" width="4.3984375" style="1532" customWidth="1"/>
    <col min="15636" max="15636" width="4.5" style="1532" customWidth="1"/>
    <col min="15637" max="15637" width="3.8984375" style="1532" customWidth="1"/>
    <col min="15638" max="15638" width="16.09765625" style="1532" customWidth="1"/>
    <col min="15639" max="15639" width="19.8984375" style="1532" customWidth="1"/>
    <col min="15640" max="15871" width="9" style="1532"/>
    <col min="15872" max="15872" width="4.19921875" style="1532" customWidth="1"/>
    <col min="15873" max="15873" width="29.5" style="1532" customWidth="1"/>
    <col min="15874" max="15888" width="4.5" style="1532" customWidth="1"/>
    <col min="15889" max="15889" width="3.8984375" style="1532" customWidth="1"/>
    <col min="15890" max="15890" width="4" style="1532" customWidth="1"/>
    <col min="15891" max="15891" width="4.3984375" style="1532" customWidth="1"/>
    <col min="15892" max="15892" width="4.5" style="1532" customWidth="1"/>
    <col min="15893" max="15893" width="3.8984375" style="1532" customWidth="1"/>
    <col min="15894" max="15894" width="16.09765625" style="1532" customWidth="1"/>
    <col min="15895" max="15895" width="19.8984375" style="1532" customWidth="1"/>
    <col min="15896" max="16127" width="9" style="1532"/>
    <col min="16128" max="16128" width="4.19921875" style="1532" customWidth="1"/>
    <col min="16129" max="16129" width="29.5" style="1532" customWidth="1"/>
    <col min="16130" max="16144" width="4.5" style="1532" customWidth="1"/>
    <col min="16145" max="16145" width="3.8984375" style="1532" customWidth="1"/>
    <col min="16146" max="16146" width="4" style="1532" customWidth="1"/>
    <col min="16147" max="16147" width="4.3984375" style="1532" customWidth="1"/>
    <col min="16148" max="16148" width="4.5" style="1532" customWidth="1"/>
    <col min="16149" max="16149" width="3.8984375" style="1532" customWidth="1"/>
    <col min="16150" max="16150" width="16.09765625" style="1532" customWidth="1"/>
    <col min="16151" max="16151" width="19.8984375" style="1532" customWidth="1"/>
    <col min="16152" max="16384" width="9" style="1532"/>
  </cols>
  <sheetData>
    <row r="1" spans="1:23" ht="20.100000000000001" customHeight="1">
      <c r="A1" s="2164"/>
      <c r="B1" s="2164"/>
      <c r="C1" s="2164"/>
      <c r="D1" s="2164"/>
      <c r="E1" s="2164"/>
      <c r="F1" s="2164"/>
      <c r="G1" s="2164"/>
      <c r="H1" s="2164"/>
      <c r="I1" s="2164"/>
      <c r="J1" s="2164"/>
      <c r="K1" s="2164"/>
      <c r="L1" s="2164"/>
      <c r="M1" s="2164"/>
      <c r="N1" s="2164"/>
      <c r="O1" s="2164"/>
      <c r="P1" s="2164"/>
      <c r="Q1" s="2164"/>
      <c r="R1" s="2164"/>
      <c r="S1" s="2164"/>
      <c r="T1" s="2164"/>
      <c r="U1" s="2164"/>
      <c r="V1" s="2165" t="str">
        <f>"索引号："&amp;档案索引!A39</f>
        <v>索引号：2A-19</v>
      </c>
    </row>
    <row r="2" spans="1:23" s="1564" customFormat="1" ht="16.5" customHeight="1">
      <c r="A2" s="3401" t="s">
        <v>6488</v>
      </c>
      <c r="B2" s="3401"/>
      <c r="C2" s="3401"/>
      <c r="D2" s="3401"/>
      <c r="E2" s="3401"/>
      <c r="F2" s="3401"/>
      <c r="G2" s="3401"/>
      <c r="H2" s="3401"/>
      <c r="I2" s="3401"/>
      <c r="J2" s="3401"/>
      <c r="K2" s="3401"/>
      <c r="L2" s="3401"/>
      <c r="M2" s="3401"/>
      <c r="N2" s="3401"/>
      <c r="O2" s="3401"/>
      <c r="P2" s="3401"/>
      <c r="Q2" s="3401"/>
      <c r="R2" s="3401"/>
      <c r="S2" s="3401"/>
      <c r="T2" s="3401"/>
      <c r="U2" s="3408"/>
      <c r="V2" s="2242"/>
    </row>
    <row r="3" spans="1:23" s="1537" customFormat="1" ht="33" customHeight="1">
      <c r="A3" s="3436" t="s">
        <v>1853</v>
      </c>
      <c r="B3" s="3444" t="s">
        <v>5349</v>
      </c>
      <c r="C3" s="3445"/>
      <c r="D3" s="3439" t="s">
        <v>5350</v>
      </c>
      <c r="E3" s="3440"/>
      <c r="F3" s="3441" t="s">
        <v>5351</v>
      </c>
      <c r="G3" s="3442"/>
      <c r="H3" s="3441" t="s">
        <v>5352</v>
      </c>
      <c r="I3" s="3442"/>
      <c r="J3" s="3441" t="s">
        <v>5353</v>
      </c>
      <c r="K3" s="3442"/>
      <c r="L3" s="3441" t="s">
        <v>1262</v>
      </c>
      <c r="M3" s="3442"/>
      <c r="N3" s="3441" t="s">
        <v>6802</v>
      </c>
      <c r="O3" s="3442"/>
      <c r="P3" s="3439" t="s">
        <v>6806</v>
      </c>
      <c r="Q3" s="3443"/>
      <c r="R3" s="3443"/>
      <c r="S3" s="3443"/>
      <c r="T3" s="3443"/>
      <c r="U3" s="3440"/>
      <c r="V3" s="3425" t="s">
        <v>4899</v>
      </c>
    </row>
    <row r="4" spans="1:23" s="1537" customFormat="1" ht="16.5" customHeight="1">
      <c r="A4" s="3437"/>
      <c r="B4" s="3446"/>
      <c r="C4" s="3447"/>
      <c r="D4" s="3426" t="s">
        <v>5354</v>
      </c>
      <c r="E4" s="3427" t="s">
        <v>6804</v>
      </c>
      <c r="F4" s="3426" t="s">
        <v>5354</v>
      </c>
      <c r="G4" s="3427" t="s">
        <v>6805</v>
      </c>
      <c r="H4" s="3428" t="s">
        <v>5354</v>
      </c>
      <c r="I4" s="3427" t="s">
        <v>6805</v>
      </c>
      <c r="J4" s="3428" t="s">
        <v>5354</v>
      </c>
      <c r="K4" s="3427" t="s">
        <v>6805</v>
      </c>
      <c r="L4" s="3428" t="s">
        <v>5354</v>
      </c>
      <c r="M4" s="3427" t="s">
        <v>6805</v>
      </c>
      <c r="N4" s="3428" t="s">
        <v>6803</v>
      </c>
      <c r="O4" s="3427" t="s">
        <v>6805</v>
      </c>
      <c r="P4" s="3428" t="s">
        <v>5354</v>
      </c>
      <c r="Q4" s="3429" t="s">
        <v>6807</v>
      </c>
      <c r="R4" s="3429" t="s">
        <v>6808</v>
      </c>
      <c r="S4" s="3429" t="s">
        <v>6809</v>
      </c>
      <c r="T4" s="3429" t="s">
        <v>6810</v>
      </c>
      <c r="U4" s="3427" t="s">
        <v>6811</v>
      </c>
      <c r="V4" s="3425"/>
    </row>
    <row r="5" spans="1:23" s="1537" customFormat="1" ht="16.5" customHeight="1">
      <c r="A5" s="3437"/>
      <c r="B5" s="3446"/>
      <c r="C5" s="3447"/>
      <c r="D5" s="3426"/>
      <c r="E5" s="3427"/>
      <c r="F5" s="3426"/>
      <c r="G5" s="3427"/>
      <c r="H5" s="3428"/>
      <c r="I5" s="3427"/>
      <c r="J5" s="3428"/>
      <c r="K5" s="3427"/>
      <c r="L5" s="3428"/>
      <c r="M5" s="3427"/>
      <c r="N5" s="3428"/>
      <c r="O5" s="3427"/>
      <c r="P5" s="3428"/>
      <c r="Q5" s="3429"/>
      <c r="R5" s="3429"/>
      <c r="S5" s="3429"/>
      <c r="T5" s="3429"/>
      <c r="U5" s="3427"/>
      <c r="V5" s="3425"/>
    </row>
    <row r="6" spans="1:23" s="1537" customFormat="1" ht="16.5" customHeight="1">
      <c r="A6" s="3438"/>
      <c r="B6" s="3448"/>
      <c r="C6" s="3449"/>
      <c r="D6" s="2246">
        <v>1</v>
      </c>
      <c r="E6" s="2247">
        <v>2</v>
      </c>
      <c r="F6" s="2246">
        <v>3</v>
      </c>
      <c r="G6" s="2247">
        <v>4</v>
      </c>
      <c r="H6" s="2255">
        <v>5</v>
      </c>
      <c r="I6" s="2247">
        <v>6</v>
      </c>
      <c r="J6" s="2255">
        <v>7</v>
      </c>
      <c r="K6" s="2247">
        <v>8</v>
      </c>
      <c r="L6" s="2255">
        <v>9</v>
      </c>
      <c r="M6" s="2247">
        <v>10</v>
      </c>
      <c r="N6" s="2255">
        <v>11</v>
      </c>
      <c r="O6" s="2247">
        <v>12</v>
      </c>
      <c r="P6" s="2255">
        <v>13</v>
      </c>
      <c r="Q6" s="2256">
        <v>14</v>
      </c>
      <c r="R6" s="2256">
        <v>15</v>
      </c>
      <c r="S6" s="2256">
        <v>16</v>
      </c>
      <c r="T6" s="2256">
        <v>17</v>
      </c>
      <c r="U6" s="2247">
        <v>18</v>
      </c>
      <c r="V6" s="3425"/>
    </row>
    <row r="7" spans="1:23" s="1537" customFormat="1" ht="15" customHeight="1">
      <c r="A7" s="2248">
        <v>1</v>
      </c>
      <c r="B7" s="3430" t="s">
        <v>6812</v>
      </c>
      <c r="C7" s="3431"/>
      <c r="D7" s="2263">
        <f>D8+D9</f>
        <v>0</v>
      </c>
      <c r="E7" s="2265">
        <f t="shared" ref="E7:S7" si="0">E8+E9</f>
        <v>0</v>
      </c>
      <c r="F7" s="2263">
        <f t="shared" si="0"/>
        <v>0</v>
      </c>
      <c r="G7" s="2265">
        <f t="shared" si="0"/>
        <v>0</v>
      </c>
      <c r="H7" s="2263">
        <f t="shared" si="0"/>
        <v>0</v>
      </c>
      <c r="I7" s="2265">
        <f t="shared" si="0"/>
        <v>0</v>
      </c>
      <c r="J7" s="2263">
        <f t="shared" si="0"/>
        <v>0</v>
      </c>
      <c r="K7" s="2265">
        <f t="shared" si="0"/>
        <v>0</v>
      </c>
      <c r="L7" s="2263">
        <f t="shared" si="0"/>
        <v>0</v>
      </c>
      <c r="M7" s="2265">
        <f t="shared" si="0"/>
        <v>0</v>
      </c>
      <c r="N7" s="2263">
        <f t="shared" si="0"/>
        <v>0</v>
      </c>
      <c r="O7" s="2265">
        <f t="shared" si="0"/>
        <v>0</v>
      </c>
      <c r="P7" s="2263">
        <f t="shared" si="0"/>
        <v>0</v>
      </c>
      <c r="Q7" s="2268">
        <f>Q9</f>
        <v>0</v>
      </c>
      <c r="R7" s="2268">
        <f>R8</f>
        <v>0</v>
      </c>
      <c r="S7" s="2268">
        <f t="shared" si="0"/>
        <v>0</v>
      </c>
      <c r="T7" s="2268">
        <f>T9</f>
        <v>0</v>
      </c>
      <c r="U7" s="2265">
        <f>U8</f>
        <v>0</v>
      </c>
      <c r="V7" s="2267" t="s">
        <v>5355</v>
      </c>
      <c r="W7" s="1565"/>
    </row>
    <row r="8" spans="1:23" s="1537" customFormat="1" ht="15" customHeight="1">
      <c r="A8" s="2249">
        <v>2</v>
      </c>
      <c r="B8" s="3432"/>
      <c r="C8" s="2250" t="s">
        <v>6813</v>
      </c>
      <c r="D8" s="2251"/>
      <c r="E8" s="2252"/>
      <c r="F8" s="2251"/>
      <c r="G8" s="2252"/>
      <c r="H8" s="2251"/>
      <c r="I8" s="2252"/>
      <c r="J8" s="2251"/>
      <c r="K8" s="2252"/>
      <c r="L8" s="2251"/>
      <c r="M8" s="2252"/>
      <c r="N8" s="2251"/>
      <c r="O8" s="2252"/>
      <c r="P8" s="2264">
        <f>D8+F8+H8+J8+L8+N8</f>
        <v>0</v>
      </c>
      <c r="Q8" s="2272" t="s">
        <v>509</v>
      </c>
      <c r="R8" s="2271"/>
      <c r="S8" s="2269">
        <f>E8+G8+I8+K8+M8+O8</f>
        <v>0</v>
      </c>
      <c r="T8" s="2272" t="s">
        <v>509</v>
      </c>
      <c r="U8" s="2266">
        <f>S8-R8</f>
        <v>0</v>
      </c>
      <c r="V8" s="2244"/>
    </row>
    <row r="9" spans="1:23" s="1537" customFormat="1" ht="15" customHeight="1">
      <c r="A9" s="2249">
        <v>3</v>
      </c>
      <c r="B9" s="3432"/>
      <c r="C9" s="2250" t="s">
        <v>6814</v>
      </c>
      <c r="D9" s="2251"/>
      <c r="E9" s="2252"/>
      <c r="F9" s="2251"/>
      <c r="G9" s="2252"/>
      <c r="H9" s="2251"/>
      <c r="I9" s="2252"/>
      <c r="J9" s="2251"/>
      <c r="K9" s="2252"/>
      <c r="L9" s="2251"/>
      <c r="M9" s="2252"/>
      <c r="N9" s="2251"/>
      <c r="O9" s="2252"/>
      <c r="P9" s="2264">
        <f>D9+F9+H9+J9+L9+N9</f>
        <v>0</v>
      </c>
      <c r="Q9" s="2257"/>
      <c r="R9" s="2273" t="s">
        <v>509</v>
      </c>
      <c r="S9" s="2269">
        <f>E9+G9+I9+K9+M9+O9</f>
        <v>0</v>
      </c>
      <c r="T9" s="2269">
        <f>S9-Q9</f>
        <v>0</v>
      </c>
      <c r="U9" s="2274" t="s">
        <v>509</v>
      </c>
      <c r="V9" s="2244"/>
    </row>
    <row r="10" spans="1:23" s="1537" customFormat="1" ht="15" customHeight="1">
      <c r="A10" s="2249">
        <v>4</v>
      </c>
      <c r="B10" s="3429" t="s">
        <v>6815</v>
      </c>
      <c r="C10" s="3427"/>
      <c r="D10" s="2264">
        <f>D11+D12</f>
        <v>0</v>
      </c>
      <c r="E10" s="2266">
        <f t="shared" ref="E10:S10" si="1">E11+E12</f>
        <v>0</v>
      </c>
      <c r="F10" s="2264">
        <f t="shared" si="1"/>
        <v>0</v>
      </c>
      <c r="G10" s="2266">
        <f t="shared" si="1"/>
        <v>0</v>
      </c>
      <c r="H10" s="2264">
        <f t="shared" si="1"/>
        <v>0</v>
      </c>
      <c r="I10" s="2266">
        <f t="shared" si="1"/>
        <v>0</v>
      </c>
      <c r="J10" s="2264">
        <f t="shared" si="1"/>
        <v>0</v>
      </c>
      <c r="K10" s="2266">
        <f t="shared" si="1"/>
        <v>0</v>
      </c>
      <c r="L10" s="2264">
        <f t="shared" si="1"/>
        <v>0</v>
      </c>
      <c r="M10" s="2266">
        <f t="shared" si="1"/>
        <v>0</v>
      </c>
      <c r="N10" s="2264">
        <f t="shared" si="1"/>
        <v>0</v>
      </c>
      <c r="O10" s="2266">
        <f t="shared" si="1"/>
        <v>0</v>
      </c>
      <c r="P10" s="2264">
        <f t="shared" si="1"/>
        <v>0</v>
      </c>
      <c r="Q10" s="2269">
        <f>Q12</f>
        <v>0</v>
      </c>
      <c r="R10" s="2269">
        <f>R11</f>
        <v>0</v>
      </c>
      <c r="S10" s="2269">
        <f t="shared" si="1"/>
        <v>0</v>
      </c>
      <c r="T10" s="2269">
        <f>T12</f>
        <v>0</v>
      </c>
      <c r="U10" s="2266">
        <f>U11</f>
        <v>0</v>
      </c>
      <c r="V10" s="2245"/>
      <c r="W10" s="1675" t="s">
        <v>6441</v>
      </c>
    </row>
    <row r="11" spans="1:23" s="1537" customFormat="1" ht="15" customHeight="1">
      <c r="A11" s="2249">
        <v>5</v>
      </c>
      <c r="B11" s="3429" t="s">
        <v>6816</v>
      </c>
      <c r="C11" s="2250" t="s">
        <v>6813</v>
      </c>
      <c r="D11" s="2251"/>
      <c r="E11" s="2252"/>
      <c r="F11" s="2251"/>
      <c r="G11" s="2252"/>
      <c r="H11" s="2251"/>
      <c r="I11" s="2252"/>
      <c r="J11" s="2251"/>
      <c r="K11" s="2252"/>
      <c r="L11" s="2251"/>
      <c r="M11" s="2252"/>
      <c r="N11" s="2251"/>
      <c r="O11" s="2252"/>
      <c r="P11" s="2264">
        <f>D11+F11+H11+J11+L11+N11</f>
        <v>0</v>
      </c>
      <c r="Q11" s="2272" t="s">
        <v>509</v>
      </c>
      <c r="R11" s="2257"/>
      <c r="S11" s="2269">
        <f>E11+G11+I11+K11+M11+O11</f>
        <v>0</v>
      </c>
      <c r="T11" s="2272" t="s">
        <v>509</v>
      </c>
      <c r="U11" s="2266">
        <f>S11-R11</f>
        <v>0</v>
      </c>
      <c r="V11" s="2245"/>
      <c r="W11" s="1675" t="s">
        <v>561</v>
      </c>
    </row>
    <row r="12" spans="1:23" s="1537" customFormat="1" ht="15" customHeight="1">
      <c r="A12" s="2249">
        <v>6</v>
      </c>
      <c r="B12" s="3429"/>
      <c r="C12" s="2250" t="s">
        <v>6814</v>
      </c>
      <c r="D12" s="2251"/>
      <c r="E12" s="2252"/>
      <c r="F12" s="2251"/>
      <c r="G12" s="2252"/>
      <c r="H12" s="2251"/>
      <c r="I12" s="2252"/>
      <c r="J12" s="2251"/>
      <c r="K12" s="2252"/>
      <c r="L12" s="2251"/>
      <c r="M12" s="2252"/>
      <c r="N12" s="2251"/>
      <c r="O12" s="2252"/>
      <c r="P12" s="2264">
        <f>D12+F12+H12+J12+L12+N12</f>
        <v>0</v>
      </c>
      <c r="Q12" s="2257"/>
      <c r="R12" s="2272" t="s">
        <v>509</v>
      </c>
      <c r="S12" s="2269">
        <f>E12+G12+I12+K12+M12+O12</f>
        <v>0</v>
      </c>
      <c r="T12" s="2269">
        <f>S12-Q12</f>
        <v>0</v>
      </c>
      <c r="U12" s="2274" t="s">
        <v>509</v>
      </c>
      <c r="V12" s="2244"/>
    </row>
    <row r="13" spans="1:23" s="1537" customFormat="1" ht="15" customHeight="1">
      <c r="A13" s="2249">
        <v>7</v>
      </c>
      <c r="B13" s="3429" t="s">
        <v>6817</v>
      </c>
      <c r="C13" s="3427"/>
      <c r="D13" s="2264">
        <f>D14+D17</f>
        <v>0</v>
      </c>
      <c r="E13" s="2266">
        <f t="shared" ref="E13:U13" si="2">E14+E17</f>
        <v>0</v>
      </c>
      <c r="F13" s="2264">
        <f t="shared" si="2"/>
        <v>0</v>
      </c>
      <c r="G13" s="2266">
        <f t="shared" si="2"/>
        <v>0</v>
      </c>
      <c r="H13" s="2264">
        <f t="shared" si="2"/>
        <v>0</v>
      </c>
      <c r="I13" s="2266">
        <f t="shared" si="2"/>
        <v>0</v>
      </c>
      <c r="J13" s="2264">
        <f t="shared" si="2"/>
        <v>0</v>
      </c>
      <c r="K13" s="2266">
        <f t="shared" si="2"/>
        <v>0</v>
      </c>
      <c r="L13" s="2264">
        <f t="shared" si="2"/>
        <v>0</v>
      </c>
      <c r="M13" s="2266">
        <f t="shared" si="2"/>
        <v>0</v>
      </c>
      <c r="N13" s="2264">
        <f t="shared" si="2"/>
        <v>0</v>
      </c>
      <c r="O13" s="2266">
        <f t="shared" si="2"/>
        <v>0</v>
      </c>
      <c r="P13" s="2264">
        <f t="shared" si="2"/>
        <v>0</v>
      </c>
      <c r="Q13" s="2269">
        <f t="shared" si="2"/>
        <v>0</v>
      </c>
      <c r="R13" s="2269">
        <f t="shared" si="2"/>
        <v>0</v>
      </c>
      <c r="S13" s="2269">
        <f t="shared" si="2"/>
        <v>0</v>
      </c>
      <c r="T13" s="2269">
        <f t="shared" si="2"/>
        <v>0</v>
      </c>
      <c r="U13" s="2266">
        <f t="shared" si="2"/>
        <v>0</v>
      </c>
      <c r="V13" s="2245"/>
      <c r="W13" s="1675" t="s">
        <v>6443</v>
      </c>
    </row>
    <row r="14" spans="1:23" s="1537" customFormat="1" ht="15" customHeight="1">
      <c r="A14" s="2249">
        <v>8</v>
      </c>
      <c r="B14" s="3433" t="s">
        <v>6818</v>
      </c>
      <c r="C14" s="3434"/>
      <c r="D14" s="2264">
        <f>D15+D16</f>
        <v>0</v>
      </c>
      <c r="E14" s="2266">
        <f t="shared" ref="E14:S14" si="3">E15+E16</f>
        <v>0</v>
      </c>
      <c r="F14" s="2264">
        <f t="shared" si="3"/>
        <v>0</v>
      </c>
      <c r="G14" s="2266">
        <f t="shared" si="3"/>
        <v>0</v>
      </c>
      <c r="H14" s="2264">
        <f t="shared" si="3"/>
        <v>0</v>
      </c>
      <c r="I14" s="2266">
        <f t="shared" si="3"/>
        <v>0</v>
      </c>
      <c r="J14" s="2264">
        <f t="shared" si="3"/>
        <v>0</v>
      </c>
      <c r="K14" s="2266">
        <f t="shared" si="3"/>
        <v>0</v>
      </c>
      <c r="L14" s="2264">
        <f t="shared" si="3"/>
        <v>0</v>
      </c>
      <c r="M14" s="2266">
        <f t="shared" si="3"/>
        <v>0</v>
      </c>
      <c r="N14" s="2264">
        <f t="shared" si="3"/>
        <v>0</v>
      </c>
      <c r="O14" s="2266">
        <f t="shared" si="3"/>
        <v>0</v>
      </c>
      <c r="P14" s="2264">
        <f t="shared" si="3"/>
        <v>0</v>
      </c>
      <c r="Q14" s="2269">
        <f>Q16</f>
        <v>0</v>
      </c>
      <c r="R14" s="2269">
        <f>R15</f>
        <v>0</v>
      </c>
      <c r="S14" s="2269">
        <f t="shared" si="3"/>
        <v>0</v>
      </c>
      <c r="T14" s="2269">
        <f>T16</f>
        <v>0</v>
      </c>
      <c r="U14" s="2266">
        <f>U15</f>
        <v>0</v>
      </c>
      <c r="V14" s="2244"/>
    </row>
    <row r="15" spans="1:23" s="1537" customFormat="1" ht="15" customHeight="1">
      <c r="A15" s="2249">
        <v>9</v>
      </c>
      <c r="B15" s="3435"/>
      <c r="C15" s="2250" t="s">
        <v>6813</v>
      </c>
      <c r="D15" s="2251"/>
      <c r="E15" s="2252"/>
      <c r="F15" s="2251"/>
      <c r="G15" s="2252"/>
      <c r="H15" s="2251"/>
      <c r="I15" s="2252"/>
      <c r="J15" s="2251"/>
      <c r="K15" s="2252"/>
      <c r="L15" s="2251"/>
      <c r="M15" s="2252"/>
      <c r="N15" s="2251"/>
      <c r="O15" s="2252"/>
      <c r="P15" s="2264">
        <f>D15+F15+H15+J15+L15+N15</f>
        <v>0</v>
      </c>
      <c r="Q15" s="2272" t="s">
        <v>509</v>
      </c>
      <c r="R15" s="2257"/>
      <c r="S15" s="2269">
        <f>E15+G15+I15+K15+M15+O15</f>
        <v>0</v>
      </c>
      <c r="T15" s="2272" t="s">
        <v>509</v>
      </c>
      <c r="U15" s="2266">
        <f>S15-R15</f>
        <v>0</v>
      </c>
      <c r="V15" s="2244"/>
    </row>
    <row r="16" spans="1:23" s="1537" customFormat="1" ht="15" customHeight="1">
      <c r="A16" s="2249">
        <v>10</v>
      </c>
      <c r="B16" s="3435"/>
      <c r="C16" s="2250" t="s">
        <v>6814</v>
      </c>
      <c r="D16" s="2251"/>
      <c r="E16" s="2252"/>
      <c r="F16" s="2251"/>
      <c r="G16" s="2252"/>
      <c r="H16" s="2251"/>
      <c r="I16" s="2252"/>
      <c r="J16" s="2251"/>
      <c r="K16" s="2252"/>
      <c r="L16" s="2251"/>
      <c r="M16" s="2252"/>
      <c r="N16" s="2251"/>
      <c r="O16" s="2252"/>
      <c r="P16" s="2264">
        <f>D16+F16+H16+J16+L16+N16</f>
        <v>0</v>
      </c>
      <c r="Q16" s="2257"/>
      <c r="R16" s="2272" t="s">
        <v>509</v>
      </c>
      <c r="S16" s="2269">
        <f>E16+G16+I16+K16+M16+O16</f>
        <v>0</v>
      </c>
      <c r="T16" s="2269">
        <f>S16-Q16</f>
        <v>0</v>
      </c>
      <c r="U16" s="2274" t="s">
        <v>509</v>
      </c>
      <c r="V16" s="2245"/>
    </row>
    <row r="17" spans="1:22" s="1537" customFormat="1" ht="15" customHeight="1">
      <c r="A17" s="2249">
        <v>11</v>
      </c>
      <c r="B17" s="3450" t="s">
        <v>6819</v>
      </c>
      <c r="C17" s="3451"/>
      <c r="D17" s="2264">
        <f>D18+D19</f>
        <v>0</v>
      </c>
      <c r="E17" s="2266">
        <f t="shared" ref="E17" si="4">E18+E19</f>
        <v>0</v>
      </c>
      <c r="F17" s="2264">
        <f t="shared" ref="F17" si="5">F18+F19</f>
        <v>0</v>
      </c>
      <c r="G17" s="2266">
        <f t="shared" ref="G17" si="6">G18+G19</f>
        <v>0</v>
      </c>
      <c r="H17" s="2264">
        <f t="shared" ref="H17" si="7">H18+H19</f>
        <v>0</v>
      </c>
      <c r="I17" s="2266">
        <f t="shared" ref="I17" si="8">I18+I19</f>
        <v>0</v>
      </c>
      <c r="J17" s="2264">
        <f t="shared" ref="J17" si="9">J18+J19</f>
        <v>0</v>
      </c>
      <c r="K17" s="2266">
        <f t="shared" ref="K17" si="10">K18+K19</f>
        <v>0</v>
      </c>
      <c r="L17" s="2264">
        <f t="shared" ref="L17" si="11">L18+L19</f>
        <v>0</v>
      </c>
      <c r="M17" s="2266">
        <f t="shared" ref="M17" si="12">M18+M19</f>
        <v>0</v>
      </c>
      <c r="N17" s="2264">
        <f t="shared" ref="N17" si="13">N18+N19</f>
        <v>0</v>
      </c>
      <c r="O17" s="2266">
        <f t="shared" ref="O17" si="14">O18+O19</f>
        <v>0</v>
      </c>
      <c r="P17" s="2264">
        <f t="shared" ref="P17" si="15">P18+P19</f>
        <v>0</v>
      </c>
      <c r="Q17" s="2269">
        <f>Q19</f>
        <v>0</v>
      </c>
      <c r="R17" s="2269">
        <f>R18</f>
        <v>0</v>
      </c>
      <c r="S17" s="2269">
        <f t="shared" ref="S17" si="16">S18+S19</f>
        <v>0</v>
      </c>
      <c r="T17" s="2269">
        <f>T19</f>
        <v>0</v>
      </c>
      <c r="U17" s="2266">
        <f>U18</f>
        <v>0</v>
      </c>
      <c r="V17" s="2245"/>
    </row>
    <row r="18" spans="1:22" s="1537" customFormat="1" ht="15" customHeight="1">
      <c r="A18" s="2249">
        <v>12</v>
      </c>
      <c r="B18" s="3433" t="s">
        <v>6820</v>
      </c>
      <c r="C18" s="2250" t="s">
        <v>6813</v>
      </c>
      <c r="D18" s="2251"/>
      <c r="E18" s="2252"/>
      <c r="F18" s="2251"/>
      <c r="G18" s="2252"/>
      <c r="H18" s="2251"/>
      <c r="I18" s="2252"/>
      <c r="J18" s="2251"/>
      <c r="K18" s="2252"/>
      <c r="L18" s="2251"/>
      <c r="M18" s="2252"/>
      <c r="N18" s="2251"/>
      <c r="O18" s="2252"/>
      <c r="P18" s="2264">
        <f>D18+F18+H18+J18+L18+N18</f>
        <v>0</v>
      </c>
      <c r="Q18" s="2272" t="s">
        <v>509</v>
      </c>
      <c r="R18" s="2257"/>
      <c r="S18" s="2269">
        <f>E18+G18+I18+K18+M18+O18</f>
        <v>0</v>
      </c>
      <c r="T18" s="2272" t="s">
        <v>509</v>
      </c>
      <c r="U18" s="2266">
        <f>S18-R18</f>
        <v>0</v>
      </c>
      <c r="V18" s="2245"/>
    </row>
    <row r="19" spans="1:22" s="1537" customFormat="1" ht="15" customHeight="1">
      <c r="A19" s="2249">
        <v>13</v>
      </c>
      <c r="B19" s="3433"/>
      <c r="C19" s="2250" t="s">
        <v>6814</v>
      </c>
      <c r="D19" s="2251"/>
      <c r="E19" s="2252"/>
      <c r="F19" s="2251"/>
      <c r="G19" s="2252"/>
      <c r="H19" s="2251"/>
      <c r="I19" s="2252"/>
      <c r="J19" s="2251"/>
      <c r="K19" s="2252"/>
      <c r="L19" s="2251"/>
      <c r="M19" s="2252"/>
      <c r="N19" s="2251"/>
      <c r="O19" s="2252"/>
      <c r="P19" s="2264">
        <f>D19+F19+H19+J19+L19+N19</f>
        <v>0</v>
      </c>
      <c r="Q19" s="2257"/>
      <c r="R19" s="2272" t="s">
        <v>509</v>
      </c>
      <c r="S19" s="2269">
        <f>E19+G19+I19+K19+M19+O19</f>
        <v>0</v>
      </c>
      <c r="T19" s="2269">
        <f>S19-Q19</f>
        <v>0</v>
      </c>
      <c r="U19" s="2274" t="s">
        <v>509</v>
      </c>
      <c r="V19" s="2245"/>
    </row>
    <row r="20" spans="1:22" s="1537" customFormat="1" ht="18" customHeight="1">
      <c r="A20" s="2246">
        <v>14</v>
      </c>
      <c r="B20" s="3452" t="s">
        <v>6821</v>
      </c>
      <c r="C20" s="3453"/>
      <c r="D20" s="2253">
        <f>D7+D10+D13</f>
        <v>0</v>
      </c>
      <c r="E20" s="2254">
        <f t="shared" ref="E20:U20" si="17">E7+E10+E13</f>
        <v>0</v>
      </c>
      <c r="F20" s="2253">
        <f t="shared" si="17"/>
        <v>0</v>
      </c>
      <c r="G20" s="2254">
        <f t="shared" si="17"/>
        <v>0</v>
      </c>
      <c r="H20" s="2253">
        <f t="shared" si="17"/>
        <v>0</v>
      </c>
      <c r="I20" s="2254">
        <f t="shared" si="17"/>
        <v>0</v>
      </c>
      <c r="J20" s="2253">
        <f t="shared" si="17"/>
        <v>0</v>
      </c>
      <c r="K20" s="2254">
        <f t="shared" si="17"/>
        <v>0</v>
      </c>
      <c r="L20" s="2253">
        <f t="shared" si="17"/>
        <v>0</v>
      </c>
      <c r="M20" s="2254">
        <f t="shared" si="17"/>
        <v>0</v>
      </c>
      <c r="N20" s="2253">
        <f t="shared" si="17"/>
        <v>0</v>
      </c>
      <c r="O20" s="2254">
        <f t="shared" si="17"/>
        <v>0</v>
      </c>
      <c r="P20" s="2253">
        <f t="shared" si="17"/>
        <v>0</v>
      </c>
      <c r="Q20" s="2261">
        <f t="shared" si="17"/>
        <v>0</v>
      </c>
      <c r="R20" s="2261">
        <f t="shared" si="17"/>
        <v>0</v>
      </c>
      <c r="S20" s="2261">
        <f t="shared" si="17"/>
        <v>0</v>
      </c>
      <c r="T20" s="2261">
        <f t="shared" si="17"/>
        <v>0</v>
      </c>
      <c r="U20" s="2254">
        <f t="shared" si="17"/>
        <v>0</v>
      </c>
      <c r="V20" s="2245"/>
    </row>
    <row r="21" spans="1:22" s="1537" customFormat="1" ht="12.75" customHeight="1">
      <c r="A21" s="2237">
        <v>15</v>
      </c>
      <c r="B21" s="3454" t="s">
        <v>6822</v>
      </c>
      <c r="C21" s="3455"/>
      <c r="D21" s="3455"/>
      <c r="E21" s="3455"/>
      <c r="F21" s="3455"/>
      <c r="G21" s="3455"/>
      <c r="H21" s="3455"/>
      <c r="I21" s="3455"/>
      <c r="J21" s="3455"/>
      <c r="K21" s="3455"/>
      <c r="L21" s="3455"/>
      <c r="M21" s="3455"/>
      <c r="N21" s="3455"/>
      <c r="O21" s="3455"/>
      <c r="P21" s="3455"/>
      <c r="Q21" s="3456"/>
      <c r="R21" s="3456"/>
      <c r="S21" s="3456"/>
      <c r="T21" s="3456"/>
      <c r="U21" s="3457"/>
      <c r="V21" s="2243"/>
    </row>
    <row r="22" spans="1:22" s="1537" customFormat="1" ht="15" customHeight="1">
      <c r="A22" s="2248">
        <v>16</v>
      </c>
      <c r="B22" s="3458" t="s">
        <v>6823</v>
      </c>
      <c r="C22" s="3459"/>
      <c r="D22" s="2263">
        <f>D23+D24</f>
        <v>0</v>
      </c>
      <c r="E22" s="2265">
        <f t="shared" ref="E22" si="18">E23+E24</f>
        <v>0</v>
      </c>
      <c r="F22" s="2263">
        <f t="shared" ref="F22" si="19">F23+F24</f>
        <v>0</v>
      </c>
      <c r="G22" s="2265">
        <f t="shared" ref="G22" si="20">G23+G24</f>
        <v>0</v>
      </c>
      <c r="H22" s="2263">
        <f t="shared" ref="H22" si="21">H23+H24</f>
        <v>0</v>
      </c>
      <c r="I22" s="2265">
        <f t="shared" ref="I22" si="22">I23+I24</f>
        <v>0</v>
      </c>
      <c r="J22" s="2263">
        <f t="shared" ref="J22" si="23">J23+J24</f>
        <v>0</v>
      </c>
      <c r="K22" s="2265">
        <f t="shared" ref="K22" si="24">K23+K24</f>
        <v>0</v>
      </c>
      <c r="L22" s="2263">
        <f t="shared" ref="L22" si="25">L23+L24</f>
        <v>0</v>
      </c>
      <c r="M22" s="2265">
        <f t="shared" ref="M22" si="26">M23+M24</f>
        <v>0</v>
      </c>
      <c r="N22" s="2263">
        <f t="shared" ref="N22" si="27">N23+N24</f>
        <v>0</v>
      </c>
      <c r="O22" s="2265">
        <f t="shared" ref="O22" si="28">O23+O24</f>
        <v>0</v>
      </c>
      <c r="P22" s="2263">
        <f t="shared" ref="P22" si="29">P23+P24</f>
        <v>0</v>
      </c>
      <c r="Q22" s="2268">
        <f>Q24</f>
        <v>0</v>
      </c>
      <c r="R22" s="2268">
        <f>R23</f>
        <v>0</v>
      </c>
      <c r="S22" s="2268">
        <f t="shared" ref="S22" si="30">S23+S24</f>
        <v>0</v>
      </c>
      <c r="T22" s="2268">
        <f>T24</f>
        <v>0</v>
      </c>
      <c r="U22" s="2265">
        <f>U23</f>
        <v>0</v>
      </c>
      <c r="V22" s="2245"/>
    </row>
    <row r="23" spans="1:22" s="1537" customFormat="1" ht="15" customHeight="1">
      <c r="A23" s="2249">
        <v>17</v>
      </c>
      <c r="B23" s="3433" t="s">
        <v>6824</v>
      </c>
      <c r="C23" s="2250" t="s">
        <v>6813</v>
      </c>
      <c r="D23" s="2258"/>
      <c r="E23" s="2259"/>
      <c r="F23" s="2258"/>
      <c r="G23" s="2259"/>
      <c r="H23" s="2258"/>
      <c r="I23" s="2259"/>
      <c r="J23" s="2258"/>
      <c r="K23" s="2259"/>
      <c r="L23" s="2258"/>
      <c r="M23" s="2259"/>
      <c r="N23" s="2258"/>
      <c r="O23" s="2259"/>
      <c r="P23" s="2264">
        <f>D23+F23+H23+J23+L23+N23</f>
        <v>0</v>
      </c>
      <c r="Q23" s="2272" t="s">
        <v>509</v>
      </c>
      <c r="R23" s="2260"/>
      <c r="S23" s="2269">
        <f>E23+G23+I23+K23+M23+O23</f>
        <v>0</v>
      </c>
      <c r="T23" s="2272" t="s">
        <v>509</v>
      </c>
      <c r="U23" s="2266">
        <f>S23-R23</f>
        <v>0</v>
      </c>
      <c r="V23" s="2245"/>
    </row>
    <row r="24" spans="1:22" s="1537" customFormat="1" ht="15" customHeight="1">
      <c r="A24" s="2249">
        <v>18</v>
      </c>
      <c r="B24" s="3433"/>
      <c r="C24" s="2250" t="s">
        <v>6814</v>
      </c>
      <c r="D24" s="2258"/>
      <c r="E24" s="2259"/>
      <c r="F24" s="2258"/>
      <c r="G24" s="2259"/>
      <c r="H24" s="2258"/>
      <c r="I24" s="2259"/>
      <c r="J24" s="2258"/>
      <c r="K24" s="2259"/>
      <c r="L24" s="2258"/>
      <c r="M24" s="2259"/>
      <c r="N24" s="2258"/>
      <c r="O24" s="2259"/>
      <c r="P24" s="2264">
        <f>D24+F24+H24+J24+L24+N24</f>
        <v>0</v>
      </c>
      <c r="Q24" s="2260"/>
      <c r="R24" s="2272" t="s">
        <v>509</v>
      </c>
      <c r="S24" s="2269">
        <f>E24+G24+I24+K24+M24+O24</f>
        <v>0</v>
      </c>
      <c r="T24" s="2269">
        <f>S24-Q24</f>
        <v>0</v>
      </c>
      <c r="U24" s="2274" t="s">
        <v>509</v>
      </c>
      <c r="V24" s="2245"/>
    </row>
    <row r="25" spans="1:22" s="1537" customFormat="1" ht="15" customHeight="1">
      <c r="A25" s="2249">
        <v>19</v>
      </c>
      <c r="B25" s="3450" t="s">
        <v>6825</v>
      </c>
      <c r="C25" s="3451"/>
      <c r="D25" s="2264">
        <f>D26+D27</f>
        <v>0</v>
      </c>
      <c r="E25" s="2266">
        <f t="shared" ref="E25" si="31">E26+E27</f>
        <v>0</v>
      </c>
      <c r="F25" s="2264">
        <f t="shared" ref="F25" si="32">F26+F27</f>
        <v>0</v>
      </c>
      <c r="G25" s="2266">
        <f t="shared" ref="G25" si="33">G26+G27</f>
        <v>0</v>
      </c>
      <c r="H25" s="2264">
        <f t="shared" ref="H25" si="34">H26+H27</f>
        <v>0</v>
      </c>
      <c r="I25" s="2266">
        <f t="shared" ref="I25" si="35">I26+I27</f>
        <v>0</v>
      </c>
      <c r="J25" s="2264">
        <f t="shared" ref="J25" si="36">J26+J27</f>
        <v>0</v>
      </c>
      <c r="K25" s="2266">
        <f t="shared" ref="K25" si="37">K26+K27</f>
        <v>0</v>
      </c>
      <c r="L25" s="2264">
        <f t="shared" ref="L25" si="38">L26+L27</f>
        <v>0</v>
      </c>
      <c r="M25" s="2266">
        <f t="shared" ref="M25" si="39">M26+M27</f>
        <v>0</v>
      </c>
      <c r="N25" s="2264">
        <f t="shared" ref="N25" si="40">N26+N27</f>
        <v>0</v>
      </c>
      <c r="O25" s="2266">
        <f t="shared" ref="O25" si="41">O26+O27</f>
        <v>0</v>
      </c>
      <c r="P25" s="2264">
        <f t="shared" ref="P25" si="42">P26+P27</f>
        <v>0</v>
      </c>
      <c r="Q25" s="2269">
        <f>Q27</f>
        <v>0</v>
      </c>
      <c r="R25" s="2269">
        <f>R26</f>
        <v>0</v>
      </c>
      <c r="S25" s="2269">
        <f t="shared" ref="S25" si="43">S26+S27</f>
        <v>0</v>
      </c>
      <c r="T25" s="2269">
        <f>T27</f>
        <v>0</v>
      </c>
      <c r="U25" s="2266">
        <f>U26</f>
        <v>0</v>
      </c>
      <c r="V25" s="2245"/>
    </row>
    <row r="26" spans="1:22" s="1537" customFormat="1" ht="15" customHeight="1">
      <c r="A26" s="2249">
        <v>20</v>
      </c>
      <c r="B26" s="3433" t="s">
        <v>6824</v>
      </c>
      <c r="C26" s="2250" t="s">
        <v>6813</v>
      </c>
      <c r="D26" s="2258"/>
      <c r="E26" s="2259"/>
      <c r="F26" s="2258"/>
      <c r="G26" s="2259"/>
      <c r="H26" s="2258"/>
      <c r="I26" s="2259"/>
      <c r="J26" s="2258"/>
      <c r="K26" s="2259"/>
      <c r="L26" s="2258"/>
      <c r="M26" s="2259"/>
      <c r="N26" s="2258"/>
      <c r="O26" s="2259"/>
      <c r="P26" s="2264">
        <f>D26+F26+H26+J26+L26+N26</f>
        <v>0</v>
      </c>
      <c r="Q26" s="2272" t="s">
        <v>509</v>
      </c>
      <c r="R26" s="2260"/>
      <c r="S26" s="2269">
        <f>E26+G26+I26+K26+M26+O26</f>
        <v>0</v>
      </c>
      <c r="T26" s="2272" t="s">
        <v>509</v>
      </c>
      <c r="U26" s="2266">
        <f>S26-R26</f>
        <v>0</v>
      </c>
      <c r="V26" s="2245"/>
    </row>
    <row r="27" spans="1:22" s="1537" customFormat="1" ht="15" customHeight="1">
      <c r="A27" s="2249">
        <v>21</v>
      </c>
      <c r="B27" s="3433"/>
      <c r="C27" s="2250" t="s">
        <v>6814</v>
      </c>
      <c r="D27" s="2258"/>
      <c r="E27" s="2259"/>
      <c r="F27" s="2258"/>
      <c r="G27" s="2259"/>
      <c r="H27" s="2258"/>
      <c r="I27" s="2259"/>
      <c r="J27" s="2258"/>
      <c r="K27" s="2259"/>
      <c r="L27" s="2258"/>
      <c r="M27" s="2259"/>
      <c r="N27" s="2258"/>
      <c r="O27" s="2259"/>
      <c r="P27" s="2264">
        <f>D27+F27+H27+J27+L27+N27</f>
        <v>0</v>
      </c>
      <c r="Q27" s="2260"/>
      <c r="R27" s="2272" t="s">
        <v>509</v>
      </c>
      <c r="S27" s="2269">
        <f>E27+G27+I27+K27+M27+O27</f>
        <v>0</v>
      </c>
      <c r="T27" s="2269">
        <f>S27-Q27</f>
        <v>0</v>
      </c>
      <c r="U27" s="2274" t="s">
        <v>509</v>
      </c>
      <c r="V27" s="2245"/>
    </row>
    <row r="28" spans="1:22" s="1537" customFormat="1" ht="15" customHeight="1">
      <c r="A28" s="2249">
        <v>22</v>
      </c>
      <c r="B28" s="3450" t="s">
        <v>6826</v>
      </c>
      <c r="C28" s="3451"/>
      <c r="D28" s="2264">
        <f>D29+D30</f>
        <v>0</v>
      </c>
      <c r="E28" s="2266">
        <f t="shared" ref="E28" si="44">E29+E30</f>
        <v>0</v>
      </c>
      <c r="F28" s="2264">
        <f t="shared" ref="F28" si="45">F29+F30</f>
        <v>0</v>
      </c>
      <c r="G28" s="2266">
        <f t="shared" ref="G28" si="46">G29+G30</f>
        <v>0</v>
      </c>
      <c r="H28" s="2264">
        <f t="shared" ref="H28" si="47">H29+H30</f>
        <v>0</v>
      </c>
      <c r="I28" s="2266">
        <f t="shared" ref="I28" si="48">I29+I30</f>
        <v>0</v>
      </c>
      <c r="J28" s="2264">
        <f t="shared" ref="J28" si="49">J29+J30</f>
        <v>0</v>
      </c>
      <c r="K28" s="2266">
        <f t="shared" ref="K28" si="50">K29+K30</f>
        <v>0</v>
      </c>
      <c r="L28" s="2264">
        <f t="shared" ref="L28" si="51">L29+L30</f>
        <v>0</v>
      </c>
      <c r="M28" s="2266">
        <f t="shared" ref="M28" si="52">M29+M30</f>
        <v>0</v>
      </c>
      <c r="N28" s="2264">
        <f t="shared" ref="N28" si="53">N29+N30</f>
        <v>0</v>
      </c>
      <c r="O28" s="2266">
        <f t="shared" ref="O28" si="54">O29+O30</f>
        <v>0</v>
      </c>
      <c r="P28" s="2264">
        <f t="shared" ref="P28" si="55">P29+P30</f>
        <v>0</v>
      </c>
      <c r="Q28" s="2269">
        <f>Q30</f>
        <v>0</v>
      </c>
      <c r="R28" s="2269">
        <f>R29</f>
        <v>0</v>
      </c>
      <c r="S28" s="2269">
        <f t="shared" ref="S28" si="56">S29+S30</f>
        <v>0</v>
      </c>
      <c r="T28" s="2269">
        <f>T30</f>
        <v>0</v>
      </c>
      <c r="U28" s="2266">
        <f>U29</f>
        <v>0</v>
      </c>
      <c r="V28" s="2245"/>
    </row>
    <row r="29" spans="1:22" s="1537" customFormat="1" ht="15" customHeight="1">
      <c r="A29" s="2249">
        <v>23</v>
      </c>
      <c r="B29" s="3433" t="s">
        <v>6824</v>
      </c>
      <c r="C29" s="2250" t="s">
        <v>6813</v>
      </c>
      <c r="D29" s="2258"/>
      <c r="E29" s="2259"/>
      <c r="F29" s="2258"/>
      <c r="G29" s="2259"/>
      <c r="H29" s="2258"/>
      <c r="I29" s="2259"/>
      <c r="J29" s="2258"/>
      <c r="K29" s="2259"/>
      <c r="L29" s="2258"/>
      <c r="M29" s="2259"/>
      <c r="N29" s="2258"/>
      <c r="O29" s="2259"/>
      <c r="P29" s="2264">
        <f>D29+F29+H29+J29+L29+N29</f>
        <v>0</v>
      </c>
      <c r="Q29" s="2272" t="s">
        <v>509</v>
      </c>
      <c r="R29" s="2260"/>
      <c r="S29" s="2269">
        <f>E29+G29+I29+K29+M29+O29</f>
        <v>0</v>
      </c>
      <c r="T29" s="2272" t="s">
        <v>509</v>
      </c>
      <c r="U29" s="2266">
        <f>S29-R29</f>
        <v>0</v>
      </c>
      <c r="V29" s="2245"/>
    </row>
    <row r="30" spans="1:22" s="1537" customFormat="1" ht="15" customHeight="1">
      <c r="A30" s="2249">
        <v>24</v>
      </c>
      <c r="B30" s="3433"/>
      <c r="C30" s="2250" t="s">
        <v>6814</v>
      </c>
      <c r="D30" s="2258"/>
      <c r="E30" s="2259"/>
      <c r="F30" s="2258"/>
      <c r="G30" s="2259"/>
      <c r="H30" s="2258"/>
      <c r="I30" s="2259"/>
      <c r="J30" s="2258"/>
      <c r="K30" s="2259"/>
      <c r="L30" s="2258"/>
      <c r="M30" s="2259"/>
      <c r="N30" s="2258"/>
      <c r="O30" s="2259"/>
      <c r="P30" s="2264">
        <f>D30+F30+H30+J30+L30+N30</f>
        <v>0</v>
      </c>
      <c r="Q30" s="2260"/>
      <c r="R30" s="2272" t="s">
        <v>509</v>
      </c>
      <c r="S30" s="2269">
        <f>E30+G30+I30+K30+M30+O30</f>
        <v>0</v>
      </c>
      <c r="T30" s="2269">
        <f>S30-Q30</f>
        <v>0</v>
      </c>
      <c r="U30" s="2274" t="s">
        <v>509</v>
      </c>
      <c r="V30" s="2245"/>
    </row>
    <row r="31" spans="1:22" s="1537" customFormat="1" ht="15" customHeight="1">
      <c r="A31" s="2249">
        <v>25</v>
      </c>
      <c r="B31" s="3450" t="s">
        <v>6827</v>
      </c>
      <c r="C31" s="3451"/>
      <c r="D31" s="2264">
        <f>D32+D33</f>
        <v>0</v>
      </c>
      <c r="E31" s="2266">
        <f t="shared" ref="E31" si="57">E32+E33</f>
        <v>0</v>
      </c>
      <c r="F31" s="2264">
        <f t="shared" ref="F31" si="58">F32+F33</f>
        <v>0</v>
      </c>
      <c r="G31" s="2266">
        <f t="shared" ref="G31" si="59">G32+G33</f>
        <v>0</v>
      </c>
      <c r="H31" s="2264">
        <f t="shared" ref="H31" si="60">H32+H33</f>
        <v>0</v>
      </c>
      <c r="I31" s="2266">
        <f t="shared" ref="I31" si="61">I32+I33</f>
        <v>0</v>
      </c>
      <c r="J31" s="2264">
        <f t="shared" ref="J31" si="62">J32+J33</f>
        <v>0</v>
      </c>
      <c r="K31" s="2266">
        <f t="shared" ref="K31" si="63">K32+K33</f>
        <v>0</v>
      </c>
      <c r="L31" s="2264">
        <f t="shared" ref="L31" si="64">L32+L33</f>
        <v>0</v>
      </c>
      <c r="M31" s="2266">
        <f t="shared" ref="M31" si="65">M32+M33</f>
        <v>0</v>
      </c>
      <c r="N31" s="2264">
        <f t="shared" ref="N31" si="66">N32+N33</f>
        <v>0</v>
      </c>
      <c r="O31" s="2266">
        <f t="shared" ref="O31" si="67">O32+O33</f>
        <v>0</v>
      </c>
      <c r="P31" s="2264">
        <f t="shared" ref="P31" si="68">P32+P33</f>
        <v>0</v>
      </c>
      <c r="Q31" s="2269">
        <f>Q33</f>
        <v>0</v>
      </c>
      <c r="R31" s="2269">
        <f>R32</f>
        <v>0</v>
      </c>
      <c r="S31" s="2269">
        <f t="shared" ref="S31" si="69">S32+S33</f>
        <v>0</v>
      </c>
      <c r="T31" s="2269">
        <f>T33</f>
        <v>0</v>
      </c>
      <c r="U31" s="2266">
        <f>U32</f>
        <v>0</v>
      </c>
      <c r="V31" s="2245"/>
    </row>
    <row r="32" spans="1:22" s="1537" customFormat="1" ht="15" customHeight="1">
      <c r="A32" s="2249">
        <v>26</v>
      </c>
      <c r="B32" s="3433" t="s">
        <v>6824</v>
      </c>
      <c r="C32" s="2250" t="s">
        <v>6813</v>
      </c>
      <c r="D32" s="2258"/>
      <c r="E32" s="2259"/>
      <c r="F32" s="2258"/>
      <c r="G32" s="2259"/>
      <c r="H32" s="2258"/>
      <c r="I32" s="2259"/>
      <c r="J32" s="2258"/>
      <c r="K32" s="2259"/>
      <c r="L32" s="2258"/>
      <c r="M32" s="2259"/>
      <c r="N32" s="2258"/>
      <c r="O32" s="2259"/>
      <c r="P32" s="2264">
        <f>D32+F32+H32+J32+L32+N32</f>
        <v>0</v>
      </c>
      <c r="Q32" s="2272" t="s">
        <v>509</v>
      </c>
      <c r="R32" s="2260"/>
      <c r="S32" s="2269">
        <f>E32+G32+I32+K32+M32+O32</f>
        <v>0</v>
      </c>
      <c r="T32" s="2272" t="s">
        <v>509</v>
      </c>
      <c r="U32" s="2266">
        <f>S32-R32</f>
        <v>0</v>
      </c>
      <c r="V32" s="2245"/>
    </row>
    <row r="33" spans="1:22" s="1537" customFormat="1" ht="15" customHeight="1">
      <c r="A33" s="2249">
        <v>27</v>
      </c>
      <c r="B33" s="3433"/>
      <c r="C33" s="2250" t="s">
        <v>6814</v>
      </c>
      <c r="D33" s="2258"/>
      <c r="E33" s="2259"/>
      <c r="F33" s="2258"/>
      <c r="G33" s="2259"/>
      <c r="H33" s="2258"/>
      <c r="I33" s="2259"/>
      <c r="J33" s="2258"/>
      <c r="K33" s="2259"/>
      <c r="L33" s="2258"/>
      <c r="M33" s="2259"/>
      <c r="N33" s="2258"/>
      <c r="O33" s="2259"/>
      <c r="P33" s="2264">
        <f>D33+F33+H33+J33+L33+N33</f>
        <v>0</v>
      </c>
      <c r="Q33" s="2260"/>
      <c r="R33" s="2272" t="s">
        <v>509</v>
      </c>
      <c r="S33" s="2269">
        <f>E33+G33+I33+K33+M33+O33</f>
        <v>0</v>
      </c>
      <c r="T33" s="2269">
        <f>S33-Q33</f>
        <v>0</v>
      </c>
      <c r="U33" s="2274" t="s">
        <v>509</v>
      </c>
      <c r="V33" s="2245"/>
    </row>
    <row r="34" spans="1:22" s="1537" customFormat="1" ht="18" customHeight="1">
      <c r="A34" s="2246">
        <v>28</v>
      </c>
      <c r="B34" s="3452" t="s">
        <v>6828</v>
      </c>
      <c r="C34" s="3453"/>
      <c r="D34" s="2253">
        <f>D22+D25+D28+D31</f>
        <v>0</v>
      </c>
      <c r="E34" s="2254">
        <f t="shared" ref="E34:U34" si="70">E22+E25+E28+E31</f>
        <v>0</v>
      </c>
      <c r="F34" s="2253">
        <f t="shared" si="70"/>
        <v>0</v>
      </c>
      <c r="G34" s="2254">
        <f t="shared" si="70"/>
        <v>0</v>
      </c>
      <c r="H34" s="2253">
        <f t="shared" si="70"/>
        <v>0</v>
      </c>
      <c r="I34" s="2254">
        <f t="shared" si="70"/>
        <v>0</v>
      </c>
      <c r="J34" s="2253">
        <f t="shared" si="70"/>
        <v>0</v>
      </c>
      <c r="K34" s="2254">
        <f t="shared" si="70"/>
        <v>0</v>
      </c>
      <c r="L34" s="2253">
        <f t="shared" si="70"/>
        <v>0</v>
      </c>
      <c r="M34" s="2254">
        <f t="shared" si="70"/>
        <v>0</v>
      </c>
      <c r="N34" s="2253">
        <f t="shared" si="70"/>
        <v>0</v>
      </c>
      <c r="O34" s="2254">
        <f t="shared" si="70"/>
        <v>0</v>
      </c>
      <c r="P34" s="2253">
        <f t="shared" si="70"/>
        <v>0</v>
      </c>
      <c r="Q34" s="2261">
        <f t="shared" si="70"/>
        <v>0</v>
      </c>
      <c r="R34" s="2261">
        <f t="shared" si="70"/>
        <v>0</v>
      </c>
      <c r="S34" s="2261">
        <f t="shared" si="70"/>
        <v>0</v>
      </c>
      <c r="T34" s="2261">
        <f t="shared" si="70"/>
        <v>0</v>
      </c>
      <c r="U34" s="2254">
        <f t="shared" si="70"/>
        <v>0</v>
      </c>
      <c r="V34" s="2244"/>
    </row>
    <row r="35" spans="1:22">
      <c r="A35" s="2069"/>
      <c r="B35" s="2241"/>
      <c r="C35" s="2069"/>
      <c r="D35" s="2069"/>
      <c r="E35" s="2069"/>
      <c r="F35" s="2069"/>
      <c r="G35" s="2069"/>
      <c r="H35" s="2069"/>
      <c r="I35" s="2013"/>
      <c r="J35" s="2069"/>
      <c r="K35" s="2069"/>
      <c r="L35" s="2069"/>
      <c r="M35" s="2069"/>
      <c r="N35" s="2241"/>
      <c r="O35" s="2241"/>
      <c r="P35" s="2069"/>
      <c r="Q35" s="2241"/>
      <c r="R35" s="2069"/>
      <c r="S35" s="2069"/>
      <c r="T35" s="2069"/>
      <c r="U35" s="2069"/>
      <c r="V35" s="2069"/>
    </row>
    <row r="36" spans="1:22">
      <c r="B36" s="2558" t="s">
        <v>7426</v>
      </c>
      <c r="C36" s="3424" t="s">
        <v>7427</v>
      </c>
      <c r="D36" s="3424"/>
      <c r="E36" s="3424"/>
    </row>
    <row r="37" spans="1:22">
      <c r="B37" s="2559" t="s">
        <v>7428</v>
      </c>
      <c r="C37" s="3423" t="s">
        <v>7429</v>
      </c>
      <c r="D37" s="3423"/>
      <c r="E37" s="3423"/>
    </row>
    <row r="38" spans="1:22">
      <c r="B38" s="2559" t="s">
        <v>1943</v>
      </c>
      <c r="C38" s="3423" t="s">
        <v>7430</v>
      </c>
      <c r="D38" s="3423"/>
      <c r="E38" s="3423"/>
    </row>
    <row r="39" spans="1:22">
      <c r="B39" s="2559" t="s">
        <v>7431</v>
      </c>
      <c r="C39" s="3423" t="s">
        <v>7432</v>
      </c>
      <c r="D39" s="3423"/>
      <c r="E39" s="3423"/>
    </row>
    <row r="40" spans="1:22">
      <c r="B40" s="2559" t="s">
        <v>7433</v>
      </c>
      <c r="C40" s="3423" t="s">
        <v>7434</v>
      </c>
      <c r="D40" s="3423"/>
      <c r="E40" s="3423"/>
    </row>
    <row r="41" spans="1:22">
      <c r="B41" s="2559" t="s">
        <v>7435</v>
      </c>
      <c r="C41" s="3423" t="s">
        <v>7436</v>
      </c>
      <c r="D41" s="3423"/>
      <c r="E41" s="3423"/>
    </row>
    <row r="42" spans="1:22">
      <c r="B42" s="2559" t="s">
        <v>1945</v>
      </c>
      <c r="C42" s="3423" t="s">
        <v>7437</v>
      </c>
      <c r="D42" s="3423"/>
      <c r="E42" s="3423"/>
    </row>
    <row r="43" spans="1:22">
      <c r="B43" s="2559" t="s">
        <v>7438</v>
      </c>
      <c r="C43" s="3423" t="s">
        <v>7439</v>
      </c>
      <c r="D43" s="3423"/>
      <c r="E43" s="3423"/>
    </row>
    <row r="44" spans="1:22">
      <c r="B44" s="2559" t="s">
        <v>7440</v>
      </c>
      <c r="C44" s="3423" t="s">
        <v>7441</v>
      </c>
      <c r="D44" s="3423"/>
      <c r="E44" s="3423"/>
    </row>
    <row r="45" spans="1:22">
      <c r="B45" s="2559" t="s">
        <v>7442</v>
      </c>
      <c r="C45" s="3423" t="s">
        <v>7443</v>
      </c>
      <c r="D45" s="3423"/>
      <c r="E45" s="3423"/>
    </row>
    <row r="46" spans="1:22">
      <c r="B46" s="2559" t="s">
        <v>7444</v>
      </c>
      <c r="C46" s="3423" t="s">
        <v>7445</v>
      </c>
      <c r="D46" s="3423"/>
      <c r="E46" s="3423"/>
    </row>
    <row r="47" spans="1:22">
      <c r="B47" s="2559" t="s">
        <v>7446</v>
      </c>
      <c r="C47" s="3423" t="s">
        <v>7447</v>
      </c>
      <c r="D47" s="3423"/>
      <c r="E47" s="3423"/>
    </row>
    <row r="48" spans="1:22">
      <c r="B48" s="2559" t="s">
        <v>1949</v>
      </c>
      <c r="C48" s="3423" t="s">
        <v>7448</v>
      </c>
      <c r="D48" s="3423"/>
      <c r="E48" s="3423"/>
    </row>
    <row r="49" spans="2:5">
      <c r="B49" s="2559" t="s">
        <v>7449</v>
      </c>
      <c r="C49" s="3423" t="s">
        <v>7450</v>
      </c>
      <c r="D49" s="3423"/>
      <c r="E49" s="3423"/>
    </row>
    <row r="50" spans="2:5">
      <c r="B50" s="2559" t="s">
        <v>7451</v>
      </c>
      <c r="C50" s="3423" t="s">
        <v>7452</v>
      </c>
      <c r="D50" s="3423"/>
      <c r="E50" s="3423"/>
    </row>
    <row r="51" spans="2:5">
      <c r="B51" s="2559" t="s">
        <v>7453</v>
      </c>
      <c r="C51" s="3423" t="s">
        <v>7454</v>
      </c>
      <c r="D51" s="3423"/>
      <c r="E51" s="3423"/>
    </row>
    <row r="52" spans="2:5">
      <c r="B52" s="2559" t="s">
        <v>7455</v>
      </c>
      <c r="C52" s="3423" t="s">
        <v>7456</v>
      </c>
      <c r="D52" s="3423"/>
      <c r="E52" s="3423"/>
    </row>
    <row r="53" spans="2:5">
      <c r="B53" s="2559" t="s">
        <v>7457</v>
      </c>
      <c r="C53" s="3423" t="s">
        <v>7458</v>
      </c>
      <c r="D53" s="3423"/>
      <c r="E53" s="3423"/>
    </row>
    <row r="54" spans="2:5">
      <c r="B54" s="2559" t="s">
        <v>7459</v>
      </c>
      <c r="C54" s="3423" t="s">
        <v>7460</v>
      </c>
      <c r="D54" s="3423"/>
      <c r="E54" s="3423"/>
    </row>
    <row r="55" spans="2:5">
      <c r="B55" s="2559" t="s">
        <v>1965</v>
      </c>
      <c r="C55" s="3423" t="s">
        <v>7461</v>
      </c>
      <c r="D55" s="3423"/>
      <c r="E55" s="3423"/>
    </row>
    <row r="56" spans="2:5">
      <c r="B56" s="2559" t="s">
        <v>1681</v>
      </c>
      <c r="C56" s="3423" t="s">
        <v>7462</v>
      </c>
      <c r="D56" s="3423"/>
      <c r="E56" s="3423"/>
    </row>
    <row r="57" spans="2:5">
      <c r="B57" s="2559" t="s">
        <v>7463</v>
      </c>
      <c r="C57" s="3423" t="s">
        <v>7464</v>
      </c>
      <c r="D57" s="3423"/>
      <c r="E57" s="3423"/>
    </row>
    <row r="58" spans="2:5">
      <c r="B58" s="2559" t="s">
        <v>7465</v>
      </c>
      <c r="C58" s="3423" t="s">
        <v>7466</v>
      </c>
      <c r="D58" s="3423"/>
      <c r="E58" s="3423"/>
    </row>
    <row r="59" spans="2:5">
      <c r="B59" s="2559" t="s">
        <v>2693</v>
      </c>
      <c r="C59" s="3423" t="s">
        <v>7467</v>
      </c>
      <c r="D59" s="3423"/>
      <c r="E59" s="3423"/>
    </row>
    <row r="60" spans="2:5">
      <c r="B60" s="2559" t="s">
        <v>7468</v>
      </c>
      <c r="C60" s="3423" t="s">
        <v>7469</v>
      </c>
      <c r="D60" s="3423"/>
      <c r="E60" s="3423"/>
    </row>
    <row r="61" spans="2:5">
      <c r="B61" s="2559" t="s">
        <v>7470</v>
      </c>
      <c r="C61" s="3423" t="s">
        <v>7471</v>
      </c>
      <c r="D61" s="3423"/>
      <c r="E61" s="3423"/>
    </row>
    <row r="62" spans="2:5">
      <c r="B62" s="2559" t="s">
        <v>7472</v>
      </c>
      <c r="C62" s="3423" t="s">
        <v>7473</v>
      </c>
      <c r="D62" s="3423"/>
      <c r="E62" s="3423"/>
    </row>
    <row r="63" spans="2:5">
      <c r="B63" s="2559" t="s">
        <v>1973</v>
      </c>
      <c r="C63" s="3423" t="s">
        <v>7474</v>
      </c>
      <c r="D63" s="3423"/>
      <c r="E63" s="3423"/>
    </row>
    <row r="64" spans="2:5">
      <c r="B64" s="2559" t="s">
        <v>1975</v>
      </c>
      <c r="C64" s="3423" t="s">
        <v>7475</v>
      </c>
      <c r="D64" s="3423"/>
      <c r="E64" s="3423"/>
    </row>
    <row r="65" spans="2:5">
      <c r="B65" s="2559" t="s">
        <v>7476</v>
      </c>
      <c r="C65" s="3423" t="s">
        <v>7477</v>
      </c>
      <c r="D65" s="3423"/>
      <c r="E65" s="3423"/>
    </row>
    <row r="66" spans="2:5">
      <c r="B66" s="2559" t="s">
        <v>7478</v>
      </c>
      <c r="C66" s="3423" t="s">
        <v>7479</v>
      </c>
      <c r="D66" s="3423"/>
      <c r="E66" s="3423"/>
    </row>
    <row r="67" spans="2:5">
      <c r="B67" s="2559" t="s">
        <v>7480</v>
      </c>
      <c r="C67" s="3423" t="s">
        <v>7481</v>
      </c>
      <c r="D67" s="3423"/>
      <c r="E67" s="3423"/>
    </row>
    <row r="68" spans="2:5">
      <c r="B68" s="2559" t="s">
        <v>7482</v>
      </c>
      <c r="C68" s="3423" t="s">
        <v>7483</v>
      </c>
      <c r="D68" s="3423"/>
      <c r="E68" s="3423"/>
    </row>
    <row r="69" spans="2:5">
      <c r="B69" s="2559" t="s">
        <v>7484</v>
      </c>
      <c r="C69" s="3423" t="s">
        <v>7485</v>
      </c>
      <c r="D69" s="3423"/>
      <c r="E69" s="3423"/>
    </row>
    <row r="70" spans="2:5">
      <c r="B70" s="2559" t="s">
        <v>1979</v>
      </c>
      <c r="C70" s="3423" t="s">
        <v>7486</v>
      </c>
      <c r="D70" s="3423"/>
      <c r="E70" s="3423"/>
    </row>
    <row r="71" spans="2:5">
      <c r="B71" s="2559" t="s">
        <v>1682</v>
      </c>
      <c r="C71" s="3423" t="s">
        <v>7487</v>
      </c>
      <c r="D71" s="3423"/>
      <c r="E71" s="3423"/>
    </row>
    <row r="72" spans="2:5">
      <c r="B72" s="2559" t="s">
        <v>7488</v>
      </c>
      <c r="C72" s="3423" t="s">
        <v>7489</v>
      </c>
      <c r="D72" s="3423"/>
      <c r="E72" s="3423"/>
    </row>
    <row r="73" spans="2:5">
      <c r="B73" s="2559" t="s">
        <v>1984</v>
      </c>
      <c r="C73" s="3423" t="s">
        <v>7490</v>
      </c>
      <c r="D73" s="3423"/>
      <c r="E73" s="3423"/>
    </row>
    <row r="74" spans="2:5">
      <c r="B74" s="2559" t="s">
        <v>7491</v>
      </c>
      <c r="C74" s="3423" t="s">
        <v>7492</v>
      </c>
      <c r="D74" s="3423"/>
      <c r="E74" s="3423"/>
    </row>
    <row r="75" spans="2:5">
      <c r="B75" s="2559" t="s">
        <v>1986</v>
      </c>
      <c r="C75" s="3423" t="s">
        <v>7493</v>
      </c>
      <c r="D75" s="3423"/>
      <c r="E75" s="3423"/>
    </row>
    <row r="76" spans="2:5">
      <c r="B76" s="2559" t="s">
        <v>7494</v>
      </c>
      <c r="C76" s="3423" t="s">
        <v>7495</v>
      </c>
      <c r="D76" s="3423"/>
      <c r="E76" s="3423"/>
    </row>
    <row r="77" spans="2:5">
      <c r="B77" s="2559" t="s">
        <v>7496</v>
      </c>
      <c r="C77" s="3423" t="s">
        <v>7497</v>
      </c>
      <c r="D77" s="3423"/>
      <c r="E77" s="3423"/>
    </row>
    <row r="78" spans="2:5">
      <c r="B78" s="2559" t="s">
        <v>1990</v>
      </c>
      <c r="C78" s="3423" t="s">
        <v>7498</v>
      </c>
      <c r="D78" s="3423"/>
      <c r="E78" s="3423"/>
    </row>
    <row r="79" spans="2:5">
      <c r="B79" s="2559" t="s">
        <v>7499</v>
      </c>
      <c r="C79" s="3423" t="s">
        <v>7500</v>
      </c>
      <c r="D79" s="3423"/>
      <c r="E79" s="3423"/>
    </row>
    <row r="80" spans="2:5">
      <c r="B80" s="2559" t="s">
        <v>1683</v>
      </c>
      <c r="C80" s="3423" t="s">
        <v>7501</v>
      </c>
      <c r="D80" s="3423"/>
      <c r="E80" s="3423"/>
    </row>
    <row r="81" spans="2:5">
      <c r="B81" s="2559" t="s">
        <v>1995</v>
      </c>
      <c r="C81" s="3423" t="s">
        <v>7502</v>
      </c>
      <c r="D81" s="3423"/>
      <c r="E81" s="3423"/>
    </row>
    <row r="82" spans="2:5">
      <c r="B82" s="2559" t="s">
        <v>1997</v>
      </c>
      <c r="C82" s="3423" t="s">
        <v>7503</v>
      </c>
      <c r="D82" s="3423"/>
      <c r="E82" s="3423"/>
    </row>
    <row r="83" spans="2:5">
      <c r="B83" s="2559" t="s">
        <v>7504</v>
      </c>
      <c r="C83" s="3423" t="s">
        <v>7505</v>
      </c>
      <c r="D83" s="3423"/>
      <c r="E83" s="3423"/>
    </row>
    <row r="84" spans="2:5">
      <c r="B84" s="2559" t="s">
        <v>2005</v>
      </c>
      <c r="C84" s="3423" t="s">
        <v>7506</v>
      </c>
      <c r="D84" s="3423"/>
      <c r="E84" s="3423"/>
    </row>
    <row r="85" spans="2:5">
      <c r="B85" s="2559" t="s">
        <v>7507</v>
      </c>
      <c r="C85" s="3423" t="s">
        <v>7508</v>
      </c>
      <c r="D85" s="3423"/>
      <c r="E85" s="3423"/>
    </row>
    <row r="86" spans="2:5">
      <c r="B86" s="2559" t="s">
        <v>7509</v>
      </c>
      <c r="C86" s="3423" t="s">
        <v>7510</v>
      </c>
      <c r="D86" s="3423"/>
      <c r="E86" s="3423"/>
    </row>
    <row r="87" spans="2:5">
      <c r="B87" s="2559" t="s">
        <v>7511</v>
      </c>
      <c r="C87" s="3423" t="s">
        <v>7512</v>
      </c>
      <c r="D87" s="3423"/>
      <c r="E87" s="3423"/>
    </row>
    <row r="88" spans="2:5">
      <c r="B88" s="2559" t="s">
        <v>2021</v>
      </c>
      <c r="C88" s="3423" t="s">
        <v>7513</v>
      </c>
      <c r="D88" s="3423"/>
      <c r="E88" s="3423"/>
    </row>
    <row r="89" spans="2:5">
      <c r="B89" s="2559" t="s">
        <v>7514</v>
      </c>
      <c r="C89" s="3423" t="s">
        <v>7515</v>
      </c>
      <c r="D89" s="3423"/>
      <c r="E89" s="3423"/>
    </row>
    <row r="90" spans="2:5">
      <c r="B90" s="2559" t="s">
        <v>7516</v>
      </c>
      <c r="C90" s="3423" t="s">
        <v>7517</v>
      </c>
      <c r="D90" s="3423"/>
      <c r="E90" s="3423"/>
    </row>
    <row r="91" spans="2:5">
      <c r="B91" s="2559" t="s">
        <v>7518</v>
      </c>
      <c r="C91" s="3423" t="s">
        <v>7519</v>
      </c>
      <c r="D91" s="3423"/>
      <c r="E91" s="3423"/>
    </row>
    <row r="92" spans="2:5">
      <c r="B92" s="2559" t="s">
        <v>7520</v>
      </c>
      <c r="C92" s="3423" t="s">
        <v>7521</v>
      </c>
      <c r="D92" s="3423"/>
      <c r="E92" s="3423"/>
    </row>
    <row r="93" spans="2:5">
      <c r="B93" s="2559" t="s">
        <v>2762</v>
      </c>
      <c r="C93" s="3423" t="s">
        <v>7522</v>
      </c>
      <c r="D93" s="3423"/>
      <c r="E93" s="3423"/>
    </row>
    <row r="94" spans="2:5">
      <c r="B94" s="2559" t="s">
        <v>2025</v>
      </c>
      <c r="C94" s="3423" t="s">
        <v>7523</v>
      </c>
      <c r="D94" s="3423"/>
      <c r="E94" s="3423"/>
    </row>
    <row r="95" spans="2:5">
      <c r="B95" s="2559" t="s">
        <v>7524</v>
      </c>
      <c r="C95" s="3423" t="s">
        <v>7525</v>
      </c>
      <c r="D95" s="3423"/>
      <c r="E95" s="3423"/>
    </row>
    <row r="96" spans="2:5">
      <c r="B96" s="2559" t="s">
        <v>7526</v>
      </c>
      <c r="C96" s="3423" t="s">
        <v>7527</v>
      </c>
      <c r="D96" s="3423"/>
      <c r="E96" s="3423"/>
    </row>
    <row r="97" spans="2:5">
      <c r="B97" s="2559" t="s">
        <v>7528</v>
      </c>
      <c r="C97" s="3423" t="s">
        <v>7529</v>
      </c>
      <c r="D97" s="3423"/>
      <c r="E97" s="3423"/>
    </row>
    <row r="98" spans="2:5">
      <c r="B98" s="2559" t="s">
        <v>2029</v>
      </c>
      <c r="C98" s="3423" t="s">
        <v>7530</v>
      </c>
      <c r="D98" s="3423"/>
      <c r="E98" s="3423"/>
    </row>
    <row r="99" spans="2:5">
      <c r="B99" s="2559" t="s">
        <v>7531</v>
      </c>
      <c r="C99" s="3423" t="s">
        <v>7532</v>
      </c>
      <c r="D99" s="3423"/>
      <c r="E99" s="3423"/>
    </row>
    <row r="100" spans="2:5">
      <c r="B100" s="2559" t="s">
        <v>2049</v>
      </c>
      <c r="C100" s="3423" t="s">
        <v>7533</v>
      </c>
      <c r="D100" s="3423"/>
      <c r="E100" s="3423"/>
    </row>
    <row r="101" spans="2:5">
      <c r="B101" s="2559" t="s">
        <v>7534</v>
      </c>
      <c r="C101" s="3423" t="s">
        <v>7535</v>
      </c>
      <c r="D101" s="3423"/>
      <c r="E101" s="3423"/>
    </row>
    <row r="102" spans="2:5">
      <c r="B102" s="2559" t="s">
        <v>2051</v>
      </c>
      <c r="C102" s="3423" t="s">
        <v>7536</v>
      </c>
      <c r="D102" s="3423"/>
      <c r="E102" s="3423"/>
    </row>
    <row r="103" spans="2:5">
      <c r="B103" s="2559" t="s">
        <v>7537</v>
      </c>
      <c r="C103" s="3423" t="s">
        <v>7538</v>
      </c>
      <c r="D103" s="3423"/>
      <c r="E103" s="3423"/>
    </row>
    <row r="104" spans="2:5">
      <c r="B104" s="2559" t="s">
        <v>2053</v>
      </c>
      <c r="C104" s="3423" t="s">
        <v>7539</v>
      </c>
      <c r="D104" s="3423"/>
      <c r="E104" s="3423"/>
    </row>
    <row r="105" spans="2:5">
      <c r="B105" s="2559" t="s">
        <v>7540</v>
      </c>
      <c r="C105" s="3423" t="s">
        <v>7541</v>
      </c>
      <c r="D105" s="3423"/>
      <c r="E105" s="3423"/>
    </row>
    <row r="106" spans="2:5">
      <c r="B106" s="2559" t="s">
        <v>7542</v>
      </c>
      <c r="C106" s="3423" t="s">
        <v>7543</v>
      </c>
      <c r="D106" s="3423"/>
      <c r="E106" s="3423"/>
    </row>
    <row r="107" spans="2:5">
      <c r="B107" s="2559" t="s">
        <v>7544</v>
      </c>
      <c r="C107" s="3423" t="s">
        <v>7545</v>
      </c>
      <c r="D107" s="3423"/>
      <c r="E107" s="3423"/>
    </row>
    <row r="108" spans="2:5">
      <c r="B108" s="2559" t="s">
        <v>7546</v>
      </c>
      <c r="C108" s="3423" t="s">
        <v>7547</v>
      </c>
      <c r="D108" s="3423"/>
      <c r="E108" s="3423"/>
    </row>
    <row r="109" spans="2:5">
      <c r="B109" s="2559" t="s">
        <v>7548</v>
      </c>
      <c r="C109" s="3423" t="s">
        <v>7549</v>
      </c>
      <c r="D109" s="3423"/>
      <c r="E109" s="3423"/>
    </row>
    <row r="110" spans="2:5">
      <c r="B110" s="2559" t="s">
        <v>7550</v>
      </c>
      <c r="C110" s="3423" t="s">
        <v>7551</v>
      </c>
      <c r="D110" s="3423"/>
      <c r="E110" s="3423"/>
    </row>
    <row r="111" spans="2:5">
      <c r="B111" s="2559" t="s">
        <v>2057</v>
      </c>
      <c r="C111" s="3423" t="s">
        <v>7552</v>
      </c>
      <c r="D111" s="3423"/>
      <c r="E111" s="3423"/>
    </row>
    <row r="112" spans="2:5">
      <c r="B112" s="2559" t="s">
        <v>7553</v>
      </c>
      <c r="C112" s="3423" t="s">
        <v>7554</v>
      </c>
      <c r="D112" s="3423"/>
      <c r="E112" s="3423"/>
    </row>
    <row r="113" spans="2:5">
      <c r="B113" s="2559" t="s">
        <v>7555</v>
      </c>
      <c r="C113" s="3423" t="s">
        <v>7556</v>
      </c>
      <c r="D113" s="3423"/>
      <c r="E113" s="3423"/>
    </row>
    <row r="114" spans="2:5">
      <c r="B114" s="2559" t="s">
        <v>7557</v>
      </c>
      <c r="C114" s="3423" t="s">
        <v>7558</v>
      </c>
      <c r="D114" s="3423"/>
      <c r="E114" s="3423"/>
    </row>
    <row r="115" spans="2:5">
      <c r="B115" s="2559" t="s">
        <v>2059</v>
      </c>
      <c r="C115" s="3423" t="s">
        <v>7559</v>
      </c>
      <c r="D115" s="3423"/>
      <c r="E115" s="3423"/>
    </row>
    <row r="116" spans="2:5">
      <c r="B116" s="2559" t="s">
        <v>7560</v>
      </c>
      <c r="C116" s="3423" t="s">
        <v>7561</v>
      </c>
      <c r="D116" s="3423"/>
      <c r="E116" s="3423"/>
    </row>
    <row r="117" spans="2:5">
      <c r="B117" s="2559" t="s">
        <v>7562</v>
      </c>
      <c r="C117" s="3423" t="s">
        <v>7563</v>
      </c>
      <c r="D117" s="3423"/>
      <c r="E117" s="3423"/>
    </row>
    <row r="118" spans="2:5">
      <c r="B118" s="2559" t="s">
        <v>2061</v>
      </c>
      <c r="C118" s="3423" t="s">
        <v>7564</v>
      </c>
      <c r="D118" s="3423"/>
      <c r="E118" s="3423"/>
    </row>
    <row r="119" spans="2:5">
      <c r="B119" s="2559" t="s">
        <v>7565</v>
      </c>
      <c r="C119" s="3423" t="s">
        <v>7566</v>
      </c>
      <c r="D119" s="3423"/>
      <c r="E119" s="3423"/>
    </row>
    <row r="120" spans="2:5">
      <c r="B120" s="2559" t="s">
        <v>7567</v>
      </c>
      <c r="C120" s="3423" t="s">
        <v>7568</v>
      </c>
      <c r="D120" s="3423"/>
      <c r="E120" s="3423"/>
    </row>
    <row r="121" spans="2:5">
      <c r="B121" s="2559" t="s">
        <v>7569</v>
      </c>
      <c r="C121" s="3423" t="s">
        <v>7570</v>
      </c>
      <c r="D121" s="3423"/>
      <c r="E121" s="3423"/>
    </row>
    <row r="122" spans="2:5">
      <c r="B122" s="2559" t="s">
        <v>2063</v>
      </c>
      <c r="C122" s="3423" t="s">
        <v>7571</v>
      </c>
      <c r="D122" s="3423"/>
      <c r="E122" s="3423"/>
    </row>
    <row r="123" spans="2:5">
      <c r="B123" s="2559" t="s">
        <v>7572</v>
      </c>
      <c r="C123" s="3423" t="s">
        <v>7573</v>
      </c>
      <c r="D123" s="3423"/>
      <c r="E123" s="3423"/>
    </row>
    <row r="124" spans="2:5">
      <c r="B124" s="2559" t="s">
        <v>7574</v>
      </c>
      <c r="C124" s="3423" t="s">
        <v>7575</v>
      </c>
      <c r="D124" s="3423"/>
      <c r="E124" s="3423"/>
    </row>
    <row r="125" spans="2:5">
      <c r="B125" s="2559" t="s">
        <v>7576</v>
      </c>
      <c r="C125" s="3423" t="s">
        <v>7577</v>
      </c>
      <c r="D125" s="3423"/>
      <c r="E125" s="3423"/>
    </row>
    <row r="126" spans="2:5">
      <c r="B126" s="2559" t="s">
        <v>7578</v>
      </c>
      <c r="C126" s="3423" t="s">
        <v>7579</v>
      </c>
      <c r="D126" s="3423"/>
      <c r="E126" s="3423"/>
    </row>
    <row r="127" spans="2:5">
      <c r="B127" s="2559" t="s">
        <v>7580</v>
      </c>
      <c r="C127" s="3423" t="s">
        <v>7581</v>
      </c>
      <c r="D127" s="3423"/>
      <c r="E127" s="3423"/>
    </row>
    <row r="128" spans="2:5">
      <c r="B128" s="2559" t="s">
        <v>7582</v>
      </c>
      <c r="C128" s="3423" t="s">
        <v>7583</v>
      </c>
      <c r="D128" s="3423"/>
      <c r="E128" s="3423"/>
    </row>
    <row r="129" spans="2:5">
      <c r="B129" s="2559" t="s">
        <v>2067</v>
      </c>
      <c r="C129" s="3423" t="s">
        <v>7584</v>
      </c>
      <c r="D129" s="3423"/>
      <c r="E129" s="3423"/>
    </row>
    <row r="130" spans="2:5">
      <c r="B130" s="2559" t="s">
        <v>7585</v>
      </c>
      <c r="C130" s="3423" t="s">
        <v>7586</v>
      </c>
      <c r="D130" s="3423"/>
      <c r="E130" s="3423"/>
    </row>
    <row r="131" spans="2:5">
      <c r="B131" s="2559" t="s">
        <v>7587</v>
      </c>
      <c r="C131" s="3423" t="s">
        <v>7588</v>
      </c>
      <c r="D131" s="3423"/>
      <c r="E131" s="3423"/>
    </row>
    <row r="132" spans="2:5">
      <c r="B132" s="2559" t="s">
        <v>7589</v>
      </c>
      <c r="C132" s="3423" t="s">
        <v>7590</v>
      </c>
      <c r="D132" s="3423"/>
      <c r="E132" s="3423"/>
    </row>
    <row r="133" spans="2:5">
      <c r="B133" s="2559" t="s">
        <v>2071</v>
      </c>
      <c r="C133" s="3423" t="s">
        <v>7591</v>
      </c>
      <c r="D133" s="3423"/>
      <c r="E133" s="3423"/>
    </row>
    <row r="134" spans="2:5">
      <c r="B134" s="2559" t="s">
        <v>7592</v>
      </c>
      <c r="C134" s="3423" t="s">
        <v>7593</v>
      </c>
      <c r="D134" s="3423"/>
      <c r="E134" s="3423"/>
    </row>
    <row r="135" spans="2:5">
      <c r="B135" s="2559" t="s">
        <v>2073</v>
      </c>
      <c r="C135" s="3423" t="s">
        <v>7594</v>
      </c>
      <c r="D135" s="3423"/>
      <c r="E135" s="3423"/>
    </row>
    <row r="136" spans="2:5">
      <c r="B136" s="2559" t="s">
        <v>7595</v>
      </c>
      <c r="C136" s="3423" t="s">
        <v>7596</v>
      </c>
      <c r="D136" s="3423"/>
      <c r="E136" s="3423"/>
    </row>
    <row r="137" spans="2:5">
      <c r="B137" s="2559" t="s">
        <v>2075</v>
      </c>
      <c r="C137" s="3423" t="s">
        <v>7597</v>
      </c>
      <c r="D137" s="3423"/>
      <c r="E137" s="3423"/>
    </row>
    <row r="138" spans="2:5">
      <c r="B138" s="2559" t="s">
        <v>7598</v>
      </c>
      <c r="C138" s="3423" t="s">
        <v>7599</v>
      </c>
      <c r="D138" s="3423"/>
      <c r="E138" s="3423"/>
    </row>
    <row r="139" spans="2:5">
      <c r="B139" s="2559" t="s">
        <v>7600</v>
      </c>
      <c r="C139" s="3423" t="s">
        <v>7601</v>
      </c>
      <c r="D139" s="3423"/>
      <c r="E139" s="3423"/>
    </row>
    <row r="140" spans="2:5">
      <c r="B140" s="2559" t="s">
        <v>7602</v>
      </c>
      <c r="C140" s="3423" t="s">
        <v>7603</v>
      </c>
      <c r="D140" s="3423"/>
      <c r="E140" s="3423"/>
    </row>
    <row r="141" spans="2:5">
      <c r="B141" s="2559" t="s">
        <v>7604</v>
      </c>
      <c r="C141" s="3423" t="s">
        <v>7605</v>
      </c>
      <c r="D141" s="3423"/>
      <c r="E141" s="3423"/>
    </row>
    <row r="142" spans="2:5">
      <c r="B142" s="2559" t="s">
        <v>7606</v>
      </c>
      <c r="C142" s="3423" t="s">
        <v>7607</v>
      </c>
      <c r="D142" s="3423"/>
      <c r="E142" s="3423"/>
    </row>
    <row r="143" spans="2:5">
      <c r="B143" s="2559" t="s">
        <v>2079</v>
      </c>
      <c r="C143" s="3423" t="s">
        <v>7608</v>
      </c>
      <c r="D143" s="3423"/>
      <c r="E143" s="3423"/>
    </row>
    <row r="144" spans="2:5">
      <c r="B144" s="2559" t="s">
        <v>7609</v>
      </c>
      <c r="C144" s="3423" t="s">
        <v>7610</v>
      </c>
      <c r="D144" s="3423"/>
      <c r="E144" s="3423"/>
    </row>
    <row r="145" spans="2:5">
      <c r="B145" s="2559" t="s">
        <v>7611</v>
      </c>
      <c r="C145" s="3423" t="s">
        <v>7612</v>
      </c>
      <c r="D145" s="3423"/>
      <c r="E145" s="3423"/>
    </row>
    <row r="146" spans="2:5">
      <c r="B146" s="2559" t="s">
        <v>7613</v>
      </c>
      <c r="C146" s="3423" t="s">
        <v>7614</v>
      </c>
      <c r="D146" s="3423"/>
      <c r="E146" s="3423"/>
    </row>
    <row r="147" spans="2:5">
      <c r="B147" s="2559" t="s">
        <v>7615</v>
      </c>
      <c r="C147" s="3423" t="s">
        <v>7616</v>
      </c>
      <c r="D147" s="3423"/>
      <c r="E147" s="3423"/>
    </row>
    <row r="148" spans="2:5">
      <c r="B148" s="2559" t="s">
        <v>7617</v>
      </c>
      <c r="C148" s="3423" t="s">
        <v>7618</v>
      </c>
      <c r="D148" s="3423"/>
      <c r="E148" s="3423"/>
    </row>
    <row r="149" spans="2:5">
      <c r="B149" s="2559" t="s">
        <v>2083</v>
      </c>
      <c r="C149" s="3423" t="s">
        <v>7619</v>
      </c>
      <c r="D149" s="3423"/>
      <c r="E149" s="3423"/>
    </row>
    <row r="150" spans="2:5">
      <c r="B150" s="2559" t="s">
        <v>7620</v>
      </c>
      <c r="C150" s="3423" t="s">
        <v>7621</v>
      </c>
      <c r="D150" s="3423"/>
      <c r="E150" s="3423"/>
    </row>
    <row r="151" spans="2:5">
      <c r="B151" s="2559" t="s">
        <v>7622</v>
      </c>
      <c r="C151" s="3423" t="s">
        <v>7623</v>
      </c>
      <c r="D151" s="3423"/>
      <c r="E151" s="3423"/>
    </row>
    <row r="152" spans="2:5">
      <c r="B152" s="2559" t="s">
        <v>7624</v>
      </c>
      <c r="C152" s="3423" t="s">
        <v>7625</v>
      </c>
      <c r="D152" s="3423"/>
      <c r="E152" s="3423"/>
    </row>
    <row r="153" spans="2:5">
      <c r="B153" s="2559" t="s">
        <v>7626</v>
      </c>
      <c r="C153" s="3423" t="s">
        <v>7627</v>
      </c>
      <c r="D153" s="3423"/>
      <c r="E153" s="3423"/>
    </row>
    <row r="154" spans="2:5">
      <c r="B154" s="2559" t="s">
        <v>7628</v>
      </c>
      <c r="C154" s="3423" t="s">
        <v>7629</v>
      </c>
      <c r="D154" s="3423"/>
      <c r="E154" s="3423"/>
    </row>
    <row r="155" spans="2:5">
      <c r="B155" s="2559" t="s">
        <v>7630</v>
      </c>
      <c r="C155" s="3423" t="s">
        <v>7631</v>
      </c>
      <c r="D155" s="3423"/>
      <c r="E155" s="3423"/>
    </row>
    <row r="156" spans="2:5">
      <c r="B156" s="2559" t="s">
        <v>7632</v>
      </c>
      <c r="C156" s="3423" t="s">
        <v>7633</v>
      </c>
      <c r="D156" s="3423"/>
      <c r="E156" s="3423"/>
    </row>
    <row r="157" spans="2:5">
      <c r="B157" s="2559" t="s">
        <v>7634</v>
      </c>
      <c r="C157" s="3423" t="s">
        <v>7635</v>
      </c>
      <c r="D157" s="3423"/>
      <c r="E157" s="3423"/>
    </row>
    <row r="158" spans="2:5">
      <c r="B158" s="2559" t="s">
        <v>7636</v>
      </c>
      <c r="C158" s="3423" t="s">
        <v>7637</v>
      </c>
      <c r="D158" s="3423"/>
      <c r="E158" s="3423"/>
    </row>
    <row r="159" spans="2:5">
      <c r="B159" s="2559" t="s">
        <v>2089</v>
      </c>
      <c r="C159" s="3423" t="s">
        <v>7638</v>
      </c>
      <c r="D159" s="3423"/>
      <c r="E159" s="3423"/>
    </row>
    <row r="160" spans="2:5">
      <c r="B160" s="2559" t="s">
        <v>7639</v>
      </c>
      <c r="C160" s="3423" t="s">
        <v>7640</v>
      </c>
      <c r="D160" s="3423"/>
      <c r="E160" s="3423"/>
    </row>
    <row r="161" spans="2:5">
      <c r="B161" s="2559" t="s">
        <v>7641</v>
      </c>
      <c r="C161" s="3423" t="s">
        <v>7642</v>
      </c>
      <c r="D161" s="3423"/>
      <c r="E161" s="3423"/>
    </row>
    <row r="162" spans="2:5">
      <c r="B162" s="2559" t="s">
        <v>7643</v>
      </c>
      <c r="C162" s="3423" t="s">
        <v>7644</v>
      </c>
      <c r="D162" s="3423"/>
      <c r="E162" s="3423"/>
    </row>
    <row r="163" spans="2:5">
      <c r="B163" s="2559" t="s">
        <v>7645</v>
      </c>
      <c r="C163" s="3423" t="s">
        <v>7646</v>
      </c>
      <c r="D163" s="3423"/>
      <c r="E163" s="3423"/>
    </row>
    <row r="164" spans="2:5">
      <c r="B164" s="2559" t="s">
        <v>7647</v>
      </c>
      <c r="C164" s="3423" t="s">
        <v>7648</v>
      </c>
      <c r="D164" s="3423"/>
      <c r="E164" s="3423"/>
    </row>
    <row r="165" spans="2:5">
      <c r="B165" s="2559" t="s">
        <v>2221</v>
      </c>
      <c r="C165" s="3423" t="s">
        <v>7649</v>
      </c>
      <c r="D165" s="3423"/>
      <c r="E165" s="3423"/>
    </row>
    <row r="166" spans="2:5">
      <c r="B166" s="2559" t="s">
        <v>7650</v>
      </c>
      <c r="C166" s="3423" t="s">
        <v>7651</v>
      </c>
      <c r="D166" s="3423"/>
      <c r="E166" s="3423"/>
    </row>
    <row r="167" spans="2:5">
      <c r="B167" s="2559" t="s">
        <v>7652</v>
      </c>
      <c r="C167" s="3423" t="s">
        <v>7653</v>
      </c>
      <c r="D167" s="3423"/>
      <c r="E167" s="3423"/>
    </row>
    <row r="168" spans="2:5">
      <c r="B168" s="2559" t="s">
        <v>2976</v>
      </c>
      <c r="C168" s="3423" t="s">
        <v>7654</v>
      </c>
      <c r="D168" s="3423"/>
      <c r="E168" s="3423"/>
    </row>
    <row r="169" spans="2:5">
      <c r="B169" s="2559" t="s">
        <v>7655</v>
      </c>
      <c r="C169" s="3423" t="s">
        <v>7656</v>
      </c>
      <c r="D169" s="3423"/>
      <c r="E169" s="3423"/>
    </row>
    <row r="170" spans="2:5">
      <c r="B170" s="2559" t="s">
        <v>2227</v>
      </c>
      <c r="C170" s="3423" t="s">
        <v>7657</v>
      </c>
      <c r="D170" s="3423"/>
      <c r="E170" s="3423"/>
    </row>
    <row r="171" spans="2:5">
      <c r="B171" s="2559" t="s">
        <v>7658</v>
      </c>
      <c r="C171" s="3423" t="s">
        <v>7659</v>
      </c>
      <c r="D171" s="3423"/>
      <c r="E171" s="3423"/>
    </row>
    <row r="172" spans="2:5">
      <c r="B172" s="2559" t="s">
        <v>2229</v>
      </c>
      <c r="C172" s="3423" t="s">
        <v>7660</v>
      </c>
      <c r="D172" s="3423"/>
      <c r="E172" s="3423"/>
    </row>
  </sheetData>
  <mergeCells count="186">
    <mergeCell ref="B17:C17"/>
    <mergeCell ref="B18:B19"/>
    <mergeCell ref="B20:C20"/>
    <mergeCell ref="B21:U21"/>
    <mergeCell ref="B22:C22"/>
    <mergeCell ref="B23:B24"/>
    <mergeCell ref="B25:C25"/>
    <mergeCell ref="B26:B27"/>
    <mergeCell ref="B34:C34"/>
    <mergeCell ref="B28:C28"/>
    <mergeCell ref="B29:B30"/>
    <mergeCell ref="B31:C31"/>
    <mergeCell ref="B32:B33"/>
    <mergeCell ref="A2:U2"/>
    <mergeCell ref="A3:A6"/>
    <mergeCell ref="D3:E3"/>
    <mergeCell ref="F3:G3"/>
    <mergeCell ref="H3:I3"/>
    <mergeCell ref="J3:K3"/>
    <mergeCell ref="L3:M3"/>
    <mergeCell ref="P3:U3"/>
    <mergeCell ref="L4:L5"/>
    <mergeCell ref="M4:M5"/>
    <mergeCell ref="N4:N5"/>
    <mergeCell ref="O4:O5"/>
    <mergeCell ref="N3:O3"/>
    <mergeCell ref="Q4:Q5"/>
    <mergeCell ref="R4:R5"/>
    <mergeCell ref="S4:S5"/>
    <mergeCell ref="B3:C6"/>
    <mergeCell ref="C36:E36"/>
    <mergeCell ref="C37:E37"/>
    <mergeCell ref="C38:E38"/>
    <mergeCell ref="C39:E39"/>
    <mergeCell ref="C40:E40"/>
    <mergeCell ref="V3:V6"/>
    <mergeCell ref="D4:D5"/>
    <mergeCell ref="E4:E5"/>
    <mergeCell ref="F4:F5"/>
    <mergeCell ref="G4:G5"/>
    <mergeCell ref="H4:H5"/>
    <mergeCell ref="I4:I5"/>
    <mergeCell ref="P4:P5"/>
    <mergeCell ref="J4:J5"/>
    <mergeCell ref="K4:K5"/>
    <mergeCell ref="T4:T5"/>
    <mergeCell ref="U4:U5"/>
    <mergeCell ref="B7:C7"/>
    <mergeCell ref="B8:B9"/>
    <mergeCell ref="B10:C10"/>
    <mergeCell ref="B11:B12"/>
    <mergeCell ref="B13:C13"/>
    <mergeCell ref="B14:C14"/>
    <mergeCell ref="B15:B16"/>
    <mergeCell ref="C46:E46"/>
    <mergeCell ref="C47:E47"/>
    <mergeCell ref="C48:E48"/>
    <mergeCell ref="C49:E49"/>
    <mergeCell ref="C50:E50"/>
    <mergeCell ref="C41:E41"/>
    <mergeCell ref="C42:E42"/>
    <mergeCell ref="C43:E43"/>
    <mergeCell ref="C44:E44"/>
    <mergeCell ref="C45:E45"/>
    <mergeCell ref="C56:E56"/>
    <mergeCell ref="C57:E57"/>
    <mergeCell ref="C58:E58"/>
    <mergeCell ref="C59:E59"/>
    <mergeCell ref="C60:E60"/>
    <mergeCell ref="C51:E51"/>
    <mergeCell ref="C52:E52"/>
    <mergeCell ref="C53:E53"/>
    <mergeCell ref="C54:E54"/>
    <mergeCell ref="C55:E55"/>
    <mergeCell ref="C66:E66"/>
    <mergeCell ref="C67:E67"/>
    <mergeCell ref="C68:E68"/>
    <mergeCell ref="C69:E69"/>
    <mergeCell ref="C70:E70"/>
    <mergeCell ref="C61:E61"/>
    <mergeCell ref="C62:E62"/>
    <mergeCell ref="C63:E63"/>
    <mergeCell ref="C64:E64"/>
    <mergeCell ref="C65:E65"/>
    <mergeCell ref="C76:E76"/>
    <mergeCell ref="C77:E77"/>
    <mergeCell ref="C78:E78"/>
    <mergeCell ref="C79:E79"/>
    <mergeCell ref="C80:E80"/>
    <mergeCell ref="C71:E71"/>
    <mergeCell ref="C72:E72"/>
    <mergeCell ref="C73:E73"/>
    <mergeCell ref="C74:E74"/>
    <mergeCell ref="C75:E75"/>
    <mergeCell ref="C86:E86"/>
    <mergeCell ref="C87:E87"/>
    <mergeCell ref="C88:E88"/>
    <mergeCell ref="C89:E89"/>
    <mergeCell ref="C90:E90"/>
    <mergeCell ref="C81:E81"/>
    <mergeCell ref="C82:E82"/>
    <mergeCell ref="C83:E83"/>
    <mergeCell ref="C84:E84"/>
    <mergeCell ref="C85:E85"/>
    <mergeCell ref="C96:E96"/>
    <mergeCell ref="C97:E97"/>
    <mergeCell ref="C98:E98"/>
    <mergeCell ref="C99:E99"/>
    <mergeCell ref="C100:E100"/>
    <mergeCell ref="C91:E91"/>
    <mergeCell ref="C92:E92"/>
    <mergeCell ref="C93:E93"/>
    <mergeCell ref="C94:E94"/>
    <mergeCell ref="C95:E95"/>
    <mergeCell ref="C106:E106"/>
    <mergeCell ref="C107:E107"/>
    <mergeCell ref="C108:E108"/>
    <mergeCell ref="C109:E109"/>
    <mergeCell ref="C110:E110"/>
    <mergeCell ref="C101:E101"/>
    <mergeCell ref="C102:E102"/>
    <mergeCell ref="C103:E103"/>
    <mergeCell ref="C104:E104"/>
    <mergeCell ref="C105:E105"/>
    <mergeCell ref="C116:E116"/>
    <mergeCell ref="C117:E117"/>
    <mergeCell ref="C118:E118"/>
    <mergeCell ref="C119:E119"/>
    <mergeCell ref="C120:E120"/>
    <mergeCell ref="C111:E111"/>
    <mergeCell ref="C112:E112"/>
    <mergeCell ref="C113:E113"/>
    <mergeCell ref="C114:E114"/>
    <mergeCell ref="C115:E115"/>
    <mergeCell ref="C126:E126"/>
    <mergeCell ref="C127:E127"/>
    <mergeCell ref="C128:E128"/>
    <mergeCell ref="C129:E129"/>
    <mergeCell ref="C130:E130"/>
    <mergeCell ref="C121:E121"/>
    <mergeCell ref="C122:E122"/>
    <mergeCell ref="C123:E123"/>
    <mergeCell ref="C124:E124"/>
    <mergeCell ref="C125:E125"/>
    <mergeCell ref="C136:E136"/>
    <mergeCell ref="C137:E137"/>
    <mergeCell ref="C138:E138"/>
    <mergeCell ref="C139:E139"/>
    <mergeCell ref="C140:E140"/>
    <mergeCell ref="C131:E131"/>
    <mergeCell ref="C132:E132"/>
    <mergeCell ref="C133:E133"/>
    <mergeCell ref="C134:E134"/>
    <mergeCell ref="C135:E135"/>
    <mergeCell ref="C146:E146"/>
    <mergeCell ref="C147:E147"/>
    <mergeCell ref="C148:E148"/>
    <mergeCell ref="C149:E149"/>
    <mergeCell ref="C150:E150"/>
    <mergeCell ref="C141:E141"/>
    <mergeCell ref="C142:E142"/>
    <mergeCell ref="C143:E143"/>
    <mergeCell ref="C144:E144"/>
    <mergeCell ref="C145:E145"/>
    <mergeCell ref="C156:E156"/>
    <mergeCell ref="C157:E157"/>
    <mergeCell ref="C158:E158"/>
    <mergeCell ref="C159:E159"/>
    <mergeCell ref="C160:E160"/>
    <mergeCell ref="C151:E151"/>
    <mergeCell ref="C152:E152"/>
    <mergeCell ref="C153:E153"/>
    <mergeCell ref="C154:E154"/>
    <mergeCell ref="C155:E155"/>
    <mergeCell ref="C171:E171"/>
    <mergeCell ref="C172:E172"/>
    <mergeCell ref="C166:E166"/>
    <mergeCell ref="C167:E167"/>
    <mergeCell ref="C168:E168"/>
    <mergeCell ref="C169:E169"/>
    <mergeCell ref="C170:E170"/>
    <mergeCell ref="C161:E161"/>
    <mergeCell ref="C162:E162"/>
    <mergeCell ref="C163:E163"/>
    <mergeCell ref="C164:E164"/>
    <mergeCell ref="C165:E165"/>
  </mergeCells>
  <phoneticPr fontId="51" type="noConversion"/>
  <dataValidations count="1">
    <dataValidation type="list" allowBlank="1" showInputMessage="1" showErrorMessage="1" sqref="B15:B16">
      <formula1>"重要行业小微,其他企业"</formula1>
    </dataValidation>
  </dataValidations>
  <hyperlinks>
    <hyperlink ref="W10" location="A105080资产折旧、摊销情况及纳税调整明细表!A1" display="A105080资产折旧、摊销情况及纳税调整明细表!A1"/>
    <hyperlink ref="W11" location="固资折旧!A1" display="固资折旧!A1"/>
    <hyperlink ref="W13" location="折旧测算!A1" display="折旧测算!A1"/>
  </hyperlinks>
  <printOptions horizontalCentered="1"/>
  <pageMargins left="0.78740157480314998" right="0.35433070866141703" top="0.511811023622047" bottom="0.11811023622047198" header="0.511811023622047" footer="0.511811023622047"/>
  <pageSetup paperSize="9" scale="90" orientation="landscape" useFirstPageNumber="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tabColor rgb="FFFFFF00"/>
  </sheetPr>
  <dimension ref="A1:I19"/>
  <sheetViews>
    <sheetView workbookViewId="0">
      <selection sqref="A1:E1"/>
    </sheetView>
  </sheetViews>
  <sheetFormatPr defaultRowHeight="15.6"/>
  <cols>
    <col min="1" max="1" width="5.19921875" style="1558" customWidth="1"/>
    <col min="2" max="2" width="46.5" style="1558" customWidth="1"/>
    <col min="3" max="5" width="12.3984375" style="1558" customWidth="1"/>
    <col min="6" max="6" width="23.5" style="1558" customWidth="1"/>
    <col min="7" max="8" width="9" style="1558"/>
    <col min="9" max="9" width="42" style="1558" customWidth="1"/>
    <col min="10" max="256" width="9" style="1558"/>
    <col min="257" max="257" width="5.19921875" style="1558" customWidth="1"/>
    <col min="258" max="258" width="46.5" style="1558" customWidth="1"/>
    <col min="259" max="260" width="9.3984375" style="1558" customWidth="1"/>
    <col min="261" max="261" width="10.19921875" style="1558" customWidth="1"/>
    <col min="262" max="262" width="23.5" style="1558" customWidth="1"/>
    <col min="263" max="264" width="9" style="1558"/>
    <col min="265" max="265" width="42" style="1558" customWidth="1"/>
    <col min="266" max="512" width="9" style="1558"/>
    <col min="513" max="513" width="5.19921875" style="1558" customWidth="1"/>
    <col min="514" max="514" width="46.5" style="1558" customWidth="1"/>
    <col min="515" max="516" width="9.3984375" style="1558" customWidth="1"/>
    <col min="517" max="517" width="10.19921875" style="1558" customWidth="1"/>
    <col min="518" max="518" width="23.5" style="1558" customWidth="1"/>
    <col min="519" max="520" width="9" style="1558"/>
    <col min="521" max="521" width="42" style="1558" customWidth="1"/>
    <col min="522" max="768" width="9" style="1558"/>
    <col min="769" max="769" width="5.19921875" style="1558" customWidth="1"/>
    <col min="770" max="770" width="46.5" style="1558" customWidth="1"/>
    <col min="771" max="772" width="9.3984375" style="1558" customWidth="1"/>
    <col min="773" max="773" width="10.19921875" style="1558" customWidth="1"/>
    <col min="774" max="774" width="23.5" style="1558" customWidth="1"/>
    <col min="775" max="776" width="9" style="1558"/>
    <col min="777" max="777" width="42" style="1558" customWidth="1"/>
    <col min="778" max="1024" width="9" style="1558"/>
    <col min="1025" max="1025" width="5.19921875" style="1558" customWidth="1"/>
    <col min="1026" max="1026" width="46.5" style="1558" customWidth="1"/>
    <col min="1027" max="1028" width="9.3984375" style="1558" customWidth="1"/>
    <col min="1029" max="1029" width="10.19921875" style="1558" customWidth="1"/>
    <col min="1030" max="1030" width="23.5" style="1558" customWidth="1"/>
    <col min="1031" max="1032" width="9" style="1558"/>
    <col min="1033" max="1033" width="42" style="1558" customWidth="1"/>
    <col min="1034" max="1280" width="9" style="1558"/>
    <col min="1281" max="1281" width="5.19921875" style="1558" customWidth="1"/>
    <col min="1282" max="1282" width="46.5" style="1558" customWidth="1"/>
    <col min="1283" max="1284" width="9.3984375" style="1558" customWidth="1"/>
    <col min="1285" max="1285" width="10.19921875" style="1558" customWidth="1"/>
    <col min="1286" max="1286" width="23.5" style="1558" customWidth="1"/>
    <col min="1287" max="1288" width="9" style="1558"/>
    <col min="1289" max="1289" width="42" style="1558" customWidth="1"/>
    <col min="1290" max="1536" width="9" style="1558"/>
    <col min="1537" max="1537" width="5.19921875" style="1558" customWidth="1"/>
    <col min="1538" max="1538" width="46.5" style="1558" customWidth="1"/>
    <col min="1539" max="1540" width="9.3984375" style="1558" customWidth="1"/>
    <col min="1541" max="1541" width="10.19921875" style="1558" customWidth="1"/>
    <col min="1542" max="1542" width="23.5" style="1558" customWidth="1"/>
    <col min="1543" max="1544" width="9" style="1558"/>
    <col min="1545" max="1545" width="42" style="1558" customWidth="1"/>
    <col min="1546" max="1792" width="9" style="1558"/>
    <col min="1793" max="1793" width="5.19921875" style="1558" customWidth="1"/>
    <col min="1794" max="1794" width="46.5" style="1558" customWidth="1"/>
    <col min="1795" max="1796" width="9.3984375" style="1558" customWidth="1"/>
    <col min="1797" max="1797" width="10.19921875" style="1558" customWidth="1"/>
    <col min="1798" max="1798" width="23.5" style="1558" customWidth="1"/>
    <col min="1799" max="1800" width="9" style="1558"/>
    <col min="1801" max="1801" width="42" style="1558" customWidth="1"/>
    <col min="1802" max="2048" width="9" style="1558"/>
    <col min="2049" max="2049" width="5.19921875" style="1558" customWidth="1"/>
    <col min="2050" max="2050" width="46.5" style="1558" customWidth="1"/>
    <col min="2051" max="2052" width="9.3984375" style="1558" customWidth="1"/>
    <col min="2053" max="2053" width="10.19921875" style="1558" customWidth="1"/>
    <col min="2054" max="2054" width="23.5" style="1558" customWidth="1"/>
    <col min="2055" max="2056" width="9" style="1558"/>
    <col min="2057" max="2057" width="42" style="1558" customWidth="1"/>
    <col min="2058" max="2304" width="9" style="1558"/>
    <col min="2305" max="2305" width="5.19921875" style="1558" customWidth="1"/>
    <col min="2306" max="2306" width="46.5" style="1558" customWidth="1"/>
    <col min="2307" max="2308" width="9.3984375" style="1558" customWidth="1"/>
    <col min="2309" max="2309" width="10.19921875" style="1558" customWidth="1"/>
    <col min="2310" max="2310" width="23.5" style="1558" customWidth="1"/>
    <col min="2311" max="2312" width="9" style="1558"/>
    <col min="2313" max="2313" width="42" style="1558" customWidth="1"/>
    <col min="2314" max="2560" width="9" style="1558"/>
    <col min="2561" max="2561" width="5.19921875" style="1558" customWidth="1"/>
    <col min="2562" max="2562" width="46.5" style="1558" customWidth="1"/>
    <col min="2563" max="2564" width="9.3984375" style="1558" customWidth="1"/>
    <col min="2565" max="2565" width="10.19921875" style="1558" customWidth="1"/>
    <col min="2566" max="2566" width="23.5" style="1558" customWidth="1"/>
    <col min="2567" max="2568" width="9" style="1558"/>
    <col min="2569" max="2569" width="42" style="1558" customWidth="1"/>
    <col min="2570" max="2816" width="9" style="1558"/>
    <col min="2817" max="2817" width="5.19921875" style="1558" customWidth="1"/>
    <col min="2818" max="2818" width="46.5" style="1558" customWidth="1"/>
    <col min="2819" max="2820" width="9.3984375" style="1558" customWidth="1"/>
    <col min="2821" max="2821" width="10.19921875" style="1558" customWidth="1"/>
    <col min="2822" max="2822" width="23.5" style="1558" customWidth="1"/>
    <col min="2823" max="2824" width="9" style="1558"/>
    <col min="2825" max="2825" width="42" style="1558" customWidth="1"/>
    <col min="2826" max="3072" width="9" style="1558"/>
    <col min="3073" max="3073" width="5.19921875" style="1558" customWidth="1"/>
    <col min="3074" max="3074" width="46.5" style="1558" customWidth="1"/>
    <col min="3075" max="3076" width="9.3984375" style="1558" customWidth="1"/>
    <col min="3077" max="3077" width="10.19921875" style="1558" customWidth="1"/>
    <col min="3078" max="3078" width="23.5" style="1558" customWidth="1"/>
    <col min="3079" max="3080" width="9" style="1558"/>
    <col min="3081" max="3081" width="42" style="1558" customWidth="1"/>
    <col min="3082" max="3328" width="9" style="1558"/>
    <col min="3329" max="3329" width="5.19921875" style="1558" customWidth="1"/>
    <col min="3330" max="3330" width="46.5" style="1558" customWidth="1"/>
    <col min="3331" max="3332" width="9.3984375" style="1558" customWidth="1"/>
    <col min="3333" max="3333" width="10.19921875" style="1558" customWidth="1"/>
    <col min="3334" max="3334" width="23.5" style="1558" customWidth="1"/>
    <col min="3335" max="3336" width="9" style="1558"/>
    <col min="3337" max="3337" width="42" style="1558" customWidth="1"/>
    <col min="3338" max="3584" width="9" style="1558"/>
    <col min="3585" max="3585" width="5.19921875" style="1558" customWidth="1"/>
    <col min="3586" max="3586" width="46.5" style="1558" customWidth="1"/>
    <col min="3587" max="3588" width="9.3984375" style="1558" customWidth="1"/>
    <col min="3589" max="3589" width="10.19921875" style="1558" customWidth="1"/>
    <col min="3590" max="3590" width="23.5" style="1558" customWidth="1"/>
    <col min="3591" max="3592" width="9" style="1558"/>
    <col min="3593" max="3593" width="42" style="1558" customWidth="1"/>
    <col min="3594" max="3840" width="9" style="1558"/>
    <col min="3841" max="3841" width="5.19921875" style="1558" customWidth="1"/>
    <col min="3842" max="3842" width="46.5" style="1558" customWidth="1"/>
    <col min="3843" max="3844" width="9.3984375" style="1558" customWidth="1"/>
    <col min="3845" max="3845" width="10.19921875" style="1558" customWidth="1"/>
    <col min="3846" max="3846" width="23.5" style="1558" customWidth="1"/>
    <col min="3847" max="3848" width="9" style="1558"/>
    <col min="3849" max="3849" width="42" style="1558" customWidth="1"/>
    <col min="3850" max="4096" width="9" style="1558"/>
    <col min="4097" max="4097" width="5.19921875" style="1558" customWidth="1"/>
    <col min="4098" max="4098" width="46.5" style="1558" customWidth="1"/>
    <col min="4099" max="4100" width="9.3984375" style="1558" customWidth="1"/>
    <col min="4101" max="4101" width="10.19921875" style="1558" customWidth="1"/>
    <col min="4102" max="4102" width="23.5" style="1558" customWidth="1"/>
    <col min="4103" max="4104" width="9" style="1558"/>
    <col min="4105" max="4105" width="42" style="1558" customWidth="1"/>
    <col min="4106" max="4352" width="9" style="1558"/>
    <col min="4353" max="4353" width="5.19921875" style="1558" customWidth="1"/>
    <col min="4354" max="4354" width="46.5" style="1558" customWidth="1"/>
    <col min="4355" max="4356" width="9.3984375" style="1558" customWidth="1"/>
    <col min="4357" max="4357" width="10.19921875" style="1558" customWidth="1"/>
    <col min="4358" max="4358" width="23.5" style="1558" customWidth="1"/>
    <col min="4359" max="4360" width="9" style="1558"/>
    <col min="4361" max="4361" width="42" style="1558" customWidth="1"/>
    <col min="4362" max="4608" width="9" style="1558"/>
    <col min="4609" max="4609" width="5.19921875" style="1558" customWidth="1"/>
    <col min="4610" max="4610" width="46.5" style="1558" customWidth="1"/>
    <col min="4611" max="4612" width="9.3984375" style="1558" customWidth="1"/>
    <col min="4613" max="4613" width="10.19921875" style="1558" customWidth="1"/>
    <col min="4614" max="4614" width="23.5" style="1558" customWidth="1"/>
    <col min="4615" max="4616" width="9" style="1558"/>
    <col min="4617" max="4617" width="42" style="1558" customWidth="1"/>
    <col min="4618" max="4864" width="9" style="1558"/>
    <col min="4865" max="4865" width="5.19921875" style="1558" customWidth="1"/>
    <col min="4866" max="4866" width="46.5" style="1558" customWidth="1"/>
    <col min="4867" max="4868" width="9.3984375" style="1558" customWidth="1"/>
    <col min="4869" max="4869" width="10.19921875" style="1558" customWidth="1"/>
    <col min="4870" max="4870" width="23.5" style="1558" customWidth="1"/>
    <col min="4871" max="4872" width="9" style="1558"/>
    <col min="4873" max="4873" width="42" style="1558" customWidth="1"/>
    <col min="4874" max="5120" width="9" style="1558"/>
    <col min="5121" max="5121" width="5.19921875" style="1558" customWidth="1"/>
    <col min="5122" max="5122" width="46.5" style="1558" customWidth="1"/>
    <col min="5123" max="5124" width="9.3984375" style="1558" customWidth="1"/>
    <col min="5125" max="5125" width="10.19921875" style="1558" customWidth="1"/>
    <col min="5126" max="5126" width="23.5" style="1558" customWidth="1"/>
    <col min="5127" max="5128" width="9" style="1558"/>
    <col min="5129" max="5129" width="42" style="1558" customWidth="1"/>
    <col min="5130" max="5376" width="9" style="1558"/>
    <col min="5377" max="5377" width="5.19921875" style="1558" customWidth="1"/>
    <col min="5378" max="5378" width="46.5" style="1558" customWidth="1"/>
    <col min="5379" max="5380" width="9.3984375" style="1558" customWidth="1"/>
    <col min="5381" max="5381" width="10.19921875" style="1558" customWidth="1"/>
    <col min="5382" max="5382" width="23.5" style="1558" customWidth="1"/>
    <col min="5383" max="5384" width="9" style="1558"/>
    <col min="5385" max="5385" width="42" style="1558" customWidth="1"/>
    <col min="5386" max="5632" width="9" style="1558"/>
    <col min="5633" max="5633" width="5.19921875" style="1558" customWidth="1"/>
    <col min="5634" max="5634" width="46.5" style="1558" customWidth="1"/>
    <col min="5635" max="5636" width="9.3984375" style="1558" customWidth="1"/>
    <col min="5637" max="5637" width="10.19921875" style="1558" customWidth="1"/>
    <col min="5638" max="5638" width="23.5" style="1558" customWidth="1"/>
    <col min="5639" max="5640" width="9" style="1558"/>
    <col min="5641" max="5641" width="42" style="1558" customWidth="1"/>
    <col min="5642" max="5888" width="9" style="1558"/>
    <col min="5889" max="5889" width="5.19921875" style="1558" customWidth="1"/>
    <col min="5890" max="5890" width="46.5" style="1558" customWidth="1"/>
    <col min="5891" max="5892" width="9.3984375" style="1558" customWidth="1"/>
    <col min="5893" max="5893" width="10.19921875" style="1558" customWidth="1"/>
    <col min="5894" max="5894" width="23.5" style="1558" customWidth="1"/>
    <col min="5895" max="5896" width="9" style="1558"/>
    <col min="5897" max="5897" width="42" style="1558" customWidth="1"/>
    <col min="5898" max="6144" width="9" style="1558"/>
    <col min="6145" max="6145" width="5.19921875" style="1558" customWidth="1"/>
    <col min="6146" max="6146" width="46.5" style="1558" customWidth="1"/>
    <col min="6147" max="6148" width="9.3984375" style="1558" customWidth="1"/>
    <col min="6149" max="6149" width="10.19921875" style="1558" customWidth="1"/>
    <col min="6150" max="6150" width="23.5" style="1558" customWidth="1"/>
    <col min="6151" max="6152" width="9" style="1558"/>
    <col min="6153" max="6153" width="42" style="1558" customWidth="1"/>
    <col min="6154" max="6400" width="9" style="1558"/>
    <col min="6401" max="6401" width="5.19921875" style="1558" customWidth="1"/>
    <col min="6402" max="6402" width="46.5" style="1558" customWidth="1"/>
    <col min="6403" max="6404" width="9.3984375" style="1558" customWidth="1"/>
    <col min="6405" max="6405" width="10.19921875" style="1558" customWidth="1"/>
    <col min="6406" max="6406" width="23.5" style="1558" customWidth="1"/>
    <col min="6407" max="6408" width="9" style="1558"/>
    <col min="6409" max="6409" width="42" style="1558" customWidth="1"/>
    <col min="6410" max="6656" width="9" style="1558"/>
    <col min="6657" max="6657" width="5.19921875" style="1558" customWidth="1"/>
    <col min="6658" max="6658" width="46.5" style="1558" customWidth="1"/>
    <col min="6659" max="6660" width="9.3984375" style="1558" customWidth="1"/>
    <col min="6661" max="6661" width="10.19921875" style="1558" customWidth="1"/>
    <col min="6662" max="6662" width="23.5" style="1558" customWidth="1"/>
    <col min="6663" max="6664" width="9" style="1558"/>
    <col min="6665" max="6665" width="42" style="1558" customWidth="1"/>
    <col min="6666" max="6912" width="9" style="1558"/>
    <col min="6913" max="6913" width="5.19921875" style="1558" customWidth="1"/>
    <col min="6914" max="6914" width="46.5" style="1558" customWidth="1"/>
    <col min="6915" max="6916" width="9.3984375" style="1558" customWidth="1"/>
    <col min="6917" max="6917" width="10.19921875" style="1558" customWidth="1"/>
    <col min="6918" max="6918" width="23.5" style="1558" customWidth="1"/>
    <col min="6919" max="6920" width="9" style="1558"/>
    <col min="6921" max="6921" width="42" style="1558" customWidth="1"/>
    <col min="6922" max="7168" width="9" style="1558"/>
    <col min="7169" max="7169" width="5.19921875" style="1558" customWidth="1"/>
    <col min="7170" max="7170" width="46.5" style="1558" customWidth="1"/>
    <col min="7171" max="7172" width="9.3984375" style="1558" customWidth="1"/>
    <col min="7173" max="7173" width="10.19921875" style="1558" customWidth="1"/>
    <col min="7174" max="7174" width="23.5" style="1558" customWidth="1"/>
    <col min="7175" max="7176" width="9" style="1558"/>
    <col min="7177" max="7177" width="42" style="1558" customWidth="1"/>
    <col min="7178" max="7424" width="9" style="1558"/>
    <col min="7425" max="7425" width="5.19921875" style="1558" customWidth="1"/>
    <col min="7426" max="7426" width="46.5" style="1558" customWidth="1"/>
    <col min="7427" max="7428" width="9.3984375" style="1558" customWidth="1"/>
    <col min="7429" max="7429" width="10.19921875" style="1558" customWidth="1"/>
    <col min="7430" max="7430" width="23.5" style="1558" customWidth="1"/>
    <col min="7431" max="7432" width="9" style="1558"/>
    <col min="7433" max="7433" width="42" style="1558" customWidth="1"/>
    <col min="7434" max="7680" width="9" style="1558"/>
    <col min="7681" max="7681" width="5.19921875" style="1558" customWidth="1"/>
    <col min="7682" max="7682" width="46.5" style="1558" customWidth="1"/>
    <col min="7683" max="7684" width="9.3984375" style="1558" customWidth="1"/>
    <col min="7685" max="7685" width="10.19921875" style="1558" customWidth="1"/>
    <col min="7686" max="7686" width="23.5" style="1558" customWidth="1"/>
    <col min="7687" max="7688" width="9" style="1558"/>
    <col min="7689" max="7689" width="42" style="1558" customWidth="1"/>
    <col min="7690" max="7936" width="9" style="1558"/>
    <col min="7937" max="7937" width="5.19921875" style="1558" customWidth="1"/>
    <col min="7938" max="7938" width="46.5" style="1558" customWidth="1"/>
    <col min="7939" max="7940" width="9.3984375" style="1558" customWidth="1"/>
    <col min="7941" max="7941" width="10.19921875" style="1558" customWidth="1"/>
    <col min="7942" max="7942" width="23.5" style="1558" customWidth="1"/>
    <col min="7943" max="7944" width="9" style="1558"/>
    <col min="7945" max="7945" width="42" style="1558" customWidth="1"/>
    <col min="7946" max="8192" width="9" style="1558"/>
    <col min="8193" max="8193" width="5.19921875" style="1558" customWidth="1"/>
    <col min="8194" max="8194" width="46.5" style="1558" customWidth="1"/>
    <col min="8195" max="8196" width="9.3984375" style="1558" customWidth="1"/>
    <col min="8197" max="8197" width="10.19921875" style="1558" customWidth="1"/>
    <col min="8198" max="8198" width="23.5" style="1558" customWidth="1"/>
    <col min="8199" max="8200" width="9" style="1558"/>
    <col min="8201" max="8201" width="42" style="1558" customWidth="1"/>
    <col min="8202" max="8448" width="9" style="1558"/>
    <col min="8449" max="8449" width="5.19921875" style="1558" customWidth="1"/>
    <col min="8450" max="8450" width="46.5" style="1558" customWidth="1"/>
    <col min="8451" max="8452" width="9.3984375" style="1558" customWidth="1"/>
    <col min="8453" max="8453" width="10.19921875" style="1558" customWidth="1"/>
    <col min="8454" max="8454" width="23.5" style="1558" customWidth="1"/>
    <col min="8455" max="8456" width="9" style="1558"/>
    <col min="8457" max="8457" width="42" style="1558" customWidth="1"/>
    <col min="8458" max="8704" width="9" style="1558"/>
    <col min="8705" max="8705" width="5.19921875" style="1558" customWidth="1"/>
    <col min="8706" max="8706" width="46.5" style="1558" customWidth="1"/>
    <col min="8707" max="8708" width="9.3984375" style="1558" customWidth="1"/>
    <col min="8709" max="8709" width="10.19921875" style="1558" customWidth="1"/>
    <col min="8710" max="8710" width="23.5" style="1558" customWidth="1"/>
    <col min="8711" max="8712" width="9" style="1558"/>
    <col min="8713" max="8713" width="42" style="1558" customWidth="1"/>
    <col min="8714" max="8960" width="9" style="1558"/>
    <col min="8961" max="8961" width="5.19921875" style="1558" customWidth="1"/>
    <col min="8962" max="8962" width="46.5" style="1558" customWidth="1"/>
    <col min="8963" max="8964" width="9.3984375" style="1558" customWidth="1"/>
    <col min="8965" max="8965" width="10.19921875" style="1558" customWidth="1"/>
    <col min="8966" max="8966" width="23.5" style="1558" customWidth="1"/>
    <col min="8967" max="8968" width="9" style="1558"/>
    <col min="8969" max="8969" width="42" style="1558" customWidth="1"/>
    <col min="8970" max="9216" width="9" style="1558"/>
    <col min="9217" max="9217" width="5.19921875" style="1558" customWidth="1"/>
    <col min="9218" max="9218" width="46.5" style="1558" customWidth="1"/>
    <col min="9219" max="9220" width="9.3984375" style="1558" customWidth="1"/>
    <col min="9221" max="9221" width="10.19921875" style="1558" customWidth="1"/>
    <col min="9222" max="9222" width="23.5" style="1558" customWidth="1"/>
    <col min="9223" max="9224" width="9" style="1558"/>
    <col min="9225" max="9225" width="42" style="1558" customWidth="1"/>
    <col min="9226" max="9472" width="9" style="1558"/>
    <col min="9473" max="9473" width="5.19921875" style="1558" customWidth="1"/>
    <col min="9474" max="9474" width="46.5" style="1558" customWidth="1"/>
    <col min="9475" max="9476" width="9.3984375" style="1558" customWidth="1"/>
    <col min="9477" max="9477" width="10.19921875" style="1558" customWidth="1"/>
    <col min="9478" max="9478" width="23.5" style="1558" customWidth="1"/>
    <col min="9479" max="9480" width="9" style="1558"/>
    <col min="9481" max="9481" width="42" style="1558" customWidth="1"/>
    <col min="9482" max="9728" width="9" style="1558"/>
    <col min="9729" max="9729" width="5.19921875" style="1558" customWidth="1"/>
    <col min="9730" max="9730" width="46.5" style="1558" customWidth="1"/>
    <col min="9731" max="9732" width="9.3984375" style="1558" customWidth="1"/>
    <col min="9733" max="9733" width="10.19921875" style="1558" customWidth="1"/>
    <col min="9734" max="9734" width="23.5" style="1558" customWidth="1"/>
    <col min="9735" max="9736" width="9" style="1558"/>
    <col min="9737" max="9737" width="42" style="1558" customWidth="1"/>
    <col min="9738" max="9984" width="9" style="1558"/>
    <col min="9985" max="9985" width="5.19921875" style="1558" customWidth="1"/>
    <col min="9986" max="9986" width="46.5" style="1558" customWidth="1"/>
    <col min="9987" max="9988" width="9.3984375" style="1558" customWidth="1"/>
    <col min="9989" max="9989" width="10.19921875" style="1558" customWidth="1"/>
    <col min="9990" max="9990" width="23.5" style="1558" customWidth="1"/>
    <col min="9991" max="9992" width="9" style="1558"/>
    <col min="9993" max="9993" width="42" style="1558" customWidth="1"/>
    <col min="9994" max="10240" width="9" style="1558"/>
    <col min="10241" max="10241" width="5.19921875" style="1558" customWidth="1"/>
    <col min="10242" max="10242" width="46.5" style="1558" customWidth="1"/>
    <col min="10243" max="10244" width="9.3984375" style="1558" customWidth="1"/>
    <col min="10245" max="10245" width="10.19921875" style="1558" customWidth="1"/>
    <col min="10246" max="10246" width="23.5" style="1558" customWidth="1"/>
    <col min="10247" max="10248" width="9" style="1558"/>
    <col min="10249" max="10249" width="42" style="1558" customWidth="1"/>
    <col min="10250" max="10496" width="9" style="1558"/>
    <col min="10497" max="10497" width="5.19921875" style="1558" customWidth="1"/>
    <col min="10498" max="10498" width="46.5" style="1558" customWidth="1"/>
    <col min="10499" max="10500" width="9.3984375" style="1558" customWidth="1"/>
    <col min="10501" max="10501" width="10.19921875" style="1558" customWidth="1"/>
    <col min="10502" max="10502" width="23.5" style="1558" customWidth="1"/>
    <col min="10503" max="10504" width="9" style="1558"/>
    <col min="10505" max="10505" width="42" style="1558" customWidth="1"/>
    <col min="10506" max="10752" width="9" style="1558"/>
    <col min="10753" max="10753" width="5.19921875" style="1558" customWidth="1"/>
    <col min="10754" max="10754" width="46.5" style="1558" customWidth="1"/>
    <col min="10755" max="10756" width="9.3984375" style="1558" customWidth="1"/>
    <col min="10757" max="10757" width="10.19921875" style="1558" customWidth="1"/>
    <col min="10758" max="10758" width="23.5" style="1558" customWidth="1"/>
    <col min="10759" max="10760" width="9" style="1558"/>
    <col min="10761" max="10761" width="42" style="1558" customWidth="1"/>
    <col min="10762" max="11008" width="9" style="1558"/>
    <col min="11009" max="11009" width="5.19921875" style="1558" customWidth="1"/>
    <col min="11010" max="11010" width="46.5" style="1558" customWidth="1"/>
    <col min="11011" max="11012" width="9.3984375" style="1558" customWidth="1"/>
    <col min="11013" max="11013" width="10.19921875" style="1558" customWidth="1"/>
    <col min="11014" max="11014" width="23.5" style="1558" customWidth="1"/>
    <col min="11015" max="11016" width="9" style="1558"/>
    <col min="11017" max="11017" width="42" style="1558" customWidth="1"/>
    <col min="11018" max="11264" width="9" style="1558"/>
    <col min="11265" max="11265" width="5.19921875" style="1558" customWidth="1"/>
    <col min="11266" max="11266" width="46.5" style="1558" customWidth="1"/>
    <col min="11267" max="11268" width="9.3984375" style="1558" customWidth="1"/>
    <col min="11269" max="11269" width="10.19921875" style="1558" customWidth="1"/>
    <col min="11270" max="11270" width="23.5" style="1558" customWidth="1"/>
    <col min="11271" max="11272" width="9" style="1558"/>
    <col min="11273" max="11273" width="42" style="1558" customWidth="1"/>
    <col min="11274" max="11520" width="9" style="1558"/>
    <col min="11521" max="11521" width="5.19921875" style="1558" customWidth="1"/>
    <col min="11522" max="11522" width="46.5" style="1558" customWidth="1"/>
    <col min="11523" max="11524" width="9.3984375" style="1558" customWidth="1"/>
    <col min="11525" max="11525" width="10.19921875" style="1558" customWidth="1"/>
    <col min="11526" max="11526" width="23.5" style="1558" customWidth="1"/>
    <col min="11527" max="11528" width="9" style="1558"/>
    <col min="11529" max="11529" width="42" style="1558" customWidth="1"/>
    <col min="11530" max="11776" width="9" style="1558"/>
    <col min="11777" max="11777" width="5.19921875" style="1558" customWidth="1"/>
    <col min="11778" max="11778" width="46.5" style="1558" customWidth="1"/>
    <col min="11779" max="11780" width="9.3984375" style="1558" customWidth="1"/>
    <col min="11781" max="11781" width="10.19921875" style="1558" customWidth="1"/>
    <col min="11782" max="11782" width="23.5" style="1558" customWidth="1"/>
    <col min="11783" max="11784" width="9" style="1558"/>
    <col min="11785" max="11785" width="42" style="1558" customWidth="1"/>
    <col min="11786" max="12032" width="9" style="1558"/>
    <col min="12033" max="12033" width="5.19921875" style="1558" customWidth="1"/>
    <col min="12034" max="12034" width="46.5" style="1558" customWidth="1"/>
    <col min="12035" max="12036" width="9.3984375" style="1558" customWidth="1"/>
    <col min="12037" max="12037" width="10.19921875" style="1558" customWidth="1"/>
    <col min="12038" max="12038" width="23.5" style="1558" customWidth="1"/>
    <col min="12039" max="12040" width="9" style="1558"/>
    <col min="12041" max="12041" width="42" style="1558" customWidth="1"/>
    <col min="12042" max="12288" width="9" style="1558"/>
    <col min="12289" max="12289" width="5.19921875" style="1558" customWidth="1"/>
    <col min="12290" max="12290" width="46.5" style="1558" customWidth="1"/>
    <col min="12291" max="12292" width="9.3984375" style="1558" customWidth="1"/>
    <col min="12293" max="12293" width="10.19921875" style="1558" customWidth="1"/>
    <col min="12294" max="12294" width="23.5" style="1558" customWidth="1"/>
    <col min="12295" max="12296" width="9" style="1558"/>
    <col min="12297" max="12297" width="42" style="1558" customWidth="1"/>
    <col min="12298" max="12544" width="9" style="1558"/>
    <col min="12545" max="12545" width="5.19921875" style="1558" customWidth="1"/>
    <col min="12546" max="12546" width="46.5" style="1558" customWidth="1"/>
    <col min="12547" max="12548" width="9.3984375" style="1558" customWidth="1"/>
    <col min="12549" max="12549" width="10.19921875" style="1558" customWidth="1"/>
    <col min="12550" max="12550" width="23.5" style="1558" customWidth="1"/>
    <col min="12551" max="12552" width="9" style="1558"/>
    <col min="12553" max="12553" width="42" style="1558" customWidth="1"/>
    <col min="12554" max="12800" width="9" style="1558"/>
    <col min="12801" max="12801" width="5.19921875" style="1558" customWidth="1"/>
    <col min="12802" max="12802" width="46.5" style="1558" customWidth="1"/>
    <col min="12803" max="12804" width="9.3984375" style="1558" customWidth="1"/>
    <col min="12805" max="12805" width="10.19921875" style="1558" customWidth="1"/>
    <col min="12806" max="12806" width="23.5" style="1558" customWidth="1"/>
    <col min="12807" max="12808" width="9" style="1558"/>
    <col min="12809" max="12809" width="42" style="1558" customWidth="1"/>
    <col min="12810" max="13056" width="9" style="1558"/>
    <col min="13057" max="13057" width="5.19921875" style="1558" customWidth="1"/>
    <col min="13058" max="13058" width="46.5" style="1558" customWidth="1"/>
    <col min="13059" max="13060" width="9.3984375" style="1558" customWidth="1"/>
    <col min="13061" max="13061" width="10.19921875" style="1558" customWidth="1"/>
    <col min="13062" max="13062" width="23.5" style="1558" customWidth="1"/>
    <col min="13063" max="13064" width="9" style="1558"/>
    <col min="13065" max="13065" width="42" style="1558" customWidth="1"/>
    <col min="13066" max="13312" width="9" style="1558"/>
    <col min="13313" max="13313" width="5.19921875" style="1558" customWidth="1"/>
    <col min="13314" max="13314" width="46.5" style="1558" customWidth="1"/>
    <col min="13315" max="13316" width="9.3984375" style="1558" customWidth="1"/>
    <col min="13317" max="13317" width="10.19921875" style="1558" customWidth="1"/>
    <col min="13318" max="13318" width="23.5" style="1558" customWidth="1"/>
    <col min="13319" max="13320" width="9" style="1558"/>
    <col min="13321" max="13321" width="42" style="1558" customWidth="1"/>
    <col min="13322" max="13568" width="9" style="1558"/>
    <col min="13569" max="13569" width="5.19921875" style="1558" customWidth="1"/>
    <col min="13570" max="13570" width="46.5" style="1558" customWidth="1"/>
    <col min="13571" max="13572" width="9.3984375" style="1558" customWidth="1"/>
    <col min="13573" max="13573" width="10.19921875" style="1558" customWidth="1"/>
    <col min="13574" max="13574" width="23.5" style="1558" customWidth="1"/>
    <col min="13575" max="13576" width="9" style="1558"/>
    <col min="13577" max="13577" width="42" style="1558" customWidth="1"/>
    <col min="13578" max="13824" width="9" style="1558"/>
    <col min="13825" max="13825" width="5.19921875" style="1558" customWidth="1"/>
    <col min="13826" max="13826" width="46.5" style="1558" customWidth="1"/>
    <col min="13827" max="13828" width="9.3984375" style="1558" customWidth="1"/>
    <col min="13829" max="13829" width="10.19921875" style="1558" customWidth="1"/>
    <col min="13830" max="13830" width="23.5" style="1558" customWidth="1"/>
    <col min="13831" max="13832" width="9" style="1558"/>
    <col min="13833" max="13833" width="42" style="1558" customWidth="1"/>
    <col min="13834" max="14080" width="9" style="1558"/>
    <col min="14081" max="14081" width="5.19921875" style="1558" customWidth="1"/>
    <col min="14082" max="14082" width="46.5" style="1558" customWidth="1"/>
    <col min="14083" max="14084" width="9.3984375" style="1558" customWidth="1"/>
    <col min="14085" max="14085" width="10.19921875" style="1558" customWidth="1"/>
    <col min="14086" max="14086" width="23.5" style="1558" customWidth="1"/>
    <col min="14087" max="14088" width="9" style="1558"/>
    <col min="14089" max="14089" width="42" style="1558" customWidth="1"/>
    <col min="14090" max="14336" width="9" style="1558"/>
    <col min="14337" max="14337" width="5.19921875" style="1558" customWidth="1"/>
    <col min="14338" max="14338" width="46.5" style="1558" customWidth="1"/>
    <col min="14339" max="14340" width="9.3984375" style="1558" customWidth="1"/>
    <col min="14341" max="14341" width="10.19921875" style="1558" customWidth="1"/>
    <col min="14342" max="14342" width="23.5" style="1558" customWidth="1"/>
    <col min="14343" max="14344" width="9" style="1558"/>
    <col min="14345" max="14345" width="42" style="1558" customWidth="1"/>
    <col min="14346" max="14592" width="9" style="1558"/>
    <col min="14593" max="14593" width="5.19921875" style="1558" customWidth="1"/>
    <col min="14594" max="14594" width="46.5" style="1558" customWidth="1"/>
    <col min="14595" max="14596" width="9.3984375" style="1558" customWidth="1"/>
    <col min="14597" max="14597" width="10.19921875" style="1558" customWidth="1"/>
    <col min="14598" max="14598" width="23.5" style="1558" customWidth="1"/>
    <col min="14599" max="14600" width="9" style="1558"/>
    <col min="14601" max="14601" width="42" style="1558" customWidth="1"/>
    <col min="14602" max="14848" width="9" style="1558"/>
    <col min="14849" max="14849" width="5.19921875" style="1558" customWidth="1"/>
    <col min="14850" max="14850" width="46.5" style="1558" customWidth="1"/>
    <col min="14851" max="14852" width="9.3984375" style="1558" customWidth="1"/>
    <col min="14853" max="14853" width="10.19921875" style="1558" customWidth="1"/>
    <col min="14854" max="14854" width="23.5" style="1558" customWidth="1"/>
    <col min="14855" max="14856" width="9" style="1558"/>
    <col min="14857" max="14857" width="42" style="1558" customWidth="1"/>
    <col min="14858" max="15104" width="9" style="1558"/>
    <col min="15105" max="15105" width="5.19921875" style="1558" customWidth="1"/>
    <col min="15106" max="15106" width="46.5" style="1558" customWidth="1"/>
    <col min="15107" max="15108" width="9.3984375" style="1558" customWidth="1"/>
    <col min="15109" max="15109" width="10.19921875" style="1558" customWidth="1"/>
    <col min="15110" max="15110" width="23.5" style="1558" customWidth="1"/>
    <col min="15111" max="15112" width="9" style="1558"/>
    <col min="15113" max="15113" width="42" style="1558" customWidth="1"/>
    <col min="15114" max="15360" width="9" style="1558"/>
    <col min="15361" max="15361" width="5.19921875" style="1558" customWidth="1"/>
    <col min="15362" max="15362" width="46.5" style="1558" customWidth="1"/>
    <col min="15363" max="15364" width="9.3984375" style="1558" customWidth="1"/>
    <col min="15365" max="15365" width="10.19921875" style="1558" customWidth="1"/>
    <col min="15366" max="15366" width="23.5" style="1558" customWidth="1"/>
    <col min="15367" max="15368" width="9" style="1558"/>
    <col min="15369" max="15369" width="42" style="1558" customWidth="1"/>
    <col min="15370" max="15616" width="9" style="1558"/>
    <col min="15617" max="15617" width="5.19921875" style="1558" customWidth="1"/>
    <col min="15618" max="15618" width="46.5" style="1558" customWidth="1"/>
    <col min="15619" max="15620" width="9.3984375" style="1558" customWidth="1"/>
    <col min="15621" max="15621" width="10.19921875" style="1558" customWidth="1"/>
    <col min="15622" max="15622" width="23.5" style="1558" customWidth="1"/>
    <col min="15623" max="15624" width="9" style="1558"/>
    <col min="15625" max="15625" width="42" style="1558" customWidth="1"/>
    <col min="15626" max="15872" width="9" style="1558"/>
    <col min="15873" max="15873" width="5.19921875" style="1558" customWidth="1"/>
    <col min="15874" max="15874" width="46.5" style="1558" customWidth="1"/>
    <col min="15875" max="15876" width="9.3984375" style="1558" customWidth="1"/>
    <col min="15877" max="15877" width="10.19921875" style="1558" customWidth="1"/>
    <col min="15878" max="15878" width="23.5" style="1558" customWidth="1"/>
    <col min="15879" max="15880" width="9" style="1558"/>
    <col min="15881" max="15881" width="42" style="1558" customWidth="1"/>
    <col min="15882" max="16128" width="9" style="1558"/>
    <col min="16129" max="16129" width="5.19921875" style="1558" customWidth="1"/>
    <col min="16130" max="16130" width="46.5" style="1558" customWidth="1"/>
    <col min="16131" max="16132" width="9.3984375" style="1558" customWidth="1"/>
    <col min="16133" max="16133" width="10.19921875" style="1558" customWidth="1"/>
    <col min="16134" max="16134" width="23.5" style="1558" customWidth="1"/>
    <col min="16135" max="16136" width="9" style="1558"/>
    <col min="16137" max="16137" width="42" style="1558" customWidth="1"/>
    <col min="16138" max="16384" width="9" style="1558"/>
  </cols>
  <sheetData>
    <row r="1" spans="1:9" s="1566" customFormat="1" ht="20.100000000000001" customHeight="1">
      <c r="A1" s="3460"/>
      <c r="B1" s="3460"/>
      <c r="C1" s="3460"/>
      <c r="D1" s="3460"/>
      <c r="E1" s="3460"/>
      <c r="F1" s="1992" t="str">
        <f>"索引号："&amp;档案索引!A40</f>
        <v>索引号：2A-20</v>
      </c>
    </row>
    <row r="2" spans="1:9" s="1567" customFormat="1" ht="25.5" customHeight="1">
      <c r="A2" s="3401" t="s">
        <v>5927</v>
      </c>
      <c r="B2" s="3401"/>
      <c r="C2" s="3401"/>
      <c r="D2" s="3401"/>
      <c r="E2" s="3461"/>
      <c r="F2" s="1822"/>
    </row>
    <row r="3" spans="1:9" s="1560" customFormat="1" ht="14.25" customHeight="1">
      <c r="A3" s="3399" t="s">
        <v>1853</v>
      </c>
      <c r="B3" s="3399" t="s">
        <v>5358</v>
      </c>
      <c r="C3" s="1815" t="s">
        <v>1850</v>
      </c>
      <c r="D3" s="1815" t="s">
        <v>1851</v>
      </c>
      <c r="E3" s="1808" t="s">
        <v>5150</v>
      </c>
      <c r="F3" s="3399" t="s">
        <v>5151</v>
      </c>
    </row>
    <row r="4" spans="1:9" s="1560" customFormat="1" ht="14.25" customHeight="1">
      <c r="A4" s="3399"/>
      <c r="B4" s="3399"/>
      <c r="C4" s="1808">
        <v>1</v>
      </c>
      <c r="D4" s="1808" t="s">
        <v>5359</v>
      </c>
      <c r="E4" s="1823" t="s">
        <v>5360</v>
      </c>
      <c r="F4" s="3399"/>
    </row>
    <row r="5" spans="1:9" s="1560" customFormat="1" ht="14.25" customHeight="1">
      <c r="A5" s="1824">
        <v>1</v>
      </c>
      <c r="B5" s="1819" t="s">
        <v>5361</v>
      </c>
      <c r="C5" s="2075">
        <f>SUM(C6:C12)</f>
        <v>0</v>
      </c>
      <c r="D5" s="2075">
        <f t="shared" ref="D5:E5" si="0">SUM(D6:D12)</f>
        <v>0</v>
      </c>
      <c r="E5" s="2075">
        <f t="shared" si="0"/>
        <v>0</v>
      </c>
      <c r="F5" s="1971"/>
    </row>
    <row r="6" spans="1:9" s="1560" customFormat="1" ht="26.25" customHeight="1">
      <c r="A6" s="1825">
        <v>2</v>
      </c>
      <c r="B6" s="1813" t="s">
        <v>5362</v>
      </c>
      <c r="C6" s="2086"/>
      <c r="D6" s="2086"/>
      <c r="E6" s="2078">
        <f>C6-D6</f>
        <v>0</v>
      </c>
      <c r="F6" s="1971"/>
      <c r="I6" s="1568" t="s">
        <v>5363</v>
      </c>
    </row>
    <row r="7" spans="1:9" s="1560" customFormat="1" ht="14.25" customHeight="1">
      <c r="A7" s="1824">
        <v>3</v>
      </c>
      <c r="B7" s="1819" t="s">
        <v>5364</v>
      </c>
      <c r="C7" s="2077"/>
      <c r="D7" s="2077"/>
      <c r="E7" s="2078">
        <f t="shared" ref="E7:E12" si="1">C7-D7</f>
        <v>0</v>
      </c>
      <c r="F7" s="1972"/>
    </row>
    <row r="8" spans="1:9" s="1560" customFormat="1" ht="14.25" customHeight="1">
      <c r="A8" s="1824">
        <v>4</v>
      </c>
      <c r="B8" s="1819" t="s">
        <v>5365</v>
      </c>
      <c r="C8" s="2077"/>
      <c r="D8" s="2077"/>
      <c r="E8" s="2078">
        <f t="shared" si="1"/>
        <v>0</v>
      </c>
      <c r="F8" s="1971"/>
    </row>
    <row r="9" spans="1:9" s="1560" customFormat="1" ht="27" customHeight="1">
      <c r="A9" s="1825">
        <v>5</v>
      </c>
      <c r="B9" s="1813" t="s">
        <v>5366</v>
      </c>
      <c r="C9" s="2086"/>
      <c r="D9" s="2086"/>
      <c r="E9" s="2078">
        <f t="shared" si="1"/>
        <v>0</v>
      </c>
      <c r="F9" s="1971"/>
    </row>
    <row r="10" spans="1:9" s="1560" customFormat="1" ht="27" customHeight="1">
      <c r="A10" s="1825">
        <v>6</v>
      </c>
      <c r="B10" s="1813" t="s">
        <v>5367</v>
      </c>
      <c r="C10" s="2086"/>
      <c r="D10" s="2086"/>
      <c r="E10" s="2078">
        <f t="shared" si="1"/>
        <v>0</v>
      </c>
      <c r="F10" s="1971"/>
      <c r="G10" s="1675" t="s">
        <v>6444</v>
      </c>
    </row>
    <row r="11" spans="1:9" s="1560" customFormat="1" ht="14.25" customHeight="1">
      <c r="A11" s="1824">
        <v>7</v>
      </c>
      <c r="B11" s="1819" t="s">
        <v>5368</v>
      </c>
      <c r="C11" s="2076"/>
      <c r="D11" s="2076"/>
      <c r="E11" s="2078">
        <f t="shared" si="1"/>
        <v>0</v>
      </c>
      <c r="F11" s="1971"/>
    </row>
    <row r="12" spans="1:9" s="1560" customFormat="1" ht="14.25" customHeight="1">
      <c r="A12" s="1824">
        <v>8</v>
      </c>
      <c r="B12" s="1819" t="s">
        <v>5369</v>
      </c>
      <c r="C12" s="2076"/>
      <c r="D12" s="2076"/>
      <c r="E12" s="2078">
        <f t="shared" si="1"/>
        <v>0</v>
      </c>
      <c r="F12" s="1971"/>
      <c r="G12" s="1769" t="s">
        <v>6448</v>
      </c>
    </row>
    <row r="13" spans="1:9" s="1560" customFormat="1" ht="89.25" customHeight="1">
      <c r="A13" s="1824">
        <v>9</v>
      </c>
      <c r="B13" s="1819" t="s">
        <v>5370</v>
      </c>
      <c r="C13" s="2072">
        <f>'资产损失（专项申报）税前扣除审核表'!C25</f>
        <v>0</v>
      </c>
      <c r="D13" s="2072">
        <f>'资产损失（专项申报）税前扣除审核表'!G25</f>
        <v>0</v>
      </c>
      <c r="E13" s="2072">
        <f>'资产损失（专项申报）税前扣除审核表'!H25</f>
        <v>0</v>
      </c>
      <c r="F13" s="1973" t="s">
        <v>5371</v>
      </c>
      <c r="I13" s="1568"/>
    </row>
    <row r="14" spans="1:9" s="1560" customFormat="1" ht="93" customHeight="1">
      <c r="A14" s="1815">
        <v>10</v>
      </c>
      <c r="B14" s="1818" t="s">
        <v>5372</v>
      </c>
      <c r="C14" s="2072">
        <f>'资产损失（专项申报）税前扣除审核表'!C6</f>
        <v>0</v>
      </c>
      <c r="D14" s="2072">
        <f>'资产损失（专项申报）税前扣除审核表'!G6</f>
        <v>0</v>
      </c>
      <c r="E14" s="2072">
        <f>'资产损失（专项申报）税前扣除审核表'!H6</f>
        <v>0</v>
      </c>
      <c r="F14" s="1973" t="s">
        <v>5373</v>
      </c>
      <c r="I14" s="1568"/>
    </row>
    <row r="15" spans="1:9" s="1560" customFormat="1" ht="82.5" customHeight="1">
      <c r="A15" s="1815">
        <v>11</v>
      </c>
      <c r="B15" s="1809" t="s">
        <v>5374</v>
      </c>
      <c r="C15" s="2072">
        <f>'资产损失（专项申报）税前扣除审核表'!C11</f>
        <v>0</v>
      </c>
      <c r="D15" s="2072">
        <f>'资产损失（专项申报）税前扣除审核表'!G11</f>
        <v>0</v>
      </c>
      <c r="E15" s="2072">
        <f>'资产损失（专项申报）税前扣除审核表'!H11</f>
        <v>0</v>
      </c>
      <c r="F15" s="1973" t="s">
        <v>5375</v>
      </c>
      <c r="I15" s="1568"/>
    </row>
    <row r="16" spans="1:9" s="1560" customFormat="1" ht="29.4" customHeight="1">
      <c r="A16" s="1815">
        <v>12</v>
      </c>
      <c r="B16" s="1818" t="s">
        <v>5376</v>
      </c>
      <c r="C16" s="2072">
        <f>'资产损失（专项申报）税前扣除审核表'!C16</f>
        <v>0</v>
      </c>
      <c r="D16" s="2072">
        <f>'资产损失（专项申报）税前扣除审核表'!G16</f>
        <v>0</v>
      </c>
      <c r="E16" s="2072">
        <f>'资产损失（专项申报）税前扣除审核表'!H16</f>
        <v>0</v>
      </c>
      <c r="F16" s="1973" t="s">
        <v>5377</v>
      </c>
      <c r="I16" s="1568"/>
    </row>
    <row r="17" spans="1:9" s="1560" customFormat="1" ht="49.2" customHeight="1">
      <c r="A17" s="1815">
        <v>13</v>
      </c>
      <c r="B17" s="1818" t="s">
        <v>5378</v>
      </c>
      <c r="C17" s="2072">
        <f>'资产损失（专项申报）税前扣除审核表'!C21</f>
        <v>0</v>
      </c>
      <c r="D17" s="2072">
        <f>'资产损失（专项申报）税前扣除审核表'!G21</f>
        <v>0</v>
      </c>
      <c r="E17" s="2072">
        <f>'资产损失（专项申报）税前扣除审核表'!H21</f>
        <v>0</v>
      </c>
      <c r="F17" s="1973" t="s">
        <v>5379</v>
      </c>
      <c r="I17" s="1568"/>
    </row>
    <row r="18" spans="1:9" s="1560" customFormat="1" ht="110.25" customHeight="1">
      <c r="A18" s="1824">
        <v>14</v>
      </c>
      <c r="B18" s="1818" t="s">
        <v>5380</v>
      </c>
      <c r="C18" s="2075">
        <f>C5+C13</f>
        <v>0</v>
      </c>
      <c r="D18" s="2075">
        <f t="shared" ref="D18:E18" si="2">D5+D13</f>
        <v>0</v>
      </c>
      <c r="E18" s="2075">
        <f t="shared" si="2"/>
        <v>0</v>
      </c>
      <c r="F18" s="1973" t="s">
        <v>5381</v>
      </c>
      <c r="I18" s="1568"/>
    </row>
    <row r="19" spans="1:9" ht="12.75" customHeight="1">
      <c r="A19" s="1992"/>
      <c r="B19" s="1992"/>
      <c r="C19" s="1992"/>
      <c r="D19" s="1992"/>
      <c r="E19" s="1992"/>
      <c r="F19" s="1992"/>
    </row>
  </sheetData>
  <mergeCells count="5">
    <mergeCell ref="A1:E1"/>
    <mergeCell ref="A2:E2"/>
    <mergeCell ref="A3:A4"/>
    <mergeCell ref="B3:B4"/>
    <mergeCell ref="F3:F4"/>
  </mergeCells>
  <phoneticPr fontId="51" type="noConversion"/>
  <hyperlinks>
    <hyperlink ref="G10" location="A105090资产损失税前扣除及纳税调整明细表!A1" display="A105090资产损失税前扣除及纳税调整明细表!A1"/>
    <hyperlink ref="G12" location="A105120特殊行业准备金纳税调整明细表!A1" display="A105120特殊行业准备金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tabColor rgb="FFFFFF00"/>
  </sheetPr>
  <dimension ref="A1:J26"/>
  <sheetViews>
    <sheetView workbookViewId="0">
      <selection activeCell="E8" sqref="E8"/>
    </sheetView>
  </sheetViews>
  <sheetFormatPr defaultRowHeight="15.6"/>
  <cols>
    <col min="1" max="1" width="5.19921875" style="1570" customWidth="1"/>
    <col min="2" max="2" width="24.5" style="1576" customWidth="1"/>
    <col min="3" max="3" width="11.09765625" style="1570" customWidth="1"/>
    <col min="4" max="4" width="11" style="1570" customWidth="1"/>
    <col min="5" max="6" width="10.59765625" style="1570" customWidth="1"/>
    <col min="7" max="7" width="10.5" style="1570" customWidth="1"/>
    <col min="8" max="8" width="12.3984375" style="1570" customWidth="1"/>
    <col min="9" max="9" width="23.8984375" style="1570" customWidth="1"/>
    <col min="10" max="10" width="46.8984375" style="1570" customWidth="1"/>
    <col min="11" max="256" width="9" style="1570"/>
    <col min="257" max="257" width="5.19921875" style="1570" customWidth="1"/>
    <col min="258" max="258" width="24.5" style="1570" customWidth="1"/>
    <col min="259" max="259" width="11.09765625" style="1570" customWidth="1"/>
    <col min="260" max="260" width="11" style="1570" customWidth="1"/>
    <col min="261" max="262" width="10.59765625" style="1570" customWidth="1"/>
    <col min="263" max="263" width="10.5" style="1570" customWidth="1"/>
    <col min="264" max="264" width="12.3984375" style="1570" customWidth="1"/>
    <col min="265" max="265" width="23.8984375" style="1570" customWidth="1"/>
    <col min="266" max="266" width="46.8984375" style="1570" customWidth="1"/>
    <col min="267" max="512" width="9" style="1570"/>
    <col min="513" max="513" width="5.19921875" style="1570" customWidth="1"/>
    <col min="514" max="514" width="24.5" style="1570" customWidth="1"/>
    <col min="515" max="515" width="11.09765625" style="1570" customWidth="1"/>
    <col min="516" max="516" width="11" style="1570" customWidth="1"/>
    <col min="517" max="518" width="10.59765625" style="1570" customWidth="1"/>
    <col min="519" max="519" width="10.5" style="1570" customWidth="1"/>
    <col min="520" max="520" width="12.3984375" style="1570" customWidth="1"/>
    <col min="521" max="521" width="23.8984375" style="1570" customWidth="1"/>
    <col min="522" max="522" width="46.8984375" style="1570" customWidth="1"/>
    <col min="523" max="768" width="9" style="1570"/>
    <col min="769" max="769" width="5.19921875" style="1570" customWidth="1"/>
    <col min="770" max="770" width="24.5" style="1570" customWidth="1"/>
    <col min="771" max="771" width="11.09765625" style="1570" customWidth="1"/>
    <col min="772" max="772" width="11" style="1570" customWidth="1"/>
    <col min="773" max="774" width="10.59765625" style="1570" customWidth="1"/>
    <col min="775" max="775" width="10.5" style="1570" customWidth="1"/>
    <col min="776" max="776" width="12.3984375" style="1570" customWidth="1"/>
    <col min="777" max="777" width="23.8984375" style="1570" customWidth="1"/>
    <col min="778" max="778" width="46.8984375" style="1570" customWidth="1"/>
    <col min="779" max="1024" width="9" style="1570"/>
    <col min="1025" max="1025" width="5.19921875" style="1570" customWidth="1"/>
    <col min="1026" max="1026" width="24.5" style="1570" customWidth="1"/>
    <col min="1027" max="1027" width="11.09765625" style="1570" customWidth="1"/>
    <col min="1028" max="1028" width="11" style="1570" customWidth="1"/>
    <col min="1029" max="1030" width="10.59765625" style="1570" customWidth="1"/>
    <col min="1031" max="1031" width="10.5" style="1570" customWidth="1"/>
    <col min="1032" max="1032" width="12.3984375" style="1570" customWidth="1"/>
    <col min="1033" max="1033" width="23.8984375" style="1570" customWidth="1"/>
    <col min="1034" max="1034" width="46.8984375" style="1570" customWidth="1"/>
    <col min="1035" max="1280" width="9" style="1570"/>
    <col min="1281" max="1281" width="5.19921875" style="1570" customWidth="1"/>
    <col min="1282" max="1282" width="24.5" style="1570" customWidth="1"/>
    <col min="1283" max="1283" width="11.09765625" style="1570" customWidth="1"/>
    <col min="1284" max="1284" width="11" style="1570" customWidth="1"/>
    <col min="1285" max="1286" width="10.59765625" style="1570" customWidth="1"/>
    <col min="1287" max="1287" width="10.5" style="1570" customWidth="1"/>
    <col min="1288" max="1288" width="12.3984375" style="1570" customWidth="1"/>
    <col min="1289" max="1289" width="23.8984375" style="1570" customWidth="1"/>
    <col min="1290" max="1290" width="46.8984375" style="1570" customWidth="1"/>
    <col min="1291" max="1536" width="9" style="1570"/>
    <col min="1537" max="1537" width="5.19921875" style="1570" customWidth="1"/>
    <col min="1538" max="1538" width="24.5" style="1570" customWidth="1"/>
    <col min="1539" max="1539" width="11.09765625" style="1570" customWidth="1"/>
    <col min="1540" max="1540" width="11" style="1570" customWidth="1"/>
    <col min="1541" max="1542" width="10.59765625" style="1570" customWidth="1"/>
    <col min="1543" max="1543" width="10.5" style="1570" customWidth="1"/>
    <col min="1544" max="1544" width="12.3984375" style="1570" customWidth="1"/>
    <col min="1545" max="1545" width="23.8984375" style="1570" customWidth="1"/>
    <col min="1546" max="1546" width="46.8984375" style="1570" customWidth="1"/>
    <col min="1547" max="1792" width="9" style="1570"/>
    <col min="1793" max="1793" width="5.19921875" style="1570" customWidth="1"/>
    <col min="1794" max="1794" width="24.5" style="1570" customWidth="1"/>
    <col min="1795" max="1795" width="11.09765625" style="1570" customWidth="1"/>
    <col min="1796" max="1796" width="11" style="1570" customWidth="1"/>
    <col min="1797" max="1798" width="10.59765625" style="1570" customWidth="1"/>
    <col min="1799" max="1799" width="10.5" style="1570" customWidth="1"/>
    <col min="1800" max="1800" width="12.3984375" style="1570" customWidth="1"/>
    <col min="1801" max="1801" width="23.8984375" style="1570" customWidth="1"/>
    <col min="1802" max="1802" width="46.8984375" style="1570" customWidth="1"/>
    <col min="1803" max="2048" width="9" style="1570"/>
    <col min="2049" max="2049" width="5.19921875" style="1570" customWidth="1"/>
    <col min="2050" max="2050" width="24.5" style="1570" customWidth="1"/>
    <col min="2051" max="2051" width="11.09765625" style="1570" customWidth="1"/>
    <col min="2052" max="2052" width="11" style="1570" customWidth="1"/>
    <col min="2053" max="2054" width="10.59765625" style="1570" customWidth="1"/>
    <col min="2055" max="2055" width="10.5" style="1570" customWidth="1"/>
    <col min="2056" max="2056" width="12.3984375" style="1570" customWidth="1"/>
    <col min="2057" max="2057" width="23.8984375" style="1570" customWidth="1"/>
    <col min="2058" max="2058" width="46.8984375" style="1570" customWidth="1"/>
    <col min="2059" max="2304" width="9" style="1570"/>
    <col min="2305" max="2305" width="5.19921875" style="1570" customWidth="1"/>
    <col min="2306" max="2306" width="24.5" style="1570" customWidth="1"/>
    <col min="2307" max="2307" width="11.09765625" style="1570" customWidth="1"/>
    <col min="2308" max="2308" width="11" style="1570" customWidth="1"/>
    <col min="2309" max="2310" width="10.59765625" style="1570" customWidth="1"/>
    <col min="2311" max="2311" width="10.5" style="1570" customWidth="1"/>
    <col min="2312" max="2312" width="12.3984375" style="1570" customWidth="1"/>
    <col min="2313" max="2313" width="23.8984375" style="1570" customWidth="1"/>
    <col min="2314" max="2314" width="46.8984375" style="1570" customWidth="1"/>
    <col min="2315" max="2560" width="9" style="1570"/>
    <col min="2561" max="2561" width="5.19921875" style="1570" customWidth="1"/>
    <col min="2562" max="2562" width="24.5" style="1570" customWidth="1"/>
    <col min="2563" max="2563" width="11.09765625" style="1570" customWidth="1"/>
    <col min="2564" max="2564" width="11" style="1570" customWidth="1"/>
    <col min="2565" max="2566" width="10.59765625" style="1570" customWidth="1"/>
    <col min="2567" max="2567" width="10.5" style="1570" customWidth="1"/>
    <col min="2568" max="2568" width="12.3984375" style="1570" customWidth="1"/>
    <col min="2569" max="2569" width="23.8984375" style="1570" customWidth="1"/>
    <col min="2570" max="2570" width="46.8984375" style="1570" customWidth="1"/>
    <col min="2571" max="2816" width="9" style="1570"/>
    <col min="2817" max="2817" width="5.19921875" style="1570" customWidth="1"/>
    <col min="2818" max="2818" width="24.5" style="1570" customWidth="1"/>
    <col min="2819" max="2819" width="11.09765625" style="1570" customWidth="1"/>
    <col min="2820" max="2820" width="11" style="1570" customWidth="1"/>
    <col min="2821" max="2822" width="10.59765625" style="1570" customWidth="1"/>
    <col min="2823" max="2823" width="10.5" style="1570" customWidth="1"/>
    <col min="2824" max="2824" width="12.3984375" style="1570" customWidth="1"/>
    <col min="2825" max="2825" width="23.8984375" style="1570" customWidth="1"/>
    <col min="2826" max="2826" width="46.8984375" style="1570" customWidth="1"/>
    <col min="2827" max="3072" width="9" style="1570"/>
    <col min="3073" max="3073" width="5.19921875" style="1570" customWidth="1"/>
    <col min="3074" max="3074" width="24.5" style="1570" customWidth="1"/>
    <col min="3075" max="3075" width="11.09765625" style="1570" customWidth="1"/>
    <col min="3076" max="3076" width="11" style="1570" customWidth="1"/>
    <col min="3077" max="3078" width="10.59765625" style="1570" customWidth="1"/>
    <col min="3079" max="3079" width="10.5" style="1570" customWidth="1"/>
    <col min="3080" max="3080" width="12.3984375" style="1570" customWidth="1"/>
    <col min="3081" max="3081" width="23.8984375" style="1570" customWidth="1"/>
    <col min="3082" max="3082" width="46.8984375" style="1570" customWidth="1"/>
    <col min="3083" max="3328" width="9" style="1570"/>
    <col min="3329" max="3329" width="5.19921875" style="1570" customWidth="1"/>
    <col min="3330" max="3330" width="24.5" style="1570" customWidth="1"/>
    <col min="3331" max="3331" width="11.09765625" style="1570" customWidth="1"/>
    <col min="3332" max="3332" width="11" style="1570" customWidth="1"/>
    <col min="3333" max="3334" width="10.59765625" style="1570" customWidth="1"/>
    <col min="3335" max="3335" width="10.5" style="1570" customWidth="1"/>
    <col min="3336" max="3336" width="12.3984375" style="1570" customWidth="1"/>
    <col min="3337" max="3337" width="23.8984375" style="1570" customWidth="1"/>
    <col min="3338" max="3338" width="46.8984375" style="1570" customWidth="1"/>
    <col min="3339" max="3584" width="9" style="1570"/>
    <col min="3585" max="3585" width="5.19921875" style="1570" customWidth="1"/>
    <col min="3586" max="3586" width="24.5" style="1570" customWidth="1"/>
    <col min="3587" max="3587" width="11.09765625" style="1570" customWidth="1"/>
    <col min="3588" max="3588" width="11" style="1570" customWidth="1"/>
    <col min="3589" max="3590" width="10.59765625" style="1570" customWidth="1"/>
    <col min="3591" max="3591" width="10.5" style="1570" customWidth="1"/>
    <col min="3592" max="3592" width="12.3984375" style="1570" customWidth="1"/>
    <col min="3593" max="3593" width="23.8984375" style="1570" customWidth="1"/>
    <col min="3594" max="3594" width="46.8984375" style="1570" customWidth="1"/>
    <col min="3595" max="3840" width="9" style="1570"/>
    <col min="3841" max="3841" width="5.19921875" style="1570" customWidth="1"/>
    <col min="3842" max="3842" width="24.5" style="1570" customWidth="1"/>
    <col min="3843" max="3843" width="11.09765625" style="1570" customWidth="1"/>
    <col min="3844" max="3844" width="11" style="1570" customWidth="1"/>
    <col min="3845" max="3846" width="10.59765625" style="1570" customWidth="1"/>
    <col min="3847" max="3847" width="10.5" style="1570" customWidth="1"/>
    <col min="3848" max="3848" width="12.3984375" style="1570" customWidth="1"/>
    <col min="3849" max="3849" width="23.8984375" style="1570" customWidth="1"/>
    <col min="3850" max="3850" width="46.8984375" style="1570" customWidth="1"/>
    <col min="3851" max="4096" width="9" style="1570"/>
    <col min="4097" max="4097" width="5.19921875" style="1570" customWidth="1"/>
    <col min="4098" max="4098" width="24.5" style="1570" customWidth="1"/>
    <col min="4099" max="4099" width="11.09765625" style="1570" customWidth="1"/>
    <col min="4100" max="4100" width="11" style="1570" customWidth="1"/>
    <col min="4101" max="4102" width="10.59765625" style="1570" customWidth="1"/>
    <col min="4103" max="4103" width="10.5" style="1570" customWidth="1"/>
    <col min="4104" max="4104" width="12.3984375" style="1570" customWidth="1"/>
    <col min="4105" max="4105" width="23.8984375" style="1570" customWidth="1"/>
    <col min="4106" max="4106" width="46.8984375" style="1570" customWidth="1"/>
    <col min="4107" max="4352" width="9" style="1570"/>
    <col min="4353" max="4353" width="5.19921875" style="1570" customWidth="1"/>
    <col min="4354" max="4354" width="24.5" style="1570" customWidth="1"/>
    <col min="4355" max="4355" width="11.09765625" style="1570" customWidth="1"/>
    <col min="4356" max="4356" width="11" style="1570" customWidth="1"/>
    <col min="4357" max="4358" width="10.59765625" style="1570" customWidth="1"/>
    <col min="4359" max="4359" width="10.5" style="1570" customWidth="1"/>
    <col min="4360" max="4360" width="12.3984375" style="1570" customWidth="1"/>
    <col min="4361" max="4361" width="23.8984375" style="1570" customWidth="1"/>
    <col min="4362" max="4362" width="46.8984375" style="1570" customWidth="1"/>
    <col min="4363" max="4608" width="9" style="1570"/>
    <col min="4609" max="4609" width="5.19921875" style="1570" customWidth="1"/>
    <col min="4610" max="4610" width="24.5" style="1570" customWidth="1"/>
    <col min="4611" max="4611" width="11.09765625" style="1570" customWidth="1"/>
    <col min="4612" max="4612" width="11" style="1570" customWidth="1"/>
    <col min="4613" max="4614" width="10.59765625" style="1570" customWidth="1"/>
    <col min="4615" max="4615" width="10.5" style="1570" customWidth="1"/>
    <col min="4616" max="4616" width="12.3984375" style="1570" customWidth="1"/>
    <col min="4617" max="4617" width="23.8984375" style="1570" customWidth="1"/>
    <col min="4618" max="4618" width="46.8984375" style="1570" customWidth="1"/>
    <col min="4619" max="4864" width="9" style="1570"/>
    <col min="4865" max="4865" width="5.19921875" style="1570" customWidth="1"/>
    <col min="4866" max="4866" width="24.5" style="1570" customWidth="1"/>
    <col min="4867" max="4867" width="11.09765625" style="1570" customWidth="1"/>
    <col min="4868" max="4868" width="11" style="1570" customWidth="1"/>
    <col min="4869" max="4870" width="10.59765625" style="1570" customWidth="1"/>
    <col min="4871" max="4871" width="10.5" style="1570" customWidth="1"/>
    <col min="4872" max="4872" width="12.3984375" style="1570" customWidth="1"/>
    <col min="4873" max="4873" width="23.8984375" style="1570" customWidth="1"/>
    <col min="4874" max="4874" width="46.8984375" style="1570" customWidth="1"/>
    <col min="4875" max="5120" width="9" style="1570"/>
    <col min="5121" max="5121" width="5.19921875" style="1570" customWidth="1"/>
    <col min="5122" max="5122" width="24.5" style="1570" customWidth="1"/>
    <col min="5123" max="5123" width="11.09765625" style="1570" customWidth="1"/>
    <col min="5124" max="5124" width="11" style="1570" customWidth="1"/>
    <col min="5125" max="5126" width="10.59765625" style="1570" customWidth="1"/>
    <col min="5127" max="5127" width="10.5" style="1570" customWidth="1"/>
    <col min="5128" max="5128" width="12.3984375" style="1570" customWidth="1"/>
    <col min="5129" max="5129" width="23.8984375" style="1570" customWidth="1"/>
    <col min="5130" max="5130" width="46.8984375" style="1570" customWidth="1"/>
    <col min="5131" max="5376" width="9" style="1570"/>
    <col min="5377" max="5377" width="5.19921875" style="1570" customWidth="1"/>
    <col min="5378" max="5378" width="24.5" style="1570" customWidth="1"/>
    <col min="5379" max="5379" width="11.09765625" style="1570" customWidth="1"/>
    <col min="5380" max="5380" width="11" style="1570" customWidth="1"/>
    <col min="5381" max="5382" width="10.59765625" style="1570" customWidth="1"/>
    <col min="5383" max="5383" width="10.5" style="1570" customWidth="1"/>
    <col min="5384" max="5384" width="12.3984375" style="1570" customWidth="1"/>
    <col min="5385" max="5385" width="23.8984375" style="1570" customWidth="1"/>
    <col min="5386" max="5386" width="46.8984375" style="1570" customWidth="1"/>
    <col min="5387" max="5632" width="9" style="1570"/>
    <col min="5633" max="5633" width="5.19921875" style="1570" customWidth="1"/>
    <col min="5634" max="5634" width="24.5" style="1570" customWidth="1"/>
    <col min="5635" max="5635" width="11.09765625" style="1570" customWidth="1"/>
    <col min="5636" max="5636" width="11" style="1570" customWidth="1"/>
    <col min="5637" max="5638" width="10.59765625" style="1570" customWidth="1"/>
    <col min="5639" max="5639" width="10.5" style="1570" customWidth="1"/>
    <col min="5640" max="5640" width="12.3984375" style="1570" customWidth="1"/>
    <col min="5641" max="5641" width="23.8984375" style="1570" customWidth="1"/>
    <col min="5642" max="5642" width="46.8984375" style="1570" customWidth="1"/>
    <col min="5643" max="5888" width="9" style="1570"/>
    <col min="5889" max="5889" width="5.19921875" style="1570" customWidth="1"/>
    <col min="5890" max="5890" width="24.5" style="1570" customWidth="1"/>
    <col min="5891" max="5891" width="11.09765625" style="1570" customWidth="1"/>
    <col min="5892" max="5892" width="11" style="1570" customWidth="1"/>
    <col min="5893" max="5894" width="10.59765625" style="1570" customWidth="1"/>
    <col min="5895" max="5895" width="10.5" style="1570" customWidth="1"/>
    <col min="5896" max="5896" width="12.3984375" style="1570" customWidth="1"/>
    <col min="5897" max="5897" width="23.8984375" style="1570" customWidth="1"/>
    <col min="5898" max="5898" width="46.8984375" style="1570" customWidth="1"/>
    <col min="5899" max="6144" width="9" style="1570"/>
    <col min="6145" max="6145" width="5.19921875" style="1570" customWidth="1"/>
    <col min="6146" max="6146" width="24.5" style="1570" customWidth="1"/>
    <col min="6147" max="6147" width="11.09765625" style="1570" customWidth="1"/>
    <col min="6148" max="6148" width="11" style="1570" customWidth="1"/>
    <col min="6149" max="6150" width="10.59765625" style="1570" customWidth="1"/>
    <col min="6151" max="6151" width="10.5" style="1570" customWidth="1"/>
    <col min="6152" max="6152" width="12.3984375" style="1570" customWidth="1"/>
    <col min="6153" max="6153" width="23.8984375" style="1570" customWidth="1"/>
    <col min="6154" max="6154" width="46.8984375" style="1570" customWidth="1"/>
    <col min="6155" max="6400" width="9" style="1570"/>
    <col min="6401" max="6401" width="5.19921875" style="1570" customWidth="1"/>
    <col min="6402" max="6402" width="24.5" style="1570" customWidth="1"/>
    <col min="6403" max="6403" width="11.09765625" style="1570" customWidth="1"/>
    <col min="6404" max="6404" width="11" style="1570" customWidth="1"/>
    <col min="6405" max="6406" width="10.59765625" style="1570" customWidth="1"/>
    <col min="6407" max="6407" width="10.5" style="1570" customWidth="1"/>
    <col min="6408" max="6408" width="12.3984375" style="1570" customWidth="1"/>
    <col min="6409" max="6409" width="23.8984375" style="1570" customWidth="1"/>
    <col min="6410" max="6410" width="46.8984375" style="1570" customWidth="1"/>
    <col min="6411" max="6656" width="9" style="1570"/>
    <col min="6657" max="6657" width="5.19921875" style="1570" customWidth="1"/>
    <col min="6658" max="6658" width="24.5" style="1570" customWidth="1"/>
    <col min="6659" max="6659" width="11.09765625" style="1570" customWidth="1"/>
    <col min="6660" max="6660" width="11" style="1570" customWidth="1"/>
    <col min="6661" max="6662" width="10.59765625" style="1570" customWidth="1"/>
    <col min="6663" max="6663" width="10.5" style="1570" customWidth="1"/>
    <col min="6664" max="6664" width="12.3984375" style="1570" customWidth="1"/>
    <col min="6665" max="6665" width="23.8984375" style="1570" customWidth="1"/>
    <col min="6666" max="6666" width="46.8984375" style="1570" customWidth="1"/>
    <col min="6667" max="6912" width="9" style="1570"/>
    <col min="6913" max="6913" width="5.19921875" style="1570" customWidth="1"/>
    <col min="6914" max="6914" width="24.5" style="1570" customWidth="1"/>
    <col min="6915" max="6915" width="11.09765625" style="1570" customWidth="1"/>
    <col min="6916" max="6916" width="11" style="1570" customWidth="1"/>
    <col min="6917" max="6918" width="10.59765625" style="1570" customWidth="1"/>
    <col min="6919" max="6919" width="10.5" style="1570" customWidth="1"/>
    <col min="6920" max="6920" width="12.3984375" style="1570" customWidth="1"/>
    <col min="6921" max="6921" width="23.8984375" style="1570" customWidth="1"/>
    <col min="6922" max="6922" width="46.8984375" style="1570" customWidth="1"/>
    <col min="6923" max="7168" width="9" style="1570"/>
    <col min="7169" max="7169" width="5.19921875" style="1570" customWidth="1"/>
    <col min="7170" max="7170" width="24.5" style="1570" customWidth="1"/>
    <col min="7171" max="7171" width="11.09765625" style="1570" customWidth="1"/>
    <col min="7172" max="7172" width="11" style="1570" customWidth="1"/>
    <col min="7173" max="7174" width="10.59765625" style="1570" customWidth="1"/>
    <col min="7175" max="7175" width="10.5" style="1570" customWidth="1"/>
    <col min="7176" max="7176" width="12.3984375" style="1570" customWidth="1"/>
    <col min="7177" max="7177" width="23.8984375" style="1570" customWidth="1"/>
    <col min="7178" max="7178" width="46.8984375" style="1570" customWidth="1"/>
    <col min="7179" max="7424" width="9" style="1570"/>
    <col min="7425" max="7425" width="5.19921875" style="1570" customWidth="1"/>
    <col min="7426" max="7426" width="24.5" style="1570" customWidth="1"/>
    <col min="7427" max="7427" width="11.09765625" style="1570" customWidth="1"/>
    <col min="7428" max="7428" width="11" style="1570" customWidth="1"/>
    <col min="7429" max="7430" width="10.59765625" style="1570" customWidth="1"/>
    <col min="7431" max="7431" width="10.5" style="1570" customWidth="1"/>
    <col min="7432" max="7432" width="12.3984375" style="1570" customWidth="1"/>
    <col min="7433" max="7433" width="23.8984375" style="1570" customWidth="1"/>
    <col min="7434" max="7434" width="46.8984375" style="1570" customWidth="1"/>
    <col min="7435" max="7680" width="9" style="1570"/>
    <col min="7681" max="7681" width="5.19921875" style="1570" customWidth="1"/>
    <col min="7682" max="7682" width="24.5" style="1570" customWidth="1"/>
    <col min="7683" max="7683" width="11.09765625" style="1570" customWidth="1"/>
    <col min="7684" max="7684" width="11" style="1570" customWidth="1"/>
    <col min="7685" max="7686" width="10.59765625" style="1570" customWidth="1"/>
    <col min="7687" max="7687" width="10.5" style="1570" customWidth="1"/>
    <col min="7688" max="7688" width="12.3984375" style="1570" customWidth="1"/>
    <col min="7689" max="7689" width="23.8984375" style="1570" customWidth="1"/>
    <col min="7690" max="7690" width="46.8984375" style="1570" customWidth="1"/>
    <col min="7691" max="7936" width="9" style="1570"/>
    <col min="7937" max="7937" width="5.19921875" style="1570" customWidth="1"/>
    <col min="7938" max="7938" width="24.5" style="1570" customWidth="1"/>
    <col min="7939" max="7939" width="11.09765625" style="1570" customWidth="1"/>
    <col min="7940" max="7940" width="11" style="1570" customWidth="1"/>
    <col min="7941" max="7942" width="10.59765625" style="1570" customWidth="1"/>
    <col min="7943" max="7943" width="10.5" style="1570" customWidth="1"/>
    <col min="7944" max="7944" width="12.3984375" style="1570" customWidth="1"/>
    <col min="7945" max="7945" width="23.8984375" style="1570" customWidth="1"/>
    <col min="7946" max="7946" width="46.8984375" style="1570" customWidth="1"/>
    <col min="7947" max="8192" width="9" style="1570"/>
    <col min="8193" max="8193" width="5.19921875" style="1570" customWidth="1"/>
    <col min="8194" max="8194" width="24.5" style="1570" customWidth="1"/>
    <col min="8195" max="8195" width="11.09765625" style="1570" customWidth="1"/>
    <col min="8196" max="8196" width="11" style="1570" customWidth="1"/>
    <col min="8197" max="8198" width="10.59765625" style="1570" customWidth="1"/>
    <col min="8199" max="8199" width="10.5" style="1570" customWidth="1"/>
    <col min="8200" max="8200" width="12.3984375" style="1570" customWidth="1"/>
    <col min="8201" max="8201" width="23.8984375" style="1570" customWidth="1"/>
    <col min="8202" max="8202" width="46.8984375" style="1570" customWidth="1"/>
    <col min="8203" max="8448" width="9" style="1570"/>
    <col min="8449" max="8449" width="5.19921875" style="1570" customWidth="1"/>
    <col min="8450" max="8450" width="24.5" style="1570" customWidth="1"/>
    <col min="8451" max="8451" width="11.09765625" style="1570" customWidth="1"/>
    <col min="8452" max="8452" width="11" style="1570" customWidth="1"/>
    <col min="8453" max="8454" width="10.59765625" style="1570" customWidth="1"/>
    <col min="8455" max="8455" width="10.5" style="1570" customWidth="1"/>
    <col min="8456" max="8456" width="12.3984375" style="1570" customWidth="1"/>
    <col min="8457" max="8457" width="23.8984375" style="1570" customWidth="1"/>
    <col min="8458" max="8458" width="46.8984375" style="1570" customWidth="1"/>
    <col min="8459" max="8704" width="9" style="1570"/>
    <col min="8705" max="8705" width="5.19921875" style="1570" customWidth="1"/>
    <col min="8706" max="8706" width="24.5" style="1570" customWidth="1"/>
    <col min="8707" max="8707" width="11.09765625" style="1570" customWidth="1"/>
    <col min="8708" max="8708" width="11" style="1570" customWidth="1"/>
    <col min="8709" max="8710" width="10.59765625" style="1570" customWidth="1"/>
    <col min="8711" max="8711" width="10.5" style="1570" customWidth="1"/>
    <col min="8712" max="8712" width="12.3984375" style="1570" customWidth="1"/>
    <col min="8713" max="8713" width="23.8984375" style="1570" customWidth="1"/>
    <col min="8714" max="8714" width="46.8984375" style="1570" customWidth="1"/>
    <col min="8715" max="8960" width="9" style="1570"/>
    <col min="8961" max="8961" width="5.19921875" style="1570" customWidth="1"/>
    <col min="8962" max="8962" width="24.5" style="1570" customWidth="1"/>
    <col min="8963" max="8963" width="11.09765625" style="1570" customWidth="1"/>
    <col min="8964" max="8964" width="11" style="1570" customWidth="1"/>
    <col min="8965" max="8966" width="10.59765625" style="1570" customWidth="1"/>
    <col min="8967" max="8967" width="10.5" style="1570" customWidth="1"/>
    <col min="8968" max="8968" width="12.3984375" style="1570" customWidth="1"/>
    <col min="8969" max="8969" width="23.8984375" style="1570" customWidth="1"/>
    <col min="8970" max="8970" width="46.8984375" style="1570" customWidth="1"/>
    <col min="8971" max="9216" width="9" style="1570"/>
    <col min="9217" max="9217" width="5.19921875" style="1570" customWidth="1"/>
    <col min="9218" max="9218" width="24.5" style="1570" customWidth="1"/>
    <col min="9219" max="9219" width="11.09765625" style="1570" customWidth="1"/>
    <col min="9220" max="9220" width="11" style="1570" customWidth="1"/>
    <col min="9221" max="9222" width="10.59765625" style="1570" customWidth="1"/>
    <col min="9223" max="9223" width="10.5" style="1570" customWidth="1"/>
    <col min="9224" max="9224" width="12.3984375" style="1570" customWidth="1"/>
    <col min="9225" max="9225" width="23.8984375" style="1570" customWidth="1"/>
    <col min="9226" max="9226" width="46.8984375" style="1570" customWidth="1"/>
    <col min="9227" max="9472" width="9" style="1570"/>
    <col min="9473" max="9473" width="5.19921875" style="1570" customWidth="1"/>
    <col min="9474" max="9474" width="24.5" style="1570" customWidth="1"/>
    <col min="9475" max="9475" width="11.09765625" style="1570" customWidth="1"/>
    <col min="9476" max="9476" width="11" style="1570" customWidth="1"/>
    <col min="9477" max="9478" width="10.59765625" style="1570" customWidth="1"/>
    <col min="9479" max="9479" width="10.5" style="1570" customWidth="1"/>
    <col min="9480" max="9480" width="12.3984375" style="1570" customWidth="1"/>
    <col min="9481" max="9481" width="23.8984375" style="1570" customWidth="1"/>
    <col min="9482" max="9482" width="46.8984375" style="1570" customWidth="1"/>
    <col min="9483" max="9728" width="9" style="1570"/>
    <col min="9729" max="9729" width="5.19921875" style="1570" customWidth="1"/>
    <col min="9730" max="9730" width="24.5" style="1570" customWidth="1"/>
    <col min="9731" max="9731" width="11.09765625" style="1570" customWidth="1"/>
    <col min="9732" max="9732" width="11" style="1570" customWidth="1"/>
    <col min="9733" max="9734" width="10.59765625" style="1570" customWidth="1"/>
    <col min="9735" max="9735" width="10.5" style="1570" customWidth="1"/>
    <col min="9736" max="9736" width="12.3984375" style="1570" customWidth="1"/>
    <col min="9737" max="9737" width="23.8984375" style="1570" customWidth="1"/>
    <col min="9738" max="9738" width="46.8984375" style="1570" customWidth="1"/>
    <col min="9739" max="9984" width="9" style="1570"/>
    <col min="9985" max="9985" width="5.19921875" style="1570" customWidth="1"/>
    <col min="9986" max="9986" width="24.5" style="1570" customWidth="1"/>
    <col min="9987" max="9987" width="11.09765625" style="1570" customWidth="1"/>
    <col min="9988" max="9988" width="11" style="1570" customWidth="1"/>
    <col min="9989" max="9990" width="10.59765625" style="1570" customWidth="1"/>
    <col min="9991" max="9991" width="10.5" style="1570" customWidth="1"/>
    <col min="9992" max="9992" width="12.3984375" style="1570" customWidth="1"/>
    <col min="9993" max="9993" width="23.8984375" style="1570" customWidth="1"/>
    <col min="9994" max="9994" width="46.8984375" style="1570" customWidth="1"/>
    <col min="9995" max="10240" width="9" style="1570"/>
    <col min="10241" max="10241" width="5.19921875" style="1570" customWidth="1"/>
    <col min="10242" max="10242" width="24.5" style="1570" customWidth="1"/>
    <col min="10243" max="10243" width="11.09765625" style="1570" customWidth="1"/>
    <col min="10244" max="10244" width="11" style="1570" customWidth="1"/>
    <col min="10245" max="10246" width="10.59765625" style="1570" customWidth="1"/>
    <col min="10247" max="10247" width="10.5" style="1570" customWidth="1"/>
    <col min="10248" max="10248" width="12.3984375" style="1570" customWidth="1"/>
    <col min="10249" max="10249" width="23.8984375" style="1570" customWidth="1"/>
    <col min="10250" max="10250" width="46.8984375" style="1570" customWidth="1"/>
    <col min="10251" max="10496" width="9" style="1570"/>
    <col min="10497" max="10497" width="5.19921875" style="1570" customWidth="1"/>
    <col min="10498" max="10498" width="24.5" style="1570" customWidth="1"/>
    <col min="10499" max="10499" width="11.09765625" style="1570" customWidth="1"/>
    <col min="10500" max="10500" width="11" style="1570" customWidth="1"/>
    <col min="10501" max="10502" width="10.59765625" style="1570" customWidth="1"/>
    <col min="10503" max="10503" width="10.5" style="1570" customWidth="1"/>
    <col min="10504" max="10504" width="12.3984375" style="1570" customWidth="1"/>
    <col min="10505" max="10505" width="23.8984375" style="1570" customWidth="1"/>
    <col min="10506" max="10506" width="46.8984375" style="1570" customWidth="1"/>
    <col min="10507" max="10752" width="9" style="1570"/>
    <col min="10753" max="10753" width="5.19921875" style="1570" customWidth="1"/>
    <col min="10754" max="10754" width="24.5" style="1570" customWidth="1"/>
    <col min="10755" max="10755" width="11.09765625" style="1570" customWidth="1"/>
    <col min="10756" max="10756" width="11" style="1570" customWidth="1"/>
    <col min="10757" max="10758" width="10.59765625" style="1570" customWidth="1"/>
    <col min="10759" max="10759" width="10.5" style="1570" customWidth="1"/>
    <col min="10760" max="10760" width="12.3984375" style="1570" customWidth="1"/>
    <col min="10761" max="10761" width="23.8984375" style="1570" customWidth="1"/>
    <col min="10762" max="10762" width="46.8984375" style="1570" customWidth="1"/>
    <col min="10763" max="11008" width="9" style="1570"/>
    <col min="11009" max="11009" width="5.19921875" style="1570" customWidth="1"/>
    <col min="11010" max="11010" width="24.5" style="1570" customWidth="1"/>
    <col min="11011" max="11011" width="11.09765625" style="1570" customWidth="1"/>
    <col min="11012" max="11012" width="11" style="1570" customWidth="1"/>
    <col min="11013" max="11014" width="10.59765625" style="1570" customWidth="1"/>
    <col min="11015" max="11015" width="10.5" style="1570" customWidth="1"/>
    <col min="11016" max="11016" width="12.3984375" style="1570" customWidth="1"/>
    <col min="11017" max="11017" width="23.8984375" style="1570" customWidth="1"/>
    <col min="11018" max="11018" width="46.8984375" style="1570" customWidth="1"/>
    <col min="11019" max="11264" width="9" style="1570"/>
    <col min="11265" max="11265" width="5.19921875" style="1570" customWidth="1"/>
    <col min="11266" max="11266" width="24.5" style="1570" customWidth="1"/>
    <col min="11267" max="11267" width="11.09765625" style="1570" customWidth="1"/>
    <col min="11268" max="11268" width="11" style="1570" customWidth="1"/>
    <col min="11269" max="11270" width="10.59765625" style="1570" customWidth="1"/>
    <col min="11271" max="11271" width="10.5" style="1570" customWidth="1"/>
    <col min="11272" max="11272" width="12.3984375" style="1570" customWidth="1"/>
    <col min="11273" max="11273" width="23.8984375" style="1570" customWidth="1"/>
    <col min="11274" max="11274" width="46.8984375" style="1570" customWidth="1"/>
    <col min="11275" max="11520" width="9" style="1570"/>
    <col min="11521" max="11521" width="5.19921875" style="1570" customWidth="1"/>
    <col min="11522" max="11522" width="24.5" style="1570" customWidth="1"/>
    <col min="11523" max="11523" width="11.09765625" style="1570" customWidth="1"/>
    <col min="11524" max="11524" width="11" style="1570" customWidth="1"/>
    <col min="11525" max="11526" width="10.59765625" style="1570" customWidth="1"/>
    <col min="11527" max="11527" width="10.5" style="1570" customWidth="1"/>
    <col min="11528" max="11528" width="12.3984375" style="1570" customWidth="1"/>
    <col min="11529" max="11529" width="23.8984375" style="1570" customWidth="1"/>
    <col min="11530" max="11530" width="46.8984375" style="1570" customWidth="1"/>
    <col min="11531" max="11776" width="9" style="1570"/>
    <col min="11777" max="11777" width="5.19921875" style="1570" customWidth="1"/>
    <col min="11778" max="11778" width="24.5" style="1570" customWidth="1"/>
    <col min="11779" max="11779" width="11.09765625" style="1570" customWidth="1"/>
    <col min="11780" max="11780" width="11" style="1570" customWidth="1"/>
    <col min="11781" max="11782" width="10.59765625" style="1570" customWidth="1"/>
    <col min="11783" max="11783" width="10.5" style="1570" customWidth="1"/>
    <col min="11784" max="11784" width="12.3984375" style="1570" customWidth="1"/>
    <col min="11785" max="11785" width="23.8984375" style="1570" customWidth="1"/>
    <col min="11786" max="11786" width="46.8984375" style="1570" customWidth="1"/>
    <col min="11787" max="12032" width="9" style="1570"/>
    <col min="12033" max="12033" width="5.19921875" style="1570" customWidth="1"/>
    <col min="12034" max="12034" width="24.5" style="1570" customWidth="1"/>
    <col min="12035" max="12035" width="11.09765625" style="1570" customWidth="1"/>
    <col min="12036" max="12036" width="11" style="1570" customWidth="1"/>
    <col min="12037" max="12038" width="10.59765625" style="1570" customWidth="1"/>
    <col min="12039" max="12039" width="10.5" style="1570" customWidth="1"/>
    <col min="12040" max="12040" width="12.3984375" style="1570" customWidth="1"/>
    <col min="12041" max="12041" width="23.8984375" style="1570" customWidth="1"/>
    <col min="12042" max="12042" width="46.8984375" style="1570" customWidth="1"/>
    <col min="12043" max="12288" width="9" style="1570"/>
    <col min="12289" max="12289" width="5.19921875" style="1570" customWidth="1"/>
    <col min="12290" max="12290" width="24.5" style="1570" customWidth="1"/>
    <col min="12291" max="12291" width="11.09765625" style="1570" customWidth="1"/>
    <col min="12292" max="12292" width="11" style="1570" customWidth="1"/>
    <col min="12293" max="12294" width="10.59765625" style="1570" customWidth="1"/>
    <col min="12295" max="12295" width="10.5" style="1570" customWidth="1"/>
    <col min="12296" max="12296" width="12.3984375" style="1570" customWidth="1"/>
    <col min="12297" max="12297" width="23.8984375" style="1570" customWidth="1"/>
    <col min="12298" max="12298" width="46.8984375" style="1570" customWidth="1"/>
    <col min="12299" max="12544" width="9" style="1570"/>
    <col min="12545" max="12545" width="5.19921875" style="1570" customWidth="1"/>
    <col min="12546" max="12546" width="24.5" style="1570" customWidth="1"/>
    <col min="12547" max="12547" width="11.09765625" style="1570" customWidth="1"/>
    <col min="12548" max="12548" width="11" style="1570" customWidth="1"/>
    <col min="12549" max="12550" width="10.59765625" style="1570" customWidth="1"/>
    <col min="12551" max="12551" width="10.5" style="1570" customWidth="1"/>
    <col min="12552" max="12552" width="12.3984375" style="1570" customWidth="1"/>
    <col min="12553" max="12553" width="23.8984375" style="1570" customWidth="1"/>
    <col min="12554" max="12554" width="46.8984375" style="1570" customWidth="1"/>
    <col min="12555" max="12800" width="9" style="1570"/>
    <col min="12801" max="12801" width="5.19921875" style="1570" customWidth="1"/>
    <col min="12802" max="12802" width="24.5" style="1570" customWidth="1"/>
    <col min="12803" max="12803" width="11.09765625" style="1570" customWidth="1"/>
    <col min="12804" max="12804" width="11" style="1570" customWidth="1"/>
    <col min="12805" max="12806" width="10.59765625" style="1570" customWidth="1"/>
    <col min="12807" max="12807" width="10.5" style="1570" customWidth="1"/>
    <col min="12808" max="12808" width="12.3984375" style="1570" customWidth="1"/>
    <col min="12809" max="12809" width="23.8984375" style="1570" customWidth="1"/>
    <col min="12810" max="12810" width="46.8984375" style="1570" customWidth="1"/>
    <col min="12811" max="13056" width="9" style="1570"/>
    <col min="13057" max="13057" width="5.19921875" style="1570" customWidth="1"/>
    <col min="13058" max="13058" width="24.5" style="1570" customWidth="1"/>
    <col min="13059" max="13059" width="11.09765625" style="1570" customWidth="1"/>
    <col min="13060" max="13060" width="11" style="1570" customWidth="1"/>
    <col min="13061" max="13062" width="10.59765625" style="1570" customWidth="1"/>
    <col min="13063" max="13063" width="10.5" style="1570" customWidth="1"/>
    <col min="13064" max="13064" width="12.3984375" style="1570" customWidth="1"/>
    <col min="13065" max="13065" width="23.8984375" style="1570" customWidth="1"/>
    <col min="13066" max="13066" width="46.8984375" style="1570" customWidth="1"/>
    <col min="13067" max="13312" width="9" style="1570"/>
    <col min="13313" max="13313" width="5.19921875" style="1570" customWidth="1"/>
    <col min="13314" max="13314" width="24.5" style="1570" customWidth="1"/>
    <col min="13315" max="13315" width="11.09765625" style="1570" customWidth="1"/>
    <col min="13316" max="13316" width="11" style="1570" customWidth="1"/>
    <col min="13317" max="13318" width="10.59765625" style="1570" customWidth="1"/>
    <col min="13319" max="13319" width="10.5" style="1570" customWidth="1"/>
    <col min="13320" max="13320" width="12.3984375" style="1570" customWidth="1"/>
    <col min="13321" max="13321" width="23.8984375" style="1570" customWidth="1"/>
    <col min="13322" max="13322" width="46.8984375" style="1570" customWidth="1"/>
    <col min="13323" max="13568" width="9" style="1570"/>
    <col min="13569" max="13569" width="5.19921875" style="1570" customWidth="1"/>
    <col min="13570" max="13570" width="24.5" style="1570" customWidth="1"/>
    <col min="13571" max="13571" width="11.09765625" style="1570" customWidth="1"/>
    <col min="13572" max="13572" width="11" style="1570" customWidth="1"/>
    <col min="13573" max="13574" width="10.59765625" style="1570" customWidth="1"/>
    <col min="13575" max="13575" width="10.5" style="1570" customWidth="1"/>
    <col min="13576" max="13576" width="12.3984375" style="1570" customWidth="1"/>
    <col min="13577" max="13577" width="23.8984375" style="1570" customWidth="1"/>
    <col min="13578" max="13578" width="46.8984375" style="1570" customWidth="1"/>
    <col min="13579" max="13824" width="9" style="1570"/>
    <col min="13825" max="13825" width="5.19921875" style="1570" customWidth="1"/>
    <col min="13826" max="13826" width="24.5" style="1570" customWidth="1"/>
    <col min="13827" max="13827" width="11.09765625" style="1570" customWidth="1"/>
    <col min="13828" max="13828" width="11" style="1570" customWidth="1"/>
    <col min="13829" max="13830" width="10.59765625" style="1570" customWidth="1"/>
    <col min="13831" max="13831" width="10.5" style="1570" customWidth="1"/>
    <col min="13832" max="13832" width="12.3984375" style="1570" customWidth="1"/>
    <col min="13833" max="13833" width="23.8984375" style="1570" customWidth="1"/>
    <col min="13834" max="13834" width="46.8984375" style="1570" customWidth="1"/>
    <col min="13835" max="14080" width="9" style="1570"/>
    <col min="14081" max="14081" width="5.19921875" style="1570" customWidth="1"/>
    <col min="14082" max="14082" width="24.5" style="1570" customWidth="1"/>
    <col min="14083" max="14083" width="11.09765625" style="1570" customWidth="1"/>
    <col min="14084" max="14084" width="11" style="1570" customWidth="1"/>
    <col min="14085" max="14086" width="10.59765625" style="1570" customWidth="1"/>
    <col min="14087" max="14087" width="10.5" style="1570" customWidth="1"/>
    <col min="14088" max="14088" width="12.3984375" style="1570" customWidth="1"/>
    <col min="14089" max="14089" width="23.8984375" style="1570" customWidth="1"/>
    <col min="14090" max="14090" width="46.8984375" style="1570" customWidth="1"/>
    <col min="14091" max="14336" width="9" style="1570"/>
    <col min="14337" max="14337" width="5.19921875" style="1570" customWidth="1"/>
    <col min="14338" max="14338" width="24.5" style="1570" customWidth="1"/>
    <col min="14339" max="14339" width="11.09765625" style="1570" customWidth="1"/>
    <col min="14340" max="14340" width="11" style="1570" customWidth="1"/>
    <col min="14341" max="14342" width="10.59765625" style="1570" customWidth="1"/>
    <col min="14343" max="14343" width="10.5" style="1570" customWidth="1"/>
    <col min="14344" max="14344" width="12.3984375" style="1570" customWidth="1"/>
    <col min="14345" max="14345" width="23.8984375" style="1570" customWidth="1"/>
    <col min="14346" max="14346" width="46.8984375" style="1570" customWidth="1"/>
    <col min="14347" max="14592" width="9" style="1570"/>
    <col min="14593" max="14593" width="5.19921875" style="1570" customWidth="1"/>
    <col min="14594" max="14594" width="24.5" style="1570" customWidth="1"/>
    <col min="14595" max="14595" width="11.09765625" style="1570" customWidth="1"/>
    <col min="14596" max="14596" width="11" style="1570" customWidth="1"/>
    <col min="14597" max="14598" width="10.59765625" style="1570" customWidth="1"/>
    <col min="14599" max="14599" width="10.5" style="1570" customWidth="1"/>
    <col min="14600" max="14600" width="12.3984375" style="1570" customWidth="1"/>
    <col min="14601" max="14601" width="23.8984375" style="1570" customWidth="1"/>
    <col min="14602" max="14602" width="46.8984375" style="1570" customWidth="1"/>
    <col min="14603" max="14848" width="9" style="1570"/>
    <col min="14849" max="14849" width="5.19921875" style="1570" customWidth="1"/>
    <col min="14850" max="14850" width="24.5" style="1570" customWidth="1"/>
    <col min="14851" max="14851" width="11.09765625" style="1570" customWidth="1"/>
    <col min="14852" max="14852" width="11" style="1570" customWidth="1"/>
    <col min="14853" max="14854" width="10.59765625" style="1570" customWidth="1"/>
    <col min="14855" max="14855" width="10.5" style="1570" customWidth="1"/>
    <col min="14856" max="14856" width="12.3984375" style="1570" customWidth="1"/>
    <col min="14857" max="14857" width="23.8984375" style="1570" customWidth="1"/>
    <col min="14858" max="14858" width="46.8984375" style="1570" customWidth="1"/>
    <col min="14859" max="15104" width="9" style="1570"/>
    <col min="15105" max="15105" width="5.19921875" style="1570" customWidth="1"/>
    <col min="15106" max="15106" width="24.5" style="1570" customWidth="1"/>
    <col min="15107" max="15107" width="11.09765625" style="1570" customWidth="1"/>
    <col min="15108" max="15108" width="11" style="1570" customWidth="1"/>
    <col min="15109" max="15110" width="10.59765625" style="1570" customWidth="1"/>
    <col min="15111" max="15111" width="10.5" style="1570" customWidth="1"/>
    <col min="15112" max="15112" width="12.3984375" style="1570" customWidth="1"/>
    <col min="15113" max="15113" width="23.8984375" style="1570" customWidth="1"/>
    <col min="15114" max="15114" width="46.8984375" style="1570" customWidth="1"/>
    <col min="15115" max="15360" width="9" style="1570"/>
    <col min="15361" max="15361" width="5.19921875" style="1570" customWidth="1"/>
    <col min="15362" max="15362" width="24.5" style="1570" customWidth="1"/>
    <col min="15363" max="15363" width="11.09765625" style="1570" customWidth="1"/>
    <col min="15364" max="15364" width="11" style="1570" customWidth="1"/>
    <col min="15365" max="15366" width="10.59765625" style="1570" customWidth="1"/>
    <col min="15367" max="15367" width="10.5" style="1570" customWidth="1"/>
    <col min="15368" max="15368" width="12.3984375" style="1570" customWidth="1"/>
    <col min="15369" max="15369" width="23.8984375" style="1570" customWidth="1"/>
    <col min="15370" max="15370" width="46.8984375" style="1570" customWidth="1"/>
    <col min="15371" max="15616" width="9" style="1570"/>
    <col min="15617" max="15617" width="5.19921875" style="1570" customWidth="1"/>
    <col min="15618" max="15618" width="24.5" style="1570" customWidth="1"/>
    <col min="15619" max="15619" width="11.09765625" style="1570" customWidth="1"/>
    <col min="15620" max="15620" width="11" style="1570" customWidth="1"/>
    <col min="15621" max="15622" width="10.59765625" style="1570" customWidth="1"/>
    <col min="15623" max="15623" width="10.5" style="1570" customWidth="1"/>
    <col min="15624" max="15624" width="12.3984375" style="1570" customWidth="1"/>
    <col min="15625" max="15625" width="23.8984375" style="1570" customWidth="1"/>
    <col min="15626" max="15626" width="46.8984375" style="1570" customWidth="1"/>
    <col min="15627" max="15872" width="9" style="1570"/>
    <col min="15873" max="15873" width="5.19921875" style="1570" customWidth="1"/>
    <col min="15874" max="15874" width="24.5" style="1570" customWidth="1"/>
    <col min="15875" max="15875" width="11.09765625" style="1570" customWidth="1"/>
    <col min="15876" max="15876" width="11" style="1570" customWidth="1"/>
    <col min="15877" max="15878" width="10.59765625" style="1570" customWidth="1"/>
    <col min="15879" max="15879" width="10.5" style="1570" customWidth="1"/>
    <col min="15880" max="15880" width="12.3984375" style="1570" customWidth="1"/>
    <col min="15881" max="15881" width="23.8984375" style="1570" customWidth="1"/>
    <col min="15882" max="15882" width="46.8984375" style="1570" customWidth="1"/>
    <col min="15883" max="16128" width="9" style="1570"/>
    <col min="16129" max="16129" width="5.19921875" style="1570" customWidth="1"/>
    <col min="16130" max="16130" width="24.5" style="1570" customWidth="1"/>
    <col min="16131" max="16131" width="11.09765625" style="1570" customWidth="1"/>
    <col min="16132" max="16132" width="11" style="1570" customWidth="1"/>
    <col min="16133" max="16134" width="10.59765625" style="1570" customWidth="1"/>
    <col min="16135" max="16135" width="10.5" style="1570" customWidth="1"/>
    <col min="16136" max="16136" width="12.3984375" style="1570" customWidth="1"/>
    <col min="16137" max="16137" width="23.8984375" style="1570" customWidth="1"/>
    <col min="16138" max="16138" width="46.8984375" style="1570" customWidth="1"/>
    <col min="16139" max="16384" width="9" style="1570"/>
  </cols>
  <sheetData>
    <row r="1" spans="1:10" ht="20.100000000000001" customHeight="1">
      <c r="A1" s="3400"/>
      <c r="B1" s="3400"/>
      <c r="C1" s="3400"/>
      <c r="D1" s="3400"/>
      <c r="E1" s="3400"/>
      <c r="F1" s="3400"/>
      <c r="G1" s="3400"/>
      <c r="H1" s="3400"/>
      <c r="I1" s="2172" t="str">
        <f>"索引号："&amp;档案索引!A41</f>
        <v>索引号：2A-21</v>
      </c>
    </row>
    <row r="2" spans="1:10" ht="25.5" customHeight="1">
      <c r="A2" s="3401" t="s">
        <v>5928</v>
      </c>
      <c r="B2" s="3401"/>
      <c r="C2" s="3401"/>
      <c r="D2" s="3401"/>
      <c r="E2" s="3401"/>
      <c r="F2" s="3401"/>
      <c r="G2" s="3401"/>
      <c r="H2" s="3401"/>
      <c r="I2" s="1826"/>
    </row>
    <row r="3" spans="1:10" ht="14.25" customHeight="1">
      <c r="A3" s="3402" t="s">
        <v>645</v>
      </c>
      <c r="B3" s="3399" t="s">
        <v>5384</v>
      </c>
      <c r="C3" s="3407" t="s">
        <v>1628</v>
      </c>
      <c r="D3" s="3407" t="s">
        <v>5385</v>
      </c>
      <c r="E3" s="3407" t="s">
        <v>5386</v>
      </c>
      <c r="F3" s="3407" t="s">
        <v>1255</v>
      </c>
      <c r="G3" s="3407" t="s">
        <v>1300</v>
      </c>
      <c r="H3" s="3407" t="s">
        <v>5387</v>
      </c>
      <c r="I3" s="3407" t="s">
        <v>5388</v>
      </c>
    </row>
    <row r="4" spans="1:10" ht="14.25" customHeight="1">
      <c r="A4" s="3403"/>
      <c r="B4" s="3399"/>
      <c r="C4" s="3407"/>
      <c r="D4" s="3407"/>
      <c r="E4" s="3407"/>
      <c r="F4" s="3407"/>
      <c r="G4" s="3407"/>
      <c r="H4" s="3407"/>
      <c r="I4" s="3407"/>
    </row>
    <row r="5" spans="1:10" ht="14.25" customHeight="1">
      <c r="A5" s="3404"/>
      <c r="B5" s="1827">
        <v>1</v>
      </c>
      <c r="C5" s="1827">
        <v>2</v>
      </c>
      <c r="D5" s="1827">
        <v>3</v>
      </c>
      <c r="E5" s="1827">
        <v>4</v>
      </c>
      <c r="F5" s="1827">
        <v>5</v>
      </c>
      <c r="G5" s="1828" t="s">
        <v>5389</v>
      </c>
      <c r="H5" s="1828" t="s">
        <v>5390</v>
      </c>
      <c r="I5" s="1974"/>
    </row>
    <row r="6" spans="1:10" ht="50.25" customHeight="1">
      <c r="A6" s="1827">
        <v>1</v>
      </c>
      <c r="B6" s="1829" t="s">
        <v>5391</v>
      </c>
      <c r="C6" s="2075">
        <f>SUM(C7:C10)</f>
        <v>0</v>
      </c>
      <c r="D6" s="2075">
        <f t="shared" ref="D6:F6" si="0">SUM(D7:D10)</f>
        <v>0</v>
      </c>
      <c r="E6" s="2075">
        <f t="shared" si="0"/>
        <v>0</v>
      </c>
      <c r="F6" s="2075">
        <f t="shared" si="0"/>
        <v>0</v>
      </c>
      <c r="G6" s="2075">
        <f>F6-D6-E6</f>
        <v>0</v>
      </c>
      <c r="H6" s="2075">
        <f>C6-G6</f>
        <v>0</v>
      </c>
      <c r="I6" s="1970" t="s">
        <v>5392</v>
      </c>
      <c r="J6" s="1653"/>
    </row>
    <row r="7" spans="1:10" ht="14.25" customHeight="1">
      <c r="A7" s="1827">
        <v>2</v>
      </c>
      <c r="B7" s="1573"/>
      <c r="C7" s="2077"/>
      <c r="D7" s="2077"/>
      <c r="E7" s="2077"/>
      <c r="F7" s="2077"/>
      <c r="G7" s="2075">
        <f t="shared" ref="G7:G24" si="1">F7-D7-E7</f>
        <v>0</v>
      </c>
      <c r="H7" s="2075">
        <f t="shared" ref="H7:H24" si="2">C7-G7</f>
        <v>0</v>
      </c>
      <c r="I7" s="1970"/>
      <c r="J7" s="1675" t="s">
        <v>6444</v>
      </c>
    </row>
    <row r="8" spans="1:10" ht="14.25" customHeight="1">
      <c r="A8" s="1827">
        <v>3</v>
      </c>
      <c r="B8" s="1573"/>
      <c r="C8" s="2077"/>
      <c r="D8" s="2077"/>
      <c r="E8" s="2077"/>
      <c r="F8" s="2077"/>
      <c r="G8" s="2075">
        <f t="shared" si="1"/>
        <v>0</v>
      </c>
      <c r="H8" s="2075">
        <f t="shared" si="2"/>
        <v>0</v>
      </c>
      <c r="I8" s="1970"/>
    </row>
    <row r="9" spans="1:10" ht="14.25" customHeight="1">
      <c r="A9" s="1827">
        <v>4</v>
      </c>
      <c r="B9" s="1573"/>
      <c r="C9" s="2077"/>
      <c r="D9" s="2077"/>
      <c r="E9" s="2077"/>
      <c r="F9" s="2077"/>
      <c r="G9" s="2075">
        <f t="shared" si="1"/>
        <v>0</v>
      </c>
      <c r="H9" s="2075">
        <f t="shared" si="2"/>
        <v>0</v>
      </c>
      <c r="I9" s="1970"/>
      <c r="J9" s="1769" t="s">
        <v>6446</v>
      </c>
    </row>
    <row r="10" spans="1:10" ht="14.25" customHeight="1">
      <c r="A10" s="1827">
        <v>5</v>
      </c>
      <c r="B10" s="1574"/>
      <c r="C10" s="2077"/>
      <c r="D10" s="2077"/>
      <c r="E10" s="2077"/>
      <c r="F10" s="2077"/>
      <c r="G10" s="2075">
        <f t="shared" si="1"/>
        <v>0</v>
      </c>
      <c r="H10" s="2075">
        <f t="shared" si="2"/>
        <v>0</v>
      </c>
      <c r="I10" s="1970"/>
    </row>
    <row r="11" spans="1:10" ht="88.5" customHeight="1">
      <c r="A11" s="1827">
        <v>6</v>
      </c>
      <c r="B11" s="1829" t="s">
        <v>5393</v>
      </c>
      <c r="C11" s="2075">
        <f>SUM(C12:C15)</f>
        <v>0</v>
      </c>
      <c r="D11" s="2075">
        <f t="shared" ref="D11" si="3">SUM(D12:D15)</f>
        <v>0</v>
      </c>
      <c r="E11" s="2075">
        <f t="shared" ref="E11" si="4">SUM(E12:E15)</f>
        <v>0</v>
      </c>
      <c r="F11" s="2075">
        <f t="shared" ref="F11" si="5">SUM(F12:F15)</f>
        <v>0</v>
      </c>
      <c r="G11" s="2075">
        <f t="shared" si="1"/>
        <v>0</v>
      </c>
      <c r="H11" s="2075">
        <f t="shared" si="2"/>
        <v>0</v>
      </c>
      <c r="I11" s="1970" t="s">
        <v>5394</v>
      </c>
      <c r="J11" s="1575"/>
    </row>
    <row r="12" spans="1:10" ht="14.25" customHeight="1">
      <c r="A12" s="1827">
        <v>7</v>
      </c>
      <c r="B12" s="1573"/>
      <c r="C12" s="2077"/>
      <c r="D12" s="2077"/>
      <c r="E12" s="2077"/>
      <c r="F12" s="2077"/>
      <c r="G12" s="2075">
        <f t="shared" si="1"/>
        <v>0</v>
      </c>
      <c r="H12" s="2075">
        <f t="shared" si="2"/>
        <v>0</v>
      </c>
      <c r="I12" s="1970"/>
    </row>
    <row r="13" spans="1:10" ht="14.25" customHeight="1">
      <c r="A13" s="1827">
        <v>8</v>
      </c>
      <c r="B13" s="1573"/>
      <c r="C13" s="2077"/>
      <c r="D13" s="2077"/>
      <c r="E13" s="2077"/>
      <c r="F13" s="2077"/>
      <c r="G13" s="2075">
        <f t="shared" si="1"/>
        <v>0</v>
      </c>
      <c r="H13" s="2075">
        <f t="shared" si="2"/>
        <v>0</v>
      </c>
      <c r="I13" s="1970"/>
    </row>
    <row r="14" spans="1:10" ht="14.25" customHeight="1">
      <c r="A14" s="1827">
        <v>9</v>
      </c>
      <c r="B14" s="1573"/>
      <c r="C14" s="2077"/>
      <c r="D14" s="2077"/>
      <c r="E14" s="2077"/>
      <c r="F14" s="2077"/>
      <c r="G14" s="2075">
        <f t="shared" si="1"/>
        <v>0</v>
      </c>
      <c r="H14" s="2075">
        <f t="shared" si="2"/>
        <v>0</v>
      </c>
      <c r="I14" s="1970"/>
    </row>
    <row r="15" spans="1:10" ht="14.25" customHeight="1">
      <c r="A15" s="1827">
        <v>10</v>
      </c>
      <c r="B15" s="1574"/>
      <c r="C15" s="2077"/>
      <c r="D15" s="2077"/>
      <c r="E15" s="2077"/>
      <c r="F15" s="2077"/>
      <c r="G15" s="2075">
        <f t="shared" si="1"/>
        <v>0</v>
      </c>
      <c r="H15" s="2075">
        <f t="shared" si="2"/>
        <v>0</v>
      </c>
      <c r="I15" s="1970"/>
    </row>
    <row r="16" spans="1:10" ht="91.5" customHeight="1">
      <c r="A16" s="1827">
        <v>11</v>
      </c>
      <c r="B16" s="1829" t="s">
        <v>5395</v>
      </c>
      <c r="C16" s="2075">
        <f>SUM(C17:C20)</f>
        <v>0</v>
      </c>
      <c r="D16" s="2075">
        <f t="shared" ref="D16" si="6">SUM(D17:D20)</f>
        <v>0</v>
      </c>
      <c r="E16" s="2075">
        <f t="shared" ref="E16" si="7">SUM(E17:E20)</f>
        <v>0</v>
      </c>
      <c r="F16" s="2075">
        <f t="shared" ref="F16" si="8">SUM(F17:F20)</f>
        <v>0</v>
      </c>
      <c r="G16" s="2075">
        <f t="shared" si="1"/>
        <v>0</v>
      </c>
      <c r="H16" s="2075">
        <f t="shared" si="2"/>
        <v>0</v>
      </c>
      <c r="I16" s="1970" t="s">
        <v>5396</v>
      </c>
      <c r="J16" s="1575"/>
    </row>
    <row r="17" spans="1:10" ht="14.25" customHeight="1">
      <c r="A17" s="1827">
        <v>12</v>
      </c>
      <c r="B17" s="1573"/>
      <c r="C17" s="2077"/>
      <c r="D17" s="2077"/>
      <c r="E17" s="2077"/>
      <c r="F17" s="2077"/>
      <c r="G17" s="2075">
        <f t="shared" si="1"/>
        <v>0</v>
      </c>
      <c r="H17" s="2075">
        <f t="shared" si="2"/>
        <v>0</v>
      </c>
      <c r="I17" s="1970"/>
    </row>
    <row r="18" spans="1:10" ht="14.25" customHeight="1">
      <c r="A18" s="1827">
        <v>13</v>
      </c>
      <c r="B18" s="1573"/>
      <c r="C18" s="2077"/>
      <c r="D18" s="2077"/>
      <c r="E18" s="2077"/>
      <c r="F18" s="2077"/>
      <c r="G18" s="2075">
        <f t="shared" si="1"/>
        <v>0</v>
      </c>
      <c r="H18" s="2075">
        <f t="shared" si="2"/>
        <v>0</v>
      </c>
      <c r="I18" s="1970"/>
    </row>
    <row r="19" spans="1:10" ht="14.25" customHeight="1">
      <c r="A19" s="1827">
        <v>14</v>
      </c>
      <c r="B19" s="1573"/>
      <c r="C19" s="2077"/>
      <c r="D19" s="2077"/>
      <c r="E19" s="2077"/>
      <c r="F19" s="2077"/>
      <c r="G19" s="2075">
        <f t="shared" si="1"/>
        <v>0</v>
      </c>
      <c r="H19" s="2075">
        <f t="shared" si="2"/>
        <v>0</v>
      </c>
      <c r="I19" s="1970"/>
    </row>
    <row r="20" spans="1:10" ht="14.25" customHeight="1">
      <c r="A20" s="1827">
        <v>15</v>
      </c>
      <c r="B20" s="1574"/>
      <c r="C20" s="2077"/>
      <c r="D20" s="2077"/>
      <c r="E20" s="2077"/>
      <c r="F20" s="2077"/>
      <c r="G20" s="2075">
        <f t="shared" si="1"/>
        <v>0</v>
      </c>
      <c r="H20" s="2075">
        <f t="shared" si="2"/>
        <v>0</v>
      </c>
      <c r="I20" s="1970"/>
    </row>
    <row r="21" spans="1:10" ht="86.25" customHeight="1">
      <c r="A21" s="1827">
        <v>16</v>
      </c>
      <c r="B21" s="1829" t="s">
        <v>5397</v>
      </c>
      <c r="C21" s="2075">
        <f>SUM(C22:C24)</f>
        <v>0</v>
      </c>
      <c r="D21" s="2075">
        <f t="shared" ref="D21:F21" si="9">SUM(D22:D24)</f>
        <v>0</v>
      </c>
      <c r="E21" s="2075">
        <f t="shared" si="9"/>
        <v>0</v>
      </c>
      <c r="F21" s="2075">
        <f t="shared" si="9"/>
        <v>0</v>
      </c>
      <c r="G21" s="2075">
        <f t="shared" si="1"/>
        <v>0</v>
      </c>
      <c r="H21" s="2075">
        <f t="shared" si="2"/>
        <v>0</v>
      </c>
      <c r="I21" s="1970" t="s">
        <v>5398</v>
      </c>
      <c r="J21" s="1575"/>
    </row>
    <row r="22" spans="1:10" ht="14.25" customHeight="1">
      <c r="A22" s="1827">
        <v>17</v>
      </c>
      <c r="B22" s="1573"/>
      <c r="C22" s="2077"/>
      <c r="D22" s="2077"/>
      <c r="E22" s="2077"/>
      <c r="F22" s="2077"/>
      <c r="G22" s="2075">
        <f t="shared" si="1"/>
        <v>0</v>
      </c>
      <c r="H22" s="2075">
        <f t="shared" si="2"/>
        <v>0</v>
      </c>
      <c r="I22" s="1970"/>
    </row>
    <row r="23" spans="1:10" ht="14.25" customHeight="1">
      <c r="A23" s="1827">
        <v>18</v>
      </c>
      <c r="B23" s="1573"/>
      <c r="C23" s="2077"/>
      <c r="D23" s="2077"/>
      <c r="E23" s="2077"/>
      <c r="F23" s="2077"/>
      <c r="G23" s="2075">
        <f t="shared" si="1"/>
        <v>0</v>
      </c>
      <c r="H23" s="2075">
        <f t="shared" si="2"/>
        <v>0</v>
      </c>
      <c r="I23" s="1970"/>
    </row>
    <row r="24" spans="1:10" ht="14.25" customHeight="1">
      <c r="A24" s="1827">
        <v>19</v>
      </c>
      <c r="B24" s="1574"/>
      <c r="C24" s="2077"/>
      <c r="D24" s="2077"/>
      <c r="E24" s="2077"/>
      <c r="F24" s="2077"/>
      <c r="G24" s="2075">
        <f t="shared" si="1"/>
        <v>0</v>
      </c>
      <c r="H24" s="2075">
        <f t="shared" si="2"/>
        <v>0</v>
      </c>
      <c r="I24" s="1970"/>
    </row>
    <row r="25" spans="1:10" ht="87.75" customHeight="1">
      <c r="A25" s="1827">
        <v>20</v>
      </c>
      <c r="B25" s="1829" t="s">
        <v>5399</v>
      </c>
      <c r="C25" s="2075">
        <f>C6+C11+C16+C21</f>
        <v>0</v>
      </c>
      <c r="D25" s="2075">
        <f t="shared" ref="D25:H25" si="10">D6+D11+D16+D21</f>
        <v>0</v>
      </c>
      <c r="E25" s="2075">
        <f t="shared" si="10"/>
        <v>0</v>
      </c>
      <c r="F25" s="2075">
        <f t="shared" si="10"/>
        <v>0</v>
      </c>
      <c r="G25" s="2075">
        <f t="shared" si="10"/>
        <v>0</v>
      </c>
      <c r="H25" s="2075">
        <f t="shared" si="10"/>
        <v>0</v>
      </c>
      <c r="I25" s="1970" t="s">
        <v>5400</v>
      </c>
      <c r="J25" s="1575"/>
    </row>
    <row r="26" spans="1:10">
      <c r="A26" s="2015"/>
      <c r="B26" s="2016"/>
      <c r="C26" s="2015"/>
      <c r="D26" s="2015"/>
      <c r="E26" s="2015"/>
      <c r="F26" s="2015"/>
      <c r="G26" s="2015"/>
      <c r="H26" s="2015"/>
      <c r="I26" s="2015"/>
    </row>
  </sheetData>
  <mergeCells count="11">
    <mergeCell ref="I3:I4"/>
    <mergeCell ref="A1:H1"/>
    <mergeCell ref="A2:H2"/>
    <mergeCell ref="A3:A5"/>
    <mergeCell ref="B3:B4"/>
    <mergeCell ref="C3:C4"/>
    <mergeCell ref="D3:D4"/>
    <mergeCell ref="E3:E4"/>
    <mergeCell ref="F3:F4"/>
    <mergeCell ref="G3:G4"/>
    <mergeCell ref="H3:H4"/>
  </mergeCells>
  <phoneticPr fontId="51" type="noConversion"/>
  <hyperlinks>
    <hyperlink ref="J9" location="'A105091资产损失（专项申报）税前扣除及纳税调整明细表'!A1" display="'A105091资产损失（专项申报）税前扣除及纳税调整明细表'!A1"/>
    <hyperlink ref="J7" location="A105090资产损失税前扣除及纳税调整明细表!A1" display="A105090资产损失税前扣除及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tabColor rgb="FFFFFF00"/>
  </sheetPr>
  <dimension ref="A1:K32"/>
  <sheetViews>
    <sheetView workbookViewId="0">
      <selection activeCell="I14" sqref="I14"/>
    </sheetView>
  </sheetViews>
  <sheetFormatPr defaultRowHeight="15.6"/>
  <cols>
    <col min="1" max="1" width="5.19921875" style="1558" customWidth="1"/>
    <col min="2" max="2" width="27.09765625" style="1558" customWidth="1"/>
    <col min="3" max="9" width="11.5" style="1558" customWidth="1"/>
    <col min="10" max="10" width="14.5" style="1558" customWidth="1"/>
    <col min="11" max="11" width="15.19921875" style="1558" customWidth="1"/>
    <col min="12" max="256" width="9" style="1558"/>
    <col min="257" max="257" width="5.19921875" style="1558" customWidth="1"/>
    <col min="258" max="258" width="34.69921875" style="1558" customWidth="1"/>
    <col min="259" max="259" width="8.69921875" style="1558" customWidth="1"/>
    <col min="260" max="260" width="9" style="1558"/>
    <col min="261" max="261" width="9.8984375" style="1558" customWidth="1"/>
    <col min="262" max="263" width="8.19921875" style="1558" customWidth="1"/>
    <col min="264" max="264" width="9.8984375" style="1558" customWidth="1"/>
    <col min="265" max="265" width="7.5" style="1558" customWidth="1"/>
    <col min="266" max="266" width="14.5" style="1558" customWidth="1"/>
    <col min="267" max="267" width="15.19921875" style="1558" customWidth="1"/>
    <col min="268" max="512" width="9" style="1558"/>
    <col min="513" max="513" width="5.19921875" style="1558" customWidth="1"/>
    <col min="514" max="514" width="34.69921875" style="1558" customWidth="1"/>
    <col min="515" max="515" width="8.69921875" style="1558" customWidth="1"/>
    <col min="516" max="516" width="9" style="1558"/>
    <col min="517" max="517" width="9.8984375" style="1558" customWidth="1"/>
    <col min="518" max="519" width="8.19921875" style="1558" customWidth="1"/>
    <col min="520" max="520" width="9.8984375" style="1558" customWidth="1"/>
    <col min="521" max="521" width="7.5" style="1558" customWidth="1"/>
    <col min="522" max="522" width="14.5" style="1558" customWidth="1"/>
    <col min="523" max="523" width="15.19921875" style="1558" customWidth="1"/>
    <col min="524" max="768" width="9" style="1558"/>
    <col min="769" max="769" width="5.19921875" style="1558" customWidth="1"/>
    <col min="770" max="770" width="34.69921875" style="1558" customWidth="1"/>
    <col min="771" max="771" width="8.69921875" style="1558" customWidth="1"/>
    <col min="772" max="772" width="9" style="1558"/>
    <col min="773" max="773" width="9.8984375" style="1558" customWidth="1"/>
    <col min="774" max="775" width="8.19921875" style="1558" customWidth="1"/>
    <col min="776" max="776" width="9.8984375" style="1558" customWidth="1"/>
    <col min="777" max="777" width="7.5" style="1558" customWidth="1"/>
    <col min="778" max="778" width="14.5" style="1558" customWidth="1"/>
    <col min="779" max="779" width="15.19921875" style="1558" customWidth="1"/>
    <col min="780" max="1024" width="9" style="1558"/>
    <col min="1025" max="1025" width="5.19921875" style="1558" customWidth="1"/>
    <col min="1026" max="1026" width="34.69921875" style="1558" customWidth="1"/>
    <col min="1027" max="1027" width="8.69921875" style="1558" customWidth="1"/>
    <col min="1028" max="1028" width="9" style="1558"/>
    <col min="1029" max="1029" width="9.8984375" style="1558" customWidth="1"/>
    <col min="1030" max="1031" width="8.19921875" style="1558" customWidth="1"/>
    <col min="1032" max="1032" width="9.8984375" style="1558" customWidth="1"/>
    <col min="1033" max="1033" width="7.5" style="1558" customWidth="1"/>
    <col min="1034" max="1034" width="14.5" style="1558" customWidth="1"/>
    <col min="1035" max="1035" width="15.19921875" style="1558" customWidth="1"/>
    <col min="1036" max="1280" width="9" style="1558"/>
    <col min="1281" max="1281" width="5.19921875" style="1558" customWidth="1"/>
    <col min="1282" max="1282" width="34.69921875" style="1558" customWidth="1"/>
    <col min="1283" max="1283" width="8.69921875" style="1558" customWidth="1"/>
    <col min="1284" max="1284" width="9" style="1558"/>
    <col min="1285" max="1285" width="9.8984375" style="1558" customWidth="1"/>
    <col min="1286" max="1287" width="8.19921875" style="1558" customWidth="1"/>
    <col min="1288" max="1288" width="9.8984375" style="1558" customWidth="1"/>
    <col min="1289" max="1289" width="7.5" style="1558" customWidth="1"/>
    <col min="1290" max="1290" width="14.5" style="1558" customWidth="1"/>
    <col min="1291" max="1291" width="15.19921875" style="1558" customWidth="1"/>
    <col min="1292" max="1536" width="9" style="1558"/>
    <col min="1537" max="1537" width="5.19921875" style="1558" customWidth="1"/>
    <col min="1538" max="1538" width="34.69921875" style="1558" customWidth="1"/>
    <col min="1539" max="1539" width="8.69921875" style="1558" customWidth="1"/>
    <col min="1540" max="1540" width="9" style="1558"/>
    <col min="1541" max="1541" width="9.8984375" style="1558" customWidth="1"/>
    <col min="1542" max="1543" width="8.19921875" style="1558" customWidth="1"/>
    <col min="1544" max="1544" width="9.8984375" style="1558" customWidth="1"/>
    <col min="1545" max="1545" width="7.5" style="1558" customWidth="1"/>
    <col min="1546" max="1546" width="14.5" style="1558" customWidth="1"/>
    <col min="1547" max="1547" width="15.19921875" style="1558" customWidth="1"/>
    <col min="1548" max="1792" width="9" style="1558"/>
    <col min="1793" max="1793" width="5.19921875" style="1558" customWidth="1"/>
    <col min="1794" max="1794" width="34.69921875" style="1558" customWidth="1"/>
    <col min="1795" max="1795" width="8.69921875" style="1558" customWidth="1"/>
    <col min="1796" max="1796" width="9" style="1558"/>
    <col min="1797" max="1797" width="9.8984375" style="1558" customWidth="1"/>
    <col min="1798" max="1799" width="8.19921875" style="1558" customWidth="1"/>
    <col min="1800" max="1800" width="9.8984375" style="1558" customWidth="1"/>
    <col min="1801" max="1801" width="7.5" style="1558" customWidth="1"/>
    <col min="1802" max="1802" width="14.5" style="1558" customWidth="1"/>
    <col min="1803" max="1803" width="15.19921875" style="1558" customWidth="1"/>
    <col min="1804" max="2048" width="9" style="1558"/>
    <col min="2049" max="2049" width="5.19921875" style="1558" customWidth="1"/>
    <col min="2050" max="2050" width="34.69921875" style="1558" customWidth="1"/>
    <col min="2051" max="2051" width="8.69921875" style="1558" customWidth="1"/>
    <col min="2052" max="2052" width="9" style="1558"/>
    <col min="2053" max="2053" width="9.8984375" style="1558" customWidth="1"/>
    <col min="2054" max="2055" width="8.19921875" style="1558" customWidth="1"/>
    <col min="2056" max="2056" width="9.8984375" style="1558" customWidth="1"/>
    <col min="2057" max="2057" width="7.5" style="1558" customWidth="1"/>
    <col min="2058" max="2058" width="14.5" style="1558" customWidth="1"/>
    <col min="2059" max="2059" width="15.19921875" style="1558" customWidth="1"/>
    <col min="2060" max="2304" width="9" style="1558"/>
    <col min="2305" max="2305" width="5.19921875" style="1558" customWidth="1"/>
    <col min="2306" max="2306" width="34.69921875" style="1558" customWidth="1"/>
    <col min="2307" max="2307" width="8.69921875" style="1558" customWidth="1"/>
    <col min="2308" max="2308" width="9" style="1558"/>
    <col min="2309" max="2309" width="9.8984375" style="1558" customWidth="1"/>
    <col min="2310" max="2311" width="8.19921875" style="1558" customWidth="1"/>
    <col min="2312" max="2312" width="9.8984375" style="1558" customWidth="1"/>
    <col min="2313" max="2313" width="7.5" style="1558" customWidth="1"/>
    <col min="2314" max="2314" width="14.5" style="1558" customWidth="1"/>
    <col min="2315" max="2315" width="15.19921875" style="1558" customWidth="1"/>
    <col min="2316" max="2560" width="9" style="1558"/>
    <col min="2561" max="2561" width="5.19921875" style="1558" customWidth="1"/>
    <col min="2562" max="2562" width="34.69921875" style="1558" customWidth="1"/>
    <col min="2563" max="2563" width="8.69921875" style="1558" customWidth="1"/>
    <col min="2564" max="2564" width="9" style="1558"/>
    <col min="2565" max="2565" width="9.8984375" style="1558" customWidth="1"/>
    <col min="2566" max="2567" width="8.19921875" style="1558" customWidth="1"/>
    <col min="2568" max="2568" width="9.8984375" style="1558" customWidth="1"/>
    <col min="2569" max="2569" width="7.5" style="1558" customWidth="1"/>
    <col min="2570" max="2570" width="14.5" style="1558" customWidth="1"/>
    <col min="2571" max="2571" width="15.19921875" style="1558" customWidth="1"/>
    <col min="2572" max="2816" width="9" style="1558"/>
    <col min="2817" max="2817" width="5.19921875" style="1558" customWidth="1"/>
    <col min="2818" max="2818" width="34.69921875" style="1558" customWidth="1"/>
    <col min="2819" max="2819" width="8.69921875" style="1558" customWidth="1"/>
    <col min="2820" max="2820" width="9" style="1558"/>
    <col min="2821" max="2821" width="9.8984375" style="1558" customWidth="1"/>
    <col min="2822" max="2823" width="8.19921875" style="1558" customWidth="1"/>
    <col min="2824" max="2824" width="9.8984375" style="1558" customWidth="1"/>
    <col min="2825" max="2825" width="7.5" style="1558" customWidth="1"/>
    <col min="2826" max="2826" width="14.5" style="1558" customWidth="1"/>
    <col min="2827" max="2827" width="15.19921875" style="1558" customWidth="1"/>
    <col min="2828" max="3072" width="9" style="1558"/>
    <col min="3073" max="3073" width="5.19921875" style="1558" customWidth="1"/>
    <col min="3074" max="3074" width="34.69921875" style="1558" customWidth="1"/>
    <col min="3075" max="3075" width="8.69921875" style="1558" customWidth="1"/>
    <col min="3076" max="3076" width="9" style="1558"/>
    <col min="3077" max="3077" width="9.8984375" style="1558" customWidth="1"/>
    <col min="3078" max="3079" width="8.19921875" style="1558" customWidth="1"/>
    <col min="3080" max="3080" width="9.8984375" style="1558" customWidth="1"/>
    <col min="3081" max="3081" width="7.5" style="1558" customWidth="1"/>
    <col min="3082" max="3082" width="14.5" style="1558" customWidth="1"/>
    <col min="3083" max="3083" width="15.19921875" style="1558" customWidth="1"/>
    <col min="3084" max="3328" width="9" style="1558"/>
    <col min="3329" max="3329" width="5.19921875" style="1558" customWidth="1"/>
    <col min="3330" max="3330" width="34.69921875" style="1558" customWidth="1"/>
    <col min="3331" max="3331" width="8.69921875" style="1558" customWidth="1"/>
    <col min="3332" max="3332" width="9" style="1558"/>
    <col min="3333" max="3333" width="9.8984375" style="1558" customWidth="1"/>
    <col min="3334" max="3335" width="8.19921875" style="1558" customWidth="1"/>
    <col min="3336" max="3336" width="9.8984375" style="1558" customWidth="1"/>
    <col min="3337" max="3337" width="7.5" style="1558" customWidth="1"/>
    <col min="3338" max="3338" width="14.5" style="1558" customWidth="1"/>
    <col min="3339" max="3339" width="15.19921875" style="1558" customWidth="1"/>
    <col min="3340" max="3584" width="9" style="1558"/>
    <col min="3585" max="3585" width="5.19921875" style="1558" customWidth="1"/>
    <col min="3586" max="3586" width="34.69921875" style="1558" customWidth="1"/>
    <col min="3587" max="3587" width="8.69921875" style="1558" customWidth="1"/>
    <col min="3588" max="3588" width="9" style="1558"/>
    <col min="3589" max="3589" width="9.8984375" style="1558" customWidth="1"/>
    <col min="3590" max="3591" width="8.19921875" style="1558" customWidth="1"/>
    <col min="3592" max="3592" width="9.8984375" style="1558" customWidth="1"/>
    <col min="3593" max="3593" width="7.5" style="1558" customWidth="1"/>
    <col min="3594" max="3594" width="14.5" style="1558" customWidth="1"/>
    <col min="3595" max="3595" width="15.19921875" style="1558" customWidth="1"/>
    <col min="3596" max="3840" width="9" style="1558"/>
    <col min="3841" max="3841" width="5.19921875" style="1558" customWidth="1"/>
    <col min="3842" max="3842" width="34.69921875" style="1558" customWidth="1"/>
    <col min="3843" max="3843" width="8.69921875" style="1558" customWidth="1"/>
    <col min="3844" max="3844" width="9" style="1558"/>
    <col min="3845" max="3845" width="9.8984375" style="1558" customWidth="1"/>
    <col min="3846" max="3847" width="8.19921875" style="1558" customWidth="1"/>
    <col min="3848" max="3848" width="9.8984375" style="1558" customWidth="1"/>
    <col min="3849" max="3849" width="7.5" style="1558" customWidth="1"/>
    <col min="3850" max="3850" width="14.5" style="1558" customWidth="1"/>
    <col min="3851" max="3851" width="15.19921875" style="1558" customWidth="1"/>
    <col min="3852" max="4096" width="9" style="1558"/>
    <col min="4097" max="4097" width="5.19921875" style="1558" customWidth="1"/>
    <col min="4098" max="4098" width="34.69921875" style="1558" customWidth="1"/>
    <col min="4099" max="4099" width="8.69921875" style="1558" customWidth="1"/>
    <col min="4100" max="4100" width="9" style="1558"/>
    <col min="4101" max="4101" width="9.8984375" style="1558" customWidth="1"/>
    <col min="4102" max="4103" width="8.19921875" style="1558" customWidth="1"/>
    <col min="4104" max="4104" width="9.8984375" style="1558" customWidth="1"/>
    <col min="4105" max="4105" width="7.5" style="1558" customWidth="1"/>
    <col min="4106" max="4106" width="14.5" style="1558" customWidth="1"/>
    <col min="4107" max="4107" width="15.19921875" style="1558" customWidth="1"/>
    <col min="4108" max="4352" width="9" style="1558"/>
    <col min="4353" max="4353" width="5.19921875" style="1558" customWidth="1"/>
    <col min="4354" max="4354" width="34.69921875" style="1558" customWidth="1"/>
    <col min="4355" max="4355" width="8.69921875" style="1558" customWidth="1"/>
    <col min="4356" max="4356" width="9" style="1558"/>
    <col min="4357" max="4357" width="9.8984375" style="1558" customWidth="1"/>
    <col min="4358" max="4359" width="8.19921875" style="1558" customWidth="1"/>
    <col min="4360" max="4360" width="9.8984375" style="1558" customWidth="1"/>
    <col min="4361" max="4361" width="7.5" style="1558" customWidth="1"/>
    <col min="4362" max="4362" width="14.5" style="1558" customWidth="1"/>
    <col min="4363" max="4363" width="15.19921875" style="1558" customWidth="1"/>
    <col min="4364" max="4608" width="9" style="1558"/>
    <col min="4609" max="4609" width="5.19921875" style="1558" customWidth="1"/>
    <col min="4610" max="4610" width="34.69921875" style="1558" customWidth="1"/>
    <col min="4611" max="4611" width="8.69921875" style="1558" customWidth="1"/>
    <col min="4612" max="4612" width="9" style="1558"/>
    <col min="4613" max="4613" width="9.8984375" style="1558" customWidth="1"/>
    <col min="4614" max="4615" width="8.19921875" style="1558" customWidth="1"/>
    <col min="4616" max="4616" width="9.8984375" style="1558" customWidth="1"/>
    <col min="4617" max="4617" width="7.5" style="1558" customWidth="1"/>
    <col min="4618" max="4618" width="14.5" style="1558" customWidth="1"/>
    <col min="4619" max="4619" width="15.19921875" style="1558" customWidth="1"/>
    <col min="4620" max="4864" width="9" style="1558"/>
    <col min="4865" max="4865" width="5.19921875" style="1558" customWidth="1"/>
    <col min="4866" max="4866" width="34.69921875" style="1558" customWidth="1"/>
    <col min="4867" max="4867" width="8.69921875" style="1558" customWidth="1"/>
    <col min="4868" max="4868" width="9" style="1558"/>
    <col min="4869" max="4869" width="9.8984375" style="1558" customWidth="1"/>
    <col min="4870" max="4871" width="8.19921875" style="1558" customWidth="1"/>
    <col min="4872" max="4872" width="9.8984375" style="1558" customWidth="1"/>
    <col min="4873" max="4873" width="7.5" style="1558" customWidth="1"/>
    <col min="4874" max="4874" width="14.5" style="1558" customWidth="1"/>
    <col min="4875" max="4875" width="15.19921875" style="1558" customWidth="1"/>
    <col min="4876" max="5120" width="9" style="1558"/>
    <col min="5121" max="5121" width="5.19921875" style="1558" customWidth="1"/>
    <col min="5122" max="5122" width="34.69921875" style="1558" customWidth="1"/>
    <col min="5123" max="5123" width="8.69921875" style="1558" customWidth="1"/>
    <col min="5124" max="5124" width="9" style="1558"/>
    <col min="5125" max="5125" width="9.8984375" style="1558" customWidth="1"/>
    <col min="5126" max="5127" width="8.19921875" style="1558" customWidth="1"/>
    <col min="5128" max="5128" width="9.8984375" style="1558" customWidth="1"/>
    <col min="5129" max="5129" width="7.5" style="1558" customWidth="1"/>
    <col min="5130" max="5130" width="14.5" style="1558" customWidth="1"/>
    <col min="5131" max="5131" width="15.19921875" style="1558" customWidth="1"/>
    <col min="5132" max="5376" width="9" style="1558"/>
    <col min="5377" max="5377" width="5.19921875" style="1558" customWidth="1"/>
    <col min="5378" max="5378" width="34.69921875" style="1558" customWidth="1"/>
    <col min="5379" max="5379" width="8.69921875" style="1558" customWidth="1"/>
    <col min="5380" max="5380" width="9" style="1558"/>
    <col min="5381" max="5381" width="9.8984375" style="1558" customWidth="1"/>
    <col min="5382" max="5383" width="8.19921875" style="1558" customWidth="1"/>
    <col min="5384" max="5384" width="9.8984375" style="1558" customWidth="1"/>
    <col min="5385" max="5385" width="7.5" style="1558" customWidth="1"/>
    <col min="5386" max="5386" width="14.5" style="1558" customWidth="1"/>
    <col min="5387" max="5387" width="15.19921875" style="1558" customWidth="1"/>
    <col min="5388" max="5632" width="9" style="1558"/>
    <col min="5633" max="5633" width="5.19921875" style="1558" customWidth="1"/>
    <col min="5634" max="5634" width="34.69921875" style="1558" customWidth="1"/>
    <col min="5635" max="5635" width="8.69921875" style="1558" customWidth="1"/>
    <col min="5636" max="5636" width="9" style="1558"/>
    <col min="5637" max="5637" width="9.8984375" style="1558" customWidth="1"/>
    <col min="5638" max="5639" width="8.19921875" style="1558" customWidth="1"/>
    <col min="5640" max="5640" width="9.8984375" style="1558" customWidth="1"/>
    <col min="5641" max="5641" width="7.5" style="1558" customWidth="1"/>
    <col min="5642" max="5642" width="14.5" style="1558" customWidth="1"/>
    <col min="5643" max="5643" width="15.19921875" style="1558" customWidth="1"/>
    <col min="5644" max="5888" width="9" style="1558"/>
    <col min="5889" max="5889" width="5.19921875" style="1558" customWidth="1"/>
    <col min="5890" max="5890" width="34.69921875" style="1558" customWidth="1"/>
    <col min="5891" max="5891" width="8.69921875" style="1558" customWidth="1"/>
    <col min="5892" max="5892" width="9" style="1558"/>
    <col min="5893" max="5893" width="9.8984375" style="1558" customWidth="1"/>
    <col min="5894" max="5895" width="8.19921875" style="1558" customWidth="1"/>
    <col min="5896" max="5896" width="9.8984375" style="1558" customWidth="1"/>
    <col min="5897" max="5897" width="7.5" style="1558" customWidth="1"/>
    <col min="5898" max="5898" width="14.5" style="1558" customWidth="1"/>
    <col min="5899" max="5899" width="15.19921875" style="1558" customWidth="1"/>
    <col min="5900" max="6144" width="9" style="1558"/>
    <col min="6145" max="6145" width="5.19921875" style="1558" customWidth="1"/>
    <col min="6146" max="6146" width="34.69921875" style="1558" customWidth="1"/>
    <col min="6147" max="6147" width="8.69921875" style="1558" customWidth="1"/>
    <col min="6148" max="6148" width="9" style="1558"/>
    <col min="6149" max="6149" width="9.8984375" style="1558" customWidth="1"/>
    <col min="6150" max="6151" width="8.19921875" style="1558" customWidth="1"/>
    <col min="6152" max="6152" width="9.8984375" style="1558" customWidth="1"/>
    <col min="6153" max="6153" width="7.5" style="1558" customWidth="1"/>
    <col min="6154" max="6154" width="14.5" style="1558" customWidth="1"/>
    <col min="6155" max="6155" width="15.19921875" style="1558" customWidth="1"/>
    <col min="6156" max="6400" width="9" style="1558"/>
    <col min="6401" max="6401" width="5.19921875" style="1558" customWidth="1"/>
    <col min="6402" max="6402" width="34.69921875" style="1558" customWidth="1"/>
    <col min="6403" max="6403" width="8.69921875" style="1558" customWidth="1"/>
    <col min="6404" max="6404" width="9" style="1558"/>
    <col min="6405" max="6405" width="9.8984375" style="1558" customWidth="1"/>
    <col min="6406" max="6407" width="8.19921875" style="1558" customWidth="1"/>
    <col min="6408" max="6408" width="9.8984375" style="1558" customWidth="1"/>
    <col min="6409" max="6409" width="7.5" style="1558" customWidth="1"/>
    <col min="6410" max="6410" width="14.5" style="1558" customWidth="1"/>
    <col min="6411" max="6411" width="15.19921875" style="1558" customWidth="1"/>
    <col min="6412" max="6656" width="9" style="1558"/>
    <col min="6657" max="6657" width="5.19921875" style="1558" customWidth="1"/>
    <col min="6658" max="6658" width="34.69921875" style="1558" customWidth="1"/>
    <col min="6659" max="6659" width="8.69921875" style="1558" customWidth="1"/>
    <col min="6660" max="6660" width="9" style="1558"/>
    <col min="6661" max="6661" width="9.8984375" style="1558" customWidth="1"/>
    <col min="6662" max="6663" width="8.19921875" style="1558" customWidth="1"/>
    <col min="6664" max="6664" width="9.8984375" style="1558" customWidth="1"/>
    <col min="6665" max="6665" width="7.5" style="1558" customWidth="1"/>
    <col min="6666" max="6666" width="14.5" style="1558" customWidth="1"/>
    <col min="6667" max="6667" width="15.19921875" style="1558" customWidth="1"/>
    <col min="6668" max="6912" width="9" style="1558"/>
    <col min="6913" max="6913" width="5.19921875" style="1558" customWidth="1"/>
    <col min="6914" max="6914" width="34.69921875" style="1558" customWidth="1"/>
    <col min="6915" max="6915" width="8.69921875" style="1558" customWidth="1"/>
    <col min="6916" max="6916" width="9" style="1558"/>
    <col min="6917" max="6917" width="9.8984375" style="1558" customWidth="1"/>
    <col min="6918" max="6919" width="8.19921875" style="1558" customWidth="1"/>
    <col min="6920" max="6920" width="9.8984375" style="1558" customWidth="1"/>
    <col min="6921" max="6921" width="7.5" style="1558" customWidth="1"/>
    <col min="6922" max="6922" width="14.5" style="1558" customWidth="1"/>
    <col min="6923" max="6923" width="15.19921875" style="1558" customWidth="1"/>
    <col min="6924" max="7168" width="9" style="1558"/>
    <col min="7169" max="7169" width="5.19921875" style="1558" customWidth="1"/>
    <col min="7170" max="7170" width="34.69921875" style="1558" customWidth="1"/>
    <col min="7171" max="7171" width="8.69921875" style="1558" customWidth="1"/>
    <col min="7172" max="7172" width="9" style="1558"/>
    <col min="7173" max="7173" width="9.8984375" style="1558" customWidth="1"/>
    <col min="7174" max="7175" width="8.19921875" style="1558" customWidth="1"/>
    <col min="7176" max="7176" width="9.8984375" style="1558" customWidth="1"/>
    <col min="7177" max="7177" width="7.5" style="1558" customWidth="1"/>
    <col min="7178" max="7178" width="14.5" style="1558" customWidth="1"/>
    <col min="7179" max="7179" width="15.19921875" style="1558" customWidth="1"/>
    <col min="7180" max="7424" width="9" style="1558"/>
    <col min="7425" max="7425" width="5.19921875" style="1558" customWidth="1"/>
    <col min="7426" max="7426" width="34.69921875" style="1558" customWidth="1"/>
    <col min="7427" max="7427" width="8.69921875" style="1558" customWidth="1"/>
    <col min="7428" max="7428" width="9" style="1558"/>
    <col min="7429" max="7429" width="9.8984375" style="1558" customWidth="1"/>
    <col min="7430" max="7431" width="8.19921875" style="1558" customWidth="1"/>
    <col min="7432" max="7432" width="9.8984375" style="1558" customWidth="1"/>
    <col min="7433" max="7433" width="7.5" style="1558" customWidth="1"/>
    <col min="7434" max="7434" width="14.5" style="1558" customWidth="1"/>
    <col min="7435" max="7435" width="15.19921875" style="1558" customWidth="1"/>
    <col min="7436" max="7680" width="9" style="1558"/>
    <col min="7681" max="7681" width="5.19921875" style="1558" customWidth="1"/>
    <col min="7682" max="7682" width="34.69921875" style="1558" customWidth="1"/>
    <col min="7683" max="7683" width="8.69921875" style="1558" customWidth="1"/>
    <col min="7684" max="7684" width="9" style="1558"/>
    <col min="7685" max="7685" width="9.8984375" style="1558" customWidth="1"/>
    <col min="7686" max="7687" width="8.19921875" style="1558" customWidth="1"/>
    <col min="7688" max="7688" width="9.8984375" style="1558" customWidth="1"/>
    <col min="7689" max="7689" width="7.5" style="1558" customWidth="1"/>
    <col min="7690" max="7690" width="14.5" style="1558" customWidth="1"/>
    <col min="7691" max="7691" width="15.19921875" style="1558" customWidth="1"/>
    <col min="7692" max="7936" width="9" style="1558"/>
    <col min="7937" max="7937" width="5.19921875" style="1558" customWidth="1"/>
    <col min="7938" max="7938" width="34.69921875" style="1558" customWidth="1"/>
    <col min="7939" max="7939" width="8.69921875" style="1558" customWidth="1"/>
    <col min="7940" max="7940" width="9" style="1558"/>
    <col min="7941" max="7941" width="9.8984375" style="1558" customWidth="1"/>
    <col min="7942" max="7943" width="8.19921875" style="1558" customWidth="1"/>
    <col min="7944" max="7944" width="9.8984375" style="1558" customWidth="1"/>
    <col min="7945" max="7945" width="7.5" style="1558" customWidth="1"/>
    <col min="7946" max="7946" width="14.5" style="1558" customWidth="1"/>
    <col min="7947" max="7947" width="15.19921875" style="1558" customWidth="1"/>
    <col min="7948" max="8192" width="9" style="1558"/>
    <col min="8193" max="8193" width="5.19921875" style="1558" customWidth="1"/>
    <col min="8194" max="8194" width="34.69921875" style="1558" customWidth="1"/>
    <col min="8195" max="8195" width="8.69921875" style="1558" customWidth="1"/>
    <col min="8196" max="8196" width="9" style="1558"/>
    <col min="8197" max="8197" width="9.8984375" style="1558" customWidth="1"/>
    <col min="8198" max="8199" width="8.19921875" style="1558" customWidth="1"/>
    <col min="8200" max="8200" width="9.8984375" style="1558" customWidth="1"/>
    <col min="8201" max="8201" width="7.5" style="1558" customWidth="1"/>
    <col min="8202" max="8202" width="14.5" style="1558" customWidth="1"/>
    <col min="8203" max="8203" width="15.19921875" style="1558" customWidth="1"/>
    <col min="8204" max="8448" width="9" style="1558"/>
    <col min="8449" max="8449" width="5.19921875" style="1558" customWidth="1"/>
    <col min="8450" max="8450" width="34.69921875" style="1558" customWidth="1"/>
    <col min="8451" max="8451" width="8.69921875" style="1558" customWidth="1"/>
    <col min="8452" max="8452" width="9" style="1558"/>
    <col min="8453" max="8453" width="9.8984375" style="1558" customWidth="1"/>
    <col min="8454" max="8455" width="8.19921875" style="1558" customWidth="1"/>
    <col min="8456" max="8456" width="9.8984375" style="1558" customWidth="1"/>
    <col min="8457" max="8457" width="7.5" style="1558" customWidth="1"/>
    <col min="8458" max="8458" width="14.5" style="1558" customWidth="1"/>
    <col min="8459" max="8459" width="15.19921875" style="1558" customWidth="1"/>
    <col min="8460" max="8704" width="9" style="1558"/>
    <col min="8705" max="8705" width="5.19921875" style="1558" customWidth="1"/>
    <col min="8706" max="8706" width="34.69921875" style="1558" customWidth="1"/>
    <col min="8707" max="8707" width="8.69921875" style="1558" customWidth="1"/>
    <col min="8708" max="8708" width="9" style="1558"/>
    <col min="8709" max="8709" width="9.8984375" style="1558" customWidth="1"/>
    <col min="8710" max="8711" width="8.19921875" style="1558" customWidth="1"/>
    <col min="8712" max="8712" width="9.8984375" style="1558" customWidth="1"/>
    <col min="8713" max="8713" width="7.5" style="1558" customWidth="1"/>
    <col min="8714" max="8714" width="14.5" style="1558" customWidth="1"/>
    <col min="8715" max="8715" width="15.19921875" style="1558" customWidth="1"/>
    <col min="8716" max="8960" width="9" style="1558"/>
    <col min="8961" max="8961" width="5.19921875" style="1558" customWidth="1"/>
    <col min="8962" max="8962" width="34.69921875" style="1558" customWidth="1"/>
    <col min="8963" max="8963" width="8.69921875" style="1558" customWidth="1"/>
    <col min="8964" max="8964" width="9" style="1558"/>
    <col min="8965" max="8965" width="9.8984375" style="1558" customWidth="1"/>
    <col min="8966" max="8967" width="8.19921875" style="1558" customWidth="1"/>
    <col min="8968" max="8968" width="9.8984375" style="1558" customWidth="1"/>
    <col min="8969" max="8969" width="7.5" style="1558" customWidth="1"/>
    <col min="8970" max="8970" width="14.5" style="1558" customWidth="1"/>
    <col min="8971" max="8971" width="15.19921875" style="1558" customWidth="1"/>
    <col min="8972" max="9216" width="9" style="1558"/>
    <col min="9217" max="9217" width="5.19921875" style="1558" customWidth="1"/>
    <col min="9218" max="9218" width="34.69921875" style="1558" customWidth="1"/>
    <col min="9219" max="9219" width="8.69921875" style="1558" customWidth="1"/>
    <col min="9220" max="9220" width="9" style="1558"/>
    <col min="9221" max="9221" width="9.8984375" style="1558" customWidth="1"/>
    <col min="9222" max="9223" width="8.19921875" style="1558" customWidth="1"/>
    <col min="9224" max="9224" width="9.8984375" style="1558" customWidth="1"/>
    <col min="9225" max="9225" width="7.5" style="1558" customWidth="1"/>
    <col min="9226" max="9226" width="14.5" style="1558" customWidth="1"/>
    <col min="9227" max="9227" width="15.19921875" style="1558" customWidth="1"/>
    <col min="9228" max="9472" width="9" style="1558"/>
    <col min="9473" max="9473" width="5.19921875" style="1558" customWidth="1"/>
    <col min="9474" max="9474" width="34.69921875" style="1558" customWidth="1"/>
    <col min="9475" max="9475" width="8.69921875" style="1558" customWidth="1"/>
    <col min="9476" max="9476" width="9" style="1558"/>
    <col min="9477" max="9477" width="9.8984375" style="1558" customWidth="1"/>
    <col min="9478" max="9479" width="8.19921875" style="1558" customWidth="1"/>
    <col min="9480" max="9480" width="9.8984375" style="1558" customWidth="1"/>
    <col min="9481" max="9481" width="7.5" style="1558" customWidth="1"/>
    <col min="9482" max="9482" width="14.5" style="1558" customWidth="1"/>
    <col min="9483" max="9483" width="15.19921875" style="1558" customWidth="1"/>
    <col min="9484" max="9728" width="9" style="1558"/>
    <col min="9729" max="9729" width="5.19921875" style="1558" customWidth="1"/>
    <col min="9730" max="9730" width="34.69921875" style="1558" customWidth="1"/>
    <col min="9731" max="9731" width="8.69921875" style="1558" customWidth="1"/>
    <col min="9732" max="9732" width="9" style="1558"/>
    <col min="9733" max="9733" width="9.8984375" style="1558" customWidth="1"/>
    <col min="9734" max="9735" width="8.19921875" style="1558" customWidth="1"/>
    <col min="9736" max="9736" width="9.8984375" style="1558" customWidth="1"/>
    <col min="9737" max="9737" width="7.5" style="1558" customWidth="1"/>
    <col min="9738" max="9738" width="14.5" style="1558" customWidth="1"/>
    <col min="9739" max="9739" width="15.19921875" style="1558" customWidth="1"/>
    <col min="9740" max="9984" width="9" style="1558"/>
    <col min="9985" max="9985" width="5.19921875" style="1558" customWidth="1"/>
    <col min="9986" max="9986" width="34.69921875" style="1558" customWidth="1"/>
    <col min="9987" max="9987" width="8.69921875" style="1558" customWidth="1"/>
    <col min="9988" max="9988" width="9" style="1558"/>
    <col min="9989" max="9989" width="9.8984375" style="1558" customWidth="1"/>
    <col min="9990" max="9991" width="8.19921875" style="1558" customWidth="1"/>
    <col min="9992" max="9992" width="9.8984375" style="1558" customWidth="1"/>
    <col min="9993" max="9993" width="7.5" style="1558" customWidth="1"/>
    <col min="9994" max="9994" width="14.5" style="1558" customWidth="1"/>
    <col min="9995" max="9995" width="15.19921875" style="1558" customWidth="1"/>
    <col min="9996" max="10240" width="9" style="1558"/>
    <col min="10241" max="10241" width="5.19921875" style="1558" customWidth="1"/>
    <col min="10242" max="10242" width="34.69921875" style="1558" customWidth="1"/>
    <col min="10243" max="10243" width="8.69921875" style="1558" customWidth="1"/>
    <col min="10244" max="10244" width="9" style="1558"/>
    <col min="10245" max="10245" width="9.8984375" style="1558" customWidth="1"/>
    <col min="10246" max="10247" width="8.19921875" style="1558" customWidth="1"/>
    <col min="10248" max="10248" width="9.8984375" style="1558" customWidth="1"/>
    <col min="10249" max="10249" width="7.5" style="1558" customWidth="1"/>
    <col min="10250" max="10250" width="14.5" style="1558" customWidth="1"/>
    <col min="10251" max="10251" width="15.19921875" style="1558" customWidth="1"/>
    <col min="10252" max="10496" width="9" style="1558"/>
    <col min="10497" max="10497" width="5.19921875" style="1558" customWidth="1"/>
    <col min="10498" max="10498" width="34.69921875" style="1558" customWidth="1"/>
    <col min="10499" max="10499" width="8.69921875" style="1558" customWidth="1"/>
    <col min="10500" max="10500" width="9" style="1558"/>
    <col min="10501" max="10501" width="9.8984375" style="1558" customWidth="1"/>
    <col min="10502" max="10503" width="8.19921875" style="1558" customWidth="1"/>
    <col min="10504" max="10504" width="9.8984375" style="1558" customWidth="1"/>
    <col min="10505" max="10505" width="7.5" style="1558" customWidth="1"/>
    <col min="10506" max="10506" width="14.5" style="1558" customWidth="1"/>
    <col min="10507" max="10507" width="15.19921875" style="1558" customWidth="1"/>
    <col min="10508" max="10752" width="9" style="1558"/>
    <col min="10753" max="10753" width="5.19921875" style="1558" customWidth="1"/>
    <col min="10754" max="10754" width="34.69921875" style="1558" customWidth="1"/>
    <col min="10755" max="10755" width="8.69921875" style="1558" customWidth="1"/>
    <col min="10756" max="10756" width="9" style="1558"/>
    <col min="10757" max="10757" width="9.8984375" style="1558" customWidth="1"/>
    <col min="10758" max="10759" width="8.19921875" style="1558" customWidth="1"/>
    <col min="10760" max="10760" width="9.8984375" style="1558" customWidth="1"/>
    <col min="10761" max="10761" width="7.5" style="1558" customWidth="1"/>
    <col min="10762" max="10762" width="14.5" style="1558" customWidth="1"/>
    <col min="10763" max="10763" width="15.19921875" style="1558" customWidth="1"/>
    <col min="10764" max="11008" width="9" style="1558"/>
    <col min="11009" max="11009" width="5.19921875" style="1558" customWidth="1"/>
    <col min="11010" max="11010" width="34.69921875" style="1558" customWidth="1"/>
    <col min="11011" max="11011" width="8.69921875" style="1558" customWidth="1"/>
    <col min="11012" max="11012" width="9" style="1558"/>
    <col min="11013" max="11013" width="9.8984375" style="1558" customWidth="1"/>
    <col min="11014" max="11015" width="8.19921875" style="1558" customWidth="1"/>
    <col min="11016" max="11016" width="9.8984375" style="1558" customWidth="1"/>
    <col min="11017" max="11017" width="7.5" style="1558" customWidth="1"/>
    <col min="11018" max="11018" width="14.5" style="1558" customWidth="1"/>
    <col min="11019" max="11019" width="15.19921875" style="1558" customWidth="1"/>
    <col min="11020" max="11264" width="9" style="1558"/>
    <col min="11265" max="11265" width="5.19921875" style="1558" customWidth="1"/>
    <col min="11266" max="11266" width="34.69921875" style="1558" customWidth="1"/>
    <col min="11267" max="11267" width="8.69921875" style="1558" customWidth="1"/>
    <col min="11268" max="11268" width="9" style="1558"/>
    <col min="11269" max="11269" width="9.8984375" style="1558" customWidth="1"/>
    <col min="11270" max="11271" width="8.19921875" style="1558" customWidth="1"/>
    <col min="11272" max="11272" width="9.8984375" style="1558" customWidth="1"/>
    <col min="11273" max="11273" width="7.5" style="1558" customWidth="1"/>
    <col min="11274" max="11274" width="14.5" style="1558" customWidth="1"/>
    <col min="11275" max="11275" width="15.19921875" style="1558" customWidth="1"/>
    <col min="11276" max="11520" width="9" style="1558"/>
    <col min="11521" max="11521" width="5.19921875" style="1558" customWidth="1"/>
    <col min="11522" max="11522" width="34.69921875" style="1558" customWidth="1"/>
    <col min="11523" max="11523" width="8.69921875" style="1558" customWidth="1"/>
    <col min="11524" max="11524" width="9" style="1558"/>
    <col min="11525" max="11525" width="9.8984375" style="1558" customWidth="1"/>
    <col min="11526" max="11527" width="8.19921875" style="1558" customWidth="1"/>
    <col min="11528" max="11528" width="9.8984375" style="1558" customWidth="1"/>
    <col min="11529" max="11529" width="7.5" style="1558" customWidth="1"/>
    <col min="11530" max="11530" width="14.5" style="1558" customWidth="1"/>
    <col min="11531" max="11531" width="15.19921875" style="1558" customWidth="1"/>
    <col min="11532" max="11776" width="9" style="1558"/>
    <col min="11777" max="11777" width="5.19921875" style="1558" customWidth="1"/>
    <col min="11778" max="11778" width="34.69921875" style="1558" customWidth="1"/>
    <col min="11779" max="11779" width="8.69921875" style="1558" customWidth="1"/>
    <col min="11780" max="11780" width="9" style="1558"/>
    <col min="11781" max="11781" width="9.8984375" style="1558" customWidth="1"/>
    <col min="11782" max="11783" width="8.19921875" style="1558" customWidth="1"/>
    <col min="11784" max="11784" width="9.8984375" style="1558" customWidth="1"/>
    <col min="11785" max="11785" width="7.5" style="1558" customWidth="1"/>
    <col min="11786" max="11786" width="14.5" style="1558" customWidth="1"/>
    <col min="11787" max="11787" width="15.19921875" style="1558" customWidth="1"/>
    <col min="11788" max="12032" width="9" style="1558"/>
    <col min="12033" max="12033" width="5.19921875" style="1558" customWidth="1"/>
    <col min="12034" max="12034" width="34.69921875" style="1558" customWidth="1"/>
    <col min="12035" max="12035" width="8.69921875" style="1558" customWidth="1"/>
    <col min="12036" max="12036" width="9" style="1558"/>
    <col min="12037" max="12037" width="9.8984375" style="1558" customWidth="1"/>
    <col min="12038" max="12039" width="8.19921875" style="1558" customWidth="1"/>
    <col min="12040" max="12040" width="9.8984375" style="1558" customWidth="1"/>
    <col min="12041" max="12041" width="7.5" style="1558" customWidth="1"/>
    <col min="12042" max="12042" width="14.5" style="1558" customWidth="1"/>
    <col min="12043" max="12043" width="15.19921875" style="1558" customWidth="1"/>
    <col min="12044" max="12288" width="9" style="1558"/>
    <col min="12289" max="12289" width="5.19921875" style="1558" customWidth="1"/>
    <col min="12290" max="12290" width="34.69921875" style="1558" customWidth="1"/>
    <col min="12291" max="12291" width="8.69921875" style="1558" customWidth="1"/>
    <col min="12292" max="12292" width="9" style="1558"/>
    <col min="12293" max="12293" width="9.8984375" style="1558" customWidth="1"/>
    <col min="12294" max="12295" width="8.19921875" style="1558" customWidth="1"/>
    <col min="12296" max="12296" width="9.8984375" style="1558" customWidth="1"/>
    <col min="12297" max="12297" width="7.5" style="1558" customWidth="1"/>
    <col min="12298" max="12298" width="14.5" style="1558" customWidth="1"/>
    <col min="12299" max="12299" width="15.19921875" style="1558" customWidth="1"/>
    <col min="12300" max="12544" width="9" style="1558"/>
    <col min="12545" max="12545" width="5.19921875" style="1558" customWidth="1"/>
    <col min="12546" max="12546" width="34.69921875" style="1558" customWidth="1"/>
    <col min="12547" max="12547" width="8.69921875" style="1558" customWidth="1"/>
    <col min="12548" max="12548" width="9" style="1558"/>
    <col min="12549" max="12549" width="9.8984375" style="1558" customWidth="1"/>
    <col min="12550" max="12551" width="8.19921875" style="1558" customWidth="1"/>
    <col min="12552" max="12552" width="9.8984375" style="1558" customWidth="1"/>
    <col min="12553" max="12553" width="7.5" style="1558" customWidth="1"/>
    <col min="12554" max="12554" width="14.5" style="1558" customWidth="1"/>
    <col min="12555" max="12555" width="15.19921875" style="1558" customWidth="1"/>
    <col min="12556" max="12800" width="9" style="1558"/>
    <col min="12801" max="12801" width="5.19921875" style="1558" customWidth="1"/>
    <col min="12802" max="12802" width="34.69921875" style="1558" customWidth="1"/>
    <col min="12803" max="12803" width="8.69921875" style="1558" customWidth="1"/>
    <col min="12804" max="12804" width="9" style="1558"/>
    <col min="12805" max="12805" width="9.8984375" style="1558" customWidth="1"/>
    <col min="12806" max="12807" width="8.19921875" style="1558" customWidth="1"/>
    <col min="12808" max="12808" width="9.8984375" style="1558" customWidth="1"/>
    <col min="12809" max="12809" width="7.5" style="1558" customWidth="1"/>
    <col min="12810" max="12810" width="14.5" style="1558" customWidth="1"/>
    <col min="12811" max="12811" width="15.19921875" style="1558" customWidth="1"/>
    <col min="12812" max="13056" width="9" style="1558"/>
    <col min="13057" max="13057" width="5.19921875" style="1558" customWidth="1"/>
    <col min="13058" max="13058" width="34.69921875" style="1558" customWidth="1"/>
    <col min="13059" max="13059" width="8.69921875" style="1558" customWidth="1"/>
    <col min="13060" max="13060" width="9" style="1558"/>
    <col min="13061" max="13061" width="9.8984375" style="1558" customWidth="1"/>
    <col min="13062" max="13063" width="8.19921875" style="1558" customWidth="1"/>
    <col min="13064" max="13064" width="9.8984375" style="1558" customWidth="1"/>
    <col min="13065" max="13065" width="7.5" style="1558" customWidth="1"/>
    <col min="13066" max="13066" width="14.5" style="1558" customWidth="1"/>
    <col min="13067" max="13067" width="15.19921875" style="1558" customWidth="1"/>
    <col min="13068" max="13312" width="9" style="1558"/>
    <col min="13313" max="13313" width="5.19921875" style="1558" customWidth="1"/>
    <col min="13314" max="13314" width="34.69921875" style="1558" customWidth="1"/>
    <col min="13315" max="13315" width="8.69921875" style="1558" customWidth="1"/>
    <col min="13316" max="13316" width="9" style="1558"/>
    <col min="13317" max="13317" width="9.8984375" style="1558" customWidth="1"/>
    <col min="13318" max="13319" width="8.19921875" style="1558" customWidth="1"/>
    <col min="13320" max="13320" width="9.8984375" style="1558" customWidth="1"/>
    <col min="13321" max="13321" width="7.5" style="1558" customWidth="1"/>
    <col min="13322" max="13322" width="14.5" style="1558" customWidth="1"/>
    <col min="13323" max="13323" width="15.19921875" style="1558" customWidth="1"/>
    <col min="13324" max="13568" width="9" style="1558"/>
    <col min="13569" max="13569" width="5.19921875" style="1558" customWidth="1"/>
    <col min="13570" max="13570" width="34.69921875" style="1558" customWidth="1"/>
    <col min="13571" max="13571" width="8.69921875" style="1558" customWidth="1"/>
    <col min="13572" max="13572" width="9" style="1558"/>
    <col min="13573" max="13573" width="9.8984375" style="1558" customWidth="1"/>
    <col min="13574" max="13575" width="8.19921875" style="1558" customWidth="1"/>
    <col min="13576" max="13576" width="9.8984375" style="1558" customWidth="1"/>
    <col min="13577" max="13577" width="7.5" style="1558" customWidth="1"/>
    <col min="13578" max="13578" width="14.5" style="1558" customWidth="1"/>
    <col min="13579" max="13579" width="15.19921875" style="1558" customWidth="1"/>
    <col min="13580" max="13824" width="9" style="1558"/>
    <col min="13825" max="13825" width="5.19921875" style="1558" customWidth="1"/>
    <col min="13826" max="13826" width="34.69921875" style="1558" customWidth="1"/>
    <col min="13827" max="13827" width="8.69921875" style="1558" customWidth="1"/>
    <col min="13828" max="13828" width="9" style="1558"/>
    <col min="13829" max="13829" width="9.8984375" style="1558" customWidth="1"/>
    <col min="13830" max="13831" width="8.19921875" style="1558" customWidth="1"/>
    <col min="13832" max="13832" width="9.8984375" style="1558" customWidth="1"/>
    <col min="13833" max="13833" width="7.5" style="1558" customWidth="1"/>
    <col min="13834" max="13834" width="14.5" style="1558" customWidth="1"/>
    <col min="13835" max="13835" width="15.19921875" style="1558" customWidth="1"/>
    <col min="13836" max="14080" width="9" style="1558"/>
    <col min="14081" max="14081" width="5.19921875" style="1558" customWidth="1"/>
    <col min="14082" max="14082" width="34.69921875" style="1558" customWidth="1"/>
    <col min="14083" max="14083" width="8.69921875" style="1558" customWidth="1"/>
    <col min="14084" max="14084" width="9" style="1558"/>
    <col min="14085" max="14085" width="9.8984375" style="1558" customWidth="1"/>
    <col min="14086" max="14087" width="8.19921875" style="1558" customWidth="1"/>
    <col min="14088" max="14088" width="9.8984375" style="1558" customWidth="1"/>
    <col min="14089" max="14089" width="7.5" style="1558" customWidth="1"/>
    <col min="14090" max="14090" width="14.5" style="1558" customWidth="1"/>
    <col min="14091" max="14091" width="15.19921875" style="1558" customWidth="1"/>
    <col min="14092" max="14336" width="9" style="1558"/>
    <col min="14337" max="14337" width="5.19921875" style="1558" customWidth="1"/>
    <col min="14338" max="14338" width="34.69921875" style="1558" customWidth="1"/>
    <col min="14339" max="14339" width="8.69921875" style="1558" customWidth="1"/>
    <col min="14340" max="14340" width="9" style="1558"/>
    <col min="14341" max="14341" width="9.8984375" style="1558" customWidth="1"/>
    <col min="14342" max="14343" width="8.19921875" style="1558" customWidth="1"/>
    <col min="14344" max="14344" width="9.8984375" style="1558" customWidth="1"/>
    <col min="14345" max="14345" width="7.5" style="1558" customWidth="1"/>
    <col min="14346" max="14346" width="14.5" style="1558" customWidth="1"/>
    <col min="14347" max="14347" width="15.19921875" style="1558" customWidth="1"/>
    <col min="14348" max="14592" width="9" style="1558"/>
    <col min="14593" max="14593" width="5.19921875" style="1558" customWidth="1"/>
    <col min="14594" max="14594" width="34.69921875" style="1558" customWidth="1"/>
    <col min="14595" max="14595" width="8.69921875" style="1558" customWidth="1"/>
    <col min="14596" max="14596" width="9" style="1558"/>
    <col min="14597" max="14597" width="9.8984375" style="1558" customWidth="1"/>
    <col min="14598" max="14599" width="8.19921875" style="1558" customWidth="1"/>
    <col min="14600" max="14600" width="9.8984375" style="1558" customWidth="1"/>
    <col min="14601" max="14601" width="7.5" style="1558" customWidth="1"/>
    <col min="14602" max="14602" width="14.5" style="1558" customWidth="1"/>
    <col min="14603" max="14603" width="15.19921875" style="1558" customWidth="1"/>
    <col min="14604" max="14848" width="9" style="1558"/>
    <col min="14849" max="14849" width="5.19921875" style="1558" customWidth="1"/>
    <col min="14850" max="14850" width="34.69921875" style="1558" customWidth="1"/>
    <col min="14851" max="14851" width="8.69921875" style="1558" customWidth="1"/>
    <col min="14852" max="14852" width="9" style="1558"/>
    <col min="14853" max="14853" width="9.8984375" style="1558" customWidth="1"/>
    <col min="14854" max="14855" width="8.19921875" style="1558" customWidth="1"/>
    <col min="14856" max="14856" width="9.8984375" style="1558" customWidth="1"/>
    <col min="14857" max="14857" width="7.5" style="1558" customWidth="1"/>
    <col min="14858" max="14858" width="14.5" style="1558" customWidth="1"/>
    <col min="14859" max="14859" width="15.19921875" style="1558" customWidth="1"/>
    <col min="14860" max="15104" width="9" style="1558"/>
    <col min="15105" max="15105" width="5.19921875" style="1558" customWidth="1"/>
    <col min="15106" max="15106" width="34.69921875" style="1558" customWidth="1"/>
    <col min="15107" max="15107" width="8.69921875" style="1558" customWidth="1"/>
    <col min="15108" max="15108" width="9" style="1558"/>
    <col min="15109" max="15109" width="9.8984375" style="1558" customWidth="1"/>
    <col min="15110" max="15111" width="8.19921875" style="1558" customWidth="1"/>
    <col min="15112" max="15112" width="9.8984375" style="1558" customWidth="1"/>
    <col min="15113" max="15113" width="7.5" style="1558" customWidth="1"/>
    <col min="15114" max="15114" width="14.5" style="1558" customWidth="1"/>
    <col min="15115" max="15115" width="15.19921875" style="1558" customWidth="1"/>
    <col min="15116" max="15360" width="9" style="1558"/>
    <col min="15361" max="15361" width="5.19921875" style="1558" customWidth="1"/>
    <col min="15362" max="15362" width="34.69921875" style="1558" customWidth="1"/>
    <col min="15363" max="15363" width="8.69921875" style="1558" customWidth="1"/>
    <col min="15364" max="15364" width="9" style="1558"/>
    <col min="15365" max="15365" width="9.8984375" style="1558" customWidth="1"/>
    <col min="15366" max="15367" width="8.19921875" style="1558" customWidth="1"/>
    <col min="15368" max="15368" width="9.8984375" style="1558" customWidth="1"/>
    <col min="15369" max="15369" width="7.5" style="1558" customWidth="1"/>
    <col min="15370" max="15370" width="14.5" style="1558" customWidth="1"/>
    <col min="15371" max="15371" width="15.19921875" style="1558" customWidth="1"/>
    <col min="15372" max="15616" width="9" style="1558"/>
    <col min="15617" max="15617" width="5.19921875" style="1558" customWidth="1"/>
    <col min="15618" max="15618" width="34.69921875" style="1558" customWidth="1"/>
    <col min="15619" max="15619" width="8.69921875" style="1558" customWidth="1"/>
    <col min="15620" max="15620" width="9" style="1558"/>
    <col min="15621" max="15621" width="9.8984375" style="1558" customWidth="1"/>
    <col min="15622" max="15623" width="8.19921875" style="1558" customWidth="1"/>
    <col min="15624" max="15624" width="9.8984375" style="1558" customWidth="1"/>
    <col min="15625" max="15625" width="7.5" style="1558" customWidth="1"/>
    <col min="15626" max="15626" width="14.5" style="1558" customWidth="1"/>
    <col min="15627" max="15627" width="15.19921875" style="1558" customWidth="1"/>
    <col min="15628" max="15872" width="9" style="1558"/>
    <col min="15873" max="15873" width="5.19921875" style="1558" customWidth="1"/>
    <col min="15874" max="15874" width="34.69921875" style="1558" customWidth="1"/>
    <col min="15875" max="15875" width="8.69921875" style="1558" customWidth="1"/>
    <col min="15876" max="15876" width="9" style="1558"/>
    <col min="15877" max="15877" width="9.8984375" style="1558" customWidth="1"/>
    <col min="15878" max="15879" width="8.19921875" style="1558" customWidth="1"/>
    <col min="15880" max="15880" width="9.8984375" style="1558" customWidth="1"/>
    <col min="15881" max="15881" width="7.5" style="1558" customWidth="1"/>
    <col min="15882" max="15882" width="14.5" style="1558" customWidth="1"/>
    <col min="15883" max="15883" width="15.19921875" style="1558" customWidth="1"/>
    <col min="15884" max="16128" width="9" style="1558"/>
    <col min="16129" max="16129" width="5.19921875" style="1558" customWidth="1"/>
    <col min="16130" max="16130" width="34.69921875" style="1558" customWidth="1"/>
    <col min="16131" max="16131" width="8.69921875" style="1558" customWidth="1"/>
    <col min="16132" max="16132" width="9" style="1558"/>
    <col min="16133" max="16133" width="9.8984375" style="1558" customWidth="1"/>
    <col min="16134" max="16135" width="8.19921875" style="1558" customWidth="1"/>
    <col min="16136" max="16136" width="9.8984375" style="1558" customWidth="1"/>
    <col min="16137" max="16137" width="7.5" style="1558" customWidth="1"/>
    <col min="16138" max="16138" width="14.5" style="1558" customWidth="1"/>
    <col min="16139" max="16139" width="15.19921875" style="1558" customWidth="1"/>
    <col min="16140" max="16384" width="9" style="1558"/>
  </cols>
  <sheetData>
    <row r="1" spans="1:11" ht="20.100000000000001" customHeight="1">
      <c r="A1" s="3463"/>
      <c r="B1" s="3463"/>
      <c r="C1" s="3463"/>
      <c r="D1" s="3463"/>
      <c r="E1" s="3463"/>
      <c r="F1" s="3463"/>
      <c r="G1" s="3463"/>
      <c r="H1" s="3463"/>
      <c r="I1" s="3463"/>
      <c r="J1" s="1992" t="str">
        <f>"索引号："&amp;档案索引!A42</f>
        <v>索引号：2A-22</v>
      </c>
    </row>
    <row r="2" spans="1:11" ht="25.5" customHeight="1">
      <c r="A2" s="3401" t="s">
        <v>5929</v>
      </c>
      <c r="B2" s="3401"/>
      <c r="C2" s="3401"/>
      <c r="D2" s="3401"/>
      <c r="E2" s="3401"/>
      <c r="F2" s="3401"/>
      <c r="G2" s="3401"/>
      <c r="H2" s="3401"/>
      <c r="I2" s="3401"/>
      <c r="J2" s="1830"/>
    </row>
    <row r="3" spans="1:11" ht="14.25" customHeight="1">
      <c r="A3" s="3402" t="s">
        <v>1853</v>
      </c>
      <c r="B3" s="3402" t="s">
        <v>1074</v>
      </c>
      <c r="C3" s="3399" t="s">
        <v>5403</v>
      </c>
      <c r="D3" s="3399"/>
      <c r="E3" s="3399"/>
      <c r="F3" s="3399" t="s">
        <v>5404</v>
      </c>
      <c r="G3" s="3399"/>
      <c r="H3" s="3399"/>
      <c r="I3" s="3405" t="s">
        <v>5150</v>
      </c>
      <c r="J3" s="3405" t="s">
        <v>5151</v>
      </c>
    </row>
    <row r="4" spans="1:11" ht="14.25" customHeight="1">
      <c r="A4" s="3403"/>
      <c r="B4" s="3403"/>
      <c r="C4" s="1808" t="s">
        <v>2342</v>
      </c>
      <c r="D4" s="1808" t="s">
        <v>1851</v>
      </c>
      <c r="E4" s="1808" t="s">
        <v>5150</v>
      </c>
      <c r="F4" s="1808" t="s">
        <v>2342</v>
      </c>
      <c r="G4" s="1808" t="s">
        <v>1851</v>
      </c>
      <c r="H4" s="1808" t="s">
        <v>5150</v>
      </c>
      <c r="I4" s="3406"/>
      <c r="J4" s="3406"/>
    </row>
    <row r="5" spans="1:11" ht="14.25" customHeight="1">
      <c r="A5" s="3404"/>
      <c r="B5" s="3404"/>
      <c r="C5" s="1808">
        <v>1</v>
      </c>
      <c r="D5" s="1808">
        <v>2</v>
      </c>
      <c r="E5" s="1808" t="s">
        <v>5405</v>
      </c>
      <c r="F5" s="1808">
        <v>4</v>
      </c>
      <c r="G5" s="1808">
        <v>5</v>
      </c>
      <c r="H5" s="1808" t="s">
        <v>5406</v>
      </c>
      <c r="I5" s="1808" t="s">
        <v>5407</v>
      </c>
      <c r="J5" s="1969"/>
    </row>
    <row r="6" spans="1:11" ht="14.25" customHeight="1">
      <c r="A6" s="1808">
        <v>1</v>
      </c>
      <c r="B6" s="1819" t="s">
        <v>5408</v>
      </c>
      <c r="C6" s="2076"/>
      <c r="D6" s="2076"/>
      <c r="E6" s="2075">
        <f>D6-C6</f>
        <v>0</v>
      </c>
      <c r="F6" s="2076"/>
      <c r="G6" s="2076"/>
      <c r="H6" s="2075">
        <f>G6-F6</f>
        <v>0</v>
      </c>
      <c r="I6" s="2075">
        <f>E6+H6</f>
        <v>0</v>
      </c>
      <c r="J6" s="1969"/>
    </row>
    <row r="7" spans="1:11" ht="14.25" customHeight="1">
      <c r="A7" s="1808">
        <v>2</v>
      </c>
      <c r="B7" s="1819" t="s">
        <v>5409</v>
      </c>
      <c r="C7" s="2076"/>
      <c r="D7" s="2076"/>
      <c r="E7" s="2075">
        <f t="shared" ref="E7:E18" si="0">D7-C7</f>
        <v>0</v>
      </c>
      <c r="F7" s="2076"/>
      <c r="G7" s="2076"/>
      <c r="H7" s="2075">
        <f t="shared" ref="H7:H18" si="1">G7-F7</f>
        <v>0</v>
      </c>
      <c r="I7" s="2075">
        <f t="shared" ref="I7:I18" si="2">E7+H7</f>
        <v>0</v>
      </c>
      <c r="J7" s="1969"/>
    </row>
    <row r="8" spans="1:11" ht="14.25" customHeight="1">
      <c r="A8" s="1808">
        <v>3</v>
      </c>
      <c r="B8" s="1819" t="s">
        <v>5410</v>
      </c>
      <c r="C8" s="2076"/>
      <c r="D8" s="2076"/>
      <c r="E8" s="2075">
        <f t="shared" si="0"/>
        <v>0</v>
      </c>
      <c r="F8" s="2076"/>
      <c r="G8" s="2076"/>
      <c r="H8" s="2075">
        <f t="shared" si="1"/>
        <v>0</v>
      </c>
      <c r="I8" s="2075">
        <f t="shared" si="2"/>
        <v>0</v>
      </c>
      <c r="J8" s="1969"/>
    </row>
    <row r="9" spans="1:11" ht="14.25" customHeight="1">
      <c r="A9" s="1808">
        <v>4</v>
      </c>
      <c r="B9" s="1819" t="s">
        <v>5411</v>
      </c>
      <c r="C9" s="2076"/>
      <c r="D9" s="2076"/>
      <c r="E9" s="2075">
        <f t="shared" si="0"/>
        <v>0</v>
      </c>
      <c r="F9" s="2076"/>
      <c r="G9" s="2076"/>
      <c r="H9" s="2075">
        <f t="shared" si="1"/>
        <v>0</v>
      </c>
      <c r="I9" s="2075">
        <f t="shared" si="2"/>
        <v>0</v>
      </c>
      <c r="J9" s="1969"/>
    </row>
    <row r="10" spans="1:11" ht="14.25" customHeight="1">
      <c r="A10" s="1808">
        <v>5</v>
      </c>
      <c r="B10" s="1819" t="s">
        <v>5412</v>
      </c>
      <c r="C10" s="2076"/>
      <c r="D10" s="2076"/>
      <c r="E10" s="2075">
        <f t="shared" si="0"/>
        <v>0</v>
      </c>
      <c r="F10" s="2076"/>
      <c r="G10" s="2076"/>
      <c r="H10" s="2075">
        <f t="shared" si="1"/>
        <v>0</v>
      </c>
      <c r="I10" s="2075">
        <f t="shared" si="2"/>
        <v>0</v>
      </c>
      <c r="J10" s="1969"/>
    </row>
    <row r="11" spans="1:11" ht="14.25" customHeight="1">
      <c r="A11" s="1808">
        <v>6</v>
      </c>
      <c r="B11" s="1819" t="s">
        <v>5413</v>
      </c>
      <c r="C11" s="2076"/>
      <c r="D11" s="2076"/>
      <c r="E11" s="2075">
        <f t="shared" si="0"/>
        <v>0</v>
      </c>
      <c r="F11" s="2076"/>
      <c r="G11" s="2076"/>
      <c r="H11" s="2075">
        <f t="shared" si="1"/>
        <v>0</v>
      </c>
      <c r="I11" s="2075">
        <f t="shared" si="2"/>
        <v>0</v>
      </c>
      <c r="J11" s="1969"/>
    </row>
    <row r="12" spans="1:11" ht="14.25" customHeight="1">
      <c r="A12" s="1808">
        <v>7</v>
      </c>
      <c r="B12" s="1819" t="s">
        <v>5414</v>
      </c>
      <c r="C12" s="2076"/>
      <c r="D12" s="2076"/>
      <c r="E12" s="2075">
        <f t="shared" si="0"/>
        <v>0</v>
      </c>
      <c r="F12" s="2076"/>
      <c r="G12" s="2076"/>
      <c r="H12" s="2075">
        <f t="shared" si="1"/>
        <v>0</v>
      </c>
      <c r="I12" s="2075">
        <f t="shared" si="2"/>
        <v>0</v>
      </c>
      <c r="J12" s="1969"/>
      <c r="K12" s="1675" t="s">
        <v>6449</v>
      </c>
    </row>
    <row r="13" spans="1:11" ht="14.25" customHeight="1">
      <c r="A13" s="1808">
        <v>8</v>
      </c>
      <c r="B13" s="1819" t="s">
        <v>5415</v>
      </c>
      <c r="C13" s="2076"/>
      <c r="D13" s="2076"/>
      <c r="E13" s="2075">
        <f t="shared" si="0"/>
        <v>0</v>
      </c>
      <c r="F13" s="2076"/>
      <c r="G13" s="2076"/>
      <c r="H13" s="2075">
        <f t="shared" si="1"/>
        <v>0</v>
      </c>
      <c r="I13" s="2075">
        <f t="shared" si="2"/>
        <v>0</v>
      </c>
      <c r="J13" s="1969"/>
    </row>
    <row r="14" spans="1:11" ht="14.25" customHeight="1">
      <c r="A14" s="1808">
        <v>9</v>
      </c>
      <c r="B14" s="1819" t="s">
        <v>5416</v>
      </c>
      <c r="C14" s="2076"/>
      <c r="D14" s="2076"/>
      <c r="E14" s="2075">
        <f t="shared" si="0"/>
        <v>0</v>
      </c>
      <c r="F14" s="2076"/>
      <c r="G14" s="2076"/>
      <c r="H14" s="2075">
        <f t="shared" si="1"/>
        <v>0</v>
      </c>
      <c r="I14" s="2075">
        <f t="shared" si="2"/>
        <v>0</v>
      </c>
      <c r="J14" s="1969"/>
    </row>
    <row r="15" spans="1:11" ht="14.25" customHeight="1">
      <c r="A15" s="1808">
        <v>10</v>
      </c>
      <c r="B15" s="1819" t="s">
        <v>5417</v>
      </c>
      <c r="C15" s="2076"/>
      <c r="D15" s="2076"/>
      <c r="E15" s="2075">
        <f t="shared" si="0"/>
        <v>0</v>
      </c>
      <c r="F15" s="2076"/>
      <c r="G15" s="2076"/>
      <c r="H15" s="2075">
        <f t="shared" si="1"/>
        <v>0</v>
      </c>
      <c r="I15" s="2075">
        <f t="shared" si="2"/>
        <v>0</v>
      </c>
      <c r="J15" s="1969"/>
    </row>
    <row r="16" spans="1:11" ht="14.25" customHeight="1">
      <c r="A16" s="1808">
        <v>11</v>
      </c>
      <c r="B16" s="1819" t="s">
        <v>5418</v>
      </c>
      <c r="C16" s="2076"/>
      <c r="D16" s="2076"/>
      <c r="E16" s="2075">
        <f t="shared" si="0"/>
        <v>0</v>
      </c>
      <c r="F16" s="2076"/>
      <c r="G16" s="2076"/>
      <c r="H16" s="2075">
        <f t="shared" si="1"/>
        <v>0</v>
      </c>
      <c r="I16" s="2075">
        <f t="shared" si="2"/>
        <v>0</v>
      </c>
      <c r="J16" s="1969"/>
    </row>
    <row r="17" spans="1:11" ht="14.25" customHeight="1">
      <c r="A17" s="1808">
        <v>12</v>
      </c>
      <c r="B17" s="1819" t="s">
        <v>5419</v>
      </c>
      <c r="C17" s="2076"/>
      <c r="D17" s="2076"/>
      <c r="E17" s="2075">
        <f t="shared" si="0"/>
        <v>0</v>
      </c>
      <c r="F17" s="2076"/>
      <c r="G17" s="2076"/>
      <c r="H17" s="2075">
        <f t="shared" si="1"/>
        <v>0</v>
      </c>
      <c r="I17" s="2075">
        <f t="shared" si="2"/>
        <v>0</v>
      </c>
      <c r="J17" s="1969"/>
    </row>
    <row r="18" spans="1:11" s="1569" customFormat="1" ht="14.25" customHeight="1">
      <c r="A18" s="1808">
        <v>13</v>
      </c>
      <c r="B18" s="1819" t="s">
        <v>5420</v>
      </c>
      <c r="C18" s="2076"/>
      <c r="D18" s="2076"/>
      <c r="E18" s="2075">
        <f t="shared" si="0"/>
        <v>0</v>
      </c>
      <c r="F18" s="2076"/>
      <c r="G18" s="2076"/>
      <c r="H18" s="2075">
        <f t="shared" si="1"/>
        <v>0</v>
      </c>
      <c r="I18" s="2075">
        <f t="shared" si="2"/>
        <v>0</v>
      </c>
      <c r="J18" s="1975"/>
    </row>
    <row r="19" spans="1:11" ht="42" customHeight="1">
      <c r="A19" s="1808">
        <v>14</v>
      </c>
      <c r="B19" s="1819" t="s">
        <v>5421</v>
      </c>
      <c r="C19" s="2075">
        <f>C6+C9+C11+C13+C16+C17</f>
        <v>0</v>
      </c>
      <c r="D19" s="2075">
        <f t="shared" ref="D19:I19" si="3">D6+D9+D11+D13+D16+D17</f>
        <v>0</v>
      </c>
      <c r="E19" s="2075">
        <f t="shared" si="3"/>
        <v>0</v>
      </c>
      <c r="F19" s="2075">
        <f t="shared" si="3"/>
        <v>0</v>
      </c>
      <c r="G19" s="2075">
        <f t="shared" si="3"/>
        <v>0</v>
      </c>
      <c r="H19" s="2075">
        <f t="shared" si="3"/>
        <v>0</v>
      </c>
      <c r="I19" s="2075">
        <f t="shared" si="3"/>
        <v>0</v>
      </c>
      <c r="J19" s="1819" t="s">
        <v>5422</v>
      </c>
      <c r="K19" s="1568"/>
    </row>
    <row r="20" spans="1:11">
      <c r="A20" s="2161"/>
      <c r="B20" s="2161"/>
      <c r="C20" s="2161"/>
      <c r="D20" s="2161"/>
      <c r="E20" s="2161"/>
      <c r="F20" s="2161"/>
      <c r="G20" s="2161"/>
      <c r="H20" s="2161"/>
      <c r="I20" s="2161"/>
      <c r="J20" s="2161"/>
    </row>
    <row r="21" spans="1:11">
      <c r="A21" s="2161"/>
      <c r="B21" s="2161"/>
      <c r="C21" s="2161"/>
      <c r="D21" s="2161"/>
      <c r="E21" s="2161"/>
      <c r="F21" s="2161"/>
      <c r="G21" s="2161"/>
      <c r="H21" s="2161"/>
      <c r="I21" s="2161"/>
      <c r="J21" s="2161"/>
    </row>
    <row r="22" spans="1:11">
      <c r="A22" s="3462"/>
      <c r="B22" s="3462"/>
      <c r="C22" s="3462"/>
      <c r="D22" s="3462"/>
      <c r="E22" s="3462"/>
      <c r="F22" s="3462"/>
      <c r="G22" s="3462"/>
      <c r="H22" s="3462"/>
      <c r="I22" s="3462"/>
      <c r="J22" s="3462"/>
    </row>
    <row r="23" spans="1:11">
      <c r="A23" s="3462"/>
      <c r="B23" s="3462"/>
      <c r="C23" s="3462"/>
      <c r="D23" s="3462"/>
      <c r="E23" s="3462"/>
      <c r="F23" s="3462"/>
      <c r="G23" s="3462"/>
      <c r="H23" s="3462"/>
      <c r="I23" s="3462"/>
      <c r="J23" s="3462"/>
    </row>
    <row r="24" spans="1:11">
      <c r="A24" s="3462"/>
      <c r="B24" s="3462"/>
      <c r="C24" s="3462"/>
      <c r="D24" s="3462"/>
      <c r="E24" s="3462"/>
      <c r="F24" s="3462"/>
      <c r="G24" s="3462"/>
      <c r="H24" s="3462"/>
      <c r="I24" s="3462"/>
      <c r="J24" s="3462"/>
    </row>
    <row r="25" spans="1:11">
      <c r="A25" s="3462"/>
      <c r="B25" s="3462"/>
      <c r="C25" s="3462"/>
      <c r="D25" s="3462"/>
      <c r="E25" s="3462"/>
      <c r="F25" s="3462"/>
      <c r="G25" s="3462"/>
      <c r="H25" s="3462"/>
      <c r="I25" s="3462"/>
      <c r="J25" s="3462"/>
    </row>
    <row r="26" spans="1:11">
      <c r="A26" s="3462"/>
      <c r="B26" s="3462"/>
      <c r="C26" s="3462"/>
      <c r="D26" s="3462"/>
      <c r="E26" s="3462"/>
      <c r="F26" s="3462"/>
      <c r="G26" s="3462"/>
      <c r="H26" s="3462"/>
      <c r="I26" s="3462"/>
      <c r="J26" s="3462"/>
    </row>
    <row r="27" spans="1:11">
      <c r="A27" s="3462"/>
      <c r="B27" s="3462"/>
      <c r="C27" s="3462"/>
      <c r="D27" s="3462"/>
      <c r="E27" s="3462"/>
      <c r="F27" s="3462"/>
      <c r="G27" s="3462"/>
      <c r="H27" s="3462"/>
      <c r="I27" s="3462"/>
      <c r="J27" s="3462"/>
    </row>
    <row r="28" spans="1:11">
      <c r="A28" s="3462"/>
      <c r="B28" s="3462"/>
      <c r="C28" s="3462"/>
      <c r="D28" s="3462"/>
      <c r="E28" s="3462"/>
      <c r="F28" s="3462"/>
      <c r="G28" s="3462"/>
      <c r="H28" s="3462"/>
      <c r="I28" s="3462"/>
      <c r="J28" s="3462"/>
    </row>
    <row r="29" spans="1:11">
      <c r="A29" s="3462"/>
      <c r="B29" s="3462"/>
      <c r="C29" s="3462"/>
      <c r="D29" s="3462"/>
      <c r="E29" s="3462"/>
      <c r="F29" s="3462"/>
      <c r="G29" s="3462"/>
      <c r="H29" s="3462"/>
      <c r="I29" s="3462"/>
      <c r="J29" s="3462"/>
    </row>
    <row r="30" spans="1:11">
      <c r="A30" s="3462"/>
      <c r="B30" s="3462"/>
      <c r="C30" s="3462"/>
      <c r="D30" s="3462"/>
      <c r="E30" s="3462"/>
      <c r="F30" s="3462"/>
      <c r="G30" s="3462"/>
      <c r="H30" s="3462"/>
      <c r="I30" s="3462"/>
      <c r="J30" s="3462"/>
    </row>
    <row r="31" spans="1:11">
      <c r="A31" s="3462"/>
      <c r="B31" s="3462"/>
      <c r="C31" s="3462"/>
      <c r="D31" s="3462"/>
      <c r="E31" s="3462"/>
      <c r="F31" s="3462"/>
      <c r="G31" s="3462"/>
      <c r="H31" s="3462"/>
      <c r="I31" s="3462"/>
      <c r="J31" s="3462"/>
    </row>
    <row r="32" spans="1:11">
      <c r="A32" s="3462"/>
      <c r="B32" s="3462"/>
      <c r="C32" s="3462"/>
      <c r="D32" s="3462"/>
      <c r="E32" s="3462"/>
      <c r="F32" s="3462"/>
      <c r="G32" s="3462"/>
      <c r="H32" s="3462"/>
      <c r="I32" s="3462"/>
      <c r="J32" s="3462"/>
    </row>
  </sheetData>
  <mergeCells count="19">
    <mergeCell ref="A1:I1"/>
    <mergeCell ref="A2:I2"/>
    <mergeCell ref="A3:A5"/>
    <mergeCell ref="B3:B5"/>
    <mergeCell ref="C3:E3"/>
    <mergeCell ref="F3:H3"/>
    <mergeCell ref="I3:I4"/>
    <mergeCell ref="J3:J4"/>
    <mergeCell ref="A32:J32"/>
    <mergeCell ref="A22:J22"/>
    <mergeCell ref="A23:J23"/>
    <mergeCell ref="A24:J24"/>
    <mergeCell ref="A25:J25"/>
    <mergeCell ref="A26:J26"/>
    <mergeCell ref="A27:J27"/>
    <mergeCell ref="A28:J28"/>
    <mergeCell ref="A29:J29"/>
    <mergeCell ref="A30:J30"/>
    <mergeCell ref="A31:J31"/>
  </mergeCells>
  <phoneticPr fontId="51" type="noConversion"/>
  <hyperlinks>
    <hyperlink ref="K12" location="A105100企业重组纳税调整明细表!A1" display="A105100企业重组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tabColor rgb="FFFFFF00"/>
  </sheetPr>
  <dimension ref="A1:I31"/>
  <sheetViews>
    <sheetView workbookViewId="0">
      <selection activeCell="A7" sqref="A7"/>
    </sheetView>
  </sheetViews>
  <sheetFormatPr defaultRowHeight="15.6"/>
  <cols>
    <col min="1" max="1" width="5.19921875" style="1555" customWidth="1"/>
    <col min="2" max="2" width="47.59765625" style="1650" customWidth="1"/>
    <col min="3" max="3" width="12.3984375" style="1555" customWidth="1"/>
    <col min="4" max="4" width="18" style="1555" customWidth="1"/>
    <col min="5" max="5" width="29.09765625" style="1555" customWidth="1"/>
    <col min="6" max="256" width="9" style="1555"/>
    <col min="257" max="257" width="5.19921875" style="1555" customWidth="1"/>
    <col min="258" max="258" width="47.59765625" style="1555" customWidth="1"/>
    <col min="259" max="259" width="8.09765625" style="1555" customWidth="1"/>
    <col min="260" max="260" width="18" style="1555" customWidth="1"/>
    <col min="261" max="261" width="29.09765625" style="1555" customWidth="1"/>
    <col min="262" max="512" width="9" style="1555"/>
    <col min="513" max="513" width="5.19921875" style="1555" customWidth="1"/>
    <col min="514" max="514" width="47.59765625" style="1555" customWidth="1"/>
    <col min="515" max="515" width="8.09765625" style="1555" customWidth="1"/>
    <col min="516" max="516" width="18" style="1555" customWidth="1"/>
    <col min="517" max="517" width="29.09765625" style="1555" customWidth="1"/>
    <col min="518" max="768" width="9" style="1555"/>
    <col min="769" max="769" width="5.19921875" style="1555" customWidth="1"/>
    <col min="770" max="770" width="47.59765625" style="1555" customWidth="1"/>
    <col min="771" max="771" width="8.09765625" style="1555" customWidth="1"/>
    <col min="772" max="772" width="18" style="1555" customWidth="1"/>
    <col min="773" max="773" width="29.09765625" style="1555" customWidth="1"/>
    <col min="774" max="1024" width="9" style="1555"/>
    <col min="1025" max="1025" width="5.19921875" style="1555" customWidth="1"/>
    <col min="1026" max="1026" width="47.59765625" style="1555" customWidth="1"/>
    <col min="1027" max="1027" width="8.09765625" style="1555" customWidth="1"/>
    <col min="1028" max="1028" width="18" style="1555" customWidth="1"/>
    <col min="1029" max="1029" width="29.09765625" style="1555" customWidth="1"/>
    <col min="1030" max="1280" width="9" style="1555"/>
    <col min="1281" max="1281" width="5.19921875" style="1555" customWidth="1"/>
    <col min="1282" max="1282" width="47.59765625" style="1555" customWidth="1"/>
    <col min="1283" max="1283" width="8.09765625" style="1555" customWidth="1"/>
    <col min="1284" max="1284" width="18" style="1555" customWidth="1"/>
    <col min="1285" max="1285" width="29.09765625" style="1555" customWidth="1"/>
    <col min="1286" max="1536" width="9" style="1555"/>
    <col min="1537" max="1537" width="5.19921875" style="1555" customWidth="1"/>
    <col min="1538" max="1538" width="47.59765625" style="1555" customWidth="1"/>
    <col min="1539" max="1539" width="8.09765625" style="1555" customWidth="1"/>
    <col min="1540" max="1540" width="18" style="1555" customWidth="1"/>
    <col min="1541" max="1541" width="29.09765625" style="1555" customWidth="1"/>
    <col min="1542" max="1792" width="9" style="1555"/>
    <col min="1793" max="1793" width="5.19921875" style="1555" customWidth="1"/>
    <col min="1794" max="1794" width="47.59765625" style="1555" customWidth="1"/>
    <col min="1795" max="1795" width="8.09765625" style="1555" customWidth="1"/>
    <col min="1796" max="1796" width="18" style="1555" customWidth="1"/>
    <col min="1797" max="1797" width="29.09765625" style="1555" customWidth="1"/>
    <col min="1798" max="2048" width="9" style="1555"/>
    <col min="2049" max="2049" width="5.19921875" style="1555" customWidth="1"/>
    <col min="2050" max="2050" width="47.59765625" style="1555" customWidth="1"/>
    <col min="2051" max="2051" width="8.09765625" style="1555" customWidth="1"/>
    <col min="2052" max="2052" width="18" style="1555" customWidth="1"/>
    <col min="2053" max="2053" width="29.09765625" style="1555" customWidth="1"/>
    <col min="2054" max="2304" width="9" style="1555"/>
    <col min="2305" max="2305" width="5.19921875" style="1555" customWidth="1"/>
    <col min="2306" max="2306" width="47.59765625" style="1555" customWidth="1"/>
    <col min="2307" max="2307" width="8.09765625" style="1555" customWidth="1"/>
    <col min="2308" max="2308" width="18" style="1555" customWidth="1"/>
    <col min="2309" max="2309" width="29.09765625" style="1555" customWidth="1"/>
    <col min="2310" max="2560" width="9" style="1555"/>
    <col min="2561" max="2561" width="5.19921875" style="1555" customWidth="1"/>
    <col min="2562" max="2562" width="47.59765625" style="1555" customWidth="1"/>
    <col min="2563" max="2563" width="8.09765625" style="1555" customWidth="1"/>
    <col min="2564" max="2564" width="18" style="1555" customWidth="1"/>
    <col min="2565" max="2565" width="29.09765625" style="1555" customWidth="1"/>
    <col min="2566" max="2816" width="9" style="1555"/>
    <col min="2817" max="2817" width="5.19921875" style="1555" customWidth="1"/>
    <col min="2818" max="2818" width="47.59765625" style="1555" customWidth="1"/>
    <col min="2819" max="2819" width="8.09765625" style="1555" customWidth="1"/>
    <col min="2820" max="2820" width="18" style="1555" customWidth="1"/>
    <col min="2821" max="2821" width="29.09765625" style="1555" customWidth="1"/>
    <col min="2822" max="3072" width="9" style="1555"/>
    <col min="3073" max="3073" width="5.19921875" style="1555" customWidth="1"/>
    <col min="3074" max="3074" width="47.59765625" style="1555" customWidth="1"/>
    <col min="3075" max="3075" width="8.09765625" style="1555" customWidth="1"/>
    <col min="3076" max="3076" width="18" style="1555" customWidth="1"/>
    <col min="3077" max="3077" width="29.09765625" style="1555" customWidth="1"/>
    <col min="3078" max="3328" width="9" style="1555"/>
    <col min="3329" max="3329" width="5.19921875" style="1555" customWidth="1"/>
    <col min="3330" max="3330" width="47.59765625" style="1555" customWidth="1"/>
    <col min="3331" max="3331" width="8.09765625" style="1555" customWidth="1"/>
    <col min="3332" max="3332" width="18" style="1555" customWidth="1"/>
    <col min="3333" max="3333" width="29.09765625" style="1555" customWidth="1"/>
    <col min="3334" max="3584" width="9" style="1555"/>
    <col min="3585" max="3585" width="5.19921875" style="1555" customWidth="1"/>
    <col min="3586" max="3586" width="47.59765625" style="1555" customWidth="1"/>
    <col min="3587" max="3587" width="8.09765625" style="1555" customWidth="1"/>
    <col min="3588" max="3588" width="18" style="1555" customWidth="1"/>
    <col min="3589" max="3589" width="29.09765625" style="1555" customWidth="1"/>
    <col min="3590" max="3840" width="9" style="1555"/>
    <col min="3841" max="3841" width="5.19921875" style="1555" customWidth="1"/>
    <col min="3842" max="3842" width="47.59765625" style="1555" customWidth="1"/>
    <col min="3843" max="3843" width="8.09765625" style="1555" customWidth="1"/>
    <col min="3844" max="3844" width="18" style="1555" customWidth="1"/>
    <col min="3845" max="3845" width="29.09765625" style="1555" customWidth="1"/>
    <col min="3846" max="4096" width="9" style="1555"/>
    <col min="4097" max="4097" width="5.19921875" style="1555" customWidth="1"/>
    <col min="4098" max="4098" width="47.59765625" style="1555" customWidth="1"/>
    <col min="4099" max="4099" width="8.09765625" style="1555" customWidth="1"/>
    <col min="4100" max="4100" width="18" style="1555" customWidth="1"/>
    <col min="4101" max="4101" width="29.09765625" style="1555" customWidth="1"/>
    <col min="4102" max="4352" width="9" style="1555"/>
    <col min="4353" max="4353" width="5.19921875" style="1555" customWidth="1"/>
    <col min="4354" max="4354" width="47.59765625" style="1555" customWidth="1"/>
    <col min="4355" max="4355" width="8.09765625" style="1555" customWidth="1"/>
    <col min="4356" max="4356" width="18" style="1555" customWidth="1"/>
    <col min="4357" max="4357" width="29.09765625" style="1555" customWidth="1"/>
    <col min="4358" max="4608" width="9" style="1555"/>
    <col min="4609" max="4609" width="5.19921875" style="1555" customWidth="1"/>
    <col min="4610" max="4610" width="47.59765625" style="1555" customWidth="1"/>
    <col min="4611" max="4611" width="8.09765625" style="1555" customWidth="1"/>
    <col min="4612" max="4612" width="18" style="1555" customWidth="1"/>
    <col min="4613" max="4613" width="29.09765625" style="1555" customWidth="1"/>
    <col min="4614" max="4864" width="9" style="1555"/>
    <col min="4865" max="4865" width="5.19921875" style="1555" customWidth="1"/>
    <col min="4866" max="4866" width="47.59765625" style="1555" customWidth="1"/>
    <col min="4867" max="4867" width="8.09765625" style="1555" customWidth="1"/>
    <col min="4868" max="4868" width="18" style="1555" customWidth="1"/>
    <col min="4869" max="4869" width="29.09765625" style="1555" customWidth="1"/>
    <col min="4870" max="5120" width="9" style="1555"/>
    <col min="5121" max="5121" width="5.19921875" style="1555" customWidth="1"/>
    <col min="5122" max="5122" width="47.59765625" style="1555" customWidth="1"/>
    <col min="5123" max="5123" width="8.09765625" style="1555" customWidth="1"/>
    <col min="5124" max="5124" width="18" style="1555" customWidth="1"/>
    <col min="5125" max="5125" width="29.09765625" style="1555" customWidth="1"/>
    <col min="5126" max="5376" width="9" style="1555"/>
    <col min="5377" max="5377" width="5.19921875" style="1555" customWidth="1"/>
    <col min="5378" max="5378" width="47.59765625" style="1555" customWidth="1"/>
    <col min="5379" max="5379" width="8.09765625" style="1555" customWidth="1"/>
    <col min="5380" max="5380" width="18" style="1555" customWidth="1"/>
    <col min="5381" max="5381" width="29.09765625" style="1555" customWidth="1"/>
    <col min="5382" max="5632" width="9" style="1555"/>
    <col min="5633" max="5633" width="5.19921875" style="1555" customWidth="1"/>
    <col min="5634" max="5634" width="47.59765625" style="1555" customWidth="1"/>
    <col min="5635" max="5635" width="8.09765625" style="1555" customWidth="1"/>
    <col min="5636" max="5636" width="18" style="1555" customWidth="1"/>
    <col min="5637" max="5637" width="29.09765625" style="1555" customWidth="1"/>
    <col min="5638" max="5888" width="9" style="1555"/>
    <col min="5889" max="5889" width="5.19921875" style="1555" customWidth="1"/>
    <col min="5890" max="5890" width="47.59765625" style="1555" customWidth="1"/>
    <col min="5891" max="5891" width="8.09765625" style="1555" customWidth="1"/>
    <col min="5892" max="5892" width="18" style="1555" customWidth="1"/>
    <col min="5893" max="5893" width="29.09765625" style="1555" customWidth="1"/>
    <col min="5894" max="6144" width="9" style="1555"/>
    <col min="6145" max="6145" width="5.19921875" style="1555" customWidth="1"/>
    <col min="6146" max="6146" width="47.59765625" style="1555" customWidth="1"/>
    <col min="6147" max="6147" width="8.09765625" style="1555" customWidth="1"/>
    <col min="6148" max="6148" width="18" style="1555" customWidth="1"/>
    <col min="6149" max="6149" width="29.09765625" style="1555" customWidth="1"/>
    <col min="6150" max="6400" width="9" style="1555"/>
    <col min="6401" max="6401" width="5.19921875" style="1555" customWidth="1"/>
    <col min="6402" max="6402" width="47.59765625" style="1555" customWidth="1"/>
    <col min="6403" max="6403" width="8.09765625" style="1555" customWidth="1"/>
    <col min="6404" max="6404" width="18" style="1555" customWidth="1"/>
    <col min="6405" max="6405" width="29.09765625" style="1555" customWidth="1"/>
    <col min="6406" max="6656" width="9" style="1555"/>
    <col min="6657" max="6657" width="5.19921875" style="1555" customWidth="1"/>
    <col min="6658" max="6658" width="47.59765625" style="1555" customWidth="1"/>
    <col min="6659" max="6659" width="8.09765625" style="1555" customWidth="1"/>
    <col min="6660" max="6660" width="18" style="1555" customWidth="1"/>
    <col min="6661" max="6661" width="29.09765625" style="1555" customWidth="1"/>
    <col min="6662" max="6912" width="9" style="1555"/>
    <col min="6913" max="6913" width="5.19921875" style="1555" customWidth="1"/>
    <col min="6914" max="6914" width="47.59765625" style="1555" customWidth="1"/>
    <col min="6915" max="6915" width="8.09765625" style="1555" customWidth="1"/>
    <col min="6916" max="6916" width="18" style="1555" customWidth="1"/>
    <col min="6917" max="6917" width="29.09765625" style="1555" customWidth="1"/>
    <col min="6918" max="7168" width="9" style="1555"/>
    <col min="7169" max="7169" width="5.19921875" style="1555" customWidth="1"/>
    <col min="7170" max="7170" width="47.59765625" style="1555" customWidth="1"/>
    <col min="7171" max="7171" width="8.09765625" style="1555" customWidth="1"/>
    <col min="7172" max="7172" width="18" style="1555" customWidth="1"/>
    <col min="7173" max="7173" width="29.09765625" style="1555" customWidth="1"/>
    <col min="7174" max="7424" width="9" style="1555"/>
    <col min="7425" max="7425" width="5.19921875" style="1555" customWidth="1"/>
    <col min="7426" max="7426" width="47.59765625" style="1555" customWidth="1"/>
    <col min="7427" max="7427" width="8.09765625" style="1555" customWidth="1"/>
    <col min="7428" max="7428" width="18" style="1555" customWidth="1"/>
    <col min="7429" max="7429" width="29.09765625" style="1555" customWidth="1"/>
    <col min="7430" max="7680" width="9" style="1555"/>
    <col min="7681" max="7681" width="5.19921875" style="1555" customWidth="1"/>
    <col min="7682" max="7682" width="47.59765625" style="1555" customWidth="1"/>
    <col min="7683" max="7683" width="8.09765625" style="1555" customWidth="1"/>
    <col min="7684" max="7684" width="18" style="1555" customWidth="1"/>
    <col min="7685" max="7685" width="29.09765625" style="1555" customWidth="1"/>
    <col min="7686" max="7936" width="9" style="1555"/>
    <col min="7937" max="7937" width="5.19921875" style="1555" customWidth="1"/>
    <col min="7938" max="7938" width="47.59765625" style="1555" customWidth="1"/>
    <col min="7939" max="7939" width="8.09765625" style="1555" customWidth="1"/>
    <col min="7940" max="7940" width="18" style="1555" customWidth="1"/>
    <col min="7941" max="7941" width="29.09765625" style="1555" customWidth="1"/>
    <col min="7942" max="8192" width="9" style="1555"/>
    <col min="8193" max="8193" width="5.19921875" style="1555" customWidth="1"/>
    <col min="8194" max="8194" width="47.59765625" style="1555" customWidth="1"/>
    <col min="8195" max="8195" width="8.09765625" style="1555" customWidth="1"/>
    <col min="8196" max="8196" width="18" style="1555" customWidth="1"/>
    <col min="8197" max="8197" width="29.09765625" style="1555" customWidth="1"/>
    <col min="8198" max="8448" width="9" style="1555"/>
    <col min="8449" max="8449" width="5.19921875" style="1555" customWidth="1"/>
    <col min="8450" max="8450" width="47.59765625" style="1555" customWidth="1"/>
    <col min="8451" max="8451" width="8.09765625" style="1555" customWidth="1"/>
    <col min="8452" max="8452" width="18" style="1555" customWidth="1"/>
    <col min="8453" max="8453" width="29.09765625" style="1555" customWidth="1"/>
    <col min="8454" max="8704" width="9" style="1555"/>
    <col min="8705" max="8705" width="5.19921875" style="1555" customWidth="1"/>
    <col min="8706" max="8706" width="47.59765625" style="1555" customWidth="1"/>
    <col min="8707" max="8707" width="8.09765625" style="1555" customWidth="1"/>
    <col min="8708" max="8708" width="18" style="1555" customWidth="1"/>
    <col min="8709" max="8709" width="29.09765625" style="1555" customWidth="1"/>
    <col min="8710" max="8960" width="9" style="1555"/>
    <col min="8961" max="8961" width="5.19921875" style="1555" customWidth="1"/>
    <col min="8962" max="8962" width="47.59765625" style="1555" customWidth="1"/>
    <col min="8963" max="8963" width="8.09765625" style="1555" customWidth="1"/>
    <col min="8964" max="8964" width="18" style="1555" customWidth="1"/>
    <col min="8965" max="8965" width="29.09765625" style="1555" customWidth="1"/>
    <col min="8966" max="9216" width="9" style="1555"/>
    <col min="9217" max="9217" width="5.19921875" style="1555" customWidth="1"/>
    <col min="9218" max="9218" width="47.59765625" style="1555" customWidth="1"/>
    <col min="9219" max="9219" width="8.09765625" style="1555" customWidth="1"/>
    <col min="9220" max="9220" width="18" style="1555" customWidth="1"/>
    <col min="9221" max="9221" width="29.09765625" style="1555" customWidth="1"/>
    <col min="9222" max="9472" width="9" style="1555"/>
    <col min="9473" max="9473" width="5.19921875" style="1555" customWidth="1"/>
    <col min="9474" max="9474" width="47.59765625" style="1555" customWidth="1"/>
    <col min="9475" max="9475" width="8.09765625" style="1555" customWidth="1"/>
    <col min="9476" max="9476" width="18" style="1555" customWidth="1"/>
    <col min="9477" max="9477" width="29.09765625" style="1555" customWidth="1"/>
    <col min="9478" max="9728" width="9" style="1555"/>
    <col min="9729" max="9729" width="5.19921875" style="1555" customWidth="1"/>
    <col min="9730" max="9730" width="47.59765625" style="1555" customWidth="1"/>
    <col min="9731" max="9731" width="8.09765625" style="1555" customWidth="1"/>
    <col min="9732" max="9732" width="18" style="1555" customWidth="1"/>
    <col min="9733" max="9733" width="29.09765625" style="1555" customWidth="1"/>
    <col min="9734" max="9984" width="9" style="1555"/>
    <col min="9985" max="9985" width="5.19921875" style="1555" customWidth="1"/>
    <col min="9986" max="9986" width="47.59765625" style="1555" customWidth="1"/>
    <col min="9987" max="9987" width="8.09765625" style="1555" customWidth="1"/>
    <col min="9988" max="9988" width="18" style="1555" customWidth="1"/>
    <col min="9989" max="9989" width="29.09765625" style="1555" customWidth="1"/>
    <col min="9990" max="10240" width="9" style="1555"/>
    <col min="10241" max="10241" width="5.19921875" style="1555" customWidth="1"/>
    <col min="10242" max="10242" width="47.59765625" style="1555" customWidth="1"/>
    <col min="10243" max="10243" width="8.09765625" style="1555" customWidth="1"/>
    <col min="10244" max="10244" width="18" style="1555" customWidth="1"/>
    <col min="10245" max="10245" width="29.09765625" style="1555" customWidth="1"/>
    <col min="10246" max="10496" width="9" style="1555"/>
    <col min="10497" max="10497" width="5.19921875" style="1555" customWidth="1"/>
    <col min="10498" max="10498" width="47.59765625" style="1555" customWidth="1"/>
    <col min="10499" max="10499" width="8.09765625" style="1555" customWidth="1"/>
    <col min="10500" max="10500" width="18" style="1555" customWidth="1"/>
    <col min="10501" max="10501" width="29.09765625" style="1555" customWidth="1"/>
    <col min="10502" max="10752" width="9" style="1555"/>
    <col min="10753" max="10753" width="5.19921875" style="1555" customWidth="1"/>
    <col min="10754" max="10754" width="47.59765625" style="1555" customWidth="1"/>
    <col min="10755" max="10755" width="8.09765625" style="1555" customWidth="1"/>
    <col min="10756" max="10756" width="18" style="1555" customWidth="1"/>
    <col min="10757" max="10757" width="29.09765625" style="1555" customWidth="1"/>
    <col min="10758" max="11008" width="9" style="1555"/>
    <col min="11009" max="11009" width="5.19921875" style="1555" customWidth="1"/>
    <col min="11010" max="11010" width="47.59765625" style="1555" customWidth="1"/>
    <col min="11011" max="11011" width="8.09765625" style="1555" customWidth="1"/>
    <col min="11012" max="11012" width="18" style="1555" customWidth="1"/>
    <col min="11013" max="11013" width="29.09765625" style="1555" customWidth="1"/>
    <col min="11014" max="11264" width="9" style="1555"/>
    <col min="11265" max="11265" width="5.19921875" style="1555" customWidth="1"/>
    <col min="11266" max="11266" width="47.59765625" style="1555" customWidth="1"/>
    <col min="11267" max="11267" width="8.09765625" style="1555" customWidth="1"/>
    <col min="11268" max="11268" width="18" style="1555" customWidth="1"/>
    <col min="11269" max="11269" width="29.09765625" style="1555" customWidth="1"/>
    <col min="11270" max="11520" width="9" style="1555"/>
    <col min="11521" max="11521" width="5.19921875" style="1555" customWidth="1"/>
    <col min="11522" max="11522" width="47.59765625" style="1555" customWidth="1"/>
    <col min="11523" max="11523" width="8.09765625" style="1555" customWidth="1"/>
    <col min="11524" max="11524" width="18" style="1555" customWidth="1"/>
    <col min="11525" max="11525" width="29.09765625" style="1555" customWidth="1"/>
    <col min="11526" max="11776" width="9" style="1555"/>
    <col min="11777" max="11777" width="5.19921875" style="1555" customWidth="1"/>
    <col min="11778" max="11778" width="47.59765625" style="1555" customWidth="1"/>
    <col min="11779" max="11779" width="8.09765625" style="1555" customWidth="1"/>
    <col min="11780" max="11780" width="18" style="1555" customWidth="1"/>
    <col min="11781" max="11781" width="29.09765625" style="1555" customWidth="1"/>
    <col min="11782" max="12032" width="9" style="1555"/>
    <col min="12033" max="12033" width="5.19921875" style="1555" customWidth="1"/>
    <col min="12034" max="12034" width="47.59765625" style="1555" customWidth="1"/>
    <col min="12035" max="12035" width="8.09765625" style="1555" customWidth="1"/>
    <col min="12036" max="12036" width="18" style="1555" customWidth="1"/>
    <col min="12037" max="12037" width="29.09765625" style="1555" customWidth="1"/>
    <col min="12038" max="12288" width="9" style="1555"/>
    <col min="12289" max="12289" width="5.19921875" style="1555" customWidth="1"/>
    <col min="12290" max="12290" width="47.59765625" style="1555" customWidth="1"/>
    <col min="12291" max="12291" width="8.09765625" style="1555" customWidth="1"/>
    <col min="12292" max="12292" width="18" style="1555" customWidth="1"/>
    <col min="12293" max="12293" width="29.09765625" style="1555" customWidth="1"/>
    <col min="12294" max="12544" width="9" style="1555"/>
    <col min="12545" max="12545" width="5.19921875" style="1555" customWidth="1"/>
    <col min="12546" max="12546" width="47.59765625" style="1555" customWidth="1"/>
    <col min="12547" max="12547" width="8.09765625" style="1555" customWidth="1"/>
    <col min="12548" max="12548" width="18" style="1555" customWidth="1"/>
    <col min="12549" max="12549" width="29.09765625" style="1555" customWidth="1"/>
    <col min="12550" max="12800" width="9" style="1555"/>
    <col min="12801" max="12801" width="5.19921875" style="1555" customWidth="1"/>
    <col min="12802" max="12802" width="47.59765625" style="1555" customWidth="1"/>
    <col min="12803" max="12803" width="8.09765625" style="1555" customWidth="1"/>
    <col min="12804" max="12804" width="18" style="1555" customWidth="1"/>
    <col min="12805" max="12805" width="29.09765625" style="1555" customWidth="1"/>
    <col min="12806" max="13056" width="9" style="1555"/>
    <col min="13057" max="13057" width="5.19921875" style="1555" customWidth="1"/>
    <col min="13058" max="13058" width="47.59765625" style="1555" customWidth="1"/>
    <col min="13059" max="13059" width="8.09765625" style="1555" customWidth="1"/>
    <col min="13060" max="13060" width="18" style="1555" customWidth="1"/>
    <col min="13061" max="13061" width="29.09765625" style="1555" customWidth="1"/>
    <col min="13062" max="13312" width="9" style="1555"/>
    <col min="13313" max="13313" width="5.19921875" style="1555" customWidth="1"/>
    <col min="13314" max="13314" width="47.59765625" style="1555" customWidth="1"/>
    <col min="13315" max="13315" width="8.09765625" style="1555" customWidth="1"/>
    <col min="13316" max="13316" width="18" style="1555" customWidth="1"/>
    <col min="13317" max="13317" width="29.09765625" style="1555" customWidth="1"/>
    <col min="13318" max="13568" width="9" style="1555"/>
    <col min="13569" max="13569" width="5.19921875" style="1555" customWidth="1"/>
    <col min="13570" max="13570" width="47.59765625" style="1555" customWidth="1"/>
    <col min="13571" max="13571" width="8.09765625" style="1555" customWidth="1"/>
    <col min="13572" max="13572" width="18" style="1555" customWidth="1"/>
    <col min="13573" max="13573" width="29.09765625" style="1555" customWidth="1"/>
    <col min="13574" max="13824" width="9" style="1555"/>
    <col min="13825" max="13825" width="5.19921875" style="1555" customWidth="1"/>
    <col min="13826" max="13826" width="47.59765625" style="1555" customWidth="1"/>
    <col min="13827" max="13827" width="8.09765625" style="1555" customWidth="1"/>
    <col min="13828" max="13828" width="18" style="1555" customWidth="1"/>
    <col min="13829" max="13829" width="29.09765625" style="1555" customWidth="1"/>
    <col min="13830" max="14080" width="9" style="1555"/>
    <col min="14081" max="14081" width="5.19921875" style="1555" customWidth="1"/>
    <col min="14082" max="14082" width="47.59765625" style="1555" customWidth="1"/>
    <col min="14083" max="14083" width="8.09765625" style="1555" customWidth="1"/>
    <col min="14084" max="14084" width="18" style="1555" customWidth="1"/>
    <col min="14085" max="14085" width="29.09765625" style="1555" customWidth="1"/>
    <col min="14086" max="14336" width="9" style="1555"/>
    <col min="14337" max="14337" width="5.19921875" style="1555" customWidth="1"/>
    <col min="14338" max="14338" width="47.59765625" style="1555" customWidth="1"/>
    <col min="14339" max="14339" width="8.09765625" style="1555" customWidth="1"/>
    <col min="14340" max="14340" width="18" style="1555" customWidth="1"/>
    <col min="14341" max="14341" width="29.09765625" style="1555" customWidth="1"/>
    <col min="14342" max="14592" width="9" style="1555"/>
    <col min="14593" max="14593" width="5.19921875" style="1555" customWidth="1"/>
    <col min="14594" max="14594" width="47.59765625" style="1555" customWidth="1"/>
    <col min="14595" max="14595" width="8.09765625" style="1555" customWidth="1"/>
    <col min="14596" max="14596" width="18" style="1555" customWidth="1"/>
    <col min="14597" max="14597" width="29.09765625" style="1555" customWidth="1"/>
    <col min="14598" max="14848" width="9" style="1555"/>
    <col min="14849" max="14849" width="5.19921875" style="1555" customWidth="1"/>
    <col min="14850" max="14850" width="47.59765625" style="1555" customWidth="1"/>
    <col min="14851" max="14851" width="8.09765625" style="1555" customWidth="1"/>
    <col min="14852" max="14852" width="18" style="1555" customWidth="1"/>
    <col min="14853" max="14853" width="29.09765625" style="1555" customWidth="1"/>
    <col min="14854" max="15104" width="9" style="1555"/>
    <col min="15105" max="15105" width="5.19921875" style="1555" customWidth="1"/>
    <col min="15106" max="15106" width="47.59765625" style="1555" customWidth="1"/>
    <col min="15107" max="15107" width="8.09765625" style="1555" customWidth="1"/>
    <col min="15108" max="15108" width="18" style="1555" customWidth="1"/>
    <col min="15109" max="15109" width="29.09765625" style="1555" customWidth="1"/>
    <col min="15110" max="15360" width="9" style="1555"/>
    <col min="15361" max="15361" width="5.19921875" style="1555" customWidth="1"/>
    <col min="15362" max="15362" width="47.59765625" style="1555" customWidth="1"/>
    <col min="15363" max="15363" width="8.09765625" style="1555" customWidth="1"/>
    <col min="15364" max="15364" width="18" style="1555" customWidth="1"/>
    <col min="15365" max="15365" width="29.09765625" style="1555" customWidth="1"/>
    <col min="15366" max="15616" width="9" style="1555"/>
    <col min="15617" max="15617" width="5.19921875" style="1555" customWidth="1"/>
    <col min="15618" max="15618" width="47.59765625" style="1555" customWidth="1"/>
    <col min="15619" max="15619" width="8.09765625" style="1555" customWidth="1"/>
    <col min="15620" max="15620" width="18" style="1555" customWidth="1"/>
    <col min="15621" max="15621" width="29.09765625" style="1555" customWidth="1"/>
    <col min="15622" max="15872" width="9" style="1555"/>
    <col min="15873" max="15873" width="5.19921875" style="1555" customWidth="1"/>
    <col min="15874" max="15874" width="47.59765625" style="1555" customWidth="1"/>
    <col min="15875" max="15875" width="8.09765625" style="1555" customWidth="1"/>
    <col min="15876" max="15876" width="18" style="1555" customWidth="1"/>
    <col min="15877" max="15877" width="29.09765625" style="1555" customWidth="1"/>
    <col min="15878" max="16128" width="9" style="1555"/>
    <col min="16129" max="16129" width="5.19921875" style="1555" customWidth="1"/>
    <col min="16130" max="16130" width="47.59765625" style="1555" customWidth="1"/>
    <col min="16131" max="16131" width="8.09765625" style="1555" customWidth="1"/>
    <col min="16132" max="16132" width="18" style="1555" customWidth="1"/>
    <col min="16133" max="16133" width="29.09765625" style="1555" customWidth="1"/>
    <col min="16134" max="16384" width="9" style="1555"/>
  </cols>
  <sheetData>
    <row r="1" spans="1:6" s="1650" customFormat="1" ht="20.100000000000001" customHeight="1">
      <c r="A1" s="3400"/>
      <c r="B1" s="3400"/>
      <c r="C1" s="3400"/>
      <c r="D1" s="2181" t="str">
        <f>"索引号："&amp;档案索引!A43</f>
        <v>索引号：2A-23</v>
      </c>
    </row>
    <row r="2" spans="1:6" ht="25.5" customHeight="1">
      <c r="A2" s="3464" t="s">
        <v>5930</v>
      </c>
      <c r="B2" s="3464"/>
      <c r="C2" s="3464"/>
      <c r="D2" s="1831"/>
    </row>
    <row r="3" spans="1:6" ht="14.25" customHeight="1">
      <c r="A3" s="1812" t="s">
        <v>1853</v>
      </c>
      <c r="B3" s="1812" t="s">
        <v>5425</v>
      </c>
      <c r="C3" s="1808" t="s">
        <v>557</v>
      </c>
      <c r="D3" s="1850" t="s">
        <v>5151</v>
      </c>
    </row>
    <row r="4" spans="1:6" ht="14.25" customHeight="1">
      <c r="A4" s="1808">
        <v>1</v>
      </c>
      <c r="B4" s="1818" t="s">
        <v>5426</v>
      </c>
      <c r="C4" s="2075">
        <f>C5+C11</f>
        <v>0</v>
      </c>
      <c r="D4" s="1921"/>
    </row>
    <row r="5" spans="1:6" ht="14.25" customHeight="1">
      <c r="A5" s="1808">
        <v>2</v>
      </c>
      <c r="B5" s="1818" t="s">
        <v>5427</v>
      </c>
      <c r="C5" s="2075">
        <f>SUM(C6:C10)</f>
        <v>0</v>
      </c>
      <c r="D5" s="1921"/>
      <c r="F5" s="1578"/>
    </row>
    <row r="6" spans="1:6" ht="14.25" customHeight="1">
      <c r="A6" s="1808">
        <v>3</v>
      </c>
      <c r="B6" s="1818" t="s">
        <v>5428</v>
      </c>
      <c r="C6" s="2077"/>
      <c r="D6" s="1921"/>
    </row>
    <row r="7" spans="1:6" ht="14.25" customHeight="1">
      <c r="A7" s="1808">
        <v>4</v>
      </c>
      <c r="B7" s="1818" t="s">
        <v>5429</v>
      </c>
      <c r="C7" s="2077"/>
      <c r="D7" s="1921"/>
    </row>
    <row r="8" spans="1:6" ht="14.25" customHeight="1">
      <c r="A8" s="1808">
        <v>5</v>
      </c>
      <c r="B8" s="1818" t="s">
        <v>5430</v>
      </c>
      <c r="C8" s="2077"/>
      <c r="D8" s="1921"/>
    </row>
    <row r="9" spans="1:6" ht="14.25" customHeight="1">
      <c r="A9" s="1808">
        <v>6</v>
      </c>
      <c r="B9" s="1818" t="s">
        <v>5431</v>
      </c>
      <c r="C9" s="2077"/>
      <c r="D9" s="1921"/>
    </row>
    <row r="10" spans="1:6" ht="14.25" customHeight="1">
      <c r="A10" s="1808">
        <v>7</v>
      </c>
      <c r="B10" s="1818" t="s">
        <v>5432</v>
      </c>
      <c r="C10" s="2077"/>
      <c r="D10" s="1921"/>
    </row>
    <row r="11" spans="1:6" ht="14.25" customHeight="1">
      <c r="A11" s="1808">
        <v>8</v>
      </c>
      <c r="B11" s="1818" t="s">
        <v>5433</v>
      </c>
      <c r="C11" s="2077"/>
      <c r="D11" s="1921"/>
    </row>
    <row r="12" spans="1:6" ht="14.25" customHeight="1">
      <c r="A12" s="1808">
        <v>9</v>
      </c>
      <c r="B12" s="1818" t="s">
        <v>5434</v>
      </c>
      <c r="C12" s="2075">
        <f>C13+C19</f>
        <v>0</v>
      </c>
      <c r="D12" s="1921"/>
    </row>
    <row r="13" spans="1:6" ht="14.25" customHeight="1">
      <c r="A13" s="1808">
        <v>10</v>
      </c>
      <c r="B13" s="1818" t="s">
        <v>5435</v>
      </c>
      <c r="C13" s="2075">
        <f>SUM(C14:C18)</f>
        <v>0</v>
      </c>
      <c r="D13" s="1921"/>
      <c r="E13" s="1675" t="s">
        <v>6451</v>
      </c>
    </row>
    <row r="14" spans="1:6" ht="14.25" customHeight="1">
      <c r="A14" s="1808">
        <v>11</v>
      </c>
      <c r="B14" s="1818" t="s">
        <v>5436</v>
      </c>
      <c r="C14" s="2077"/>
      <c r="D14" s="1921"/>
    </row>
    <row r="15" spans="1:6" ht="14.25" customHeight="1">
      <c r="A15" s="1808">
        <v>12</v>
      </c>
      <c r="B15" s="1818" t="s">
        <v>5437</v>
      </c>
      <c r="C15" s="2077"/>
      <c r="D15" s="1921"/>
    </row>
    <row r="16" spans="1:6" ht="14.25" customHeight="1">
      <c r="A16" s="1808">
        <v>13</v>
      </c>
      <c r="B16" s="1818" t="s">
        <v>5438</v>
      </c>
      <c r="C16" s="2077"/>
      <c r="D16" s="1921"/>
    </row>
    <row r="17" spans="1:9" ht="14.25" customHeight="1">
      <c r="A17" s="1808">
        <v>14</v>
      </c>
      <c r="B17" s="1818" t="s">
        <v>5439</v>
      </c>
      <c r="C17" s="2077"/>
      <c r="D17" s="1921"/>
    </row>
    <row r="18" spans="1:9" ht="14.25" customHeight="1">
      <c r="A18" s="1808">
        <v>15</v>
      </c>
      <c r="B18" s="1818" t="s">
        <v>5440</v>
      </c>
      <c r="C18" s="2077"/>
      <c r="D18" s="1921"/>
    </row>
    <row r="19" spans="1:9" ht="14.25" customHeight="1">
      <c r="A19" s="1808">
        <v>16</v>
      </c>
      <c r="B19" s="1818" t="s">
        <v>5441</v>
      </c>
      <c r="C19" s="2077"/>
      <c r="D19" s="1921"/>
    </row>
    <row r="20" spans="1:9" ht="14.25" customHeight="1">
      <c r="A20" s="1808">
        <v>17</v>
      </c>
      <c r="B20" s="1818" t="s">
        <v>5442</v>
      </c>
      <c r="C20" s="2075">
        <f>C4-C12</f>
        <v>0</v>
      </c>
      <c r="D20" s="1921"/>
    </row>
    <row r="21" spans="1:9" ht="14.25" customHeight="1">
      <c r="A21" s="1808">
        <v>18</v>
      </c>
      <c r="B21" s="1818" t="s">
        <v>5443</v>
      </c>
      <c r="C21" s="2075">
        <f>C22+C23+C24</f>
        <v>0</v>
      </c>
      <c r="D21" s="1921"/>
    </row>
    <row r="22" spans="1:9" s="1579" customFormat="1" ht="14.25" customHeight="1">
      <c r="A22" s="1808">
        <v>19</v>
      </c>
      <c r="B22" s="1818" t="s">
        <v>5444</v>
      </c>
      <c r="C22" s="2076"/>
      <c r="D22" s="1921"/>
    </row>
    <row r="23" spans="1:9" s="1579" customFormat="1" ht="14.25" customHeight="1">
      <c r="A23" s="1808">
        <v>20</v>
      </c>
      <c r="B23" s="1819" t="s">
        <v>5445</v>
      </c>
      <c r="C23" s="2076"/>
      <c r="D23" s="1921"/>
    </row>
    <row r="24" spans="1:9" s="1579" customFormat="1" ht="14.25" customHeight="1">
      <c r="A24" s="1808">
        <v>21</v>
      </c>
      <c r="B24" s="1819" t="s">
        <v>5446</v>
      </c>
      <c r="C24" s="2076"/>
      <c r="D24" s="1921"/>
    </row>
    <row r="25" spans="1:9" s="1579" customFormat="1" ht="14.25" customHeight="1">
      <c r="A25" s="1808">
        <v>22</v>
      </c>
      <c r="B25" s="1818" t="s">
        <v>5447</v>
      </c>
      <c r="C25" s="2076"/>
      <c r="D25" s="1921"/>
    </row>
    <row r="26" spans="1:9" s="1579" customFormat="1" ht="14.25" customHeight="1">
      <c r="A26" s="1808">
        <v>23</v>
      </c>
      <c r="B26" s="1818" t="s">
        <v>5448</v>
      </c>
      <c r="C26" s="2076"/>
      <c r="D26" s="1921"/>
    </row>
    <row r="27" spans="1:9" s="1579" customFormat="1" ht="55.5" customHeight="1">
      <c r="A27" s="1808">
        <v>24</v>
      </c>
      <c r="B27" s="1818" t="s">
        <v>5449</v>
      </c>
      <c r="C27" s="2075">
        <f>C21-C25-C26</f>
        <v>0</v>
      </c>
      <c r="D27" s="1819" t="s">
        <v>5450</v>
      </c>
      <c r="E27" s="1580"/>
    </row>
    <row r="28" spans="1:9" s="1552" customFormat="1" ht="14.25" customHeight="1">
      <c r="A28" s="2179"/>
      <c r="B28" s="2179"/>
      <c r="C28" s="2179"/>
      <c r="D28" s="2180"/>
      <c r="E28" s="1541"/>
      <c r="F28" s="1651"/>
      <c r="G28" s="1651"/>
      <c r="H28" s="1651"/>
      <c r="I28" s="1651"/>
    </row>
    <row r="29" spans="1:9">
      <c r="A29" s="2163"/>
      <c r="B29" s="2163"/>
      <c r="C29" s="2163"/>
      <c r="D29" s="2163"/>
    </row>
    <row r="30" spans="1:9">
      <c r="A30" s="3465"/>
      <c r="B30" s="3465"/>
      <c r="C30" s="3465"/>
      <c r="D30" s="3465"/>
    </row>
    <row r="31" spans="1:9">
      <c r="A31" s="3465"/>
      <c r="B31" s="3465"/>
      <c r="C31" s="3465"/>
      <c r="D31" s="3465"/>
    </row>
  </sheetData>
  <mergeCells count="4">
    <mergeCell ref="A1:C1"/>
    <mergeCell ref="A2:C2"/>
    <mergeCell ref="A31:D31"/>
    <mergeCell ref="A30:D30"/>
  </mergeCells>
  <phoneticPr fontId="51" type="noConversion"/>
  <hyperlinks>
    <hyperlink ref="E13" location="A105110政策性搬迁纳税调整明细表!A1" display="A105110政策性搬迁纳税调整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tabColor rgb="FFFFFF00"/>
  </sheetPr>
  <dimension ref="A1:J35"/>
  <sheetViews>
    <sheetView workbookViewId="0">
      <selection activeCell="D17" sqref="D17"/>
    </sheetView>
  </sheetViews>
  <sheetFormatPr defaultRowHeight="15.6"/>
  <cols>
    <col min="1" max="1" width="5.19921875" style="1651" customWidth="1"/>
    <col min="2" max="2" width="34.09765625" style="1651" customWidth="1"/>
    <col min="3" max="5" width="12.3984375" style="1651" customWidth="1"/>
    <col min="6" max="6" width="13.09765625" style="1651" customWidth="1"/>
    <col min="7" max="256" width="9" style="1651"/>
    <col min="257" max="257" width="5.19921875" style="1651" customWidth="1"/>
    <col min="258" max="258" width="34.09765625" style="1651" customWidth="1"/>
    <col min="259" max="259" width="8.59765625" style="1651" customWidth="1"/>
    <col min="260" max="260" width="8.5" style="1651" customWidth="1"/>
    <col min="261" max="261" width="8.69921875" style="1651" customWidth="1"/>
    <col min="262" max="262" width="13.09765625" style="1651" customWidth="1"/>
    <col min="263" max="512" width="9" style="1651"/>
    <col min="513" max="513" width="5.19921875" style="1651" customWidth="1"/>
    <col min="514" max="514" width="34.09765625" style="1651" customWidth="1"/>
    <col min="515" max="515" width="8.59765625" style="1651" customWidth="1"/>
    <col min="516" max="516" width="8.5" style="1651" customWidth="1"/>
    <col min="517" max="517" width="8.69921875" style="1651" customWidth="1"/>
    <col min="518" max="518" width="13.09765625" style="1651" customWidth="1"/>
    <col min="519" max="768" width="9" style="1651"/>
    <col min="769" max="769" width="5.19921875" style="1651" customWidth="1"/>
    <col min="770" max="770" width="34.09765625" style="1651" customWidth="1"/>
    <col min="771" max="771" width="8.59765625" style="1651" customWidth="1"/>
    <col min="772" max="772" width="8.5" style="1651" customWidth="1"/>
    <col min="773" max="773" width="8.69921875" style="1651" customWidth="1"/>
    <col min="774" max="774" width="13.09765625" style="1651" customWidth="1"/>
    <col min="775" max="1024" width="9" style="1651"/>
    <col min="1025" max="1025" width="5.19921875" style="1651" customWidth="1"/>
    <col min="1026" max="1026" width="34.09765625" style="1651" customWidth="1"/>
    <col min="1027" max="1027" width="8.59765625" style="1651" customWidth="1"/>
    <col min="1028" max="1028" width="8.5" style="1651" customWidth="1"/>
    <col min="1029" max="1029" width="8.69921875" style="1651" customWidth="1"/>
    <col min="1030" max="1030" width="13.09765625" style="1651" customWidth="1"/>
    <col min="1031" max="1280" width="9" style="1651"/>
    <col min="1281" max="1281" width="5.19921875" style="1651" customWidth="1"/>
    <col min="1282" max="1282" width="34.09765625" style="1651" customWidth="1"/>
    <col min="1283" max="1283" width="8.59765625" style="1651" customWidth="1"/>
    <col min="1284" max="1284" width="8.5" style="1651" customWidth="1"/>
    <col min="1285" max="1285" width="8.69921875" style="1651" customWidth="1"/>
    <col min="1286" max="1286" width="13.09765625" style="1651" customWidth="1"/>
    <col min="1287" max="1536" width="9" style="1651"/>
    <col min="1537" max="1537" width="5.19921875" style="1651" customWidth="1"/>
    <col min="1538" max="1538" width="34.09765625" style="1651" customWidth="1"/>
    <col min="1539" max="1539" width="8.59765625" style="1651" customWidth="1"/>
    <col min="1540" max="1540" width="8.5" style="1651" customWidth="1"/>
    <col min="1541" max="1541" width="8.69921875" style="1651" customWidth="1"/>
    <col min="1542" max="1542" width="13.09765625" style="1651" customWidth="1"/>
    <col min="1543" max="1792" width="9" style="1651"/>
    <col min="1793" max="1793" width="5.19921875" style="1651" customWidth="1"/>
    <col min="1794" max="1794" width="34.09765625" style="1651" customWidth="1"/>
    <col min="1795" max="1795" width="8.59765625" style="1651" customWidth="1"/>
    <col min="1796" max="1796" width="8.5" style="1651" customWidth="1"/>
    <col min="1797" max="1797" width="8.69921875" style="1651" customWidth="1"/>
    <col min="1798" max="1798" width="13.09765625" style="1651" customWidth="1"/>
    <col min="1799" max="2048" width="9" style="1651"/>
    <col min="2049" max="2049" width="5.19921875" style="1651" customWidth="1"/>
    <col min="2050" max="2050" width="34.09765625" style="1651" customWidth="1"/>
    <col min="2051" max="2051" width="8.59765625" style="1651" customWidth="1"/>
    <col min="2052" max="2052" width="8.5" style="1651" customWidth="1"/>
    <col min="2053" max="2053" width="8.69921875" style="1651" customWidth="1"/>
    <col min="2054" max="2054" width="13.09765625" style="1651" customWidth="1"/>
    <col min="2055" max="2304" width="9" style="1651"/>
    <col min="2305" max="2305" width="5.19921875" style="1651" customWidth="1"/>
    <col min="2306" max="2306" width="34.09765625" style="1651" customWidth="1"/>
    <col min="2307" max="2307" width="8.59765625" style="1651" customWidth="1"/>
    <col min="2308" max="2308" width="8.5" style="1651" customWidth="1"/>
    <col min="2309" max="2309" width="8.69921875" style="1651" customWidth="1"/>
    <col min="2310" max="2310" width="13.09765625" style="1651" customWidth="1"/>
    <col min="2311" max="2560" width="9" style="1651"/>
    <col min="2561" max="2561" width="5.19921875" style="1651" customWidth="1"/>
    <col min="2562" max="2562" width="34.09765625" style="1651" customWidth="1"/>
    <col min="2563" max="2563" width="8.59765625" style="1651" customWidth="1"/>
    <col min="2564" max="2564" width="8.5" style="1651" customWidth="1"/>
    <col min="2565" max="2565" width="8.69921875" style="1651" customWidth="1"/>
    <col min="2566" max="2566" width="13.09765625" style="1651" customWidth="1"/>
    <col min="2567" max="2816" width="9" style="1651"/>
    <col min="2817" max="2817" width="5.19921875" style="1651" customWidth="1"/>
    <col min="2818" max="2818" width="34.09765625" style="1651" customWidth="1"/>
    <col min="2819" max="2819" width="8.59765625" style="1651" customWidth="1"/>
    <col min="2820" max="2820" width="8.5" style="1651" customWidth="1"/>
    <col min="2821" max="2821" width="8.69921875" style="1651" customWidth="1"/>
    <col min="2822" max="2822" width="13.09765625" style="1651" customWidth="1"/>
    <col min="2823" max="3072" width="9" style="1651"/>
    <col min="3073" max="3073" width="5.19921875" style="1651" customWidth="1"/>
    <col min="3074" max="3074" width="34.09765625" style="1651" customWidth="1"/>
    <col min="3075" max="3075" width="8.59765625" style="1651" customWidth="1"/>
    <col min="3076" max="3076" width="8.5" style="1651" customWidth="1"/>
    <col min="3077" max="3077" width="8.69921875" style="1651" customWidth="1"/>
    <col min="3078" max="3078" width="13.09765625" style="1651" customWidth="1"/>
    <col min="3079" max="3328" width="9" style="1651"/>
    <col min="3329" max="3329" width="5.19921875" style="1651" customWidth="1"/>
    <col min="3330" max="3330" width="34.09765625" style="1651" customWidth="1"/>
    <col min="3331" max="3331" width="8.59765625" style="1651" customWidth="1"/>
    <col min="3332" max="3332" width="8.5" style="1651" customWidth="1"/>
    <col min="3333" max="3333" width="8.69921875" style="1651" customWidth="1"/>
    <col min="3334" max="3334" width="13.09765625" style="1651" customWidth="1"/>
    <col min="3335" max="3584" width="9" style="1651"/>
    <col min="3585" max="3585" width="5.19921875" style="1651" customWidth="1"/>
    <col min="3586" max="3586" width="34.09765625" style="1651" customWidth="1"/>
    <col min="3587" max="3587" width="8.59765625" style="1651" customWidth="1"/>
    <col min="3588" max="3588" width="8.5" style="1651" customWidth="1"/>
    <col min="3589" max="3589" width="8.69921875" style="1651" customWidth="1"/>
    <col min="3590" max="3590" width="13.09765625" style="1651" customWidth="1"/>
    <col min="3591" max="3840" width="9" style="1651"/>
    <col min="3841" max="3841" width="5.19921875" style="1651" customWidth="1"/>
    <col min="3842" max="3842" width="34.09765625" style="1651" customWidth="1"/>
    <col min="3843" max="3843" width="8.59765625" style="1651" customWidth="1"/>
    <col min="3844" max="3844" width="8.5" style="1651" customWidth="1"/>
    <col min="3845" max="3845" width="8.69921875" style="1651" customWidth="1"/>
    <col min="3846" max="3846" width="13.09765625" style="1651" customWidth="1"/>
    <col min="3847" max="4096" width="9" style="1651"/>
    <col min="4097" max="4097" width="5.19921875" style="1651" customWidth="1"/>
    <col min="4098" max="4098" width="34.09765625" style="1651" customWidth="1"/>
    <col min="4099" max="4099" width="8.59765625" style="1651" customWidth="1"/>
    <col min="4100" max="4100" width="8.5" style="1651" customWidth="1"/>
    <col min="4101" max="4101" width="8.69921875" style="1651" customWidth="1"/>
    <col min="4102" max="4102" width="13.09765625" style="1651" customWidth="1"/>
    <col min="4103" max="4352" width="9" style="1651"/>
    <col min="4353" max="4353" width="5.19921875" style="1651" customWidth="1"/>
    <col min="4354" max="4354" width="34.09765625" style="1651" customWidth="1"/>
    <col min="4355" max="4355" width="8.59765625" style="1651" customWidth="1"/>
    <col min="4356" max="4356" width="8.5" style="1651" customWidth="1"/>
    <col min="4357" max="4357" width="8.69921875" style="1651" customWidth="1"/>
    <col min="4358" max="4358" width="13.09765625" style="1651" customWidth="1"/>
    <col min="4359" max="4608" width="9" style="1651"/>
    <col min="4609" max="4609" width="5.19921875" style="1651" customWidth="1"/>
    <col min="4610" max="4610" width="34.09765625" style="1651" customWidth="1"/>
    <col min="4611" max="4611" width="8.59765625" style="1651" customWidth="1"/>
    <col min="4612" max="4612" width="8.5" style="1651" customWidth="1"/>
    <col min="4613" max="4613" width="8.69921875" style="1651" customWidth="1"/>
    <col min="4614" max="4614" width="13.09765625" style="1651" customWidth="1"/>
    <col min="4615" max="4864" width="9" style="1651"/>
    <col min="4865" max="4865" width="5.19921875" style="1651" customWidth="1"/>
    <col min="4866" max="4866" width="34.09765625" style="1651" customWidth="1"/>
    <col min="4867" max="4867" width="8.59765625" style="1651" customWidth="1"/>
    <col min="4868" max="4868" width="8.5" style="1651" customWidth="1"/>
    <col min="4869" max="4869" width="8.69921875" style="1651" customWidth="1"/>
    <col min="4870" max="4870" width="13.09765625" style="1651" customWidth="1"/>
    <col min="4871" max="5120" width="9" style="1651"/>
    <col min="5121" max="5121" width="5.19921875" style="1651" customWidth="1"/>
    <col min="5122" max="5122" width="34.09765625" style="1651" customWidth="1"/>
    <col min="5123" max="5123" width="8.59765625" style="1651" customWidth="1"/>
    <col min="5124" max="5124" width="8.5" style="1651" customWidth="1"/>
    <col min="5125" max="5125" width="8.69921875" style="1651" customWidth="1"/>
    <col min="5126" max="5126" width="13.09765625" style="1651" customWidth="1"/>
    <col min="5127" max="5376" width="9" style="1651"/>
    <col min="5377" max="5377" width="5.19921875" style="1651" customWidth="1"/>
    <col min="5378" max="5378" width="34.09765625" style="1651" customWidth="1"/>
    <col min="5379" max="5379" width="8.59765625" style="1651" customWidth="1"/>
    <col min="5380" max="5380" width="8.5" style="1651" customWidth="1"/>
    <col min="5381" max="5381" width="8.69921875" style="1651" customWidth="1"/>
    <col min="5382" max="5382" width="13.09765625" style="1651" customWidth="1"/>
    <col min="5383" max="5632" width="9" style="1651"/>
    <col min="5633" max="5633" width="5.19921875" style="1651" customWidth="1"/>
    <col min="5634" max="5634" width="34.09765625" style="1651" customWidth="1"/>
    <col min="5635" max="5635" width="8.59765625" style="1651" customWidth="1"/>
    <col min="5636" max="5636" width="8.5" style="1651" customWidth="1"/>
    <col min="5637" max="5637" width="8.69921875" style="1651" customWidth="1"/>
    <col min="5638" max="5638" width="13.09765625" style="1651" customWidth="1"/>
    <col min="5639" max="5888" width="9" style="1651"/>
    <col min="5889" max="5889" width="5.19921875" style="1651" customWidth="1"/>
    <col min="5890" max="5890" width="34.09765625" style="1651" customWidth="1"/>
    <col min="5891" max="5891" width="8.59765625" style="1651" customWidth="1"/>
    <col min="5892" max="5892" width="8.5" style="1651" customWidth="1"/>
    <col min="5893" max="5893" width="8.69921875" style="1651" customWidth="1"/>
    <col min="5894" max="5894" width="13.09765625" style="1651" customWidth="1"/>
    <col min="5895" max="6144" width="9" style="1651"/>
    <col min="6145" max="6145" width="5.19921875" style="1651" customWidth="1"/>
    <col min="6146" max="6146" width="34.09765625" style="1651" customWidth="1"/>
    <col min="6147" max="6147" width="8.59765625" style="1651" customWidth="1"/>
    <col min="6148" max="6148" width="8.5" style="1651" customWidth="1"/>
    <col min="6149" max="6149" width="8.69921875" style="1651" customWidth="1"/>
    <col min="6150" max="6150" width="13.09765625" style="1651" customWidth="1"/>
    <col min="6151" max="6400" width="9" style="1651"/>
    <col min="6401" max="6401" width="5.19921875" style="1651" customWidth="1"/>
    <col min="6402" max="6402" width="34.09765625" style="1651" customWidth="1"/>
    <col min="6403" max="6403" width="8.59765625" style="1651" customWidth="1"/>
    <col min="6404" max="6404" width="8.5" style="1651" customWidth="1"/>
    <col min="6405" max="6405" width="8.69921875" style="1651" customWidth="1"/>
    <col min="6406" max="6406" width="13.09765625" style="1651" customWidth="1"/>
    <col min="6407" max="6656" width="9" style="1651"/>
    <col min="6657" max="6657" width="5.19921875" style="1651" customWidth="1"/>
    <col min="6658" max="6658" width="34.09765625" style="1651" customWidth="1"/>
    <col min="6659" max="6659" width="8.59765625" style="1651" customWidth="1"/>
    <col min="6660" max="6660" width="8.5" style="1651" customWidth="1"/>
    <col min="6661" max="6661" width="8.69921875" style="1651" customWidth="1"/>
    <col min="6662" max="6662" width="13.09765625" style="1651" customWidth="1"/>
    <col min="6663" max="6912" width="9" style="1651"/>
    <col min="6913" max="6913" width="5.19921875" style="1651" customWidth="1"/>
    <col min="6914" max="6914" width="34.09765625" style="1651" customWidth="1"/>
    <col min="6915" max="6915" width="8.59765625" style="1651" customWidth="1"/>
    <col min="6916" max="6916" width="8.5" style="1651" customWidth="1"/>
    <col min="6917" max="6917" width="8.69921875" style="1651" customWidth="1"/>
    <col min="6918" max="6918" width="13.09765625" style="1651" customWidth="1"/>
    <col min="6919" max="7168" width="9" style="1651"/>
    <col min="7169" max="7169" width="5.19921875" style="1651" customWidth="1"/>
    <col min="7170" max="7170" width="34.09765625" style="1651" customWidth="1"/>
    <col min="7171" max="7171" width="8.59765625" style="1651" customWidth="1"/>
    <col min="7172" max="7172" width="8.5" style="1651" customWidth="1"/>
    <col min="7173" max="7173" width="8.69921875" style="1651" customWidth="1"/>
    <col min="7174" max="7174" width="13.09765625" style="1651" customWidth="1"/>
    <col min="7175" max="7424" width="9" style="1651"/>
    <col min="7425" max="7425" width="5.19921875" style="1651" customWidth="1"/>
    <col min="7426" max="7426" width="34.09765625" style="1651" customWidth="1"/>
    <col min="7427" max="7427" width="8.59765625" style="1651" customWidth="1"/>
    <col min="7428" max="7428" width="8.5" style="1651" customWidth="1"/>
    <col min="7429" max="7429" width="8.69921875" style="1651" customWidth="1"/>
    <col min="7430" max="7430" width="13.09765625" style="1651" customWidth="1"/>
    <col min="7431" max="7680" width="9" style="1651"/>
    <col min="7681" max="7681" width="5.19921875" style="1651" customWidth="1"/>
    <col min="7682" max="7682" width="34.09765625" style="1651" customWidth="1"/>
    <col min="7683" max="7683" width="8.59765625" style="1651" customWidth="1"/>
    <col min="7684" max="7684" width="8.5" style="1651" customWidth="1"/>
    <col min="7685" max="7685" width="8.69921875" style="1651" customWidth="1"/>
    <col min="7686" max="7686" width="13.09765625" style="1651" customWidth="1"/>
    <col min="7687" max="7936" width="9" style="1651"/>
    <col min="7937" max="7937" width="5.19921875" style="1651" customWidth="1"/>
    <col min="7938" max="7938" width="34.09765625" style="1651" customWidth="1"/>
    <col min="7939" max="7939" width="8.59765625" style="1651" customWidth="1"/>
    <col min="7940" max="7940" width="8.5" style="1651" customWidth="1"/>
    <col min="7941" max="7941" width="8.69921875" style="1651" customWidth="1"/>
    <col min="7942" max="7942" width="13.09765625" style="1651" customWidth="1"/>
    <col min="7943" max="8192" width="9" style="1651"/>
    <col min="8193" max="8193" width="5.19921875" style="1651" customWidth="1"/>
    <col min="8194" max="8194" width="34.09765625" style="1651" customWidth="1"/>
    <col min="8195" max="8195" width="8.59765625" style="1651" customWidth="1"/>
    <col min="8196" max="8196" width="8.5" style="1651" customWidth="1"/>
    <col min="8197" max="8197" width="8.69921875" style="1651" customWidth="1"/>
    <col min="8198" max="8198" width="13.09765625" style="1651" customWidth="1"/>
    <col min="8199" max="8448" width="9" style="1651"/>
    <col min="8449" max="8449" width="5.19921875" style="1651" customWidth="1"/>
    <col min="8450" max="8450" width="34.09765625" style="1651" customWidth="1"/>
    <col min="8451" max="8451" width="8.59765625" style="1651" customWidth="1"/>
    <col min="8452" max="8452" width="8.5" style="1651" customWidth="1"/>
    <col min="8453" max="8453" width="8.69921875" style="1651" customWidth="1"/>
    <col min="8454" max="8454" width="13.09765625" style="1651" customWidth="1"/>
    <col min="8455" max="8704" width="9" style="1651"/>
    <col min="8705" max="8705" width="5.19921875" style="1651" customWidth="1"/>
    <col min="8706" max="8706" width="34.09765625" style="1651" customWidth="1"/>
    <col min="8707" max="8707" width="8.59765625" style="1651" customWidth="1"/>
    <col min="8708" max="8708" width="8.5" style="1651" customWidth="1"/>
    <col min="8709" max="8709" width="8.69921875" style="1651" customWidth="1"/>
    <col min="8710" max="8710" width="13.09765625" style="1651" customWidth="1"/>
    <col min="8711" max="8960" width="9" style="1651"/>
    <col min="8961" max="8961" width="5.19921875" style="1651" customWidth="1"/>
    <col min="8962" max="8962" width="34.09765625" style="1651" customWidth="1"/>
    <col min="8963" max="8963" width="8.59765625" style="1651" customWidth="1"/>
    <col min="8964" max="8964" width="8.5" style="1651" customWidth="1"/>
    <col min="8965" max="8965" width="8.69921875" style="1651" customWidth="1"/>
    <col min="8966" max="8966" width="13.09765625" style="1651" customWidth="1"/>
    <col min="8967" max="9216" width="9" style="1651"/>
    <col min="9217" max="9217" width="5.19921875" style="1651" customWidth="1"/>
    <col min="9218" max="9218" width="34.09765625" style="1651" customWidth="1"/>
    <col min="9219" max="9219" width="8.59765625" style="1651" customWidth="1"/>
    <col min="9220" max="9220" width="8.5" style="1651" customWidth="1"/>
    <col min="9221" max="9221" width="8.69921875" style="1651" customWidth="1"/>
    <col min="9222" max="9222" width="13.09765625" style="1651" customWidth="1"/>
    <col min="9223" max="9472" width="9" style="1651"/>
    <col min="9473" max="9473" width="5.19921875" style="1651" customWidth="1"/>
    <col min="9474" max="9474" width="34.09765625" style="1651" customWidth="1"/>
    <col min="9475" max="9475" width="8.59765625" style="1651" customWidth="1"/>
    <col min="9476" max="9476" width="8.5" style="1651" customWidth="1"/>
    <col min="9477" max="9477" width="8.69921875" style="1651" customWidth="1"/>
    <col min="9478" max="9478" width="13.09765625" style="1651" customWidth="1"/>
    <col min="9479" max="9728" width="9" style="1651"/>
    <col min="9729" max="9729" width="5.19921875" style="1651" customWidth="1"/>
    <col min="9730" max="9730" width="34.09765625" style="1651" customWidth="1"/>
    <col min="9731" max="9731" width="8.59765625" style="1651" customWidth="1"/>
    <col min="9732" max="9732" width="8.5" style="1651" customWidth="1"/>
    <col min="9733" max="9733" width="8.69921875" style="1651" customWidth="1"/>
    <col min="9734" max="9734" width="13.09765625" style="1651" customWidth="1"/>
    <col min="9735" max="9984" width="9" style="1651"/>
    <col min="9985" max="9985" width="5.19921875" style="1651" customWidth="1"/>
    <col min="9986" max="9986" width="34.09765625" style="1651" customWidth="1"/>
    <col min="9987" max="9987" width="8.59765625" style="1651" customWidth="1"/>
    <col min="9988" max="9988" width="8.5" style="1651" customWidth="1"/>
    <col min="9989" max="9989" width="8.69921875" style="1651" customWidth="1"/>
    <col min="9990" max="9990" width="13.09765625" style="1651" customWidth="1"/>
    <col min="9991" max="10240" width="9" style="1651"/>
    <col min="10241" max="10241" width="5.19921875" style="1651" customWidth="1"/>
    <col min="10242" max="10242" width="34.09765625" style="1651" customWidth="1"/>
    <col min="10243" max="10243" width="8.59765625" style="1651" customWidth="1"/>
    <col min="10244" max="10244" width="8.5" style="1651" customWidth="1"/>
    <col min="10245" max="10245" width="8.69921875" style="1651" customWidth="1"/>
    <col min="10246" max="10246" width="13.09765625" style="1651" customWidth="1"/>
    <col min="10247" max="10496" width="9" style="1651"/>
    <col min="10497" max="10497" width="5.19921875" style="1651" customWidth="1"/>
    <col min="10498" max="10498" width="34.09765625" style="1651" customWidth="1"/>
    <col min="10499" max="10499" width="8.59765625" style="1651" customWidth="1"/>
    <col min="10500" max="10500" width="8.5" style="1651" customWidth="1"/>
    <col min="10501" max="10501" width="8.69921875" style="1651" customWidth="1"/>
    <col min="10502" max="10502" width="13.09765625" style="1651" customWidth="1"/>
    <col min="10503" max="10752" width="9" style="1651"/>
    <col min="10753" max="10753" width="5.19921875" style="1651" customWidth="1"/>
    <col min="10754" max="10754" width="34.09765625" style="1651" customWidth="1"/>
    <col min="10755" max="10755" width="8.59765625" style="1651" customWidth="1"/>
    <col min="10756" max="10756" width="8.5" style="1651" customWidth="1"/>
    <col min="10757" max="10757" width="8.69921875" style="1651" customWidth="1"/>
    <col min="10758" max="10758" width="13.09765625" style="1651" customWidth="1"/>
    <col min="10759" max="11008" width="9" style="1651"/>
    <col min="11009" max="11009" width="5.19921875" style="1651" customWidth="1"/>
    <col min="11010" max="11010" width="34.09765625" style="1651" customWidth="1"/>
    <col min="11011" max="11011" width="8.59765625" style="1651" customWidth="1"/>
    <col min="11012" max="11012" width="8.5" style="1651" customWidth="1"/>
    <col min="11013" max="11013" width="8.69921875" style="1651" customWidth="1"/>
    <col min="11014" max="11014" width="13.09765625" style="1651" customWidth="1"/>
    <col min="11015" max="11264" width="9" style="1651"/>
    <col min="11265" max="11265" width="5.19921875" style="1651" customWidth="1"/>
    <col min="11266" max="11266" width="34.09765625" style="1651" customWidth="1"/>
    <col min="11267" max="11267" width="8.59765625" style="1651" customWidth="1"/>
    <col min="11268" max="11268" width="8.5" style="1651" customWidth="1"/>
    <col min="11269" max="11269" width="8.69921875" style="1651" customWidth="1"/>
    <col min="11270" max="11270" width="13.09765625" style="1651" customWidth="1"/>
    <col min="11271" max="11520" width="9" style="1651"/>
    <col min="11521" max="11521" width="5.19921875" style="1651" customWidth="1"/>
    <col min="11522" max="11522" width="34.09765625" style="1651" customWidth="1"/>
    <col min="11523" max="11523" width="8.59765625" style="1651" customWidth="1"/>
    <col min="11524" max="11524" width="8.5" style="1651" customWidth="1"/>
    <col min="11525" max="11525" width="8.69921875" style="1651" customWidth="1"/>
    <col min="11526" max="11526" width="13.09765625" style="1651" customWidth="1"/>
    <col min="11527" max="11776" width="9" style="1651"/>
    <col min="11777" max="11777" width="5.19921875" style="1651" customWidth="1"/>
    <col min="11778" max="11778" width="34.09765625" style="1651" customWidth="1"/>
    <col min="11779" max="11779" width="8.59765625" style="1651" customWidth="1"/>
    <col min="11780" max="11780" width="8.5" style="1651" customWidth="1"/>
    <col min="11781" max="11781" width="8.69921875" style="1651" customWidth="1"/>
    <col min="11782" max="11782" width="13.09765625" style="1651" customWidth="1"/>
    <col min="11783" max="12032" width="9" style="1651"/>
    <col min="12033" max="12033" width="5.19921875" style="1651" customWidth="1"/>
    <col min="12034" max="12034" width="34.09765625" style="1651" customWidth="1"/>
    <col min="12035" max="12035" width="8.59765625" style="1651" customWidth="1"/>
    <col min="12036" max="12036" width="8.5" style="1651" customWidth="1"/>
    <col min="12037" max="12037" width="8.69921875" style="1651" customWidth="1"/>
    <col min="12038" max="12038" width="13.09765625" style="1651" customWidth="1"/>
    <col min="12039" max="12288" width="9" style="1651"/>
    <col min="12289" max="12289" width="5.19921875" style="1651" customWidth="1"/>
    <col min="12290" max="12290" width="34.09765625" style="1651" customWidth="1"/>
    <col min="12291" max="12291" width="8.59765625" style="1651" customWidth="1"/>
    <col min="12292" max="12292" width="8.5" style="1651" customWidth="1"/>
    <col min="12293" max="12293" width="8.69921875" style="1651" customWidth="1"/>
    <col min="12294" max="12294" width="13.09765625" style="1651" customWidth="1"/>
    <col min="12295" max="12544" width="9" style="1651"/>
    <col min="12545" max="12545" width="5.19921875" style="1651" customWidth="1"/>
    <col min="12546" max="12546" width="34.09765625" style="1651" customWidth="1"/>
    <col min="12547" max="12547" width="8.59765625" style="1651" customWidth="1"/>
    <col min="12548" max="12548" width="8.5" style="1651" customWidth="1"/>
    <col min="12549" max="12549" width="8.69921875" style="1651" customWidth="1"/>
    <col min="12550" max="12550" width="13.09765625" style="1651" customWidth="1"/>
    <col min="12551" max="12800" width="9" style="1651"/>
    <col min="12801" max="12801" width="5.19921875" style="1651" customWidth="1"/>
    <col min="12802" max="12802" width="34.09765625" style="1651" customWidth="1"/>
    <col min="12803" max="12803" width="8.59765625" style="1651" customWidth="1"/>
    <col min="12804" max="12804" width="8.5" style="1651" customWidth="1"/>
    <col min="12805" max="12805" width="8.69921875" style="1651" customWidth="1"/>
    <col min="12806" max="12806" width="13.09765625" style="1651" customWidth="1"/>
    <col min="12807" max="13056" width="9" style="1651"/>
    <col min="13057" max="13057" width="5.19921875" style="1651" customWidth="1"/>
    <col min="13058" max="13058" width="34.09765625" style="1651" customWidth="1"/>
    <col min="13059" max="13059" width="8.59765625" style="1651" customWidth="1"/>
    <col min="13060" max="13060" width="8.5" style="1651" customWidth="1"/>
    <col min="13061" max="13061" width="8.69921875" style="1651" customWidth="1"/>
    <col min="13062" max="13062" width="13.09765625" style="1651" customWidth="1"/>
    <col min="13063" max="13312" width="9" style="1651"/>
    <col min="13313" max="13313" width="5.19921875" style="1651" customWidth="1"/>
    <col min="13314" max="13314" width="34.09765625" style="1651" customWidth="1"/>
    <col min="13315" max="13315" width="8.59765625" style="1651" customWidth="1"/>
    <col min="13316" max="13316" width="8.5" style="1651" customWidth="1"/>
    <col min="13317" max="13317" width="8.69921875" style="1651" customWidth="1"/>
    <col min="13318" max="13318" width="13.09765625" style="1651" customWidth="1"/>
    <col min="13319" max="13568" width="9" style="1651"/>
    <col min="13569" max="13569" width="5.19921875" style="1651" customWidth="1"/>
    <col min="13570" max="13570" width="34.09765625" style="1651" customWidth="1"/>
    <col min="13571" max="13571" width="8.59765625" style="1651" customWidth="1"/>
    <col min="13572" max="13572" width="8.5" style="1651" customWidth="1"/>
    <col min="13573" max="13573" width="8.69921875" style="1651" customWidth="1"/>
    <col min="13574" max="13574" width="13.09765625" style="1651" customWidth="1"/>
    <col min="13575" max="13824" width="9" style="1651"/>
    <col min="13825" max="13825" width="5.19921875" style="1651" customWidth="1"/>
    <col min="13826" max="13826" width="34.09765625" style="1651" customWidth="1"/>
    <col min="13827" max="13827" width="8.59765625" style="1651" customWidth="1"/>
    <col min="13828" max="13828" width="8.5" style="1651" customWidth="1"/>
    <col min="13829" max="13829" width="8.69921875" style="1651" customWidth="1"/>
    <col min="13830" max="13830" width="13.09765625" style="1651" customWidth="1"/>
    <col min="13831" max="14080" width="9" style="1651"/>
    <col min="14081" max="14081" width="5.19921875" style="1651" customWidth="1"/>
    <col min="14082" max="14082" width="34.09765625" style="1651" customWidth="1"/>
    <col min="14083" max="14083" width="8.59765625" style="1651" customWidth="1"/>
    <col min="14084" max="14084" width="8.5" style="1651" customWidth="1"/>
    <col min="14085" max="14085" width="8.69921875" style="1651" customWidth="1"/>
    <col min="14086" max="14086" width="13.09765625" style="1651" customWidth="1"/>
    <col min="14087" max="14336" width="9" style="1651"/>
    <col min="14337" max="14337" width="5.19921875" style="1651" customWidth="1"/>
    <col min="14338" max="14338" width="34.09765625" style="1651" customWidth="1"/>
    <col min="14339" max="14339" width="8.59765625" style="1651" customWidth="1"/>
    <col min="14340" max="14340" width="8.5" style="1651" customWidth="1"/>
    <col min="14341" max="14341" width="8.69921875" style="1651" customWidth="1"/>
    <col min="14342" max="14342" width="13.09765625" style="1651" customWidth="1"/>
    <col min="14343" max="14592" width="9" style="1651"/>
    <col min="14593" max="14593" width="5.19921875" style="1651" customWidth="1"/>
    <col min="14594" max="14594" width="34.09765625" style="1651" customWidth="1"/>
    <col min="14595" max="14595" width="8.59765625" style="1651" customWidth="1"/>
    <col min="14596" max="14596" width="8.5" style="1651" customWidth="1"/>
    <col min="14597" max="14597" width="8.69921875" style="1651" customWidth="1"/>
    <col min="14598" max="14598" width="13.09765625" style="1651" customWidth="1"/>
    <col min="14599" max="14848" width="9" style="1651"/>
    <col min="14849" max="14849" width="5.19921875" style="1651" customWidth="1"/>
    <col min="14850" max="14850" width="34.09765625" style="1651" customWidth="1"/>
    <col min="14851" max="14851" width="8.59765625" style="1651" customWidth="1"/>
    <col min="14852" max="14852" width="8.5" style="1651" customWidth="1"/>
    <col min="14853" max="14853" width="8.69921875" style="1651" customWidth="1"/>
    <col min="14854" max="14854" width="13.09765625" style="1651" customWidth="1"/>
    <col min="14855" max="15104" width="9" style="1651"/>
    <col min="15105" max="15105" width="5.19921875" style="1651" customWidth="1"/>
    <col min="15106" max="15106" width="34.09765625" style="1651" customWidth="1"/>
    <col min="15107" max="15107" width="8.59765625" style="1651" customWidth="1"/>
    <col min="15108" max="15108" width="8.5" style="1651" customWidth="1"/>
    <col min="15109" max="15109" width="8.69921875" style="1651" customWidth="1"/>
    <col min="15110" max="15110" width="13.09765625" style="1651" customWidth="1"/>
    <col min="15111" max="15360" width="9" style="1651"/>
    <col min="15361" max="15361" width="5.19921875" style="1651" customWidth="1"/>
    <col min="15362" max="15362" width="34.09765625" style="1651" customWidth="1"/>
    <col min="15363" max="15363" width="8.59765625" style="1651" customWidth="1"/>
    <col min="15364" max="15364" width="8.5" style="1651" customWidth="1"/>
    <col min="15365" max="15365" width="8.69921875" style="1651" customWidth="1"/>
    <col min="15366" max="15366" width="13.09765625" style="1651" customWidth="1"/>
    <col min="15367" max="15616" width="9" style="1651"/>
    <col min="15617" max="15617" width="5.19921875" style="1651" customWidth="1"/>
    <col min="15618" max="15618" width="34.09765625" style="1651" customWidth="1"/>
    <col min="15619" max="15619" width="8.59765625" style="1651" customWidth="1"/>
    <col min="15620" max="15620" width="8.5" style="1651" customWidth="1"/>
    <col min="15621" max="15621" width="8.69921875" style="1651" customWidth="1"/>
    <col min="15622" max="15622" width="13.09765625" style="1651" customWidth="1"/>
    <col min="15623" max="15872" width="9" style="1651"/>
    <col min="15873" max="15873" width="5.19921875" style="1651" customWidth="1"/>
    <col min="15874" max="15874" width="34.09765625" style="1651" customWidth="1"/>
    <col min="15875" max="15875" width="8.59765625" style="1651" customWidth="1"/>
    <col min="15876" max="15876" width="8.5" style="1651" customWidth="1"/>
    <col min="15877" max="15877" width="8.69921875" style="1651" customWidth="1"/>
    <col min="15878" max="15878" width="13.09765625" style="1651" customWidth="1"/>
    <col min="15879" max="16128" width="9" style="1651"/>
    <col min="16129" max="16129" width="5.19921875" style="1651" customWidth="1"/>
    <col min="16130" max="16130" width="34.09765625" style="1651" customWidth="1"/>
    <col min="16131" max="16131" width="8.59765625" style="1651" customWidth="1"/>
    <col min="16132" max="16132" width="8.5" style="1651" customWidth="1"/>
    <col min="16133" max="16133" width="8.69921875" style="1651" customWidth="1"/>
    <col min="16134" max="16134" width="13.09765625" style="1651" customWidth="1"/>
    <col min="16135" max="16384" width="9" style="1651"/>
  </cols>
  <sheetData>
    <row r="1" spans="1:10" ht="20.100000000000001" customHeight="1">
      <c r="A1" s="3400"/>
      <c r="B1" s="3400"/>
      <c r="C1" s="3400"/>
      <c r="D1" s="3400"/>
      <c r="E1" s="3400"/>
      <c r="F1" s="2070" t="str">
        <f>"索引号："&amp;档案索引!A44</f>
        <v>索引号：2A-24</v>
      </c>
    </row>
    <row r="2" spans="1:10" ht="25.5" customHeight="1">
      <c r="A2" s="3401" t="s">
        <v>5931</v>
      </c>
      <c r="B2" s="3401"/>
      <c r="C2" s="3401"/>
      <c r="D2" s="3401"/>
      <c r="E2" s="3401"/>
      <c r="F2" s="1833"/>
    </row>
    <row r="3" spans="1:10" ht="14.25" customHeight="1">
      <c r="A3" s="3405" t="s">
        <v>2359</v>
      </c>
      <c r="B3" s="3402" t="s">
        <v>5079</v>
      </c>
      <c r="C3" s="1814" t="s">
        <v>1850</v>
      </c>
      <c r="D3" s="1814" t="s">
        <v>1851</v>
      </c>
      <c r="E3" s="1814" t="s">
        <v>5259</v>
      </c>
      <c r="F3" s="3399" t="s">
        <v>5151</v>
      </c>
    </row>
    <row r="4" spans="1:10" ht="14.25" customHeight="1">
      <c r="A4" s="3466"/>
      <c r="B4" s="3467"/>
      <c r="C4" s="1808">
        <v>1</v>
      </c>
      <c r="D4" s="1832">
        <v>2</v>
      </c>
      <c r="E4" s="1832" t="s">
        <v>5360</v>
      </c>
      <c r="F4" s="3399"/>
      <c r="J4" s="1581"/>
    </row>
    <row r="5" spans="1:10" ht="14.25" customHeight="1">
      <c r="A5" s="1808">
        <v>1</v>
      </c>
      <c r="B5" s="1803" t="s">
        <v>5453</v>
      </c>
      <c r="C5" s="2075">
        <f>C6+C7+C10+C11+C12+C13+C14</f>
        <v>0</v>
      </c>
      <c r="D5" s="2075">
        <f>D6+D7+D10+D11+D12+D13+D14</f>
        <v>0</v>
      </c>
      <c r="E5" s="2075">
        <f>C5-D5</f>
        <v>0</v>
      </c>
      <c r="F5" s="1968"/>
    </row>
    <row r="6" spans="1:10" ht="14.25" customHeight="1">
      <c r="A6" s="1808">
        <v>2</v>
      </c>
      <c r="B6" s="1817" t="s">
        <v>5454</v>
      </c>
      <c r="C6" s="2077"/>
      <c r="D6" s="2077"/>
      <c r="E6" s="2075">
        <f t="shared" ref="E6:E33" si="0">C6-D6</f>
        <v>0</v>
      </c>
      <c r="F6" s="1968"/>
    </row>
    <row r="7" spans="1:10" ht="14.25" customHeight="1">
      <c r="A7" s="1808">
        <v>3</v>
      </c>
      <c r="B7" s="1809" t="s">
        <v>5455</v>
      </c>
      <c r="C7" s="2075">
        <f>C8+C9</f>
        <v>0</v>
      </c>
      <c r="D7" s="2075">
        <f>D8+D9</f>
        <v>0</v>
      </c>
      <c r="E7" s="2075">
        <f t="shared" si="0"/>
        <v>0</v>
      </c>
      <c r="F7" s="1968"/>
    </row>
    <row r="8" spans="1:10" ht="14.25" customHeight="1">
      <c r="A8" s="1808">
        <v>4</v>
      </c>
      <c r="B8" s="1809" t="s">
        <v>5456</v>
      </c>
      <c r="C8" s="2077"/>
      <c r="D8" s="2076"/>
      <c r="E8" s="2075">
        <f t="shared" si="0"/>
        <v>0</v>
      </c>
      <c r="F8" s="1968"/>
    </row>
    <row r="9" spans="1:10" ht="14.25" customHeight="1">
      <c r="A9" s="1808">
        <v>5</v>
      </c>
      <c r="B9" s="1809" t="s">
        <v>5457</v>
      </c>
      <c r="C9" s="2077"/>
      <c r="D9" s="2076"/>
      <c r="E9" s="2075">
        <f t="shared" si="0"/>
        <v>0</v>
      </c>
      <c r="F9" s="1968"/>
    </row>
    <row r="10" spans="1:10" ht="14.25" customHeight="1">
      <c r="A10" s="1808">
        <v>6</v>
      </c>
      <c r="B10" s="1809" t="s">
        <v>5458</v>
      </c>
      <c r="C10" s="2077"/>
      <c r="D10" s="2076"/>
      <c r="E10" s="2075">
        <f t="shared" si="0"/>
        <v>0</v>
      </c>
      <c r="F10" s="1968"/>
    </row>
    <row r="11" spans="1:10" ht="14.25" customHeight="1">
      <c r="A11" s="1808">
        <v>7</v>
      </c>
      <c r="B11" s="1809" t="s">
        <v>5459</v>
      </c>
      <c r="C11" s="2077"/>
      <c r="D11" s="2076"/>
      <c r="E11" s="2075">
        <f t="shared" si="0"/>
        <v>0</v>
      </c>
      <c r="F11" s="1968"/>
    </row>
    <row r="12" spans="1:10" ht="14.25" customHeight="1">
      <c r="A12" s="1808">
        <v>8</v>
      </c>
      <c r="B12" s="1809" t="s">
        <v>5460</v>
      </c>
      <c r="C12" s="2077"/>
      <c r="D12" s="2076"/>
      <c r="E12" s="2075">
        <f t="shared" si="0"/>
        <v>0</v>
      </c>
      <c r="F12" s="1968"/>
    </row>
    <row r="13" spans="1:10" ht="14.25" customHeight="1">
      <c r="A13" s="1808">
        <v>9</v>
      </c>
      <c r="B13" s="1809" t="s">
        <v>5461</v>
      </c>
      <c r="C13" s="2077"/>
      <c r="D13" s="2076"/>
      <c r="E13" s="2075">
        <f t="shared" si="0"/>
        <v>0</v>
      </c>
      <c r="F13" s="1968"/>
    </row>
    <row r="14" spans="1:10" ht="14.25" customHeight="1">
      <c r="A14" s="1808">
        <v>10</v>
      </c>
      <c r="B14" s="1809" t="s">
        <v>5369</v>
      </c>
      <c r="C14" s="2077"/>
      <c r="D14" s="2076"/>
      <c r="E14" s="2075">
        <f t="shared" si="0"/>
        <v>0</v>
      </c>
      <c r="F14" s="1968"/>
      <c r="G14" s="1675" t="s">
        <v>6448</v>
      </c>
    </row>
    <row r="15" spans="1:10" ht="14.25" customHeight="1">
      <c r="A15" s="1808">
        <v>11</v>
      </c>
      <c r="B15" s="1809" t="s">
        <v>5462</v>
      </c>
      <c r="C15" s="2075">
        <f>SUM(C16:C19)</f>
        <v>0</v>
      </c>
      <c r="D15" s="2075">
        <f>SUM(D16:D19)</f>
        <v>0</v>
      </c>
      <c r="E15" s="2075">
        <f t="shared" si="0"/>
        <v>0</v>
      </c>
      <c r="F15" s="1968"/>
    </row>
    <row r="16" spans="1:10" ht="14.25" customHeight="1">
      <c r="A16" s="1808">
        <v>12</v>
      </c>
      <c r="B16" s="1809" t="s">
        <v>5463</v>
      </c>
      <c r="C16" s="2077"/>
      <c r="D16" s="2076"/>
      <c r="E16" s="2075">
        <f t="shared" si="0"/>
        <v>0</v>
      </c>
      <c r="F16" s="1968"/>
    </row>
    <row r="17" spans="1:6" ht="14.25" customHeight="1">
      <c r="A17" s="1808">
        <v>13</v>
      </c>
      <c r="B17" s="1809" t="s">
        <v>5464</v>
      </c>
      <c r="C17" s="2077"/>
      <c r="D17" s="2076"/>
      <c r="E17" s="2075">
        <f t="shared" si="0"/>
        <v>0</v>
      </c>
      <c r="F17" s="1968"/>
    </row>
    <row r="18" spans="1:6" ht="14.25" customHeight="1">
      <c r="A18" s="1808">
        <v>14</v>
      </c>
      <c r="B18" s="1809" t="s">
        <v>5465</v>
      </c>
      <c r="C18" s="2077"/>
      <c r="D18" s="2076"/>
      <c r="E18" s="2075">
        <f t="shared" si="0"/>
        <v>0</v>
      </c>
      <c r="F18" s="1968"/>
    </row>
    <row r="19" spans="1:6" ht="14.25" customHeight="1">
      <c r="A19" s="1808">
        <v>15</v>
      </c>
      <c r="B19" s="1809" t="s">
        <v>269</v>
      </c>
      <c r="C19" s="2077"/>
      <c r="D19" s="2076"/>
      <c r="E19" s="2075">
        <f t="shared" si="0"/>
        <v>0</v>
      </c>
      <c r="F19" s="1968"/>
    </row>
    <row r="20" spans="1:6" ht="14.25" customHeight="1">
      <c r="A20" s="1808">
        <v>16</v>
      </c>
      <c r="B20" s="1809" t="s">
        <v>5466</v>
      </c>
      <c r="C20" s="2075">
        <f>SUM(C21:C24)</f>
        <v>0</v>
      </c>
      <c r="D20" s="2075">
        <f>SUM(D21:D24)</f>
        <v>0</v>
      </c>
      <c r="E20" s="2075">
        <f t="shared" si="0"/>
        <v>0</v>
      </c>
      <c r="F20" s="1968"/>
    </row>
    <row r="21" spans="1:6" ht="14.25" customHeight="1">
      <c r="A21" s="1808">
        <v>17</v>
      </c>
      <c r="B21" s="1809" t="s">
        <v>5467</v>
      </c>
      <c r="C21" s="2077"/>
      <c r="D21" s="2076"/>
      <c r="E21" s="2075">
        <f t="shared" si="0"/>
        <v>0</v>
      </c>
      <c r="F21" s="1968"/>
    </row>
    <row r="22" spans="1:6" ht="14.25" customHeight="1">
      <c r="A22" s="1808">
        <v>18</v>
      </c>
      <c r="B22" s="1809" t="s">
        <v>5468</v>
      </c>
      <c r="C22" s="2077"/>
      <c r="D22" s="2076"/>
      <c r="E22" s="2075">
        <f t="shared" si="0"/>
        <v>0</v>
      </c>
      <c r="F22" s="1968"/>
    </row>
    <row r="23" spans="1:6" ht="14.25" customHeight="1">
      <c r="A23" s="1808">
        <v>19</v>
      </c>
      <c r="B23" s="1809" t="s">
        <v>5469</v>
      </c>
      <c r="C23" s="2077"/>
      <c r="D23" s="2076"/>
      <c r="E23" s="2075">
        <f t="shared" si="0"/>
        <v>0</v>
      </c>
      <c r="F23" s="1968"/>
    </row>
    <row r="24" spans="1:6" ht="14.25" customHeight="1">
      <c r="A24" s="1808">
        <v>20</v>
      </c>
      <c r="B24" s="1809" t="s">
        <v>269</v>
      </c>
      <c r="C24" s="2077"/>
      <c r="D24" s="2076"/>
      <c r="E24" s="2075">
        <f t="shared" si="0"/>
        <v>0</v>
      </c>
      <c r="F24" s="1968"/>
    </row>
    <row r="25" spans="1:6" ht="14.25" customHeight="1">
      <c r="A25" s="1808">
        <v>21</v>
      </c>
      <c r="B25" s="1809" t="s">
        <v>5470</v>
      </c>
      <c r="C25" s="2075">
        <f>SUM(C26:C28)</f>
        <v>0</v>
      </c>
      <c r="D25" s="2075">
        <f>SUM(D26:D28)</f>
        <v>0</v>
      </c>
      <c r="E25" s="2075">
        <f t="shared" si="0"/>
        <v>0</v>
      </c>
      <c r="F25" s="1968"/>
    </row>
    <row r="26" spans="1:6" ht="14.25" customHeight="1">
      <c r="A26" s="1808">
        <v>22</v>
      </c>
      <c r="B26" s="1809" t="s">
        <v>5471</v>
      </c>
      <c r="C26" s="2077"/>
      <c r="D26" s="2076"/>
      <c r="E26" s="2075">
        <f t="shared" si="0"/>
        <v>0</v>
      </c>
      <c r="F26" s="1968"/>
    </row>
    <row r="27" spans="1:6" ht="14.25" customHeight="1">
      <c r="A27" s="1808">
        <v>23</v>
      </c>
      <c r="B27" s="1809" t="s">
        <v>5472</v>
      </c>
      <c r="C27" s="2077"/>
      <c r="D27" s="2076"/>
      <c r="E27" s="2075">
        <f t="shared" si="0"/>
        <v>0</v>
      </c>
      <c r="F27" s="1968"/>
    </row>
    <row r="28" spans="1:6" ht="14.25" customHeight="1">
      <c r="A28" s="1808">
        <v>24</v>
      </c>
      <c r="B28" s="1809" t="s">
        <v>5202</v>
      </c>
      <c r="C28" s="2086"/>
      <c r="D28" s="2086"/>
      <c r="E28" s="2078">
        <f t="shared" si="0"/>
        <v>0</v>
      </c>
      <c r="F28" s="1968"/>
    </row>
    <row r="29" spans="1:6" ht="14.25" customHeight="1">
      <c r="A29" s="1808">
        <v>25</v>
      </c>
      <c r="B29" s="1809" t="s">
        <v>5473</v>
      </c>
      <c r="C29" s="2075">
        <f>SUM(C30:C32)</f>
        <v>0</v>
      </c>
      <c r="D29" s="2075">
        <f>SUM(D30:D32)</f>
        <v>0</v>
      </c>
      <c r="E29" s="2075">
        <f t="shared" si="0"/>
        <v>0</v>
      </c>
      <c r="F29" s="1968"/>
    </row>
    <row r="30" spans="1:6" ht="14.25" customHeight="1">
      <c r="A30" s="1808">
        <v>26</v>
      </c>
      <c r="B30" s="1811" t="s">
        <v>5474</v>
      </c>
      <c r="C30" s="2086"/>
      <c r="D30" s="2077"/>
      <c r="E30" s="2075">
        <f t="shared" si="0"/>
        <v>0</v>
      </c>
      <c r="F30" s="1968"/>
    </row>
    <row r="31" spans="1:6" ht="14.25" customHeight="1">
      <c r="A31" s="1808">
        <v>27</v>
      </c>
      <c r="B31" s="1809" t="s">
        <v>5475</v>
      </c>
      <c r="C31" s="2077"/>
      <c r="D31" s="2077"/>
      <c r="E31" s="2075">
        <f t="shared" si="0"/>
        <v>0</v>
      </c>
      <c r="F31" s="1968"/>
    </row>
    <row r="32" spans="1:6" ht="14.25" customHeight="1">
      <c r="A32" s="1808">
        <v>28</v>
      </c>
      <c r="B32" s="1811" t="s">
        <v>5202</v>
      </c>
      <c r="C32" s="2086"/>
      <c r="D32" s="2086"/>
      <c r="E32" s="2078">
        <f t="shared" si="0"/>
        <v>0</v>
      </c>
      <c r="F32" s="1968"/>
    </row>
    <row r="33" spans="1:8" ht="14.25" customHeight="1">
      <c r="A33" s="1808">
        <v>29</v>
      </c>
      <c r="B33" s="1809" t="s">
        <v>5419</v>
      </c>
      <c r="C33" s="2077"/>
      <c r="D33" s="2077"/>
      <c r="E33" s="2075">
        <f t="shared" si="0"/>
        <v>0</v>
      </c>
      <c r="F33" s="1968"/>
    </row>
    <row r="34" spans="1:8" ht="168.75" customHeight="1">
      <c r="A34" s="1808">
        <v>30</v>
      </c>
      <c r="B34" s="1818" t="s">
        <v>5476</v>
      </c>
      <c r="C34" s="2075">
        <f>C5+C15+C20+C25+C29+C33</f>
        <v>0</v>
      </c>
      <c r="D34" s="2075">
        <f>D5+D15+D20+D25+D29+D33</f>
        <v>0</v>
      </c>
      <c r="E34" s="2075">
        <f>C34-D34</f>
        <v>0</v>
      </c>
      <c r="F34" s="1819" t="s">
        <v>5477</v>
      </c>
      <c r="H34" s="1581"/>
    </row>
    <row r="35" spans="1:8">
      <c r="A35" s="3465"/>
      <c r="B35" s="3465"/>
      <c r="C35" s="3465"/>
      <c r="D35" s="3465"/>
      <c r="E35" s="3465"/>
      <c r="F35" s="3465"/>
    </row>
  </sheetData>
  <mergeCells count="6">
    <mergeCell ref="A35:F35"/>
    <mergeCell ref="A1:E1"/>
    <mergeCell ref="A2:E2"/>
    <mergeCell ref="A3:A4"/>
    <mergeCell ref="B3:B4"/>
    <mergeCell ref="F3:F4"/>
  </mergeCells>
  <phoneticPr fontId="51" type="noConversion"/>
  <hyperlinks>
    <hyperlink ref="G14" location="A105120特殊行业准备金纳税调整明细表!A1" display="A105120特殊行业准备金纳税调整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tabColor rgb="FFFFFF00"/>
  </sheetPr>
  <dimension ref="A1:E30"/>
  <sheetViews>
    <sheetView workbookViewId="0">
      <selection sqref="A1:C1"/>
    </sheetView>
  </sheetViews>
  <sheetFormatPr defaultColWidth="56.3984375" defaultRowHeight="15.6"/>
  <cols>
    <col min="1" max="1" width="4.09765625" style="1570" customWidth="1"/>
    <col min="2" max="2" width="55.5" style="1570" customWidth="1"/>
    <col min="3" max="3" width="12.3984375" style="1570" customWidth="1"/>
    <col min="4" max="4" width="15" style="1570" customWidth="1"/>
    <col min="5" max="256" width="56.3984375" style="1570"/>
    <col min="257" max="257" width="4.09765625" style="1570" customWidth="1"/>
    <col min="258" max="258" width="55.5" style="1570" customWidth="1"/>
    <col min="259" max="259" width="6.3984375" style="1570" customWidth="1"/>
    <col min="260" max="260" width="15" style="1570" customWidth="1"/>
    <col min="261" max="512" width="56.3984375" style="1570"/>
    <col min="513" max="513" width="4.09765625" style="1570" customWidth="1"/>
    <col min="514" max="514" width="55.5" style="1570" customWidth="1"/>
    <col min="515" max="515" width="6.3984375" style="1570" customWidth="1"/>
    <col min="516" max="516" width="15" style="1570" customWidth="1"/>
    <col min="517" max="768" width="56.3984375" style="1570"/>
    <col min="769" max="769" width="4.09765625" style="1570" customWidth="1"/>
    <col min="770" max="770" width="55.5" style="1570" customWidth="1"/>
    <col min="771" max="771" width="6.3984375" style="1570" customWidth="1"/>
    <col min="772" max="772" width="15" style="1570" customWidth="1"/>
    <col min="773" max="1024" width="56.3984375" style="1570"/>
    <col min="1025" max="1025" width="4.09765625" style="1570" customWidth="1"/>
    <col min="1026" max="1026" width="55.5" style="1570" customWidth="1"/>
    <col min="1027" max="1027" width="6.3984375" style="1570" customWidth="1"/>
    <col min="1028" max="1028" width="15" style="1570" customWidth="1"/>
    <col min="1029" max="1280" width="56.3984375" style="1570"/>
    <col min="1281" max="1281" width="4.09765625" style="1570" customWidth="1"/>
    <col min="1282" max="1282" width="55.5" style="1570" customWidth="1"/>
    <col min="1283" max="1283" width="6.3984375" style="1570" customWidth="1"/>
    <col min="1284" max="1284" width="15" style="1570" customWidth="1"/>
    <col min="1285" max="1536" width="56.3984375" style="1570"/>
    <col min="1537" max="1537" width="4.09765625" style="1570" customWidth="1"/>
    <col min="1538" max="1538" width="55.5" style="1570" customWidth="1"/>
    <col min="1539" max="1539" width="6.3984375" style="1570" customWidth="1"/>
    <col min="1540" max="1540" width="15" style="1570" customWidth="1"/>
    <col min="1541" max="1792" width="56.3984375" style="1570"/>
    <col min="1793" max="1793" width="4.09765625" style="1570" customWidth="1"/>
    <col min="1794" max="1794" width="55.5" style="1570" customWidth="1"/>
    <col min="1795" max="1795" width="6.3984375" style="1570" customWidth="1"/>
    <col min="1796" max="1796" width="15" style="1570" customWidth="1"/>
    <col min="1797" max="2048" width="56.3984375" style="1570"/>
    <col min="2049" max="2049" width="4.09765625" style="1570" customWidth="1"/>
    <col min="2050" max="2050" width="55.5" style="1570" customWidth="1"/>
    <col min="2051" max="2051" width="6.3984375" style="1570" customWidth="1"/>
    <col min="2052" max="2052" width="15" style="1570" customWidth="1"/>
    <col min="2053" max="2304" width="56.3984375" style="1570"/>
    <col min="2305" max="2305" width="4.09765625" style="1570" customWidth="1"/>
    <col min="2306" max="2306" width="55.5" style="1570" customWidth="1"/>
    <col min="2307" max="2307" width="6.3984375" style="1570" customWidth="1"/>
    <col min="2308" max="2308" width="15" style="1570" customWidth="1"/>
    <col min="2309" max="2560" width="56.3984375" style="1570"/>
    <col min="2561" max="2561" width="4.09765625" style="1570" customWidth="1"/>
    <col min="2562" max="2562" width="55.5" style="1570" customWidth="1"/>
    <col min="2563" max="2563" width="6.3984375" style="1570" customWidth="1"/>
    <col min="2564" max="2564" width="15" style="1570" customWidth="1"/>
    <col min="2565" max="2816" width="56.3984375" style="1570"/>
    <col min="2817" max="2817" width="4.09765625" style="1570" customWidth="1"/>
    <col min="2818" max="2818" width="55.5" style="1570" customWidth="1"/>
    <col min="2819" max="2819" width="6.3984375" style="1570" customWidth="1"/>
    <col min="2820" max="2820" width="15" style="1570" customWidth="1"/>
    <col min="2821" max="3072" width="56.3984375" style="1570"/>
    <col min="3073" max="3073" width="4.09765625" style="1570" customWidth="1"/>
    <col min="3074" max="3074" width="55.5" style="1570" customWidth="1"/>
    <col min="3075" max="3075" width="6.3984375" style="1570" customWidth="1"/>
    <col min="3076" max="3076" width="15" style="1570" customWidth="1"/>
    <col min="3077" max="3328" width="56.3984375" style="1570"/>
    <col min="3329" max="3329" width="4.09765625" style="1570" customWidth="1"/>
    <col min="3330" max="3330" width="55.5" style="1570" customWidth="1"/>
    <col min="3331" max="3331" width="6.3984375" style="1570" customWidth="1"/>
    <col min="3332" max="3332" width="15" style="1570" customWidth="1"/>
    <col min="3333" max="3584" width="56.3984375" style="1570"/>
    <col min="3585" max="3585" width="4.09765625" style="1570" customWidth="1"/>
    <col min="3586" max="3586" width="55.5" style="1570" customWidth="1"/>
    <col min="3587" max="3587" width="6.3984375" style="1570" customWidth="1"/>
    <col min="3588" max="3588" width="15" style="1570" customWidth="1"/>
    <col min="3589" max="3840" width="56.3984375" style="1570"/>
    <col min="3841" max="3841" width="4.09765625" style="1570" customWidth="1"/>
    <col min="3842" max="3842" width="55.5" style="1570" customWidth="1"/>
    <col min="3843" max="3843" width="6.3984375" style="1570" customWidth="1"/>
    <col min="3844" max="3844" width="15" style="1570" customWidth="1"/>
    <col min="3845" max="4096" width="56.3984375" style="1570"/>
    <col min="4097" max="4097" width="4.09765625" style="1570" customWidth="1"/>
    <col min="4098" max="4098" width="55.5" style="1570" customWidth="1"/>
    <col min="4099" max="4099" width="6.3984375" style="1570" customWidth="1"/>
    <col min="4100" max="4100" width="15" style="1570" customWidth="1"/>
    <col min="4101" max="4352" width="56.3984375" style="1570"/>
    <col min="4353" max="4353" width="4.09765625" style="1570" customWidth="1"/>
    <col min="4354" max="4354" width="55.5" style="1570" customWidth="1"/>
    <col min="4355" max="4355" width="6.3984375" style="1570" customWidth="1"/>
    <col min="4356" max="4356" width="15" style="1570" customWidth="1"/>
    <col min="4357" max="4608" width="56.3984375" style="1570"/>
    <col min="4609" max="4609" width="4.09765625" style="1570" customWidth="1"/>
    <col min="4610" max="4610" width="55.5" style="1570" customWidth="1"/>
    <col min="4611" max="4611" width="6.3984375" style="1570" customWidth="1"/>
    <col min="4612" max="4612" width="15" style="1570" customWidth="1"/>
    <col min="4613" max="4864" width="56.3984375" style="1570"/>
    <col min="4865" max="4865" width="4.09765625" style="1570" customWidth="1"/>
    <col min="4866" max="4866" width="55.5" style="1570" customWidth="1"/>
    <col min="4867" max="4867" width="6.3984375" style="1570" customWidth="1"/>
    <col min="4868" max="4868" width="15" style="1570" customWidth="1"/>
    <col min="4869" max="5120" width="56.3984375" style="1570"/>
    <col min="5121" max="5121" width="4.09765625" style="1570" customWidth="1"/>
    <col min="5122" max="5122" width="55.5" style="1570" customWidth="1"/>
    <col min="5123" max="5123" width="6.3984375" style="1570" customWidth="1"/>
    <col min="5124" max="5124" width="15" style="1570" customWidth="1"/>
    <col min="5125" max="5376" width="56.3984375" style="1570"/>
    <col min="5377" max="5377" width="4.09765625" style="1570" customWidth="1"/>
    <col min="5378" max="5378" width="55.5" style="1570" customWidth="1"/>
    <col min="5379" max="5379" width="6.3984375" style="1570" customWidth="1"/>
    <col min="5380" max="5380" width="15" style="1570" customWidth="1"/>
    <col min="5381" max="5632" width="56.3984375" style="1570"/>
    <col min="5633" max="5633" width="4.09765625" style="1570" customWidth="1"/>
    <col min="5634" max="5634" width="55.5" style="1570" customWidth="1"/>
    <col min="5635" max="5635" width="6.3984375" style="1570" customWidth="1"/>
    <col min="5636" max="5636" width="15" style="1570" customWidth="1"/>
    <col min="5637" max="5888" width="56.3984375" style="1570"/>
    <col min="5889" max="5889" width="4.09765625" style="1570" customWidth="1"/>
    <col min="5890" max="5890" width="55.5" style="1570" customWidth="1"/>
    <col min="5891" max="5891" width="6.3984375" style="1570" customWidth="1"/>
    <col min="5892" max="5892" width="15" style="1570" customWidth="1"/>
    <col min="5893" max="6144" width="56.3984375" style="1570"/>
    <col min="6145" max="6145" width="4.09765625" style="1570" customWidth="1"/>
    <col min="6146" max="6146" width="55.5" style="1570" customWidth="1"/>
    <col min="6147" max="6147" width="6.3984375" style="1570" customWidth="1"/>
    <col min="6148" max="6148" width="15" style="1570" customWidth="1"/>
    <col min="6149" max="6400" width="56.3984375" style="1570"/>
    <col min="6401" max="6401" width="4.09765625" style="1570" customWidth="1"/>
    <col min="6402" max="6402" width="55.5" style="1570" customWidth="1"/>
    <col min="6403" max="6403" width="6.3984375" style="1570" customWidth="1"/>
    <col min="6404" max="6404" width="15" style="1570" customWidth="1"/>
    <col min="6405" max="6656" width="56.3984375" style="1570"/>
    <col min="6657" max="6657" width="4.09765625" style="1570" customWidth="1"/>
    <col min="6658" max="6658" width="55.5" style="1570" customWidth="1"/>
    <col min="6659" max="6659" width="6.3984375" style="1570" customWidth="1"/>
    <col min="6660" max="6660" width="15" style="1570" customWidth="1"/>
    <col min="6661" max="6912" width="56.3984375" style="1570"/>
    <col min="6913" max="6913" width="4.09765625" style="1570" customWidth="1"/>
    <col min="6914" max="6914" width="55.5" style="1570" customWidth="1"/>
    <col min="6915" max="6915" width="6.3984375" style="1570" customWidth="1"/>
    <col min="6916" max="6916" width="15" style="1570" customWidth="1"/>
    <col min="6917" max="7168" width="56.3984375" style="1570"/>
    <col min="7169" max="7169" width="4.09765625" style="1570" customWidth="1"/>
    <col min="7170" max="7170" width="55.5" style="1570" customWidth="1"/>
    <col min="7171" max="7171" width="6.3984375" style="1570" customWidth="1"/>
    <col min="7172" max="7172" width="15" style="1570" customWidth="1"/>
    <col min="7173" max="7424" width="56.3984375" style="1570"/>
    <col min="7425" max="7425" width="4.09765625" style="1570" customWidth="1"/>
    <col min="7426" max="7426" width="55.5" style="1570" customWidth="1"/>
    <col min="7427" max="7427" width="6.3984375" style="1570" customWidth="1"/>
    <col min="7428" max="7428" width="15" style="1570" customWidth="1"/>
    <col min="7429" max="7680" width="56.3984375" style="1570"/>
    <col min="7681" max="7681" width="4.09765625" style="1570" customWidth="1"/>
    <col min="7682" max="7682" width="55.5" style="1570" customWidth="1"/>
    <col min="7683" max="7683" width="6.3984375" style="1570" customWidth="1"/>
    <col min="7684" max="7684" width="15" style="1570" customWidth="1"/>
    <col min="7685" max="7936" width="56.3984375" style="1570"/>
    <col min="7937" max="7937" width="4.09765625" style="1570" customWidth="1"/>
    <col min="7938" max="7938" width="55.5" style="1570" customWidth="1"/>
    <col min="7939" max="7939" width="6.3984375" style="1570" customWidth="1"/>
    <col min="7940" max="7940" width="15" style="1570" customWidth="1"/>
    <col min="7941" max="8192" width="56.3984375" style="1570"/>
    <col min="8193" max="8193" width="4.09765625" style="1570" customWidth="1"/>
    <col min="8194" max="8194" width="55.5" style="1570" customWidth="1"/>
    <col min="8195" max="8195" width="6.3984375" style="1570" customWidth="1"/>
    <col min="8196" max="8196" width="15" style="1570" customWidth="1"/>
    <col min="8197" max="8448" width="56.3984375" style="1570"/>
    <col min="8449" max="8449" width="4.09765625" style="1570" customWidth="1"/>
    <col min="8450" max="8450" width="55.5" style="1570" customWidth="1"/>
    <col min="8451" max="8451" width="6.3984375" style="1570" customWidth="1"/>
    <col min="8452" max="8452" width="15" style="1570" customWidth="1"/>
    <col min="8453" max="8704" width="56.3984375" style="1570"/>
    <col min="8705" max="8705" width="4.09765625" style="1570" customWidth="1"/>
    <col min="8706" max="8706" width="55.5" style="1570" customWidth="1"/>
    <col min="8707" max="8707" width="6.3984375" style="1570" customWidth="1"/>
    <col min="8708" max="8708" width="15" style="1570" customWidth="1"/>
    <col min="8709" max="8960" width="56.3984375" style="1570"/>
    <col min="8961" max="8961" width="4.09765625" style="1570" customWidth="1"/>
    <col min="8962" max="8962" width="55.5" style="1570" customWidth="1"/>
    <col min="8963" max="8963" width="6.3984375" style="1570" customWidth="1"/>
    <col min="8964" max="8964" width="15" style="1570" customWidth="1"/>
    <col min="8965" max="9216" width="56.3984375" style="1570"/>
    <col min="9217" max="9217" width="4.09765625" style="1570" customWidth="1"/>
    <col min="9218" max="9218" width="55.5" style="1570" customWidth="1"/>
    <col min="9219" max="9219" width="6.3984375" style="1570" customWidth="1"/>
    <col min="9220" max="9220" width="15" style="1570" customWidth="1"/>
    <col min="9221" max="9472" width="56.3984375" style="1570"/>
    <col min="9473" max="9473" width="4.09765625" style="1570" customWidth="1"/>
    <col min="9474" max="9474" width="55.5" style="1570" customWidth="1"/>
    <col min="9475" max="9475" width="6.3984375" style="1570" customWidth="1"/>
    <col min="9476" max="9476" width="15" style="1570" customWidth="1"/>
    <col min="9477" max="9728" width="56.3984375" style="1570"/>
    <col min="9729" max="9729" width="4.09765625" style="1570" customWidth="1"/>
    <col min="9730" max="9730" width="55.5" style="1570" customWidth="1"/>
    <col min="9731" max="9731" width="6.3984375" style="1570" customWidth="1"/>
    <col min="9732" max="9732" width="15" style="1570" customWidth="1"/>
    <col min="9733" max="9984" width="56.3984375" style="1570"/>
    <col min="9985" max="9985" width="4.09765625" style="1570" customWidth="1"/>
    <col min="9986" max="9986" width="55.5" style="1570" customWidth="1"/>
    <col min="9987" max="9987" width="6.3984375" style="1570" customWidth="1"/>
    <col min="9988" max="9988" width="15" style="1570" customWidth="1"/>
    <col min="9989" max="10240" width="56.3984375" style="1570"/>
    <col min="10241" max="10241" width="4.09765625" style="1570" customWidth="1"/>
    <col min="10242" max="10242" width="55.5" style="1570" customWidth="1"/>
    <col min="10243" max="10243" width="6.3984375" style="1570" customWidth="1"/>
    <col min="10244" max="10244" width="15" style="1570" customWidth="1"/>
    <col min="10245" max="10496" width="56.3984375" style="1570"/>
    <col min="10497" max="10497" width="4.09765625" style="1570" customWidth="1"/>
    <col min="10498" max="10498" width="55.5" style="1570" customWidth="1"/>
    <col min="10499" max="10499" width="6.3984375" style="1570" customWidth="1"/>
    <col min="10500" max="10500" width="15" style="1570" customWidth="1"/>
    <col min="10501" max="10752" width="56.3984375" style="1570"/>
    <col min="10753" max="10753" width="4.09765625" style="1570" customWidth="1"/>
    <col min="10754" max="10754" width="55.5" style="1570" customWidth="1"/>
    <col min="10755" max="10755" width="6.3984375" style="1570" customWidth="1"/>
    <col min="10756" max="10756" width="15" style="1570" customWidth="1"/>
    <col min="10757" max="11008" width="56.3984375" style="1570"/>
    <col min="11009" max="11009" width="4.09765625" style="1570" customWidth="1"/>
    <col min="11010" max="11010" width="55.5" style="1570" customWidth="1"/>
    <col min="11011" max="11011" width="6.3984375" style="1570" customWidth="1"/>
    <col min="11012" max="11012" width="15" style="1570" customWidth="1"/>
    <col min="11013" max="11264" width="56.3984375" style="1570"/>
    <col min="11265" max="11265" width="4.09765625" style="1570" customWidth="1"/>
    <col min="11266" max="11266" width="55.5" style="1570" customWidth="1"/>
    <col min="11267" max="11267" width="6.3984375" style="1570" customWidth="1"/>
    <col min="11268" max="11268" width="15" style="1570" customWidth="1"/>
    <col min="11269" max="11520" width="56.3984375" style="1570"/>
    <col min="11521" max="11521" width="4.09765625" style="1570" customWidth="1"/>
    <col min="11522" max="11522" width="55.5" style="1570" customWidth="1"/>
    <col min="11523" max="11523" width="6.3984375" style="1570" customWidth="1"/>
    <col min="11524" max="11524" width="15" style="1570" customWidth="1"/>
    <col min="11525" max="11776" width="56.3984375" style="1570"/>
    <col min="11777" max="11777" width="4.09765625" style="1570" customWidth="1"/>
    <col min="11778" max="11778" width="55.5" style="1570" customWidth="1"/>
    <col min="11779" max="11779" width="6.3984375" style="1570" customWidth="1"/>
    <col min="11780" max="11780" width="15" style="1570" customWidth="1"/>
    <col min="11781" max="12032" width="56.3984375" style="1570"/>
    <col min="12033" max="12033" width="4.09765625" style="1570" customWidth="1"/>
    <col min="12034" max="12034" width="55.5" style="1570" customWidth="1"/>
    <col min="12035" max="12035" width="6.3984375" style="1570" customWidth="1"/>
    <col min="12036" max="12036" width="15" style="1570" customWidth="1"/>
    <col min="12037" max="12288" width="56.3984375" style="1570"/>
    <col min="12289" max="12289" width="4.09765625" style="1570" customWidth="1"/>
    <col min="12290" max="12290" width="55.5" style="1570" customWidth="1"/>
    <col min="12291" max="12291" width="6.3984375" style="1570" customWidth="1"/>
    <col min="12292" max="12292" width="15" style="1570" customWidth="1"/>
    <col min="12293" max="12544" width="56.3984375" style="1570"/>
    <col min="12545" max="12545" width="4.09765625" style="1570" customWidth="1"/>
    <col min="12546" max="12546" width="55.5" style="1570" customWidth="1"/>
    <col min="12547" max="12547" width="6.3984375" style="1570" customWidth="1"/>
    <col min="12548" max="12548" width="15" style="1570" customWidth="1"/>
    <col min="12549" max="12800" width="56.3984375" style="1570"/>
    <col min="12801" max="12801" width="4.09765625" style="1570" customWidth="1"/>
    <col min="12802" max="12802" width="55.5" style="1570" customWidth="1"/>
    <col min="12803" max="12803" width="6.3984375" style="1570" customWidth="1"/>
    <col min="12804" max="12804" width="15" style="1570" customWidth="1"/>
    <col min="12805" max="13056" width="56.3984375" style="1570"/>
    <col min="13057" max="13057" width="4.09765625" style="1570" customWidth="1"/>
    <col min="13058" max="13058" width="55.5" style="1570" customWidth="1"/>
    <col min="13059" max="13059" width="6.3984375" style="1570" customWidth="1"/>
    <col min="13060" max="13060" width="15" style="1570" customWidth="1"/>
    <col min="13061" max="13312" width="56.3984375" style="1570"/>
    <col min="13313" max="13313" width="4.09765625" style="1570" customWidth="1"/>
    <col min="13314" max="13314" width="55.5" style="1570" customWidth="1"/>
    <col min="13315" max="13315" width="6.3984375" style="1570" customWidth="1"/>
    <col min="13316" max="13316" width="15" style="1570" customWidth="1"/>
    <col min="13317" max="13568" width="56.3984375" style="1570"/>
    <col min="13569" max="13569" width="4.09765625" style="1570" customWidth="1"/>
    <col min="13570" max="13570" width="55.5" style="1570" customWidth="1"/>
    <col min="13571" max="13571" width="6.3984375" style="1570" customWidth="1"/>
    <col min="13572" max="13572" width="15" style="1570" customWidth="1"/>
    <col min="13573" max="13824" width="56.3984375" style="1570"/>
    <col min="13825" max="13825" width="4.09765625" style="1570" customWidth="1"/>
    <col min="13826" max="13826" width="55.5" style="1570" customWidth="1"/>
    <col min="13827" max="13827" width="6.3984375" style="1570" customWidth="1"/>
    <col min="13828" max="13828" width="15" style="1570" customWidth="1"/>
    <col min="13829" max="14080" width="56.3984375" style="1570"/>
    <col min="14081" max="14081" width="4.09765625" style="1570" customWidth="1"/>
    <col min="14082" max="14082" width="55.5" style="1570" customWidth="1"/>
    <col min="14083" max="14083" width="6.3984375" style="1570" customWidth="1"/>
    <col min="14084" max="14084" width="15" style="1570" customWidth="1"/>
    <col min="14085" max="14336" width="56.3984375" style="1570"/>
    <col min="14337" max="14337" width="4.09765625" style="1570" customWidth="1"/>
    <col min="14338" max="14338" width="55.5" style="1570" customWidth="1"/>
    <col min="14339" max="14339" width="6.3984375" style="1570" customWidth="1"/>
    <col min="14340" max="14340" width="15" style="1570" customWidth="1"/>
    <col min="14341" max="14592" width="56.3984375" style="1570"/>
    <col min="14593" max="14593" width="4.09765625" style="1570" customWidth="1"/>
    <col min="14594" max="14594" width="55.5" style="1570" customWidth="1"/>
    <col min="14595" max="14595" width="6.3984375" style="1570" customWidth="1"/>
    <col min="14596" max="14596" width="15" style="1570" customWidth="1"/>
    <col min="14597" max="14848" width="56.3984375" style="1570"/>
    <col min="14849" max="14849" width="4.09765625" style="1570" customWidth="1"/>
    <col min="14850" max="14850" width="55.5" style="1570" customWidth="1"/>
    <col min="14851" max="14851" width="6.3984375" style="1570" customWidth="1"/>
    <col min="14852" max="14852" width="15" style="1570" customWidth="1"/>
    <col min="14853" max="15104" width="56.3984375" style="1570"/>
    <col min="15105" max="15105" width="4.09765625" style="1570" customWidth="1"/>
    <col min="15106" max="15106" width="55.5" style="1570" customWidth="1"/>
    <col min="15107" max="15107" width="6.3984375" style="1570" customWidth="1"/>
    <col min="15108" max="15108" width="15" style="1570" customWidth="1"/>
    <col min="15109" max="15360" width="56.3984375" style="1570"/>
    <col min="15361" max="15361" width="4.09765625" style="1570" customWidth="1"/>
    <col min="15362" max="15362" width="55.5" style="1570" customWidth="1"/>
    <col min="15363" max="15363" width="6.3984375" style="1570" customWidth="1"/>
    <col min="15364" max="15364" width="15" style="1570" customWidth="1"/>
    <col min="15365" max="15616" width="56.3984375" style="1570"/>
    <col min="15617" max="15617" width="4.09765625" style="1570" customWidth="1"/>
    <col min="15618" max="15618" width="55.5" style="1570" customWidth="1"/>
    <col min="15619" max="15619" width="6.3984375" style="1570" customWidth="1"/>
    <col min="15620" max="15620" width="15" style="1570" customWidth="1"/>
    <col min="15621" max="15872" width="56.3984375" style="1570"/>
    <col min="15873" max="15873" width="4.09765625" style="1570" customWidth="1"/>
    <col min="15874" max="15874" width="55.5" style="1570" customWidth="1"/>
    <col min="15875" max="15875" width="6.3984375" style="1570" customWidth="1"/>
    <col min="15876" max="15876" width="15" style="1570" customWidth="1"/>
    <col min="15877" max="16128" width="56.3984375" style="1570"/>
    <col min="16129" max="16129" width="4.09765625" style="1570" customWidth="1"/>
    <col min="16130" max="16130" width="55.5" style="1570" customWidth="1"/>
    <col min="16131" max="16131" width="6.3984375" style="1570" customWidth="1"/>
    <col min="16132" max="16132" width="15" style="1570" customWidth="1"/>
    <col min="16133" max="16384" width="56.3984375" style="1570"/>
  </cols>
  <sheetData>
    <row r="1" spans="1:5" ht="20.100000000000001" customHeight="1">
      <c r="A1" s="3400"/>
      <c r="B1" s="3400"/>
      <c r="C1" s="3400"/>
      <c r="D1" s="2172" t="str">
        <f>"索引号："&amp;档案索引!D6</f>
        <v>索引号：2B-1</v>
      </c>
    </row>
    <row r="2" spans="1:5" ht="25.5" customHeight="1">
      <c r="A2" s="3401" t="s">
        <v>5932</v>
      </c>
      <c r="B2" s="3401"/>
      <c r="C2" s="3401"/>
      <c r="D2" s="1834"/>
    </row>
    <row r="3" spans="1:5">
      <c r="A3" s="1835" t="s">
        <v>1853</v>
      </c>
      <c r="B3" s="1835" t="s">
        <v>1627</v>
      </c>
      <c r="C3" s="1835" t="s">
        <v>5014</v>
      </c>
      <c r="D3" s="1872" t="s">
        <v>5488</v>
      </c>
    </row>
    <row r="4" spans="1:5">
      <c r="A4" s="1835">
        <v>1</v>
      </c>
      <c r="B4" s="1836" t="s">
        <v>5489</v>
      </c>
      <c r="C4" s="2075">
        <f>C5+C6+C7+C8</f>
        <v>0</v>
      </c>
      <c r="D4" s="1974"/>
      <c r="E4" s="1575"/>
    </row>
    <row r="5" spans="1:5">
      <c r="A5" s="1835">
        <v>2</v>
      </c>
      <c r="B5" s="1836" t="s">
        <v>5490</v>
      </c>
      <c r="C5" s="2077"/>
      <c r="D5" s="1974"/>
      <c r="E5" s="1575"/>
    </row>
    <row r="6" spans="1:5" ht="24">
      <c r="A6" s="1837">
        <v>3</v>
      </c>
      <c r="B6" s="1838" t="s">
        <v>5491</v>
      </c>
      <c r="C6" s="2078">
        <f>A107011股息红利优惠明细表!Q15</f>
        <v>0</v>
      </c>
      <c r="D6" s="1976" t="s">
        <v>5492</v>
      </c>
    </row>
    <row r="7" spans="1:5">
      <c r="A7" s="1835">
        <v>4</v>
      </c>
      <c r="B7" s="1836" t="s">
        <v>5493</v>
      </c>
      <c r="C7" s="2077"/>
      <c r="D7" s="1977"/>
    </row>
    <row r="8" spans="1:5">
      <c r="A8" s="1835">
        <v>5</v>
      </c>
      <c r="B8" s="1836" t="s">
        <v>5494</v>
      </c>
      <c r="C8" s="2075">
        <f>SUM(C9:C17)</f>
        <v>0</v>
      </c>
      <c r="D8" s="1977"/>
    </row>
    <row r="9" spans="1:5">
      <c r="A9" s="1835">
        <v>6</v>
      </c>
      <c r="B9" s="1836" t="s">
        <v>5495</v>
      </c>
      <c r="C9" s="2087"/>
      <c r="D9" s="1977"/>
    </row>
    <row r="10" spans="1:5">
      <c r="A10" s="1835">
        <v>7</v>
      </c>
      <c r="B10" s="1836" t="s">
        <v>5496</v>
      </c>
      <c r="C10" s="2087"/>
      <c r="D10" s="1977"/>
    </row>
    <row r="11" spans="1:5">
      <c r="A11" s="1835">
        <v>8</v>
      </c>
      <c r="B11" s="1836" t="s">
        <v>5497</v>
      </c>
      <c r="C11" s="2087"/>
      <c r="D11" s="1977"/>
    </row>
    <row r="12" spans="1:5">
      <c r="A12" s="1835">
        <v>9</v>
      </c>
      <c r="B12" s="1836" t="s">
        <v>5498</v>
      </c>
      <c r="C12" s="2087"/>
      <c r="D12" s="1977"/>
      <c r="E12" s="1675" t="s">
        <v>6454</v>
      </c>
    </row>
    <row r="13" spans="1:5">
      <c r="A13" s="1835">
        <v>10</v>
      </c>
      <c r="B13" s="1836" t="s">
        <v>5499</v>
      </c>
      <c r="C13" s="2087"/>
      <c r="D13" s="1977"/>
    </row>
    <row r="14" spans="1:5">
      <c r="A14" s="1835">
        <v>11</v>
      </c>
      <c r="B14" s="1836" t="s">
        <v>5500</v>
      </c>
      <c r="C14" s="2087"/>
      <c r="D14" s="1977"/>
    </row>
    <row r="15" spans="1:5">
      <c r="A15" s="1835">
        <v>12</v>
      </c>
      <c r="B15" s="1836" t="s">
        <v>5501</v>
      </c>
      <c r="C15" s="2087"/>
      <c r="D15" s="1977"/>
    </row>
    <row r="16" spans="1:5">
      <c r="A16" s="1835">
        <v>13</v>
      </c>
      <c r="B16" s="1836" t="s">
        <v>5502</v>
      </c>
      <c r="C16" s="2087"/>
      <c r="D16" s="1977"/>
    </row>
    <row r="17" spans="1:4">
      <c r="A17" s="1835">
        <v>14</v>
      </c>
      <c r="B17" s="1836" t="s">
        <v>5503</v>
      </c>
      <c r="C17" s="2087"/>
      <c r="D17" s="1977"/>
    </row>
    <row r="18" spans="1:4">
      <c r="A18" s="1835">
        <v>15</v>
      </c>
      <c r="B18" s="1836" t="s">
        <v>5504</v>
      </c>
      <c r="C18" s="2075">
        <f>C19+C20</f>
        <v>0</v>
      </c>
      <c r="D18" s="1977"/>
    </row>
    <row r="19" spans="1:4" ht="27.75" customHeight="1">
      <c r="A19" s="1835">
        <v>16</v>
      </c>
      <c r="B19" s="1836" t="s">
        <v>5505</v>
      </c>
      <c r="C19" s="2075">
        <f>A107012综合利用资源生产产品取得的收入优惠明细表!K15</f>
        <v>0</v>
      </c>
      <c r="D19" s="1976" t="s">
        <v>5506</v>
      </c>
    </row>
    <row r="20" spans="1:4">
      <c r="A20" s="1835">
        <v>17</v>
      </c>
      <c r="B20" s="1836" t="s">
        <v>5507</v>
      </c>
      <c r="C20" s="2075">
        <f>C21+C22+C23</f>
        <v>0</v>
      </c>
      <c r="D20" s="1978"/>
    </row>
    <row r="21" spans="1:4" ht="24">
      <c r="A21" s="1835">
        <v>18</v>
      </c>
      <c r="B21" s="1836" t="s">
        <v>5508</v>
      </c>
      <c r="C21" s="2075">
        <f>A107013金融保险等机构取得涉农利息保费收入优惠明细表!C16</f>
        <v>0</v>
      </c>
      <c r="D21" s="1976" t="s">
        <v>5509</v>
      </c>
    </row>
    <row r="22" spans="1:4">
      <c r="A22" s="1835">
        <v>19</v>
      </c>
      <c r="B22" s="1836" t="s">
        <v>5510</v>
      </c>
      <c r="C22" s="2087"/>
      <c r="D22" s="1977"/>
    </row>
    <row r="23" spans="1:4">
      <c r="A23" s="1835">
        <v>20</v>
      </c>
      <c r="B23" s="1836" t="s">
        <v>5511</v>
      </c>
      <c r="C23" s="2077"/>
      <c r="D23" s="1977"/>
    </row>
    <row r="24" spans="1:4">
      <c r="A24" s="1835">
        <v>21</v>
      </c>
      <c r="B24" s="1836" t="s">
        <v>5512</v>
      </c>
      <c r="C24" s="2075">
        <f>C25+C26+C29</f>
        <v>0</v>
      </c>
      <c r="D24" s="1977"/>
    </row>
    <row r="25" spans="1:4" ht="36">
      <c r="A25" s="1837">
        <v>22</v>
      </c>
      <c r="B25" s="1838" t="s">
        <v>5513</v>
      </c>
      <c r="C25" s="2078">
        <f>A107014研发费用加计扣除优惠明细表!T15</f>
        <v>0</v>
      </c>
      <c r="D25" s="1976" t="s">
        <v>5514</v>
      </c>
    </row>
    <row r="26" spans="1:4" ht="24">
      <c r="A26" s="1835">
        <v>23</v>
      </c>
      <c r="B26" s="1839" t="s">
        <v>5515</v>
      </c>
      <c r="C26" s="2075">
        <f>C27+C28</f>
        <v>0</v>
      </c>
      <c r="D26" s="1977"/>
    </row>
    <row r="27" spans="1:4">
      <c r="A27" s="1835">
        <v>24</v>
      </c>
      <c r="B27" s="1836" t="s">
        <v>5516</v>
      </c>
      <c r="C27" s="2077"/>
      <c r="D27" s="1977"/>
    </row>
    <row r="28" spans="1:4">
      <c r="A28" s="1835">
        <v>25</v>
      </c>
      <c r="B28" s="1836" t="s">
        <v>5517</v>
      </c>
      <c r="C28" s="2077"/>
      <c r="D28" s="1977"/>
    </row>
    <row r="29" spans="1:4">
      <c r="A29" s="1835">
        <v>26</v>
      </c>
      <c r="B29" s="1836" t="s">
        <v>5518</v>
      </c>
      <c r="C29" s="2077"/>
      <c r="D29" s="1977"/>
    </row>
    <row r="30" spans="1:4" ht="24">
      <c r="A30" s="1835">
        <v>27</v>
      </c>
      <c r="B30" s="1836" t="s">
        <v>5519</v>
      </c>
      <c r="C30" s="2075">
        <f>C4+C18+C24</f>
        <v>0</v>
      </c>
      <c r="D30" s="1978" t="s">
        <v>5520</v>
      </c>
    </row>
  </sheetData>
  <mergeCells count="2">
    <mergeCell ref="A1:C1"/>
    <mergeCell ref="A2:C2"/>
  </mergeCells>
  <phoneticPr fontId="51" type="noConversion"/>
  <hyperlinks>
    <hyperlink ref="E12" location="A107010免税、减计收入及加计扣除优惠明细表!A1" display="A107010免税、减计收入及加计扣除优惠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tabColor rgb="FFFFFF00"/>
  </sheetPr>
  <dimension ref="A1:S15"/>
  <sheetViews>
    <sheetView topLeftCell="B1" workbookViewId="0">
      <selection activeCell="L5" sqref="L5"/>
    </sheetView>
  </sheetViews>
  <sheetFormatPr defaultRowHeight="15.6"/>
  <cols>
    <col min="1" max="1" width="4.19921875" style="1584" hidden="1" customWidth="1"/>
    <col min="2" max="2" width="16.5" style="1584" customWidth="1"/>
    <col min="3" max="3" width="5.09765625" style="1584" customWidth="1"/>
    <col min="4" max="4" width="9" style="1584" customWidth="1"/>
    <col min="5" max="5" width="5.3984375" style="1584" customWidth="1"/>
    <col min="6" max="6" width="9.5" style="1584" customWidth="1"/>
    <col min="7" max="11" width="9" style="1584" customWidth="1"/>
    <col min="12" max="12" width="6.3984375" style="1584" customWidth="1"/>
    <col min="13" max="14" width="9" style="1584" customWidth="1"/>
    <col min="15" max="15" width="9" style="1584"/>
    <col min="16" max="17" width="9" style="1584" customWidth="1"/>
    <col min="18" max="18" width="8.3984375" style="1584" customWidth="1"/>
    <col min="19" max="256" width="9" style="1584"/>
    <col min="257" max="257" width="0" style="1584" hidden="1" customWidth="1"/>
    <col min="258" max="258" width="6.09765625" style="1584" customWidth="1"/>
    <col min="259" max="260" width="5.09765625" style="1584" customWidth="1"/>
    <col min="261" max="261" width="5.3984375" style="1584" customWidth="1"/>
    <col min="262" max="263" width="9.5" style="1584" customWidth="1"/>
    <col min="264" max="264" width="6.3984375" style="1584" customWidth="1"/>
    <col min="265" max="265" width="8.59765625" style="1584" customWidth="1"/>
    <col min="266" max="266" width="7.5" style="1584" customWidth="1"/>
    <col min="267" max="267" width="8.3984375" style="1584" customWidth="1"/>
    <col min="268" max="268" width="6.3984375" style="1584" customWidth="1"/>
    <col min="269" max="269" width="6.09765625" style="1584" customWidth="1"/>
    <col min="270" max="270" width="7.19921875" style="1584" customWidth="1"/>
    <col min="271" max="271" width="9" style="1584"/>
    <col min="272" max="272" width="6.5" style="1584" customWidth="1"/>
    <col min="273" max="273" width="9.3984375" style="1584" customWidth="1"/>
    <col min="274" max="274" width="8.3984375" style="1584" customWidth="1"/>
    <col min="275" max="512" width="9" style="1584"/>
    <col min="513" max="513" width="0" style="1584" hidden="1" customWidth="1"/>
    <col min="514" max="514" width="6.09765625" style="1584" customWidth="1"/>
    <col min="515" max="516" width="5.09765625" style="1584" customWidth="1"/>
    <col min="517" max="517" width="5.3984375" style="1584" customWidth="1"/>
    <col min="518" max="519" width="9.5" style="1584" customWidth="1"/>
    <col min="520" max="520" width="6.3984375" style="1584" customWidth="1"/>
    <col min="521" max="521" width="8.59765625" style="1584" customWidth="1"/>
    <col min="522" max="522" width="7.5" style="1584" customWidth="1"/>
    <col min="523" max="523" width="8.3984375" style="1584" customWidth="1"/>
    <col min="524" max="524" width="6.3984375" style="1584" customWidth="1"/>
    <col min="525" max="525" width="6.09765625" style="1584" customWidth="1"/>
    <col min="526" max="526" width="7.19921875" style="1584" customWidth="1"/>
    <col min="527" max="527" width="9" style="1584"/>
    <col min="528" max="528" width="6.5" style="1584" customWidth="1"/>
    <col min="529" max="529" width="9.3984375" style="1584" customWidth="1"/>
    <col min="530" max="530" width="8.3984375" style="1584" customWidth="1"/>
    <col min="531" max="768" width="9" style="1584"/>
    <col min="769" max="769" width="0" style="1584" hidden="1" customWidth="1"/>
    <col min="770" max="770" width="6.09765625" style="1584" customWidth="1"/>
    <col min="771" max="772" width="5.09765625" style="1584" customWidth="1"/>
    <col min="773" max="773" width="5.3984375" style="1584" customWidth="1"/>
    <col min="774" max="775" width="9.5" style="1584" customWidth="1"/>
    <col min="776" max="776" width="6.3984375" style="1584" customWidth="1"/>
    <col min="777" max="777" width="8.59765625" style="1584" customWidth="1"/>
    <col min="778" max="778" width="7.5" style="1584" customWidth="1"/>
    <col min="779" max="779" width="8.3984375" style="1584" customWidth="1"/>
    <col min="780" max="780" width="6.3984375" style="1584" customWidth="1"/>
    <col min="781" max="781" width="6.09765625" style="1584" customWidth="1"/>
    <col min="782" max="782" width="7.19921875" style="1584" customWidth="1"/>
    <col min="783" max="783" width="9" style="1584"/>
    <col min="784" max="784" width="6.5" style="1584" customWidth="1"/>
    <col min="785" max="785" width="9.3984375" style="1584" customWidth="1"/>
    <col min="786" max="786" width="8.3984375" style="1584" customWidth="1"/>
    <col min="787" max="1024" width="9" style="1584"/>
    <col min="1025" max="1025" width="0" style="1584" hidden="1" customWidth="1"/>
    <col min="1026" max="1026" width="6.09765625" style="1584" customWidth="1"/>
    <col min="1027" max="1028" width="5.09765625" style="1584" customWidth="1"/>
    <col min="1029" max="1029" width="5.3984375" style="1584" customWidth="1"/>
    <col min="1030" max="1031" width="9.5" style="1584" customWidth="1"/>
    <col min="1032" max="1032" width="6.3984375" style="1584" customWidth="1"/>
    <col min="1033" max="1033" width="8.59765625" style="1584" customWidth="1"/>
    <col min="1034" max="1034" width="7.5" style="1584" customWidth="1"/>
    <col min="1035" max="1035" width="8.3984375" style="1584" customWidth="1"/>
    <col min="1036" max="1036" width="6.3984375" style="1584" customWidth="1"/>
    <col min="1037" max="1037" width="6.09765625" style="1584" customWidth="1"/>
    <col min="1038" max="1038" width="7.19921875" style="1584" customWidth="1"/>
    <col min="1039" max="1039" width="9" style="1584"/>
    <col min="1040" max="1040" width="6.5" style="1584" customWidth="1"/>
    <col min="1041" max="1041" width="9.3984375" style="1584" customWidth="1"/>
    <col min="1042" max="1042" width="8.3984375" style="1584" customWidth="1"/>
    <col min="1043" max="1280" width="9" style="1584"/>
    <col min="1281" max="1281" width="0" style="1584" hidden="1" customWidth="1"/>
    <col min="1282" max="1282" width="6.09765625" style="1584" customWidth="1"/>
    <col min="1283" max="1284" width="5.09765625" style="1584" customWidth="1"/>
    <col min="1285" max="1285" width="5.3984375" style="1584" customWidth="1"/>
    <col min="1286" max="1287" width="9.5" style="1584" customWidth="1"/>
    <col min="1288" max="1288" width="6.3984375" style="1584" customWidth="1"/>
    <col min="1289" max="1289" width="8.59765625" style="1584" customWidth="1"/>
    <col min="1290" max="1290" width="7.5" style="1584" customWidth="1"/>
    <col min="1291" max="1291" width="8.3984375" style="1584" customWidth="1"/>
    <col min="1292" max="1292" width="6.3984375" style="1584" customWidth="1"/>
    <col min="1293" max="1293" width="6.09765625" style="1584" customWidth="1"/>
    <col min="1294" max="1294" width="7.19921875" style="1584" customWidth="1"/>
    <col min="1295" max="1295" width="9" style="1584"/>
    <col min="1296" max="1296" width="6.5" style="1584" customWidth="1"/>
    <col min="1297" max="1297" width="9.3984375" style="1584" customWidth="1"/>
    <col min="1298" max="1298" width="8.3984375" style="1584" customWidth="1"/>
    <col min="1299" max="1536" width="9" style="1584"/>
    <col min="1537" max="1537" width="0" style="1584" hidden="1" customWidth="1"/>
    <col min="1538" max="1538" width="6.09765625" style="1584" customWidth="1"/>
    <col min="1539" max="1540" width="5.09765625" style="1584" customWidth="1"/>
    <col min="1541" max="1541" width="5.3984375" style="1584" customWidth="1"/>
    <col min="1542" max="1543" width="9.5" style="1584" customWidth="1"/>
    <col min="1544" max="1544" width="6.3984375" style="1584" customWidth="1"/>
    <col min="1545" max="1545" width="8.59765625" style="1584" customWidth="1"/>
    <col min="1546" max="1546" width="7.5" style="1584" customWidth="1"/>
    <col min="1547" max="1547" width="8.3984375" style="1584" customWidth="1"/>
    <col min="1548" max="1548" width="6.3984375" style="1584" customWidth="1"/>
    <col min="1549" max="1549" width="6.09765625" style="1584" customWidth="1"/>
    <col min="1550" max="1550" width="7.19921875" style="1584" customWidth="1"/>
    <col min="1551" max="1551" width="9" style="1584"/>
    <col min="1552" max="1552" width="6.5" style="1584" customWidth="1"/>
    <col min="1553" max="1553" width="9.3984375" style="1584" customWidth="1"/>
    <col min="1554" max="1554" width="8.3984375" style="1584" customWidth="1"/>
    <col min="1555" max="1792" width="9" style="1584"/>
    <col min="1793" max="1793" width="0" style="1584" hidden="1" customWidth="1"/>
    <col min="1794" max="1794" width="6.09765625" style="1584" customWidth="1"/>
    <col min="1795" max="1796" width="5.09765625" style="1584" customWidth="1"/>
    <col min="1797" max="1797" width="5.3984375" style="1584" customWidth="1"/>
    <col min="1798" max="1799" width="9.5" style="1584" customWidth="1"/>
    <col min="1800" max="1800" width="6.3984375" style="1584" customWidth="1"/>
    <col min="1801" max="1801" width="8.59765625" style="1584" customWidth="1"/>
    <col min="1802" max="1802" width="7.5" style="1584" customWidth="1"/>
    <col min="1803" max="1803" width="8.3984375" style="1584" customWidth="1"/>
    <col min="1804" max="1804" width="6.3984375" style="1584" customWidth="1"/>
    <col min="1805" max="1805" width="6.09765625" style="1584" customWidth="1"/>
    <col min="1806" max="1806" width="7.19921875" style="1584" customWidth="1"/>
    <col min="1807" max="1807" width="9" style="1584"/>
    <col min="1808" max="1808" width="6.5" style="1584" customWidth="1"/>
    <col min="1809" max="1809" width="9.3984375" style="1584" customWidth="1"/>
    <col min="1810" max="1810" width="8.3984375" style="1584" customWidth="1"/>
    <col min="1811" max="2048" width="9" style="1584"/>
    <col min="2049" max="2049" width="0" style="1584" hidden="1" customWidth="1"/>
    <col min="2050" max="2050" width="6.09765625" style="1584" customWidth="1"/>
    <col min="2051" max="2052" width="5.09765625" style="1584" customWidth="1"/>
    <col min="2053" max="2053" width="5.3984375" style="1584" customWidth="1"/>
    <col min="2054" max="2055" width="9.5" style="1584" customWidth="1"/>
    <col min="2056" max="2056" width="6.3984375" style="1584" customWidth="1"/>
    <col min="2057" max="2057" width="8.59765625" style="1584" customWidth="1"/>
    <col min="2058" max="2058" width="7.5" style="1584" customWidth="1"/>
    <col min="2059" max="2059" width="8.3984375" style="1584" customWidth="1"/>
    <col min="2060" max="2060" width="6.3984375" style="1584" customWidth="1"/>
    <col min="2061" max="2061" width="6.09765625" style="1584" customWidth="1"/>
    <col min="2062" max="2062" width="7.19921875" style="1584" customWidth="1"/>
    <col min="2063" max="2063" width="9" style="1584"/>
    <col min="2064" max="2064" width="6.5" style="1584" customWidth="1"/>
    <col min="2065" max="2065" width="9.3984375" style="1584" customWidth="1"/>
    <col min="2066" max="2066" width="8.3984375" style="1584" customWidth="1"/>
    <col min="2067" max="2304" width="9" style="1584"/>
    <col min="2305" max="2305" width="0" style="1584" hidden="1" customWidth="1"/>
    <col min="2306" max="2306" width="6.09765625" style="1584" customWidth="1"/>
    <col min="2307" max="2308" width="5.09765625" style="1584" customWidth="1"/>
    <col min="2309" max="2309" width="5.3984375" style="1584" customWidth="1"/>
    <col min="2310" max="2311" width="9.5" style="1584" customWidth="1"/>
    <col min="2312" max="2312" width="6.3984375" style="1584" customWidth="1"/>
    <col min="2313" max="2313" width="8.59765625" style="1584" customWidth="1"/>
    <col min="2314" max="2314" width="7.5" style="1584" customWidth="1"/>
    <col min="2315" max="2315" width="8.3984375" style="1584" customWidth="1"/>
    <col min="2316" max="2316" width="6.3984375" style="1584" customWidth="1"/>
    <col min="2317" max="2317" width="6.09765625" style="1584" customWidth="1"/>
    <col min="2318" max="2318" width="7.19921875" style="1584" customWidth="1"/>
    <col min="2319" max="2319" width="9" style="1584"/>
    <col min="2320" max="2320" width="6.5" style="1584" customWidth="1"/>
    <col min="2321" max="2321" width="9.3984375" style="1584" customWidth="1"/>
    <col min="2322" max="2322" width="8.3984375" style="1584" customWidth="1"/>
    <col min="2323" max="2560" width="9" style="1584"/>
    <col min="2561" max="2561" width="0" style="1584" hidden="1" customWidth="1"/>
    <col min="2562" max="2562" width="6.09765625" style="1584" customWidth="1"/>
    <col min="2563" max="2564" width="5.09765625" style="1584" customWidth="1"/>
    <col min="2565" max="2565" width="5.3984375" style="1584" customWidth="1"/>
    <col min="2566" max="2567" width="9.5" style="1584" customWidth="1"/>
    <col min="2568" max="2568" width="6.3984375" style="1584" customWidth="1"/>
    <col min="2569" max="2569" width="8.59765625" style="1584" customWidth="1"/>
    <col min="2570" max="2570" width="7.5" style="1584" customWidth="1"/>
    <col min="2571" max="2571" width="8.3984375" style="1584" customWidth="1"/>
    <col min="2572" max="2572" width="6.3984375" style="1584" customWidth="1"/>
    <col min="2573" max="2573" width="6.09765625" style="1584" customWidth="1"/>
    <col min="2574" max="2574" width="7.19921875" style="1584" customWidth="1"/>
    <col min="2575" max="2575" width="9" style="1584"/>
    <col min="2576" max="2576" width="6.5" style="1584" customWidth="1"/>
    <col min="2577" max="2577" width="9.3984375" style="1584" customWidth="1"/>
    <col min="2578" max="2578" width="8.3984375" style="1584" customWidth="1"/>
    <col min="2579" max="2816" width="9" style="1584"/>
    <col min="2817" max="2817" width="0" style="1584" hidden="1" customWidth="1"/>
    <col min="2818" max="2818" width="6.09765625" style="1584" customWidth="1"/>
    <col min="2819" max="2820" width="5.09765625" style="1584" customWidth="1"/>
    <col min="2821" max="2821" width="5.3984375" style="1584" customWidth="1"/>
    <col min="2822" max="2823" width="9.5" style="1584" customWidth="1"/>
    <col min="2824" max="2824" width="6.3984375" style="1584" customWidth="1"/>
    <col min="2825" max="2825" width="8.59765625" style="1584" customWidth="1"/>
    <col min="2826" max="2826" width="7.5" style="1584" customWidth="1"/>
    <col min="2827" max="2827" width="8.3984375" style="1584" customWidth="1"/>
    <col min="2828" max="2828" width="6.3984375" style="1584" customWidth="1"/>
    <col min="2829" max="2829" width="6.09765625" style="1584" customWidth="1"/>
    <col min="2830" max="2830" width="7.19921875" style="1584" customWidth="1"/>
    <col min="2831" max="2831" width="9" style="1584"/>
    <col min="2832" max="2832" width="6.5" style="1584" customWidth="1"/>
    <col min="2833" max="2833" width="9.3984375" style="1584" customWidth="1"/>
    <col min="2834" max="2834" width="8.3984375" style="1584" customWidth="1"/>
    <col min="2835" max="3072" width="9" style="1584"/>
    <col min="3073" max="3073" width="0" style="1584" hidden="1" customWidth="1"/>
    <col min="3074" max="3074" width="6.09765625" style="1584" customWidth="1"/>
    <col min="3075" max="3076" width="5.09765625" style="1584" customWidth="1"/>
    <col min="3077" max="3077" width="5.3984375" style="1584" customWidth="1"/>
    <col min="3078" max="3079" width="9.5" style="1584" customWidth="1"/>
    <col min="3080" max="3080" width="6.3984375" style="1584" customWidth="1"/>
    <col min="3081" max="3081" width="8.59765625" style="1584" customWidth="1"/>
    <col min="3082" max="3082" width="7.5" style="1584" customWidth="1"/>
    <col min="3083" max="3083" width="8.3984375" style="1584" customWidth="1"/>
    <col min="3084" max="3084" width="6.3984375" style="1584" customWidth="1"/>
    <col min="3085" max="3085" width="6.09765625" style="1584" customWidth="1"/>
    <col min="3086" max="3086" width="7.19921875" style="1584" customWidth="1"/>
    <col min="3087" max="3087" width="9" style="1584"/>
    <col min="3088" max="3088" width="6.5" style="1584" customWidth="1"/>
    <col min="3089" max="3089" width="9.3984375" style="1584" customWidth="1"/>
    <col min="3090" max="3090" width="8.3984375" style="1584" customWidth="1"/>
    <col min="3091" max="3328" width="9" style="1584"/>
    <col min="3329" max="3329" width="0" style="1584" hidden="1" customWidth="1"/>
    <col min="3330" max="3330" width="6.09765625" style="1584" customWidth="1"/>
    <col min="3331" max="3332" width="5.09765625" style="1584" customWidth="1"/>
    <col min="3333" max="3333" width="5.3984375" style="1584" customWidth="1"/>
    <col min="3334" max="3335" width="9.5" style="1584" customWidth="1"/>
    <col min="3336" max="3336" width="6.3984375" style="1584" customWidth="1"/>
    <col min="3337" max="3337" width="8.59765625" style="1584" customWidth="1"/>
    <col min="3338" max="3338" width="7.5" style="1584" customWidth="1"/>
    <col min="3339" max="3339" width="8.3984375" style="1584" customWidth="1"/>
    <col min="3340" max="3340" width="6.3984375" style="1584" customWidth="1"/>
    <col min="3341" max="3341" width="6.09765625" style="1584" customWidth="1"/>
    <col min="3342" max="3342" width="7.19921875" style="1584" customWidth="1"/>
    <col min="3343" max="3343" width="9" style="1584"/>
    <col min="3344" max="3344" width="6.5" style="1584" customWidth="1"/>
    <col min="3345" max="3345" width="9.3984375" style="1584" customWidth="1"/>
    <col min="3346" max="3346" width="8.3984375" style="1584" customWidth="1"/>
    <col min="3347" max="3584" width="9" style="1584"/>
    <col min="3585" max="3585" width="0" style="1584" hidden="1" customWidth="1"/>
    <col min="3586" max="3586" width="6.09765625" style="1584" customWidth="1"/>
    <col min="3587" max="3588" width="5.09765625" style="1584" customWidth="1"/>
    <col min="3589" max="3589" width="5.3984375" style="1584" customWidth="1"/>
    <col min="3590" max="3591" width="9.5" style="1584" customWidth="1"/>
    <col min="3592" max="3592" width="6.3984375" style="1584" customWidth="1"/>
    <col min="3593" max="3593" width="8.59765625" style="1584" customWidth="1"/>
    <col min="3594" max="3594" width="7.5" style="1584" customWidth="1"/>
    <col min="3595" max="3595" width="8.3984375" style="1584" customWidth="1"/>
    <col min="3596" max="3596" width="6.3984375" style="1584" customWidth="1"/>
    <col min="3597" max="3597" width="6.09765625" style="1584" customWidth="1"/>
    <col min="3598" max="3598" width="7.19921875" style="1584" customWidth="1"/>
    <col min="3599" max="3599" width="9" style="1584"/>
    <col min="3600" max="3600" width="6.5" style="1584" customWidth="1"/>
    <col min="3601" max="3601" width="9.3984375" style="1584" customWidth="1"/>
    <col min="3602" max="3602" width="8.3984375" style="1584" customWidth="1"/>
    <col min="3603" max="3840" width="9" style="1584"/>
    <col min="3841" max="3841" width="0" style="1584" hidden="1" customWidth="1"/>
    <col min="3842" max="3842" width="6.09765625" style="1584" customWidth="1"/>
    <col min="3843" max="3844" width="5.09765625" style="1584" customWidth="1"/>
    <col min="3845" max="3845" width="5.3984375" style="1584" customWidth="1"/>
    <col min="3846" max="3847" width="9.5" style="1584" customWidth="1"/>
    <col min="3848" max="3848" width="6.3984375" style="1584" customWidth="1"/>
    <col min="3849" max="3849" width="8.59765625" style="1584" customWidth="1"/>
    <col min="3850" max="3850" width="7.5" style="1584" customWidth="1"/>
    <col min="3851" max="3851" width="8.3984375" style="1584" customWidth="1"/>
    <col min="3852" max="3852" width="6.3984375" style="1584" customWidth="1"/>
    <col min="3853" max="3853" width="6.09765625" style="1584" customWidth="1"/>
    <col min="3854" max="3854" width="7.19921875" style="1584" customWidth="1"/>
    <col min="3855" max="3855" width="9" style="1584"/>
    <col min="3856" max="3856" width="6.5" style="1584" customWidth="1"/>
    <col min="3857" max="3857" width="9.3984375" style="1584" customWidth="1"/>
    <col min="3858" max="3858" width="8.3984375" style="1584" customWidth="1"/>
    <col min="3859" max="4096" width="9" style="1584"/>
    <col min="4097" max="4097" width="0" style="1584" hidden="1" customWidth="1"/>
    <col min="4098" max="4098" width="6.09765625" style="1584" customWidth="1"/>
    <col min="4099" max="4100" width="5.09765625" style="1584" customWidth="1"/>
    <col min="4101" max="4101" width="5.3984375" style="1584" customWidth="1"/>
    <col min="4102" max="4103" width="9.5" style="1584" customWidth="1"/>
    <col min="4104" max="4104" width="6.3984375" style="1584" customWidth="1"/>
    <col min="4105" max="4105" width="8.59765625" style="1584" customWidth="1"/>
    <col min="4106" max="4106" width="7.5" style="1584" customWidth="1"/>
    <col min="4107" max="4107" width="8.3984375" style="1584" customWidth="1"/>
    <col min="4108" max="4108" width="6.3984375" style="1584" customWidth="1"/>
    <col min="4109" max="4109" width="6.09765625" style="1584" customWidth="1"/>
    <col min="4110" max="4110" width="7.19921875" style="1584" customWidth="1"/>
    <col min="4111" max="4111" width="9" style="1584"/>
    <col min="4112" max="4112" width="6.5" style="1584" customWidth="1"/>
    <col min="4113" max="4113" width="9.3984375" style="1584" customWidth="1"/>
    <col min="4114" max="4114" width="8.3984375" style="1584" customWidth="1"/>
    <col min="4115" max="4352" width="9" style="1584"/>
    <col min="4353" max="4353" width="0" style="1584" hidden="1" customWidth="1"/>
    <col min="4354" max="4354" width="6.09765625" style="1584" customWidth="1"/>
    <col min="4355" max="4356" width="5.09765625" style="1584" customWidth="1"/>
    <col min="4357" max="4357" width="5.3984375" style="1584" customWidth="1"/>
    <col min="4358" max="4359" width="9.5" style="1584" customWidth="1"/>
    <col min="4360" max="4360" width="6.3984375" style="1584" customWidth="1"/>
    <col min="4361" max="4361" width="8.59765625" style="1584" customWidth="1"/>
    <col min="4362" max="4362" width="7.5" style="1584" customWidth="1"/>
    <col min="4363" max="4363" width="8.3984375" style="1584" customWidth="1"/>
    <col min="4364" max="4364" width="6.3984375" style="1584" customWidth="1"/>
    <col min="4365" max="4365" width="6.09765625" style="1584" customWidth="1"/>
    <col min="4366" max="4366" width="7.19921875" style="1584" customWidth="1"/>
    <col min="4367" max="4367" width="9" style="1584"/>
    <col min="4368" max="4368" width="6.5" style="1584" customWidth="1"/>
    <col min="4369" max="4369" width="9.3984375" style="1584" customWidth="1"/>
    <col min="4370" max="4370" width="8.3984375" style="1584" customWidth="1"/>
    <col min="4371" max="4608" width="9" style="1584"/>
    <col min="4609" max="4609" width="0" style="1584" hidden="1" customWidth="1"/>
    <col min="4610" max="4610" width="6.09765625" style="1584" customWidth="1"/>
    <col min="4611" max="4612" width="5.09765625" style="1584" customWidth="1"/>
    <col min="4613" max="4613" width="5.3984375" style="1584" customWidth="1"/>
    <col min="4614" max="4615" width="9.5" style="1584" customWidth="1"/>
    <col min="4616" max="4616" width="6.3984375" style="1584" customWidth="1"/>
    <col min="4617" max="4617" width="8.59765625" style="1584" customWidth="1"/>
    <col min="4618" max="4618" width="7.5" style="1584" customWidth="1"/>
    <col min="4619" max="4619" width="8.3984375" style="1584" customWidth="1"/>
    <col min="4620" max="4620" width="6.3984375" style="1584" customWidth="1"/>
    <col min="4621" max="4621" width="6.09765625" style="1584" customWidth="1"/>
    <col min="4622" max="4622" width="7.19921875" style="1584" customWidth="1"/>
    <col min="4623" max="4623" width="9" style="1584"/>
    <col min="4624" max="4624" width="6.5" style="1584" customWidth="1"/>
    <col min="4625" max="4625" width="9.3984375" style="1584" customWidth="1"/>
    <col min="4626" max="4626" width="8.3984375" style="1584" customWidth="1"/>
    <col min="4627" max="4864" width="9" style="1584"/>
    <col min="4865" max="4865" width="0" style="1584" hidden="1" customWidth="1"/>
    <col min="4866" max="4866" width="6.09765625" style="1584" customWidth="1"/>
    <col min="4867" max="4868" width="5.09765625" style="1584" customWidth="1"/>
    <col min="4869" max="4869" width="5.3984375" style="1584" customWidth="1"/>
    <col min="4870" max="4871" width="9.5" style="1584" customWidth="1"/>
    <col min="4872" max="4872" width="6.3984375" style="1584" customWidth="1"/>
    <col min="4873" max="4873" width="8.59765625" style="1584" customWidth="1"/>
    <col min="4874" max="4874" width="7.5" style="1584" customWidth="1"/>
    <col min="4875" max="4875" width="8.3984375" style="1584" customWidth="1"/>
    <col min="4876" max="4876" width="6.3984375" style="1584" customWidth="1"/>
    <col min="4877" max="4877" width="6.09765625" style="1584" customWidth="1"/>
    <col min="4878" max="4878" width="7.19921875" style="1584" customWidth="1"/>
    <col min="4879" max="4879" width="9" style="1584"/>
    <col min="4880" max="4880" width="6.5" style="1584" customWidth="1"/>
    <col min="4881" max="4881" width="9.3984375" style="1584" customWidth="1"/>
    <col min="4882" max="4882" width="8.3984375" style="1584" customWidth="1"/>
    <col min="4883" max="5120" width="9" style="1584"/>
    <col min="5121" max="5121" width="0" style="1584" hidden="1" customWidth="1"/>
    <col min="5122" max="5122" width="6.09765625" style="1584" customWidth="1"/>
    <col min="5123" max="5124" width="5.09765625" style="1584" customWidth="1"/>
    <col min="5125" max="5125" width="5.3984375" style="1584" customWidth="1"/>
    <col min="5126" max="5127" width="9.5" style="1584" customWidth="1"/>
    <col min="5128" max="5128" width="6.3984375" style="1584" customWidth="1"/>
    <col min="5129" max="5129" width="8.59765625" style="1584" customWidth="1"/>
    <col min="5130" max="5130" width="7.5" style="1584" customWidth="1"/>
    <col min="5131" max="5131" width="8.3984375" style="1584" customWidth="1"/>
    <col min="5132" max="5132" width="6.3984375" style="1584" customWidth="1"/>
    <col min="5133" max="5133" width="6.09765625" style="1584" customWidth="1"/>
    <col min="5134" max="5134" width="7.19921875" style="1584" customWidth="1"/>
    <col min="5135" max="5135" width="9" style="1584"/>
    <col min="5136" max="5136" width="6.5" style="1584" customWidth="1"/>
    <col min="5137" max="5137" width="9.3984375" style="1584" customWidth="1"/>
    <col min="5138" max="5138" width="8.3984375" style="1584" customWidth="1"/>
    <col min="5139" max="5376" width="9" style="1584"/>
    <col min="5377" max="5377" width="0" style="1584" hidden="1" customWidth="1"/>
    <col min="5378" max="5378" width="6.09765625" style="1584" customWidth="1"/>
    <col min="5379" max="5380" width="5.09765625" style="1584" customWidth="1"/>
    <col min="5381" max="5381" width="5.3984375" style="1584" customWidth="1"/>
    <col min="5382" max="5383" width="9.5" style="1584" customWidth="1"/>
    <col min="5384" max="5384" width="6.3984375" style="1584" customWidth="1"/>
    <col min="5385" max="5385" width="8.59765625" style="1584" customWidth="1"/>
    <col min="5386" max="5386" width="7.5" style="1584" customWidth="1"/>
    <col min="5387" max="5387" width="8.3984375" style="1584" customWidth="1"/>
    <col min="5388" max="5388" width="6.3984375" style="1584" customWidth="1"/>
    <col min="5389" max="5389" width="6.09765625" style="1584" customWidth="1"/>
    <col min="5390" max="5390" width="7.19921875" style="1584" customWidth="1"/>
    <col min="5391" max="5391" width="9" style="1584"/>
    <col min="5392" max="5392" width="6.5" style="1584" customWidth="1"/>
    <col min="5393" max="5393" width="9.3984375" style="1584" customWidth="1"/>
    <col min="5394" max="5394" width="8.3984375" style="1584" customWidth="1"/>
    <col min="5395" max="5632" width="9" style="1584"/>
    <col min="5633" max="5633" width="0" style="1584" hidden="1" customWidth="1"/>
    <col min="5634" max="5634" width="6.09765625" style="1584" customWidth="1"/>
    <col min="5635" max="5636" width="5.09765625" style="1584" customWidth="1"/>
    <col min="5637" max="5637" width="5.3984375" style="1584" customWidth="1"/>
    <col min="5638" max="5639" width="9.5" style="1584" customWidth="1"/>
    <col min="5640" max="5640" width="6.3984375" style="1584" customWidth="1"/>
    <col min="5641" max="5641" width="8.59765625" style="1584" customWidth="1"/>
    <col min="5642" max="5642" width="7.5" style="1584" customWidth="1"/>
    <col min="5643" max="5643" width="8.3984375" style="1584" customWidth="1"/>
    <col min="5644" max="5644" width="6.3984375" style="1584" customWidth="1"/>
    <col min="5645" max="5645" width="6.09765625" style="1584" customWidth="1"/>
    <col min="5646" max="5646" width="7.19921875" style="1584" customWidth="1"/>
    <col min="5647" max="5647" width="9" style="1584"/>
    <col min="5648" max="5648" width="6.5" style="1584" customWidth="1"/>
    <col min="5649" max="5649" width="9.3984375" style="1584" customWidth="1"/>
    <col min="5650" max="5650" width="8.3984375" style="1584" customWidth="1"/>
    <col min="5651" max="5888" width="9" style="1584"/>
    <col min="5889" max="5889" width="0" style="1584" hidden="1" customWidth="1"/>
    <col min="5890" max="5890" width="6.09765625" style="1584" customWidth="1"/>
    <col min="5891" max="5892" width="5.09765625" style="1584" customWidth="1"/>
    <col min="5893" max="5893" width="5.3984375" style="1584" customWidth="1"/>
    <col min="5894" max="5895" width="9.5" style="1584" customWidth="1"/>
    <col min="5896" max="5896" width="6.3984375" style="1584" customWidth="1"/>
    <col min="5897" max="5897" width="8.59765625" style="1584" customWidth="1"/>
    <col min="5898" max="5898" width="7.5" style="1584" customWidth="1"/>
    <col min="5899" max="5899" width="8.3984375" style="1584" customWidth="1"/>
    <col min="5900" max="5900" width="6.3984375" style="1584" customWidth="1"/>
    <col min="5901" max="5901" width="6.09765625" style="1584" customWidth="1"/>
    <col min="5902" max="5902" width="7.19921875" style="1584" customWidth="1"/>
    <col min="5903" max="5903" width="9" style="1584"/>
    <col min="5904" max="5904" width="6.5" style="1584" customWidth="1"/>
    <col min="5905" max="5905" width="9.3984375" style="1584" customWidth="1"/>
    <col min="5906" max="5906" width="8.3984375" style="1584" customWidth="1"/>
    <col min="5907" max="6144" width="9" style="1584"/>
    <col min="6145" max="6145" width="0" style="1584" hidden="1" customWidth="1"/>
    <col min="6146" max="6146" width="6.09765625" style="1584" customWidth="1"/>
    <col min="6147" max="6148" width="5.09765625" style="1584" customWidth="1"/>
    <col min="6149" max="6149" width="5.3984375" style="1584" customWidth="1"/>
    <col min="6150" max="6151" width="9.5" style="1584" customWidth="1"/>
    <col min="6152" max="6152" width="6.3984375" style="1584" customWidth="1"/>
    <col min="6153" max="6153" width="8.59765625" style="1584" customWidth="1"/>
    <col min="6154" max="6154" width="7.5" style="1584" customWidth="1"/>
    <col min="6155" max="6155" width="8.3984375" style="1584" customWidth="1"/>
    <col min="6156" max="6156" width="6.3984375" style="1584" customWidth="1"/>
    <col min="6157" max="6157" width="6.09765625" style="1584" customWidth="1"/>
    <col min="6158" max="6158" width="7.19921875" style="1584" customWidth="1"/>
    <col min="6159" max="6159" width="9" style="1584"/>
    <col min="6160" max="6160" width="6.5" style="1584" customWidth="1"/>
    <col min="6161" max="6161" width="9.3984375" style="1584" customWidth="1"/>
    <col min="6162" max="6162" width="8.3984375" style="1584" customWidth="1"/>
    <col min="6163" max="6400" width="9" style="1584"/>
    <col min="6401" max="6401" width="0" style="1584" hidden="1" customWidth="1"/>
    <col min="6402" max="6402" width="6.09765625" style="1584" customWidth="1"/>
    <col min="6403" max="6404" width="5.09765625" style="1584" customWidth="1"/>
    <col min="6405" max="6405" width="5.3984375" style="1584" customWidth="1"/>
    <col min="6406" max="6407" width="9.5" style="1584" customWidth="1"/>
    <col min="6408" max="6408" width="6.3984375" style="1584" customWidth="1"/>
    <col min="6409" max="6409" width="8.59765625" style="1584" customWidth="1"/>
    <col min="6410" max="6410" width="7.5" style="1584" customWidth="1"/>
    <col min="6411" max="6411" width="8.3984375" style="1584" customWidth="1"/>
    <col min="6412" max="6412" width="6.3984375" style="1584" customWidth="1"/>
    <col min="6413" max="6413" width="6.09765625" style="1584" customWidth="1"/>
    <col min="6414" max="6414" width="7.19921875" style="1584" customWidth="1"/>
    <col min="6415" max="6415" width="9" style="1584"/>
    <col min="6416" max="6416" width="6.5" style="1584" customWidth="1"/>
    <col min="6417" max="6417" width="9.3984375" style="1584" customWidth="1"/>
    <col min="6418" max="6418" width="8.3984375" style="1584" customWidth="1"/>
    <col min="6419" max="6656" width="9" style="1584"/>
    <col min="6657" max="6657" width="0" style="1584" hidden="1" customWidth="1"/>
    <col min="6658" max="6658" width="6.09765625" style="1584" customWidth="1"/>
    <col min="6659" max="6660" width="5.09765625" style="1584" customWidth="1"/>
    <col min="6661" max="6661" width="5.3984375" style="1584" customWidth="1"/>
    <col min="6662" max="6663" width="9.5" style="1584" customWidth="1"/>
    <col min="6664" max="6664" width="6.3984375" style="1584" customWidth="1"/>
    <col min="6665" max="6665" width="8.59765625" style="1584" customWidth="1"/>
    <col min="6666" max="6666" width="7.5" style="1584" customWidth="1"/>
    <col min="6667" max="6667" width="8.3984375" style="1584" customWidth="1"/>
    <col min="6668" max="6668" width="6.3984375" style="1584" customWidth="1"/>
    <col min="6669" max="6669" width="6.09765625" style="1584" customWidth="1"/>
    <col min="6670" max="6670" width="7.19921875" style="1584" customWidth="1"/>
    <col min="6671" max="6671" width="9" style="1584"/>
    <col min="6672" max="6672" width="6.5" style="1584" customWidth="1"/>
    <col min="6673" max="6673" width="9.3984375" style="1584" customWidth="1"/>
    <col min="6674" max="6674" width="8.3984375" style="1584" customWidth="1"/>
    <col min="6675" max="6912" width="9" style="1584"/>
    <col min="6913" max="6913" width="0" style="1584" hidden="1" customWidth="1"/>
    <col min="6914" max="6914" width="6.09765625" style="1584" customWidth="1"/>
    <col min="6915" max="6916" width="5.09765625" style="1584" customWidth="1"/>
    <col min="6917" max="6917" width="5.3984375" style="1584" customWidth="1"/>
    <col min="6918" max="6919" width="9.5" style="1584" customWidth="1"/>
    <col min="6920" max="6920" width="6.3984375" style="1584" customWidth="1"/>
    <col min="6921" max="6921" width="8.59765625" style="1584" customWidth="1"/>
    <col min="6922" max="6922" width="7.5" style="1584" customWidth="1"/>
    <col min="6923" max="6923" width="8.3984375" style="1584" customWidth="1"/>
    <col min="6924" max="6924" width="6.3984375" style="1584" customWidth="1"/>
    <col min="6925" max="6925" width="6.09765625" style="1584" customWidth="1"/>
    <col min="6926" max="6926" width="7.19921875" style="1584" customWidth="1"/>
    <col min="6927" max="6927" width="9" style="1584"/>
    <col min="6928" max="6928" width="6.5" style="1584" customWidth="1"/>
    <col min="6929" max="6929" width="9.3984375" style="1584" customWidth="1"/>
    <col min="6930" max="6930" width="8.3984375" style="1584" customWidth="1"/>
    <col min="6931" max="7168" width="9" style="1584"/>
    <col min="7169" max="7169" width="0" style="1584" hidden="1" customWidth="1"/>
    <col min="7170" max="7170" width="6.09765625" style="1584" customWidth="1"/>
    <col min="7171" max="7172" width="5.09765625" style="1584" customWidth="1"/>
    <col min="7173" max="7173" width="5.3984375" style="1584" customWidth="1"/>
    <col min="7174" max="7175" width="9.5" style="1584" customWidth="1"/>
    <col min="7176" max="7176" width="6.3984375" style="1584" customWidth="1"/>
    <col min="7177" max="7177" width="8.59765625" style="1584" customWidth="1"/>
    <col min="7178" max="7178" width="7.5" style="1584" customWidth="1"/>
    <col min="7179" max="7179" width="8.3984375" style="1584" customWidth="1"/>
    <col min="7180" max="7180" width="6.3984375" style="1584" customWidth="1"/>
    <col min="7181" max="7181" width="6.09765625" style="1584" customWidth="1"/>
    <col min="7182" max="7182" width="7.19921875" style="1584" customWidth="1"/>
    <col min="7183" max="7183" width="9" style="1584"/>
    <col min="7184" max="7184" width="6.5" style="1584" customWidth="1"/>
    <col min="7185" max="7185" width="9.3984375" style="1584" customWidth="1"/>
    <col min="7186" max="7186" width="8.3984375" style="1584" customWidth="1"/>
    <col min="7187" max="7424" width="9" style="1584"/>
    <col min="7425" max="7425" width="0" style="1584" hidden="1" customWidth="1"/>
    <col min="7426" max="7426" width="6.09765625" style="1584" customWidth="1"/>
    <col min="7427" max="7428" width="5.09765625" style="1584" customWidth="1"/>
    <col min="7429" max="7429" width="5.3984375" style="1584" customWidth="1"/>
    <col min="7430" max="7431" width="9.5" style="1584" customWidth="1"/>
    <col min="7432" max="7432" width="6.3984375" style="1584" customWidth="1"/>
    <col min="7433" max="7433" width="8.59765625" style="1584" customWidth="1"/>
    <col min="7434" max="7434" width="7.5" style="1584" customWidth="1"/>
    <col min="7435" max="7435" width="8.3984375" style="1584" customWidth="1"/>
    <col min="7436" max="7436" width="6.3984375" style="1584" customWidth="1"/>
    <col min="7437" max="7437" width="6.09765625" style="1584" customWidth="1"/>
    <col min="7438" max="7438" width="7.19921875" style="1584" customWidth="1"/>
    <col min="7439" max="7439" width="9" style="1584"/>
    <col min="7440" max="7440" width="6.5" style="1584" customWidth="1"/>
    <col min="7441" max="7441" width="9.3984375" style="1584" customWidth="1"/>
    <col min="7442" max="7442" width="8.3984375" style="1584" customWidth="1"/>
    <col min="7443" max="7680" width="9" style="1584"/>
    <col min="7681" max="7681" width="0" style="1584" hidden="1" customWidth="1"/>
    <col min="7682" max="7682" width="6.09765625" style="1584" customWidth="1"/>
    <col min="7683" max="7684" width="5.09765625" style="1584" customWidth="1"/>
    <col min="7685" max="7685" width="5.3984375" style="1584" customWidth="1"/>
    <col min="7686" max="7687" width="9.5" style="1584" customWidth="1"/>
    <col min="7688" max="7688" width="6.3984375" style="1584" customWidth="1"/>
    <col min="7689" max="7689" width="8.59765625" style="1584" customWidth="1"/>
    <col min="7690" max="7690" width="7.5" style="1584" customWidth="1"/>
    <col min="7691" max="7691" width="8.3984375" style="1584" customWidth="1"/>
    <col min="7692" max="7692" width="6.3984375" style="1584" customWidth="1"/>
    <col min="7693" max="7693" width="6.09765625" style="1584" customWidth="1"/>
    <col min="7694" max="7694" width="7.19921875" style="1584" customWidth="1"/>
    <col min="7695" max="7695" width="9" style="1584"/>
    <col min="7696" max="7696" width="6.5" style="1584" customWidth="1"/>
    <col min="7697" max="7697" width="9.3984375" style="1584" customWidth="1"/>
    <col min="7698" max="7698" width="8.3984375" style="1584" customWidth="1"/>
    <col min="7699" max="7936" width="9" style="1584"/>
    <col min="7937" max="7937" width="0" style="1584" hidden="1" customWidth="1"/>
    <col min="7938" max="7938" width="6.09765625" style="1584" customWidth="1"/>
    <col min="7939" max="7940" width="5.09765625" style="1584" customWidth="1"/>
    <col min="7941" max="7941" width="5.3984375" style="1584" customWidth="1"/>
    <col min="7942" max="7943" width="9.5" style="1584" customWidth="1"/>
    <col min="7944" max="7944" width="6.3984375" style="1584" customWidth="1"/>
    <col min="7945" max="7945" width="8.59765625" style="1584" customWidth="1"/>
    <col min="7946" max="7946" width="7.5" style="1584" customWidth="1"/>
    <col min="7947" max="7947" width="8.3984375" style="1584" customWidth="1"/>
    <col min="7948" max="7948" width="6.3984375" style="1584" customWidth="1"/>
    <col min="7949" max="7949" width="6.09765625" style="1584" customWidth="1"/>
    <col min="7950" max="7950" width="7.19921875" style="1584" customWidth="1"/>
    <col min="7951" max="7951" width="9" style="1584"/>
    <col min="7952" max="7952" width="6.5" style="1584" customWidth="1"/>
    <col min="7953" max="7953" width="9.3984375" style="1584" customWidth="1"/>
    <col min="7954" max="7954" width="8.3984375" style="1584" customWidth="1"/>
    <col min="7955" max="8192" width="9" style="1584"/>
    <col min="8193" max="8193" width="0" style="1584" hidden="1" customWidth="1"/>
    <col min="8194" max="8194" width="6.09765625" style="1584" customWidth="1"/>
    <col min="8195" max="8196" width="5.09765625" style="1584" customWidth="1"/>
    <col min="8197" max="8197" width="5.3984375" style="1584" customWidth="1"/>
    <col min="8198" max="8199" width="9.5" style="1584" customWidth="1"/>
    <col min="8200" max="8200" width="6.3984375" style="1584" customWidth="1"/>
    <col min="8201" max="8201" width="8.59765625" style="1584" customWidth="1"/>
    <col min="8202" max="8202" width="7.5" style="1584" customWidth="1"/>
    <col min="8203" max="8203" width="8.3984375" style="1584" customWidth="1"/>
    <col min="8204" max="8204" width="6.3984375" style="1584" customWidth="1"/>
    <col min="8205" max="8205" width="6.09765625" style="1584" customWidth="1"/>
    <col min="8206" max="8206" width="7.19921875" style="1584" customWidth="1"/>
    <col min="8207" max="8207" width="9" style="1584"/>
    <col min="8208" max="8208" width="6.5" style="1584" customWidth="1"/>
    <col min="8209" max="8209" width="9.3984375" style="1584" customWidth="1"/>
    <col min="8210" max="8210" width="8.3984375" style="1584" customWidth="1"/>
    <col min="8211" max="8448" width="9" style="1584"/>
    <col min="8449" max="8449" width="0" style="1584" hidden="1" customWidth="1"/>
    <col min="8450" max="8450" width="6.09765625" style="1584" customWidth="1"/>
    <col min="8451" max="8452" width="5.09765625" style="1584" customWidth="1"/>
    <col min="8453" max="8453" width="5.3984375" style="1584" customWidth="1"/>
    <col min="8454" max="8455" width="9.5" style="1584" customWidth="1"/>
    <col min="8456" max="8456" width="6.3984375" style="1584" customWidth="1"/>
    <col min="8457" max="8457" width="8.59765625" style="1584" customWidth="1"/>
    <col min="8458" max="8458" width="7.5" style="1584" customWidth="1"/>
    <col min="8459" max="8459" width="8.3984375" style="1584" customWidth="1"/>
    <col min="8460" max="8460" width="6.3984375" style="1584" customWidth="1"/>
    <col min="8461" max="8461" width="6.09765625" style="1584" customWidth="1"/>
    <col min="8462" max="8462" width="7.19921875" style="1584" customWidth="1"/>
    <col min="8463" max="8463" width="9" style="1584"/>
    <col min="8464" max="8464" width="6.5" style="1584" customWidth="1"/>
    <col min="8465" max="8465" width="9.3984375" style="1584" customWidth="1"/>
    <col min="8466" max="8466" width="8.3984375" style="1584" customWidth="1"/>
    <col min="8467" max="8704" width="9" style="1584"/>
    <col min="8705" max="8705" width="0" style="1584" hidden="1" customWidth="1"/>
    <col min="8706" max="8706" width="6.09765625" style="1584" customWidth="1"/>
    <col min="8707" max="8708" width="5.09765625" style="1584" customWidth="1"/>
    <col min="8709" max="8709" width="5.3984375" style="1584" customWidth="1"/>
    <col min="8710" max="8711" width="9.5" style="1584" customWidth="1"/>
    <col min="8712" max="8712" width="6.3984375" style="1584" customWidth="1"/>
    <col min="8713" max="8713" width="8.59765625" style="1584" customWidth="1"/>
    <col min="8714" max="8714" width="7.5" style="1584" customWidth="1"/>
    <col min="8715" max="8715" width="8.3984375" style="1584" customWidth="1"/>
    <col min="8716" max="8716" width="6.3984375" style="1584" customWidth="1"/>
    <col min="8717" max="8717" width="6.09765625" style="1584" customWidth="1"/>
    <col min="8718" max="8718" width="7.19921875" style="1584" customWidth="1"/>
    <col min="8719" max="8719" width="9" style="1584"/>
    <col min="8720" max="8720" width="6.5" style="1584" customWidth="1"/>
    <col min="8721" max="8721" width="9.3984375" style="1584" customWidth="1"/>
    <col min="8722" max="8722" width="8.3984375" style="1584" customWidth="1"/>
    <col min="8723" max="8960" width="9" style="1584"/>
    <col min="8961" max="8961" width="0" style="1584" hidden="1" customWidth="1"/>
    <col min="8962" max="8962" width="6.09765625" style="1584" customWidth="1"/>
    <col min="8963" max="8964" width="5.09765625" style="1584" customWidth="1"/>
    <col min="8965" max="8965" width="5.3984375" style="1584" customWidth="1"/>
    <col min="8966" max="8967" width="9.5" style="1584" customWidth="1"/>
    <col min="8968" max="8968" width="6.3984375" style="1584" customWidth="1"/>
    <col min="8969" max="8969" width="8.59765625" style="1584" customWidth="1"/>
    <col min="8970" max="8970" width="7.5" style="1584" customWidth="1"/>
    <col min="8971" max="8971" width="8.3984375" style="1584" customWidth="1"/>
    <col min="8972" max="8972" width="6.3984375" style="1584" customWidth="1"/>
    <col min="8973" max="8973" width="6.09765625" style="1584" customWidth="1"/>
    <col min="8974" max="8974" width="7.19921875" style="1584" customWidth="1"/>
    <col min="8975" max="8975" width="9" style="1584"/>
    <col min="8976" max="8976" width="6.5" style="1584" customWidth="1"/>
    <col min="8977" max="8977" width="9.3984375" style="1584" customWidth="1"/>
    <col min="8978" max="8978" width="8.3984375" style="1584" customWidth="1"/>
    <col min="8979" max="9216" width="9" style="1584"/>
    <col min="9217" max="9217" width="0" style="1584" hidden="1" customWidth="1"/>
    <col min="9218" max="9218" width="6.09765625" style="1584" customWidth="1"/>
    <col min="9219" max="9220" width="5.09765625" style="1584" customWidth="1"/>
    <col min="9221" max="9221" width="5.3984375" style="1584" customWidth="1"/>
    <col min="9222" max="9223" width="9.5" style="1584" customWidth="1"/>
    <col min="9224" max="9224" width="6.3984375" style="1584" customWidth="1"/>
    <col min="9225" max="9225" width="8.59765625" style="1584" customWidth="1"/>
    <col min="9226" max="9226" width="7.5" style="1584" customWidth="1"/>
    <col min="9227" max="9227" width="8.3984375" style="1584" customWidth="1"/>
    <col min="9228" max="9228" width="6.3984375" style="1584" customWidth="1"/>
    <col min="9229" max="9229" width="6.09765625" style="1584" customWidth="1"/>
    <col min="9230" max="9230" width="7.19921875" style="1584" customWidth="1"/>
    <col min="9231" max="9231" width="9" style="1584"/>
    <col min="9232" max="9232" width="6.5" style="1584" customWidth="1"/>
    <col min="9233" max="9233" width="9.3984375" style="1584" customWidth="1"/>
    <col min="9234" max="9234" width="8.3984375" style="1584" customWidth="1"/>
    <col min="9235" max="9472" width="9" style="1584"/>
    <col min="9473" max="9473" width="0" style="1584" hidden="1" customWidth="1"/>
    <col min="9474" max="9474" width="6.09765625" style="1584" customWidth="1"/>
    <col min="9475" max="9476" width="5.09765625" style="1584" customWidth="1"/>
    <col min="9477" max="9477" width="5.3984375" style="1584" customWidth="1"/>
    <col min="9478" max="9479" width="9.5" style="1584" customWidth="1"/>
    <col min="9480" max="9480" width="6.3984375" style="1584" customWidth="1"/>
    <col min="9481" max="9481" width="8.59765625" style="1584" customWidth="1"/>
    <col min="9482" max="9482" width="7.5" style="1584" customWidth="1"/>
    <col min="9483" max="9483" width="8.3984375" style="1584" customWidth="1"/>
    <col min="9484" max="9484" width="6.3984375" style="1584" customWidth="1"/>
    <col min="9485" max="9485" width="6.09765625" style="1584" customWidth="1"/>
    <col min="9486" max="9486" width="7.19921875" style="1584" customWidth="1"/>
    <col min="9487" max="9487" width="9" style="1584"/>
    <col min="9488" max="9488" width="6.5" style="1584" customWidth="1"/>
    <col min="9489" max="9489" width="9.3984375" style="1584" customWidth="1"/>
    <col min="9490" max="9490" width="8.3984375" style="1584" customWidth="1"/>
    <col min="9491" max="9728" width="9" style="1584"/>
    <col min="9729" max="9729" width="0" style="1584" hidden="1" customWidth="1"/>
    <col min="9730" max="9730" width="6.09765625" style="1584" customWidth="1"/>
    <col min="9731" max="9732" width="5.09765625" style="1584" customWidth="1"/>
    <col min="9733" max="9733" width="5.3984375" style="1584" customWidth="1"/>
    <col min="9734" max="9735" width="9.5" style="1584" customWidth="1"/>
    <col min="9736" max="9736" width="6.3984375" style="1584" customWidth="1"/>
    <col min="9737" max="9737" width="8.59765625" style="1584" customWidth="1"/>
    <col min="9738" max="9738" width="7.5" style="1584" customWidth="1"/>
    <col min="9739" max="9739" width="8.3984375" style="1584" customWidth="1"/>
    <col min="9740" max="9740" width="6.3984375" style="1584" customWidth="1"/>
    <col min="9741" max="9741" width="6.09765625" style="1584" customWidth="1"/>
    <col min="9742" max="9742" width="7.19921875" style="1584" customWidth="1"/>
    <col min="9743" max="9743" width="9" style="1584"/>
    <col min="9744" max="9744" width="6.5" style="1584" customWidth="1"/>
    <col min="9745" max="9745" width="9.3984375" style="1584" customWidth="1"/>
    <col min="9746" max="9746" width="8.3984375" style="1584" customWidth="1"/>
    <col min="9747" max="9984" width="9" style="1584"/>
    <col min="9985" max="9985" width="0" style="1584" hidden="1" customWidth="1"/>
    <col min="9986" max="9986" width="6.09765625" style="1584" customWidth="1"/>
    <col min="9987" max="9988" width="5.09765625" style="1584" customWidth="1"/>
    <col min="9989" max="9989" width="5.3984375" style="1584" customWidth="1"/>
    <col min="9990" max="9991" width="9.5" style="1584" customWidth="1"/>
    <col min="9992" max="9992" width="6.3984375" style="1584" customWidth="1"/>
    <col min="9993" max="9993" width="8.59765625" style="1584" customWidth="1"/>
    <col min="9994" max="9994" width="7.5" style="1584" customWidth="1"/>
    <col min="9995" max="9995" width="8.3984375" style="1584" customWidth="1"/>
    <col min="9996" max="9996" width="6.3984375" style="1584" customWidth="1"/>
    <col min="9997" max="9997" width="6.09765625" style="1584" customWidth="1"/>
    <col min="9998" max="9998" width="7.19921875" style="1584" customWidth="1"/>
    <col min="9999" max="9999" width="9" style="1584"/>
    <col min="10000" max="10000" width="6.5" style="1584" customWidth="1"/>
    <col min="10001" max="10001" width="9.3984375" style="1584" customWidth="1"/>
    <col min="10002" max="10002" width="8.3984375" style="1584" customWidth="1"/>
    <col min="10003" max="10240" width="9" style="1584"/>
    <col min="10241" max="10241" width="0" style="1584" hidden="1" customWidth="1"/>
    <col min="10242" max="10242" width="6.09765625" style="1584" customWidth="1"/>
    <col min="10243" max="10244" width="5.09765625" style="1584" customWidth="1"/>
    <col min="10245" max="10245" width="5.3984375" style="1584" customWidth="1"/>
    <col min="10246" max="10247" width="9.5" style="1584" customWidth="1"/>
    <col min="10248" max="10248" width="6.3984375" style="1584" customWidth="1"/>
    <col min="10249" max="10249" width="8.59765625" style="1584" customWidth="1"/>
    <col min="10250" max="10250" width="7.5" style="1584" customWidth="1"/>
    <col min="10251" max="10251" width="8.3984375" style="1584" customWidth="1"/>
    <col min="10252" max="10252" width="6.3984375" style="1584" customWidth="1"/>
    <col min="10253" max="10253" width="6.09765625" style="1584" customWidth="1"/>
    <col min="10254" max="10254" width="7.19921875" style="1584" customWidth="1"/>
    <col min="10255" max="10255" width="9" style="1584"/>
    <col min="10256" max="10256" width="6.5" style="1584" customWidth="1"/>
    <col min="10257" max="10257" width="9.3984375" style="1584" customWidth="1"/>
    <col min="10258" max="10258" width="8.3984375" style="1584" customWidth="1"/>
    <col min="10259" max="10496" width="9" style="1584"/>
    <col min="10497" max="10497" width="0" style="1584" hidden="1" customWidth="1"/>
    <col min="10498" max="10498" width="6.09765625" style="1584" customWidth="1"/>
    <col min="10499" max="10500" width="5.09765625" style="1584" customWidth="1"/>
    <col min="10501" max="10501" width="5.3984375" style="1584" customWidth="1"/>
    <col min="10502" max="10503" width="9.5" style="1584" customWidth="1"/>
    <col min="10504" max="10504" width="6.3984375" style="1584" customWidth="1"/>
    <col min="10505" max="10505" width="8.59765625" style="1584" customWidth="1"/>
    <col min="10506" max="10506" width="7.5" style="1584" customWidth="1"/>
    <col min="10507" max="10507" width="8.3984375" style="1584" customWidth="1"/>
    <col min="10508" max="10508" width="6.3984375" style="1584" customWidth="1"/>
    <col min="10509" max="10509" width="6.09765625" style="1584" customWidth="1"/>
    <col min="10510" max="10510" width="7.19921875" style="1584" customWidth="1"/>
    <col min="10511" max="10511" width="9" style="1584"/>
    <col min="10512" max="10512" width="6.5" style="1584" customWidth="1"/>
    <col min="10513" max="10513" width="9.3984375" style="1584" customWidth="1"/>
    <col min="10514" max="10514" width="8.3984375" style="1584" customWidth="1"/>
    <col min="10515" max="10752" width="9" style="1584"/>
    <col min="10753" max="10753" width="0" style="1584" hidden="1" customWidth="1"/>
    <col min="10754" max="10754" width="6.09765625" style="1584" customWidth="1"/>
    <col min="10755" max="10756" width="5.09765625" style="1584" customWidth="1"/>
    <col min="10757" max="10757" width="5.3984375" style="1584" customWidth="1"/>
    <col min="10758" max="10759" width="9.5" style="1584" customWidth="1"/>
    <col min="10760" max="10760" width="6.3984375" style="1584" customWidth="1"/>
    <col min="10761" max="10761" width="8.59765625" style="1584" customWidth="1"/>
    <col min="10762" max="10762" width="7.5" style="1584" customWidth="1"/>
    <col min="10763" max="10763" width="8.3984375" style="1584" customWidth="1"/>
    <col min="10764" max="10764" width="6.3984375" style="1584" customWidth="1"/>
    <col min="10765" max="10765" width="6.09765625" style="1584" customWidth="1"/>
    <col min="10766" max="10766" width="7.19921875" style="1584" customWidth="1"/>
    <col min="10767" max="10767" width="9" style="1584"/>
    <col min="10768" max="10768" width="6.5" style="1584" customWidth="1"/>
    <col min="10769" max="10769" width="9.3984375" style="1584" customWidth="1"/>
    <col min="10770" max="10770" width="8.3984375" style="1584" customWidth="1"/>
    <col min="10771" max="11008" width="9" style="1584"/>
    <col min="11009" max="11009" width="0" style="1584" hidden="1" customWidth="1"/>
    <col min="11010" max="11010" width="6.09765625" style="1584" customWidth="1"/>
    <col min="11011" max="11012" width="5.09765625" style="1584" customWidth="1"/>
    <col min="11013" max="11013" width="5.3984375" style="1584" customWidth="1"/>
    <col min="11014" max="11015" width="9.5" style="1584" customWidth="1"/>
    <col min="11016" max="11016" width="6.3984375" style="1584" customWidth="1"/>
    <col min="11017" max="11017" width="8.59765625" style="1584" customWidth="1"/>
    <col min="11018" max="11018" width="7.5" style="1584" customWidth="1"/>
    <col min="11019" max="11019" width="8.3984375" style="1584" customWidth="1"/>
    <col min="11020" max="11020" width="6.3984375" style="1584" customWidth="1"/>
    <col min="11021" max="11021" width="6.09765625" style="1584" customWidth="1"/>
    <col min="11022" max="11022" width="7.19921875" style="1584" customWidth="1"/>
    <col min="11023" max="11023" width="9" style="1584"/>
    <col min="11024" max="11024" width="6.5" style="1584" customWidth="1"/>
    <col min="11025" max="11025" width="9.3984375" style="1584" customWidth="1"/>
    <col min="11026" max="11026" width="8.3984375" style="1584" customWidth="1"/>
    <col min="11027" max="11264" width="9" style="1584"/>
    <col min="11265" max="11265" width="0" style="1584" hidden="1" customWidth="1"/>
    <col min="11266" max="11266" width="6.09765625" style="1584" customWidth="1"/>
    <col min="11267" max="11268" width="5.09765625" style="1584" customWidth="1"/>
    <col min="11269" max="11269" width="5.3984375" style="1584" customWidth="1"/>
    <col min="11270" max="11271" width="9.5" style="1584" customWidth="1"/>
    <col min="11272" max="11272" width="6.3984375" style="1584" customWidth="1"/>
    <col min="11273" max="11273" width="8.59765625" style="1584" customWidth="1"/>
    <col min="11274" max="11274" width="7.5" style="1584" customWidth="1"/>
    <col min="11275" max="11275" width="8.3984375" style="1584" customWidth="1"/>
    <col min="11276" max="11276" width="6.3984375" style="1584" customWidth="1"/>
    <col min="11277" max="11277" width="6.09765625" style="1584" customWidth="1"/>
    <col min="11278" max="11278" width="7.19921875" style="1584" customWidth="1"/>
    <col min="11279" max="11279" width="9" style="1584"/>
    <col min="11280" max="11280" width="6.5" style="1584" customWidth="1"/>
    <col min="11281" max="11281" width="9.3984375" style="1584" customWidth="1"/>
    <col min="11282" max="11282" width="8.3984375" style="1584" customWidth="1"/>
    <col min="11283" max="11520" width="9" style="1584"/>
    <col min="11521" max="11521" width="0" style="1584" hidden="1" customWidth="1"/>
    <col min="11522" max="11522" width="6.09765625" style="1584" customWidth="1"/>
    <col min="11523" max="11524" width="5.09765625" style="1584" customWidth="1"/>
    <col min="11525" max="11525" width="5.3984375" style="1584" customWidth="1"/>
    <col min="11526" max="11527" width="9.5" style="1584" customWidth="1"/>
    <col min="11528" max="11528" width="6.3984375" style="1584" customWidth="1"/>
    <col min="11529" max="11529" width="8.59765625" style="1584" customWidth="1"/>
    <col min="11530" max="11530" width="7.5" style="1584" customWidth="1"/>
    <col min="11531" max="11531" width="8.3984375" style="1584" customWidth="1"/>
    <col min="11532" max="11532" width="6.3984375" style="1584" customWidth="1"/>
    <col min="11533" max="11533" width="6.09765625" style="1584" customWidth="1"/>
    <col min="11534" max="11534" width="7.19921875" style="1584" customWidth="1"/>
    <col min="11535" max="11535" width="9" style="1584"/>
    <col min="11536" max="11536" width="6.5" style="1584" customWidth="1"/>
    <col min="11537" max="11537" width="9.3984375" style="1584" customWidth="1"/>
    <col min="11538" max="11538" width="8.3984375" style="1584" customWidth="1"/>
    <col min="11539" max="11776" width="9" style="1584"/>
    <col min="11777" max="11777" width="0" style="1584" hidden="1" customWidth="1"/>
    <col min="11778" max="11778" width="6.09765625" style="1584" customWidth="1"/>
    <col min="11779" max="11780" width="5.09765625" style="1584" customWidth="1"/>
    <col min="11781" max="11781" width="5.3984375" style="1584" customWidth="1"/>
    <col min="11782" max="11783" width="9.5" style="1584" customWidth="1"/>
    <col min="11784" max="11784" width="6.3984375" style="1584" customWidth="1"/>
    <col min="11785" max="11785" width="8.59765625" style="1584" customWidth="1"/>
    <col min="11786" max="11786" width="7.5" style="1584" customWidth="1"/>
    <col min="11787" max="11787" width="8.3984375" style="1584" customWidth="1"/>
    <col min="11788" max="11788" width="6.3984375" style="1584" customWidth="1"/>
    <col min="11789" max="11789" width="6.09765625" style="1584" customWidth="1"/>
    <col min="11790" max="11790" width="7.19921875" style="1584" customWidth="1"/>
    <col min="11791" max="11791" width="9" style="1584"/>
    <col min="11792" max="11792" width="6.5" style="1584" customWidth="1"/>
    <col min="11793" max="11793" width="9.3984375" style="1584" customWidth="1"/>
    <col min="11794" max="11794" width="8.3984375" style="1584" customWidth="1"/>
    <col min="11795" max="12032" width="9" style="1584"/>
    <col min="12033" max="12033" width="0" style="1584" hidden="1" customWidth="1"/>
    <col min="12034" max="12034" width="6.09765625" style="1584" customWidth="1"/>
    <col min="12035" max="12036" width="5.09765625" style="1584" customWidth="1"/>
    <col min="12037" max="12037" width="5.3984375" style="1584" customWidth="1"/>
    <col min="12038" max="12039" width="9.5" style="1584" customWidth="1"/>
    <col min="12040" max="12040" width="6.3984375" style="1584" customWidth="1"/>
    <col min="12041" max="12041" width="8.59765625" style="1584" customWidth="1"/>
    <col min="12042" max="12042" width="7.5" style="1584" customWidth="1"/>
    <col min="12043" max="12043" width="8.3984375" style="1584" customWidth="1"/>
    <col min="12044" max="12044" width="6.3984375" style="1584" customWidth="1"/>
    <col min="12045" max="12045" width="6.09765625" style="1584" customWidth="1"/>
    <col min="12046" max="12046" width="7.19921875" style="1584" customWidth="1"/>
    <col min="12047" max="12047" width="9" style="1584"/>
    <col min="12048" max="12048" width="6.5" style="1584" customWidth="1"/>
    <col min="12049" max="12049" width="9.3984375" style="1584" customWidth="1"/>
    <col min="12050" max="12050" width="8.3984375" style="1584" customWidth="1"/>
    <col min="12051" max="12288" width="9" style="1584"/>
    <col min="12289" max="12289" width="0" style="1584" hidden="1" customWidth="1"/>
    <col min="12290" max="12290" width="6.09765625" style="1584" customWidth="1"/>
    <col min="12291" max="12292" width="5.09765625" style="1584" customWidth="1"/>
    <col min="12293" max="12293" width="5.3984375" style="1584" customWidth="1"/>
    <col min="12294" max="12295" width="9.5" style="1584" customWidth="1"/>
    <col min="12296" max="12296" width="6.3984375" style="1584" customWidth="1"/>
    <col min="12297" max="12297" width="8.59765625" style="1584" customWidth="1"/>
    <col min="12298" max="12298" width="7.5" style="1584" customWidth="1"/>
    <col min="12299" max="12299" width="8.3984375" style="1584" customWidth="1"/>
    <col min="12300" max="12300" width="6.3984375" style="1584" customWidth="1"/>
    <col min="12301" max="12301" width="6.09765625" style="1584" customWidth="1"/>
    <col min="12302" max="12302" width="7.19921875" style="1584" customWidth="1"/>
    <col min="12303" max="12303" width="9" style="1584"/>
    <col min="12304" max="12304" width="6.5" style="1584" customWidth="1"/>
    <col min="12305" max="12305" width="9.3984375" style="1584" customWidth="1"/>
    <col min="12306" max="12306" width="8.3984375" style="1584" customWidth="1"/>
    <col min="12307" max="12544" width="9" style="1584"/>
    <col min="12545" max="12545" width="0" style="1584" hidden="1" customWidth="1"/>
    <col min="12546" max="12546" width="6.09765625" style="1584" customWidth="1"/>
    <col min="12547" max="12548" width="5.09765625" style="1584" customWidth="1"/>
    <col min="12549" max="12549" width="5.3984375" style="1584" customWidth="1"/>
    <col min="12550" max="12551" width="9.5" style="1584" customWidth="1"/>
    <col min="12552" max="12552" width="6.3984375" style="1584" customWidth="1"/>
    <col min="12553" max="12553" width="8.59765625" style="1584" customWidth="1"/>
    <col min="12554" max="12554" width="7.5" style="1584" customWidth="1"/>
    <col min="12555" max="12555" width="8.3984375" style="1584" customWidth="1"/>
    <col min="12556" max="12556" width="6.3984375" style="1584" customWidth="1"/>
    <col min="12557" max="12557" width="6.09765625" style="1584" customWidth="1"/>
    <col min="12558" max="12558" width="7.19921875" style="1584" customWidth="1"/>
    <col min="12559" max="12559" width="9" style="1584"/>
    <col min="12560" max="12560" width="6.5" style="1584" customWidth="1"/>
    <col min="12561" max="12561" width="9.3984375" style="1584" customWidth="1"/>
    <col min="12562" max="12562" width="8.3984375" style="1584" customWidth="1"/>
    <col min="12563" max="12800" width="9" style="1584"/>
    <col min="12801" max="12801" width="0" style="1584" hidden="1" customWidth="1"/>
    <col min="12802" max="12802" width="6.09765625" style="1584" customWidth="1"/>
    <col min="12803" max="12804" width="5.09765625" style="1584" customWidth="1"/>
    <col min="12805" max="12805" width="5.3984375" style="1584" customWidth="1"/>
    <col min="12806" max="12807" width="9.5" style="1584" customWidth="1"/>
    <col min="12808" max="12808" width="6.3984375" style="1584" customWidth="1"/>
    <col min="12809" max="12809" width="8.59765625" style="1584" customWidth="1"/>
    <col min="12810" max="12810" width="7.5" style="1584" customWidth="1"/>
    <col min="12811" max="12811" width="8.3984375" style="1584" customWidth="1"/>
    <col min="12812" max="12812" width="6.3984375" style="1584" customWidth="1"/>
    <col min="12813" max="12813" width="6.09765625" style="1584" customWidth="1"/>
    <col min="12814" max="12814" width="7.19921875" style="1584" customWidth="1"/>
    <col min="12815" max="12815" width="9" style="1584"/>
    <col min="12816" max="12816" width="6.5" style="1584" customWidth="1"/>
    <col min="12817" max="12817" width="9.3984375" style="1584" customWidth="1"/>
    <col min="12818" max="12818" width="8.3984375" style="1584" customWidth="1"/>
    <col min="12819" max="13056" width="9" style="1584"/>
    <col min="13057" max="13057" width="0" style="1584" hidden="1" customWidth="1"/>
    <col min="13058" max="13058" width="6.09765625" style="1584" customWidth="1"/>
    <col min="13059" max="13060" width="5.09765625" style="1584" customWidth="1"/>
    <col min="13061" max="13061" width="5.3984375" style="1584" customWidth="1"/>
    <col min="13062" max="13063" width="9.5" style="1584" customWidth="1"/>
    <col min="13064" max="13064" width="6.3984375" style="1584" customWidth="1"/>
    <col min="13065" max="13065" width="8.59765625" style="1584" customWidth="1"/>
    <col min="13066" max="13066" width="7.5" style="1584" customWidth="1"/>
    <col min="13067" max="13067" width="8.3984375" style="1584" customWidth="1"/>
    <col min="13068" max="13068" width="6.3984375" style="1584" customWidth="1"/>
    <col min="13069" max="13069" width="6.09765625" style="1584" customWidth="1"/>
    <col min="13070" max="13070" width="7.19921875" style="1584" customWidth="1"/>
    <col min="13071" max="13071" width="9" style="1584"/>
    <col min="13072" max="13072" width="6.5" style="1584" customWidth="1"/>
    <col min="13073" max="13073" width="9.3984375" style="1584" customWidth="1"/>
    <col min="13074" max="13074" width="8.3984375" style="1584" customWidth="1"/>
    <col min="13075" max="13312" width="9" style="1584"/>
    <col min="13313" max="13313" width="0" style="1584" hidden="1" customWidth="1"/>
    <col min="13314" max="13314" width="6.09765625" style="1584" customWidth="1"/>
    <col min="13315" max="13316" width="5.09765625" style="1584" customWidth="1"/>
    <col min="13317" max="13317" width="5.3984375" style="1584" customWidth="1"/>
    <col min="13318" max="13319" width="9.5" style="1584" customWidth="1"/>
    <col min="13320" max="13320" width="6.3984375" style="1584" customWidth="1"/>
    <col min="13321" max="13321" width="8.59765625" style="1584" customWidth="1"/>
    <col min="13322" max="13322" width="7.5" style="1584" customWidth="1"/>
    <col min="13323" max="13323" width="8.3984375" style="1584" customWidth="1"/>
    <col min="13324" max="13324" width="6.3984375" style="1584" customWidth="1"/>
    <col min="13325" max="13325" width="6.09765625" style="1584" customWidth="1"/>
    <col min="13326" max="13326" width="7.19921875" style="1584" customWidth="1"/>
    <col min="13327" max="13327" width="9" style="1584"/>
    <col min="13328" max="13328" width="6.5" style="1584" customWidth="1"/>
    <col min="13329" max="13329" width="9.3984375" style="1584" customWidth="1"/>
    <col min="13330" max="13330" width="8.3984375" style="1584" customWidth="1"/>
    <col min="13331" max="13568" width="9" style="1584"/>
    <col min="13569" max="13569" width="0" style="1584" hidden="1" customWidth="1"/>
    <col min="13570" max="13570" width="6.09765625" style="1584" customWidth="1"/>
    <col min="13571" max="13572" width="5.09765625" style="1584" customWidth="1"/>
    <col min="13573" max="13573" width="5.3984375" style="1584" customWidth="1"/>
    <col min="13574" max="13575" width="9.5" style="1584" customWidth="1"/>
    <col min="13576" max="13576" width="6.3984375" style="1584" customWidth="1"/>
    <col min="13577" max="13577" width="8.59765625" style="1584" customWidth="1"/>
    <col min="13578" max="13578" width="7.5" style="1584" customWidth="1"/>
    <col min="13579" max="13579" width="8.3984375" style="1584" customWidth="1"/>
    <col min="13580" max="13580" width="6.3984375" style="1584" customWidth="1"/>
    <col min="13581" max="13581" width="6.09765625" style="1584" customWidth="1"/>
    <col min="13582" max="13582" width="7.19921875" style="1584" customWidth="1"/>
    <col min="13583" max="13583" width="9" style="1584"/>
    <col min="13584" max="13584" width="6.5" style="1584" customWidth="1"/>
    <col min="13585" max="13585" width="9.3984375" style="1584" customWidth="1"/>
    <col min="13586" max="13586" width="8.3984375" style="1584" customWidth="1"/>
    <col min="13587" max="13824" width="9" style="1584"/>
    <col min="13825" max="13825" width="0" style="1584" hidden="1" customWidth="1"/>
    <col min="13826" max="13826" width="6.09765625" style="1584" customWidth="1"/>
    <col min="13827" max="13828" width="5.09765625" style="1584" customWidth="1"/>
    <col min="13829" max="13829" width="5.3984375" style="1584" customWidth="1"/>
    <col min="13830" max="13831" width="9.5" style="1584" customWidth="1"/>
    <col min="13832" max="13832" width="6.3984375" style="1584" customWidth="1"/>
    <col min="13833" max="13833" width="8.59765625" style="1584" customWidth="1"/>
    <col min="13834" max="13834" width="7.5" style="1584" customWidth="1"/>
    <col min="13835" max="13835" width="8.3984375" style="1584" customWidth="1"/>
    <col min="13836" max="13836" width="6.3984375" style="1584" customWidth="1"/>
    <col min="13837" max="13837" width="6.09765625" style="1584" customWidth="1"/>
    <col min="13838" max="13838" width="7.19921875" style="1584" customWidth="1"/>
    <col min="13839" max="13839" width="9" style="1584"/>
    <col min="13840" max="13840" width="6.5" style="1584" customWidth="1"/>
    <col min="13841" max="13841" width="9.3984375" style="1584" customWidth="1"/>
    <col min="13842" max="13842" width="8.3984375" style="1584" customWidth="1"/>
    <col min="13843" max="14080" width="9" style="1584"/>
    <col min="14081" max="14081" width="0" style="1584" hidden="1" customWidth="1"/>
    <col min="14082" max="14082" width="6.09765625" style="1584" customWidth="1"/>
    <col min="14083" max="14084" width="5.09765625" style="1584" customWidth="1"/>
    <col min="14085" max="14085" width="5.3984375" style="1584" customWidth="1"/>
    <col min="14086" max="14087" width="9.5" style="1584" customWidth="1"/>
    <col min="14088" max="14088" width="6.3984375" style="1584" customWidth="1"/>
    <col min="14089" max="14089" width="8.59765625" style="1584" customWidth="1"/>
    <col min="14090" max="14090" width="7.5" style="1584" customWidth="1"/>
    <col min="14091" max="14091" width="8.3984375" style="1584" customWidth="1"/>
    <col min="14092" max="14092" width="6.3984375" style="1584" customWidth="1"/>
    <col min="14093" max="14093" width="6.09765625" style="1584" customWidth="1"/>
    <col min="14094" max="14094" width="7.19921875" style="1584" customWidth="1"/>
    <col min="14095" max="14095" width="9" style="1584"/>
    <col min="14096" max="14096" width="6.5" style="1584" customWidth="1"/>
    <col min="14097" max="14097" width="9.3984375" style="1584" customWidth="1"/>
    <col min="14098" max="14098" width="8.3984375" style="1584" customWidth="1"/>
    <col min="14099" max="14336" width="9" style="1584"/>
    <col min="14337" max="14337" width="0" style="1584" hidden="1" customWidth="1"/>
    <col min="14338" max="14338" width="6.09765625" style="1584" customWidth="1"/>
    <col min="14339" max="14340" width="5.09765625" style="1584" customWidth="1"/>
    <col min="14341" max="14341" width="5.3984375" style="1584" customWidth="1"/>
    <col min="14342" max="14343" width="9.5" style="1584" customWidth="1"/>
    <col min="14344" max="14344" width="6.3984375" style="1584" customWidth="1"/>
    <col min="14345" max="14345" width="8.59765625" style="1584" customWidth="1"/>
    <col min="14346" max="14346" width="7.5" style="1584" customWidth="1"/>
    <col min="14347" max="14347" width="8.3984375" style="1584" customWidth="1"/>
    <col min="14348" max="14348" width="6.3984375" style="1584" customWidth="1"/>
    <col min="14349" max="14349" width="6.09765625" style="1584" customWidth="1"/>
    <col min="14350" max="14350" width="7.19921875" style="1584" customWidth="1"/>
    <col min="14351" max="14351" width="9" style="1584"/>
    <col min="14352" max="14352" width="6.5" style="1584" customWidth="1"/>
    <col min="14353" max="14353" width="9.3984375" style="1584" customWidth="1"/>
    <col min="14354" max="14354" width="8.3984375" style="1584" customWidth="1"/>
    <col min="14355" max="14592" width="9" style="1584"/>
    <col min="14593" max="14593" width="0" style="1584" hidden="1" customWidth="1"/>
    <col min="14594" max="14594" width="6.09765625" style="1584" customWidth="1"/>
    <col min="14595" max="14596" width="5.09765625" style="1584" customWidth="1"/>
    <col min="14597" max="14597" width="5.3984375" style="1584" customWidth="1"/>
    <col min="14598" max="14599" width="9.5" style="1584" customWidth="1"/>
    <col min="14600" max="14600" width="6.3984375" style="1584" customWidth="1"/>
    <col min="14601" max="14601" width="8.59765625" style="1584" customWidth="1"/>
    <col min="14602" max="14602" width="7.5" style="1584" customWidth="1"/>
    <col min="14603" max="14603" width="8.3984375" style="1584" customWidth="1"/>
    <col min="14604" max="14604" width="6.3984375" style="1584" customWidth="1"/>
    <col min="14605" max="14605" width="6.09765625" style="1584" customWidth="1"/>
    <col min="14606" max="14606" width="7.19921875" style="1584" customWidth="1"/>
    <col min="14607" max="14607" width="9" style="1584"/>
    <col min="14608" max="14608" width="6.5" style="1584" customWidth="1"/>
    <col min="14609" max="14609" width="9.3984375" style="1584" customWidth="1"/>
    <col min="14610" max="14610" width="8.3984375" style="1584" customWidth="1"/>
    <col min="14611" max="14848" width="9" style="1584"/>
    <col min="14849" max="14849" width="0" style="1584" hidden="1" customWidth="1"/>
    <col min="14850" max="14850" width="6.09765625" style="1584" customWidth="1"/>
    <col min="14851" max="14852" width="5.09765625" style="1584" customWidth="1"/>
    <col min="14853" max="14853" width="5.3984375" style="1584" customWidth="1"/>
    <col min="14854" max="14855" width="9.5" style="1584" customWidth="1"/>
    <col min="14856" max="14856" width="6.3984375" style="1584" customWidth="1"/>
    <col min="14857" max="14857" width="8.59765625" style="1584" customWidth="1"/>
    <col min="14858" max="14858" width="7.5" style="1584" customWidth="1"/>
    <col min="14859" max="14859" width="8.3984375" style="1584" customWidth="1"/>
    <col min="14860" max="14860" width="6.3984375" style="1584" customWidth="1"/>
    <col min="14861" max="14861" width="6.09765625" style="1584" customWidth="1"/>
    <col min="14862" max="14862" width="7.19921875" style="1584" customWidth="1"/>
    <col min="14863" max="14863" width="9" style="1584"/>
    <col min="14864" max="14864" width="6.5" style="1584" customWidth="1"/>
    <col min="14865" max="14865" width="9.3984375" style="1584" customWidth="1"/>
    <col min="14866" max="14866" width="8.3984375" style="1584" customWidth="1"/>
    <col min="14867" max="15104" width="9" style="1584"/>
    <col min="15105" max="15105" width="0" style="1584" hidden="1" customWidth="1"/>
    <col min="15106" max="15106" width="6.09765625" style="1584" customWidth="1"/>
    <col min="15107" max="15108" width="5.09765625" style="1584" customWidth="1"/>
    <col min="15109" max="15109" width="5.3984375" style="1584" customWidth="1"/>
    <col min="15110" max="15111" width="9.5" style="1584" customWidth="1"/>
    <col min="15112" max="15112" width="6.3984375" style="1584" customWidth="1"/>
    <col min="15113" max="15113" width="8.59765625" style="1584" customWidth="1"/>
    <col min="15114" max="15114" width="7.5" style="1584" customWidth="1"/>
    <col min="15115" max="15115" width="8.3984375" style="1584" customWidth="1"/>
    <col min="15116" max="15116" width="6.3984375" style="1584" customWidth="1"/>
    <col min="15117" max="15117" width="6.09765625" style="1584" customWidth="1"/>
    <col min="15118" max="15118" width="7.19921875" style="1584" customWidth="1"/>
    <col min="15119" max="15119" width="9" style="1584"/>
    <col min="15120" max="15120" width="6.5" style="1584" customWidth="1"/>
    <col min="15121" max="15121" width="9.3984375" style="1584" customWidth="1"/>
    <col min="15122" max="15122" width="8.3984375" style="1584" customWidth="1"/>
    <col min="15123" max="15360" width="9" style="1584"/>
    <col min="15361" max="15361" width="0" style="1584" hidden="1" customWidth="1"/>
    <col min="15362" max="15362" width="6.09765625" style="1584" customWidth="1"/>
    <col min="15363" max="15364" width="5.09765625" style="1584" customWidth="1"/>
    <col min="15365" max="15365" width="5.3984375" style="1584" customWidth="1"/>
    <col min="15366" max="15367" width="9.5" style="1584" customWidth="1"/>
    <col min="15368" max="15368" width="6.3984375" style="1584" customWidth="1"/>
    <col min="15369" max="15369" width="8.59765625" style="1584" customWidth="1"/>
    <col min="15370" max="15370" width="7.5" style="1584" customWidth="1"/>
    <col min="15371" max="15371" width="8.3984375" style="1584" customWidth="1"/>
    <col min="15372" max="15372" width="6.3984375" style="1584" customWidth="1"/>
    <col min="15373" max="15373" width="6.09765625" style="1584" customWidth="1"/>
    <col min="15374" max="15374" width="7.19921875" style="1584" customWidth="1"/>
    <col min="15375" max="15375" width="9" style="1584"/>
    <col min="15376" max="15376" width="6.5" style="1584" customWidth="1"/>
    <col min="15377" max="15377" width="9.3984375" style="1584" customWidth="1"/>
    <col min="15378" max="15378" width="8.3984375" style="1584" customWidth="1"/>
    <col min="15379" max="15616" width="9" style="1584"/>
    <col min="15617" max="15617" width="0" style="1584" hidden="1" customWidth="1"/>
    <col min="15618" max="15618" width="6.09765625" style="1584" customWidth="1"/>
    <col min="15619" max="15620" width="5.09765625" style="1584" customWidth="1"/>
    <col min="15621" max="15621" width="5.3984375" style="1584" customWidth="1"/>
    <col min="15622" max="15623" width="9.5" style="1584" customWidth="1"/>
    <col min="15624" max="15624" width="6.3984375" style="1584" customWidth="1"/>
    <col min="15625" max="15625" width="8.59765625" style="1584" customWidth="1"/>
    <col min="15626" max="15626" width="7.5" style="1584" customWidth="1"/>
    <col min="15627" max="15627" width="8.3984375" style="1584" customWidth="1"/>
    <col min="15628" max="15628" width="6.3984375" style="1584" customWidth="1"/>
    <col min="15629" max="15629" width="6.09765625" style="1584" customWidth="1"/>
    <col min="15630" max="15630" width="7.19921875" style="1584" customWidth="1"/>
    <col min="15631" max="15631" width="9" style="1584"/>
    <col min="15632" max="15632" width="6.5" style="1584" customWidth="1"/>
    <col min="15633" max="15633" width="9.3984375" style="1584" customWidth="1"/>
    <col min="15634" max="15634" width="8.3984375" style="1584" customWidth="1"/>
    <col min="15635" max="15872" width="9" style="1584"/>
    <col min="15873" max="15873" width="0" style="1584" hidden="1" customWidth="1"/>
    <col min="15874" max="15874" width="6.09765625" style="1584" customWidth="1"/>
    <col min="15875" max="15876" width="5.09765625" style="1584" customWidth="1"/>
    <col min="15877" max="15877" width="5.3984375" style="1584" customWidth="1"/>
    <col min="15878" max="15879" width="9.5" style="1584" customWidth="1"/>
    <col min="15880" max="15880" width="6.3984375" style="1584" customWidth="1"/>
    <col min="15881" max="15881" width="8.59765625" style="1584" customWidth="1"/>
    <col min="15882" max="15882" width="7.5" style="1584" customWidth="1"/>
    <col min="15883" max="15883" width="8.3984375" style="1584" customWidth="1"/>
    <col min="15884" max="15884" width="6.3984375" style="1584" customWidth="1"/>
    <col min="15885" max="15885" width="6.09765625" style="1584" customWidth="1"/>
    <col min="15886" max="15886" width="7.19921875" style="1584" customWidth="1"/>
    <col min="15887" max="15887" width="9" style="1584"/>
    <col min="15888" max="15888" width="6.5" style="1584" customWidth="1"/>
    <col min="15889" max="15889" width="9.3984375" style="1584" customWidth="1"/>
    <col min="15890" max="15890" width="8.3984375" style="1584" customWidth="1"/>
    <col min="15891" max="16128" width="9" style="1584"/>
    <col min="16129" max="16129" width="0" style="1584" hidden="1" customWidth="1"/>
    <col min="16130" max="16130" width="6.09765625" style="1584" customWidth="1"/>
    <col min="16131" max="16132" width="5.09765625" style="1584" customWidth="1"/>
    <col min="16133" max="16133" width="5.3984375" style="1584" customWidth="1"/>
    <col min="16134" max="16135" width="9.5" style="1584" customWidth="1"/>
    <col min="16136" max="16136" width="6.3984375" style="1584" customWidth="1"/>
    <col min="16137" max="16137" width="8.59765625" style="1584" customWidth="1"/>
    <col min="16138" max="16138" width="7.5" style="1584" customWidth="1"/>
    <col min="16139" max="16139" width="8.3984375" style="1584" customWidth="1"/>
    <col min="16140" max="16140" width="6.3984375" style="1584" customWidth="1"/>
    <col min="16141" max="16141" width="6.09765625" style="1584" customWidth="1"/>
    <col min="16142" max="16142" width="7.19921875" style="1584" customWidth="1"/>
    <col min="16143" max="16143" width="9" style="1584"/>
    <col min="16144" max="16144" width="6.5" style="1584" customWidth="1"/>
    <col min="16145" max="16145" width="9.3984375" style="1584" customWidth="1"/>
    <col min="16146" max="16146" width="8.3984375" style="1584" customWidth="1"/>
    <col min="16147" max="16384" width="9" style="1584"/>
  </cols>
  <sheetData>
    <row r="1" spans="1:19" s="1583" customFormat="1" ht="17.25" customHeight="1">
      <c r="A1" s="3468" t="str">
        <f>"索引号："&amp;档案索引!D7</f>
        <v>索引号：2B-2</v>
      </c>
      <c r="B1" s="3468"/>
      <c r="C1" s="3468"/>
      <c r="D1" s="3468"/>
      <c r="E1" s="3468"/>
      <c r="F1" s="3468"/>
      <c r="G1" s="3468"/>
      <c r="H1" s="3468"/>
      <c r="I1" s="3468"/>
      <c r="J1" s="3468"/>
      <c r="K1" s="3468"/>
      <c r="L1" s="3468"/>
      <c r="M1" s="3468"/>
      <c r="N1" s="3468"/>
      <c r="O1" s="3468"/>
      <c r="P1" s="3468"/>
      <c r="Q1" s="3468"/>
      <c r="R1" s="3469"/>
    </row>
    <row r="2" spans="1:19" ht="36.75" customHeight="1">
      <c r="A2" s="3401" t="s">
        <v>5933</v>
      </c>
      <c r="B2" s="3401"/>
      <c r="C2" s="3401"/>
      <c r="D2" s="3401"/>
      <c r="E2" s="3401"/>
      <c r="F2" s="3401"/>
      <c r="G2" s="3401"/>
      <c r="H2" s="3401"/>
      <c r="I2" s="3401"/>
      <c r="J2" s="3401"/>
      <c r="K2" s="3401"/>
      <c r="L2" s="3401"/>
      <c r="M2" s="3401"/>
      <c r="N2" s="3401"/>
      <c r="O2" s="3401"/>
      <c r="P2" s="3401"/>
      <c r="Q2" s="3401"/>
      <c r="R2" s="3470"/>
    </row>
    <row r="3" spans="1:19" s="1585" customFormat="1" ht="42.75" customHeight="1">
      <c r="A3" s="3471" t="s">
        <v>645</v>
      </c>
      <c r="B3" s="3407" t="s">
        <v>953</v>
      </c>
      <c r="C3" s="3407" t="s">
        <v>5523</v>
      </c>
      <c r="D3" s="3407" t="s">
        <v>954</v>
      </c>
      <c r="E3" s="3407" t="s">
        <v>7688</v>
      </c>
      <c r="F3" s="3407" t="s">
        <v>5524</v>
      </c>
      <c r="G3" s="3407"/>
      <c r="H3" s="3407" t="s">
        <v>5525</v>
      </c>
      <c r="I3" s="3407"/>
      <c r="J3" s="3407"/>
      <c r="K3" s="3407" t="s">
        <v>5526</v>
      </c>
      <c r="L3" s="3407"/>
      <c r="M3" s="3407"/>
      <c r="N3" s="3407"/>
      <c r="O3" s="3407"/>
      <c r="P3" s="3407"/>
      <c r="Q3" s="3405" t="s">
        <v>5482</v>
      </c>
      <c r="R3" s="3407" t="s">
        <v>4899</v>
      </c>
    </row>
    <row r="4" spans="1:19" s="1585" customFormat="1" ht="78" customHeight="1">
      <c r="A4" s="3472"/>
      <c r="B4" s="3407"/>
      <c r="C4" s="3407"/>
      <c r="D4" s="3407"/>
      <c r="E4" s="3407"/>
      <c r="F4" s="1848" t="s">
        <v>5527</v>
      </c>
      <c r="G4" s="1848" t="s">
        <v>5528</v>
      </c>
      <c r="H4" s="1848" t="s">
        <v>5529</v>
      </c>
      <c r="I4" s="1848" t="s">
        <v>5530</v>
      </c>
      <c r="J4" s="1848" t="s">
        <v>5531</v>
      </c>
      <c r="K4" s="1848" t="s">
        <v>5532</v>
      </c>
      <c r="L4" s="1848" t="s">
        <v>7689</v>
      </c>
      <c r="M4" s="1848" t="s">
        <v>5533</v>
      </c>
      <c r="N4" s="1848" t="s">
        <v>5534</v>
      </c>
      <c r="O4" s="1848" t="s">
        <v>5535</v>
      </c>
      <c r="P4" s="1848" t="s">
        <v>5531</v>
      </c>
      <c r="Q4" s="3406"/>
      <c r="R4" s="3407"/>
    </row>
    <row r="5" spans="1:19" ht="46.5" customHeight="1">
      <c r="A5" s="3472"/>
      <c r="B5" s="1837">
        <v>1</v>
      </c>
      <c r="C5" s="1863">
        <v>2</v>
      </c>
      <c r="D5" s="1863">
        <v>3</v>
      </c>
      <c r="E5" s="1863">
        <v>4</v>
      </c>
      <c r="F5" s="1863">
        <v>5</v>
      </c>
      <c r="G5" s="1863">
        <v>6</v>
      </c>
      <c r="H5" s="1863">
        <v>7</v>
      </c>
      <c r="I5" s="1863">
        <v>8</v>
      </c>
      <c r="J5" s="1863" t="s">
        <v>5536</v>
      </c>
      <c r="K5" s="1863">
        <v>10</v>
      </c>
      <c r="L5" s="1863">
        <v>11</v>
      </c>
      <c r="M5" s="1863" t="s">
        <v>5537</v>
      </c>
      <c r="N5" s="1863" t="s">
        <v>5538</v>
      </c>
      <c r="O5" s="1863">
        <v>14</v>
      </c>
      <c r="P5" s="1863" t="s">
        <v>5539</v>
      </c>
      <c r="Q5" s="1864" t="s">
        <v>5540</v>
      </c>
      <c r="R5" s="1866"/>
      <c r="S5" s="1586"/>
    </row>
    <row r="6" spans="1:19" ht="14.25" customHeight="1">
      <c r="A6" s="1654">
        <v>1</v>
      </c>
      <c r="B6" s="1587"/>
      <c r="C6" s="2233"/>
      <c r="D6" s="2076"/>
      <c r="E6" s="2076"/>
      <c r="F6" s="2567"/>
      <c r="G6" s="2076"/>
      <c r="H6" s="2076"/>
      <c r="I6" s="2076"/>
      <c r="J6" s="2075">
        <f>MIN(H6,I6)</f>
        <v>0</v>
      </c>
      <c r="K6" s="2076"/>
      <c r="L6" s="2076"/>
      <c r="M6" s="2075">
        <f>ROUND(D6*L6,2)</f>
        <v>0</v>
      </c>
      <c r="N6" s="2075">
        <f>K6-M6</f>
        <v>0</v>
      </c>
      <c r="O6" s="2076"/>
      <c r="P6" s="2075">
        <f>MIN(N6,O6)</f>
        <v>0</v>
      </c>
      <c r="Q6" s="2075">
        <f>G6+J6+P6</f>
        <v>0</v>
      </c>
      <c r="R6" s="1979"/>
    </row>
    <row r="7" spans="1:19" ht="14.25" customHeight="1">
      <c r="A7" s="1654">
        <v>2</v>
      </c>
      <c r="B7" s="1587"/>
      <c r="C7" s="2233"/>
      <c r="D7" s="2076"/>
      <c r="E7" s="2076"/>
      <c r="F7" s="2567"/>
      <c r="G7" s="2076"/>
      <c r="H7" s="2076"/>
      <c r="I7" s="2076"/>
      <c r="J7" s="2075">
        <f t="shared" ref="J7:J14" si="0">MIN(H7,I7)</f>
        <v>0</v>
      </c>
      <c r="K7" s="2076"/>
      <c r="L7" s="2076"/>
      <c r="M7" s="2075">
        <f t="shared" ref="M7:M14" si="1">ROUND(D7*L7,2)</f>
        <v>0</v>
      </c>
      <c r="N7" s="2075">
        <f t="shared" ref="N7:N14" si="2">K7-M7</f>
        <v>0</v>
      </c>
      <c r="O7" s="2076"/>
      <c r="P7" s="2075">
        <f t="shared" ref="P7:P14" si="3">MIN(N7,O7)</f>
        <v>0</v>
      </c>
      <c r="Q7" s="2075">
        <f t="shared" ref="Q7:Q15" si="4">G7+J7+P7</f>
        <v>0</v>
      </c>
      <c r="R7" s="1979"/>
      <c r="S7" s="1770" t="s">
        <v>6456</v>
      </c>
    </row>
    <row r="8" spans="1:19" ht="14.25" customHeight="1">
      <c r="A8" s="1654">
        <v>3</v>
      </c>
      <c r="B8" s="1587"/>
      <c r="C8" s="2233"/>
      <c r="D8" s="2076"/>
      <c r="E8" s="2076"/>
      <c r="F8" s="2567"/>
      <c r="G8" s="2076"/>
      <c r="H8" s="2076"/>
      <c r="I8" s="2076"/>
      <c r="J8" s="2075">
        <f t="shared" si="0"/>
        <v>0</v>
      </c>
      <c r="K8" s="2076"/>
      <c r="L8" s="2076"/>
      <c r="M8" s="2075">
        <f t="shared" si="1"/>
        <v>0</v>
      </c>
      <c r="N8" s="2075">
        <f t="shared" si="2"/>
        <v>0</v>
      </c>
      <c r="O8" s="2076"/>
      <c r="P8" s="2075">
        <f t="shared" si="3"/>
        <v>0</v>
      </c>
      <c r="Q8" s="2075">
        <f t="shared" si="4"/>
        <v>0</v>
      </c>
      <c r="R8" s="1979"/>
    </row>
    <row r="9" spans="1:19" ht="14.25" customHeight="1">
      <c r="A9" s="1654">
        <v>4</v>
      </c>
      <c r="B9" s="1587"/>
      <c r="C9" s="2233"/>
      <c r="D9" s="2076"/>
      <c r="E9" s="2076"/>
      <c r="F9" s="2567"/>
      <c r="G9" s="2076"/>
      <c r="H9" s="2076"/>
      <c r="I9" s="2076"/>
      <c r="J9" s="2075">
        <f t="shared" si="0"/>
        <v>0</v>
      </c>
      <c r="K9" s="2076"/>
      <c r="L9" s="2076"/>
      <c r="M9" s="2075">
        <f t="shared" si="1"/>
        <v>0</v>
      </c>
      <c r="N9" s="2075">
        <f t="shared" si="2"/>
        <v>0</v>
      </c>
      <c r="O9" s="2076"/>
      <c r="P9" s="2075">
        <f t="shared" si="3"/>
        <v>0</v>
      </c>
      <c r="Q9" s="2075">
        <f t="shared" si="4"/>
        <v>0</v>
      </c>
      <c r="R9" s="1979"/>
    </row>
    <row r="10" spans="1:19" ht="14.25" customHeight="1">
      <c r="A10" s="1654">
        <v>5</v>
      </c>
      <c r="B10" s="1587"/>
      <c r="C10" s="2233"/>
      <c r="D10" s="2076"/>
      <c r="E10" s="2076"/>
      <c r="F10" s="2567"/>
      <c r="G10" s="2076"/>
      <c r="H10" s="2076"/>
      <c r="I10" s="2076"/>
      <c r="J10" s="2075">
        <f t="shared" si="0"/>
        <v>0</v>
      </c>
      <c r="K10" s="2076"/>
      <c r="L10" s="2076"/>
      <c r="M10" s="2075">
        <f t="shared" si="1"/>
        <v>0</v>
      </c>
      <c r="N10" s="2075">
        <f t="shared" si="2"/>
        <v>0</v>
      </c>
      <c r="O10" s="2076"/>
      <c r="P10" s="2075">
        <f t="shared" si="3"/>
        <v>0</v>
      </c>
      <c r="Q10" s="2075">
        <f t="shared" si="4"/>
        <v>0</v>
      </c>
      <c r="R10" s="1979"/>
    </row>
    <row r="11" spans="1:19" ht="14.25" customHeight="1">
      <c r="A11" s="1654">
        <v>6</v>
      </c>
      <c r="B11" s="1587"/>
      <c r="C11" s="2233"/>
      <c r="D11" s="2076"/>
      <c r="E11" s="2076"/>
      <c r="F11" s="2567"/>
      <c r="G11" s="2076"/>
      <c r="H11" s="2076"/>
      <c r="I11" s="2076"/>
      <c r="J11" s="2075">
        <f t="shared" si="0"/>
        <v>0</v>
      </c>
      <c r="K11" s="2076"/>
      <c r="L11" s="2076"/>
      <c r="M11" s="2075">
        <f t="shared" si="1"/>
        <v>0</v>
      </c>
      <c r="N11" s="2075">
        <f t="shared" si="2"/>
        <v>0</v>
      </c>
      <c r="O11" s="2076"/>
      <c r="P11" s="2075">
        <f t="shared" si="3"/>
        <v>0</v>
      </c>
      <c r="Q11" s="2075">
        <f t="shared" si="4"/>
        <v>0</v>
      </c>
      <c r="R11" s="1979"/>
    </row>
    <row r="12" spans="1:19" ht="14.25" customHeight="1">
      <c r="A12" s="1654">
        <v>7</v>
      </c>
      <c r="B12" s="1587"/>
      <c r="C12" s="2233"/>
      <c r="D12" s="2076"/>
      <c r="E12" s="2076"/>
      <c r="F12" s="2567"/>
      <c r="G12" s="2076"/>
      <c r="H12" s="2076"/>
      <c r="I12" s="2076"/>
      <c r="J12" s="2075">
        <f t="shared" si="0"/>
        <v>0</v>
      </c>
      <c r="K12" s="2076"/>
      <c r="L12" s="2076"/>
      <c r="M12" s="2075">
        <f t="shared" si="1"/>
        <v>0</v>
      </c>
      <c r="N12" s="2075">
        <f t="shared" si="2"/>
        <v>0</v>
      </c>
      <c r="O12" s="2076"/>
      <c r="P12" s="2075">
        <f t="shared" si="3"/>
        <v>0</v>
      </c>
      <c r="Q12" s="2075">
        <f t="shared" si="4"/>
        <v>0</v>
      </c>
      <c r="R12" s="1979"/>
    </row>
    <row r="13" spans="1:19" ht="14.25" customHeight="1">
      <c r="A13" s="1654">
        <v>8</v>
      </c>
      <c r="B13" s="1587"/>
      <c r="C13" s="2233"/>
      <c r="D13" s="2076"/>
      <c r="E13" s="2076"/>
      <c r="F13" s="2567"/>
      <c r="G13" s="2076"/>
      <c r="H13" s="2076"/>
      <c r="I13" s="2076"/>
      <c r="J13" s="2075">
        <f t="shared" si="0"/>
        <v>0</v>
      </c>
      <c r="K13" s="2076"/>
      <c r="L13" s="2076"/>
      <c r="M13" s="2075">
        <f t="shared" si="1"/>
        <v>0</v>
      </c>
      <c r="N13" s="2075">
        <f t="shared" si="2"/>
        <v>0</v>
      </c>
      <c r="O13" s="2076"/>
      <c r="P13" s="2075">
        <f t="shared" si="3"/>
        <v>0</v>
      </c>
      <c r="Q13" s="2075">
        <f t="shared" si="4"/>
        <v>0</v>
      </c>
      <c r="R13" s="1979"/>
    </row>
    <row r="14" spans="1:19" ht="14.25" customHeight="1">
      <c r="A14" s="1654">
        <v>9</v>
      </c>
      <c r="B14" s="1587"/>
      <c r="C14" s="2233"/>
      <c r="D14" s="2076"/>
      <c r="E14" s="2076"/>
      <c r="F14" s="2567"/>
      <c r="G14" s="2076"/>
      <c r="H14" s="2076"/>
      <c r="I14" s="2076"/>
      <c r="J14" s="2075">
        <f t="shared" si="0"/>
        <v>0</v>
      </c>
      <c r="K14" s="2076"/>
      <c r="L14" s="2076"/>
      <c r="M14" s="2075">
        <f t="shared" si="1"/>
        <v>0</v>
      </c>
      <c r="N14" s="2075">
        <f t="shared" si="2"/>
        <v>0</v>
      </c>
      <c r="O14" s="2076"/>
      <c r="P14" s="2075">
        <f t="shared" si="3"/>
        <v>0</v>
      </c>
      <c r="Q14" s="2075">
        <f t="shared" si="4"/>
        <v>0</v>
      </c>
      <c r="R14" s="1979"/>
    </row>
    <row r="15" spans="1:19" ht="89.25" customHeight="1">
      <c r="A15" s="1588" t="s">
        <v>5541</v>
      </c>
      <c r="B15" s="1864" t="s">
        <v>702</v>
      </c>
      <c r="C15" s="1872" t="s">
        <v>5542</v>
      </c>
      <c r="D15" s="1872" t="s">
        <v>5542</v>
      </c>
      <c r="E15" s="1872" t="s">
        <v>5542</v>
      </c>
      <c r="F15" s="1872" t="s">
        <v>5542</v>
      </c>
      <c r="G15" s="2075">
        <f>SUM(G6:G14)</f>
        <v>0</v>
      </c>
      <c r="H15" s="1872" t="s">
        <v>5542</v>
      </c>
      <c r="I15" s="1872" t="s">
        <v>5542</v>
      </c>
      <c r="J15" s="2075">
        <f>SUM(J6:J14)</f>
        <v>0</v>
      </c>
      <c r="K15" s="1872" t="s">
        <v>5542</v>
      </c>
      <c r="L15" s="1872" t="s">
        <v>5542</v>
      </c>
      <c r="M15" s="1872" t="s">
        <v>5542</v>
      </c>
      <c r="N15" s="1872" t="s">
        <v>5542</v>
      </c>
      <c r="O15" s="1872" t="s">
        <v>5542</v>
      </c>
      <c r="P15" s="2075">
        <f>SUM(P6:P14)</f>
        <v>0</v>
      </c>
      <c r="Q15" s="2075">
        <f t="shared" si="4"/>
        <v>0</v>
      </c>
      <c r="R15" s="1978" t="s">
        <v>5543</v>
      </c>
    </row>
  </sheetData>
  <mergeCells count="12">
    <mergeCell ref="A1:R1"/>
    <mergeCell ref="A2:R2"/>
    <mergeCell ref="A3:A5"/>
    <mergeCell ref="B3:B4"/>
    <mergeCell ref="C3:C4"/>
    <mergeCell ref="D3:D4"/>
    <mergeCell ref="E3:E4"/>
    <mergeCell ref="F3:G3"/>
    <mergeCell ref="H3:J3"/>
    <mergeCell ref="K3:P3"/>
    <mergeCell ref="Q3:Q4"/>
    <mergeCell ref="R3:R4"/>
  </mergeCells>
  <phoneticPr fontId="51" type="noConversion"/>
  <dataValidations count="1">
    <dataValidation type="list" allowBlank="1" showInputMessage="1" showErrorMessage="1" sqref="C6:C14">
      <formula1>"直接投资,股票投资"</formula1>
    </dataValidation>
  </dataValidations>
  <hyperlinks>
    <hyperlink ref="S7" location="A107011股息红利优惠明细表!A1" display="A107011股息红利优惠明细表!A1"/>
  </hyperlinks>
  <printOptions horizontalCentered="1" verticalCentered="1"/>
  <pageMargins left="0.78740157480314998" right="0.35433070866141703" top="0.511811023622047" bottom="0.11811023622047198" header="0.511811023622047" footer="0.511811023622047"/>
  <pageSetup paperSize="9"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tabColor theme="3" tint="0.39997558519241921"/>
  </sheetPr>
  <dimension ref="A1:M16"/>
  <sheetViews>
    <sheetView workbookViewId="0">
      <selection activeCell="C6" sqref="C6:C14"/>
    </sheetView>
  </sheetViews>
  <sheetFormatPr defaultRowHeight="15.6"/>
  <cols>
    <col min="1" max="1" width="3.19921875" style="1590" customWidth="1"/>
    <col min="2" max="2" width="13.59765625" style="1590" customWidth="1"/>
    <col min="3" max="5" width="11.59765625" style="1590" customWidth="1"/>
    <col min="6" max="6" width="10.69921875" style="1590" customWidth="1"/>
    <col min="7" max="7" width="14.09765625" style="1590" customWidth="1"/>
    <col min="8" max="8" width="7.19921875" style="1590" customWidth="1"/>
    <col min="9" max="9" width="12.8984375" style="1590" customWidth="1"/>
    <col min="10" max="10" width="10.8984375" style="1590" customWidth="1"/>
    <col min="11" max="11" width="10.5" style="1590" customWidth="1"/>
    <col min="12" max="12" width="11.19921875" style="1590" customWidth="1"/>
    <col min="13" max="256" width="9" style="1590"/>
    <col min="257" max="257" width="5.69921875" style="1590" customWidth="1"/>
    <col min="258" max="258" width="8.19921875" style="1590" customWidth="1"/>
    <col min="259" max="261" width="11.59765625" style="1590" customWidth="1"/>
    <col min="262" max="262" width="10.69921875" style="1590" customWidth="1"/>
    <col min="263" max="263" width="9" style="1590"/>
    <col min="264" max="264" width="10" style="1590" customWidth="1"/>
    <col min="265" max="265" width="10.69921875" style="1590" customWidth="1"/>
    <col min="266" max="266" width="10.8984375" style="1590" customWidth="1"/>
    <col min="267" max="267" width="10.5" style="1590" customWidth="1"/>
    <col min="268" max="268" width="11.19921875" style="1590" customWidth="1"/>
    <col min="269" max="512" width="9" style="1590"/>
    <col min="513" max="513" width="5.69921875" style="1590" customWidth="1"/>
    <col min="514" max="514" width="8.19921875" style="1590" customWidth="1"/>
    <col min="515" max="517" width="11.59765625" style="1590" customWidth="1"/>
    <col min="518" max="518" width="10.69921875" style="1590" customWidth="1"/>
    <col min="519" max="519" width="9" style="1590"/>
    <col min="520" max="520" width="10" style="1590" customWidth="1"/>
    <col min="521" max="521" width="10.69921875" style="1590" customWidth="1"/>
    <col min="522" max="522" width="10.8984375" style="1590" customWidth="1"/>
    <col min="523" max="523" width="10.5" style="1590" customWidth="1"/>
    <col min="524" max="524" width="11.19921875" style="1590" customWidth="1"/>
    <col min="525" max="768" width="9" style="1590"/>
    <col min="769" max="769" width="5.69921875" style="1590" customWidth="1"/>
    <col min="770" max="770" width="8.19921875" style="1590" customWidth="1"/>
    <col min="771" max="773" width="11.59765625" style="1590" customWidth="1"/>
    <col min="774" max="774" width="10.69921875" style="1590" customWidth="1"/>
    <col min="775" max="775" width="9" style="1590"/>
    <col min="776" max="776" width="10" style="1590" customWidth="1"/>
    <col min="777" max="777" width="10.69921875" style="1590" customWidth="1"/>
    <col min="778" max="778" width="10.8984375" style="1590" customWidth="1"/>
    <col min="779" max="779" width="10.5" style="1590" customWidth="1"/>
    <col min="780" max="780" width="11.19921875" style="1590" customWidth="1"/>
    <col min="781" max="1024" width="9" style="1590"/>
    <col min="1025" max="1025" width="5.69921875" style="1590" customWidth="1"/>
    <col min="1026" max="1026" width="8.19921875" style="1590" customWidth="1"/>
    <col min="1027" max="1029" width="11.59765625" style="1590" customWidth="1"/>
    <col min="1030" max="1030" width="10.69921875" style="1590" customWidth="1"/>
    <col min="1031" max="1031" width="9" style="1590"/>
    <col min="1032" max="1032" width="10" style="1590" customWidth="1"/>
    <col min="1033" max="1033" width="10.69921875" style="1590" customWidth="1"/>
    <col min="1034" max="1034" width="10.8984375" style="1590" customWidth="1"/>
    <col min="1035" max="1035" width="10.5" style="1590" customWidth="1"/>
    <col min="1036" max="1036" width="11.19921875" style="1590" customWidth="1"/>
    <col min="1037" max="1280" width="9" style="1590"/>
    <col min="1281" max="1281" width="5.69921875" style="1590" customWidth="1"/>
    <col min="1282" max="1282" width="8.19921875" style="1590" customWidth="1"/>
    <col min="1283" max="1285" width="11.59765625" style="1590" customWidth="1"/>
    <col min="1286" max="1286" width="10.69921875" style="1590" customWidth="1"/>
    <col min="1287" max="1287" width="9" style="1590"/>
    <col min="1288" max="1288" width="10" style="1590" customWidth="1"/>
    <col min="1289" max="1289" width="10.69921875" style="1590" customWidth="1"/>
    <col min="1290" max="1290" width="10.8984375" style="1590" customWidth="1"/>
    <col min="1291" max="1291" width="10.5" style="1590" customWidth="1"/>
    <col min="1292" max="1292" width="11.19921875" style="1590" customWidth="1"/>
    <col min="1293" max="1536" width="9" style="1590"/>
    <col min="1537" max="1537" width="5.69921875" style="1590" customWidth="1"/>
    <col min="1538" max="1538" width="8.19921875" style="1590" customWidth="1"/>
    <col min="1539" max="1541" width="11.59765625" style="1590" customWidth="1"/>
    <col min="1542" max="1542" width="10.69921875" style="1590" customWidth="1"/>
    <col min="1543" max="1543" width="9" style="1590"/>
    <col min="1544" max="1544" width="10" style="1590" customWidth="1"/>
    <col min="1545" max="1545" width="10.69921875" style="1590" customWidth="1"/>
    <col min="1546" max="1546" width="10.8984375" style="1590" customWidth="1"/>
    <col min="1547" max="1547" width="10.5" style="1590" customWidth="1"/>
    <col min="1548" max="1548" width="11.19921875" style="1590" customWidth="1"/>
    <col min="1549" max="1792" width="9" style="1590"/>
    <col min="1793" max="1793" width="5.69921875" style="1590" customWidth="1"/>
    <col min="1794" max="1794" width="8.19921875" style="1590" customWidth="1"/>
    <col min="1795" max="1797" width="11.59765625" style="1590" customWidth="1"/>
    <col min="1798" max="1798" width="10.69921875" style="1590" customWidth="1"/>
    <col min="1799" max="1799" width="9" style="1590"/>
    <col min="1800" max="1800" width="10" style="1590" customWidth="1"/>
    <col min="1801" max="1801" width="10.69921875" style="1590" customWidth="1"/>
    <col min="1802" max="1802" width="10.8984375" style="1590" customWidth="1"/>
    <col min="1803" max="1803" width="10.5" style="1590" customWidth="1"/>
    <col min="1804" max="1804" width="11.19921875" style="1590" customWidth="1"/>
    <col min="1805" max="2048" width="9" style="1590"/>
    <col min="2049" max="2049" width="5.69921875" style="1590" customWidth="1"/>
    <col min="2050" max="2050" width="8.19921875" style="1590" customWidth="1"/>
    <col min="2051" max="2053" width="11.59765625" style="1590" customWidth="1"/>
    <col min="2054" max="2054" width="10.69921875" style="1590" customWidth="1"/>
    <col min="2055" max="2055" width="9" style="1590"/>
    <col min="2056" max="2056" width="10" style="1590" customWidth="1"/>
    <col min="2057" max="2057" width="10.69921875" style="1590" customWidth="1"/>
    <col min="2058" max="2058" width="10.8984375" style="1590" customWidth="1"/>
    <col min="2059" max="2059" width="10.5" style="1590" customWidth="1"/>
    <col min="2060" max="2060" width="11.19921875" style="1590" customWidth="1"/>
    <col min="2061" max="2304" width="9" style="1590"/>
    <col min="2305" max="2305" width="5.69921875" style="1590" customWidth="1"/>
    <col min="2306" max="2306" width="8.19921875" style="1590" customWidth="1"/>
    <col min="2307" max="2309" width="11.59765625" style="1590" customWidth="1"/>
    <col min="2310" max="2310" width="10.69921875" style="1590" customWidth="1"/>
    <col min="2311" max="2311" width="9" style="1590"/>
    <col min="2312" max="2312" width="10" style="1590" customWidth="1"/>
    <col min="2313" max="2313" width="10.69921875" style="1590" customWidth="1"/>
    <col min="2314" max="2314" width="10.8984375" style="1590" customWidth="1"/>
    <col min="2315" max="2315" width="10.5" style="1590" customWidth="1"/>
    <col min="2316" max="2316" width="11.19921875" style="1590" customWidth="1"/>
    <col min="2317" max="2560" width="9" style="1590"/>
    <col min="2561" max="2561" width="5.69921875" style="1590" customWidth="1"/>
    <col min="2562" max="2562" width="8.19921875" style="1590" customWidth="1"/>
    <col min="2563" max="2565" width="11.59765625" style="1590" customWidth="1"/>
    <col min="2566" max="2566" width="10.69921875" style="1590" customWidth="1"/>
    <col min="2567" max="2567" width="9" style="1590"/>
    <col min="2568" max="2568" width="10" style="1590" customWidth="1"/>
    <col min="2569" max="2569" width="10.69921875" style="1590" customWidth="1"/>
    <col min="2570" max="2570" width="10.8984375" style="1590" customWidth="1"/>
    <col min="2571" max="2571" width="10.5" style="1590" customWidth="1"/>
    <col min="2572" max="2572" width="11.19921875" style="1590" customWidth="1"/>
    <col min="2573" max="2816" width="9" style="1590"/>
    <col min="2817" max="2817" width="5.69921875" style="1590" customWidth="1"/>
    <col min="2818" max="2818" width="8.19921875" style="1590" customWidth="1"/>
    <col min="2819" max="2821" width="11.59765625" style="1590" customWidth="1"/>
    <col min="2822" max="2822" width="10.69921875" style="1590" customWidth="1"/>
    <col min="2823" max="2823" width="9" style="1590"/>
    <col min="2824" max="2824" width="10" style="1590" customWidth="1"/>
    <col min="2825" max="2825" width="10.69921875" style="1590" customWidth="1"/>
    <col min="2826" max="2826" width="10.8984375" style="1590" customWidth="1"/>
    <col min="2827" max="2827" width="10.5" style="1590" customWidth="1"/>
    <col min="2828" max="2828" width="11.19921875" style="1590" customWidth="1"/>
    <col min="2829" max="3072" width="9" style="1590"/>
    <col min="3073" max="3073" width="5.69921875" style="1590" customWidth="1"/>
    <col min="3074" max="3074" width="8.19921875" style="1590" customWidth="1"/>
    <col min="3075" max="3077" width="11.59765625" style="1590" customWidth="1"/>
    <col min="3078" max="3078" width="10.69921875" style="1590" customWidth="1"/>
    <col min="3079" max="3079" width="9" style="1590"/>
    <col min="3080" max="3080" width="10" style="1590" customWidth="1"/>
    <col min="3081" max="3081" width="10.69921875" style="1590" customWidth="1"/>
    <col min="3082" max="3082" width="10.8984375" style="1590" customWidth="1"/>
    <col min="3083" max="3083" width="10.5" style="1590" customWidth="1"/>
    <col min="3084" max="3084" width="11.19921875" style="1590" customWidth="1"/>
    <col min="3085" max="3328" width="9" style="1590"/>
    <col min="3329" max="3329" width="5.69921875" style="1590" customWidth="1"/>
    <col min="3330" max="3330" width="8.19921875" style="1590" customWidth="1"/>
    <col min="3331" max="3333" width="11.59765625" style="1590" customWidth="1"/>
    <col min="3334" max="3334" width="10.69921875" style="1590" customWidth="1"/>
    <col min="3335" max="3335" width="9" style="1590"/>
    <col min="3336" max="3336" width="10" style="1590" customWidth="1"/>
    <col min="3337" max="3337" width="10.69921875" style="1590" customWidth="1"/>
    <col min="3338" max="3338" width="10.8984375" style="1590" customWidth="1"/>
    <col min="3339" max="3339" width="10.5" style="1590" customWidth="1"/>
    <col min="3340" max="3340" width="11.19921875" style="1590" customWidth="1"/>
    <col min="3341" max="3584" width="9" style="1590"/>
    <col min="3585" max="3585" width="5.69921875" style="1590" customWidth="1"/>
    <col min="3586" max="3586" width="8.19921875" style="1590" customWidth="1"/>
    <col min="3587" max="3589" width="11.59765625" style="1590" customWidth="1"/>
    <col min="3590" max="3590" width="10.69921875" style="1590" customWidth="1"/>
    <col min="3591" max="3591" width="9" style="1590"/>
    <col min="3592" max="3592" width="10" style="1590" customWidth="1"/>
    <col min="3593" max="3593" width="10.69921875" style="1590" customWidth="1"/>
    <col min="3594" max="3594" width="10.8984375" style="1590" customWidth="1"/>
    <col min="3595" max="3595" width="10.5" style="1590" customWidth="1"/>
    <col min="3596" max="3596" width="11.19921875" style="1590" customWidth="1"/>
    <col min="3597" max="3840" width="9" style="1590"/>
    <col min="3841" max="3841" width="5.69921875" style="1590" customWidth="1"/>
    <col min="3842" max="3842" width="8.19921875" style="1590" customWidth="1"/>
    <col min="3843" max="3845" width="11.59765625" style="1590" customWidth="1"/>
    <col min="3846" max="3846" width="10.69921875" style="1590" customWidth="1"/>
    <col min="3847" max="3847" width="9" style="1590"/>
    <col min="3848" max="3848" width="10" style="1590" customWidth="1"/>
    <col min="3849" max="3849" width="10.69921875" style="1590" customWidth="1"/>
    <col min="3850" max="3850" width="10.8984375" style="1590" customWidth="1"/>
    <col min="3851" max="3851" width="10.5" style="1590" customWidth="1"/>
    <col min="3852" max="3852" width="11.19921875" style="1590" customWidth="1"/>
    <col min="3853" max="4096" width="9" style="1590"/>
    <col min="4097" max="4097" width="5.69921875" style="1590" customWidth="1"/>
    <col min="4098" max="4098" width="8.19921875" style="1590" customWidth="1"/>
    <col min="4099" max="4101" width="11.59765625" style="1590" customWidth="1"/>
    <col min="4102" max="4102" width="10.69921875" style="1590" customWidth="1"/>
    <col min="4103" max="4103" width="9" style="1590"/>
    <col min="4104" max="4104" width="10" style="1590" customWidth="1"/>
    <col min="4105" max="4105" width="10.69921875" style="1590" customWidth="1"/>
    <col min="4106" max="4106" width="10.8984375" style="1590" customWidth="1"/>
    <col min="4107" max="4107" width="10.5" style="1590" customWidth="1"/>
    <col min="4108" max="4108" width="11.19921875" style="1590" customWidth="1"/>
    <col min="4109" max="4352" width="9" style="1590"/>
    <col min="4353" max="4353" width="5.69921875" style="1590" customWidth="1"/>
    <col min="4354" max="4354" width="8.19921875" style="1590" customWidth="1"/>
    <col min="4355" max="4357" width="11.59765625" style="1590" customWidth="1"/>
    <col min="4358" max="4358" width="10.69921875" style="1590" customWidth="1"/>
    <col min="4359" max="4359" width="9" style="1590"/>
    <col min="4360" max="4360" width="10" style="1590" customWidth="1"/>
    <col min="4361" max="4361" width="10.69921875" style="1590" customWidth="1"/>
    <col min="4362" max="4362" width="10.8984375" style="1590" customWidth="1"/>
    <col min="4363" max="4363" width="10.5" style="1590" customWidth="1"/>
    <col min="4364" max="4364" width="11.19921875" style="1590" customWidth="1"/>
    <col min="4365" max="4608" width="9" style="1590"/>
    <col min="4609" max="4609" width="5.69921875" style="1590" customWidth="1"/>
    <col min="4610" max="4610" width="8.19921875" style="1590" customWidth="1"/>
    <col min="4611" max="4613" width="11.59765625" style="1590" customWidth="1"/>
    <col min="4614" max="4614" width="10.69921875" style="1590" customWidth="1"/>
    <col min="4615" max="4615" width="9" style="1590"/>
    <col min="4616" max="4616" width="10" style="1590" customWidth="1"/>
    <col min="4617" max="4617" width="10.69921875" style="1590" customWidth="1"/>
    <col min="4618" max="4618" width="10.8984375" style="1590" customWidth="1"/>
    <col min="4619" max="4619" width="10.5" style="1590" customWidth="1"/>
    <col min="4620" max="4620" width="11.19921875" style="1590" customWidth="1"/>
    <col min="4621" max="4864" width="9" style="1590"/>
    <col min="4865" max="4865" width="5.69921875" style="1590" customWidth="1"/>
    <col min="4866" max="4866" width="8.19921875" style="1590" customWidth="1"/>
    <col min="4867" max="4869" width="11.59765625" style="1590" customWidth="1"/>
    <col min="4870" max="4870" width="10.69921875" style="1590" customWidth="1"/>
    <col min="4871" max="4871" width="9" style="1590"/>
    <col min="4872" max="4872" width="10" style="1590" customWidth="1"/>
    <col min="4873" max="4873" width="10.69921875" style="1590" customWidth="1"/>
    <col min="4874" max="4874" width="10.8984375" style="1590" customWidth="1"/>
    <col min="4875" max="4875" width="10.5" style="1590" customWidth="1"/>
    <col min="4876" max="4876" width="11.19921875" style="1590" customWidth="1"/>
    <col min="4877" max="5120" width="9" style="1590"/>
    <col min="5121" max="5121" width="5.69921875" style="1590" customWidth="1"/>
    <col min="5122" max="5122" width="8.19921875" style="1590" customWidth="1"/>
    <col min="5123" max="5125" width="11.59765625" style="1590" customWidth="1"/>
    <col min="5126" max="5126" width="10.69921875" style="1590" customWidth="1"/>
    <col min="5127" max="5127" width="9" style="1590"/>
    <col min="5128" max="5128" width="10" style="1590" customWidth="1"/>
    <col min="5129" max="5129" width="10.69921875" style="1590" customWidth="1"/>
    <col min="5130" max="5130" width="10.8984375" style="1590" customWidth="1"/>
    <col min="5131" max="5131" width="10.5" style="1590" customWidth="1"/>
    <col min="5132" max="5132" width="11.19921875" style="1590" customWidth="1"/>
    <col min="5133" max="5376" width="9" style="1590"/>
    <col min="5377" max="5377" width="5.69921875" style="1590" customWidth="1"/>
    <col min="5378" max="5378" width="8.19921875" style="1590" customWidth="1"/>
    <col min="5379" max="5381" width="11.59765625" style="1590" customWidth="1"/>
    <col min="5382" max="5382" width="10.69921875" style="1590" customWidth="1"/>
    <col min="5383" max="5383" width="9" style="1590"/>
    <col min="5384" max="5384" width="10" style="1590" customWidth="1"/>
    <col min="5385" max="5385" width="10.69921875" style="1590" customWidth="1"/>
    <col min="5386" max="5386" width="10.8984375" style="1590" customWidth="1"/>
    <col min="5387" max="5387" width="10.5" style="1590" customWidth="1"/>
    <col min="5388" max="5388" width="11.19921875" style="1590" customWidth="1"/>
    <col min="5389" max="5632" width="9" style="1590"/>
    <col min="5633" max="5633" width="5.69921875" style="1590" customWidth="1"/>
    <col min="5634" max="5634" width="8.19921875" style="1590" customWidth="1"/>
    <col min="5635" max="5637" width="11.59765625" style="1590" customWidth="1"/>
    <col min="5638" max="5638" width="10.69921875" style="1590" customWidth="1"/>
    <col min="5639" max="5639" width="9" style="1590"/>
    <col min="5640" max="5640" width="10" style="1590" customWidth="1"/>
    <col min="5641" max="5641" width="10.69921875" style="1590" customWidth="1"/>
    <col min="5642" max="5642" width="10.8984375" style="1590" customWidth="1"/>
    <col min="5643" max="5643" width="10.5" style="1590" customWidth="1"/>
    <col min="5644" max="5644" width="11.19921875" style="1590" customWidth="1"/>
    <col min="5645" max="5888" width="9" style="1590"/>
    <col min="5889" max="5889" width="5.69921875" style="1590" customWidth="1"/>
    <col min="5890" max="5890" width="8.19921875" style="1590" customWidth="1"/>
    <col min="5891" max="5893" width="11.59765625" style="1590" customWidth="1"/>
    <col min="5894" max="5894" width="10.69921875" style="1590" customWidth="1"/>
    <col min="5895" max="5895" width="9" style="1590"/>
    <col min="5896" max="5896" width="10" style="1590" customWidth="1"/>
    <col min="5897" max="5897" width="10.69921875" style="1590" customWidth="1"/>
    <col min="5898" max="5898" width="10.8984375" style="1590" customWidth="1"/>
    <col min="5899" max="5899" width="10.5" style="1590" customWidth="1"/>
    <col min="5900" max="5900" width="11.19921875" style="1590" customWidth="1"/>
    <col min="5901" max="6144" width="9" style="1590"/>
    <col min="6145" max="6145" width="5.69921875" style="1590" customWidth="1"/>
    <col min="6146" max="6146" width="8.19921875" style="1590" customWidth="1"/>
    <col min="6147" max="6149" width="11.59765625" style="1590" customWidth="1"/>
    <col min="6150" max="6150" width="10.69921875" style="1590" customWidth="1"/>
    <col min="6151" max="6151" width="9" style="1590"/>
    <col min="6152" max="6152" width="10" style="1590" customWidth="1"/>
    <col min="6153" max="6153" width="10.69921875" style="1590" customWidth="1"/>
    <col min="6154" max="6154" width="10.8984375" style="1590" customWidth="1"/>
    <col min="6155" max="6155" width="10.5" style="1590" customWidth="1"/>
    <col min="6156" max="6156" width="11.19921875" style="1590" customWidth="1"/>
    <col min="6157" max="6400" width="9" style="1590"/>
    <col min="6401" max="6401" width="5.69921875" style="1590" customWidth="1"/>
    <col min="6402" max="6402" width="8.19921875" style="1590" customWidth="1"/>
    <col min="6403" max="6405" width="11.59765625" style="1590" customWidth="1"/>
    <col min="6406" max="6406" width="10.69921875" style="1590" customWidth="1"/>
    <col min="6407" max="6407" width="9" style="1590"/>
    <col min="6408" max="6408" width="10" style="1590" customWidth="1"/>
    <col min="6409" max="6409" width="10.69921875" style="1590" customWidth="1"/>
    <col min="6410" max="6410" width="10.8984375" style="1590" customWidth="1"/>
    <col min="6411" max="6411" width="10.5" style="1590" customWidth="1"/>
    <col min="6412" max="6412" width="11.19921875" style="1590" customWidth="1"/>
    <col min="6413" max="6656" width="9" style="1590"/>
    <col min="6657" max="6657" width="5.69921875" style="1590" customWidth="1"/>
    <col min="6658" max="6658" width="8.19921875" style="1590" customWidth="1"/>
    <col min="6659" max="6661" width="11.59765625" style="1590" customWidth="1"/>
    <col min="6662" max="6662" width="10.69921875" style="1590" customWidth="1"/>
    <col min="6663" max="6663" width="9" style="1590"/>
    <col min="6664" max="6664" width="10" style="1590" customWidth="1"/>
    <col min="6665" max="6665" width="10.69921875" style="1590" customWidth="1"/>
    <col min="6666" max="6666" width="10.8984375" style="1590" customWidth="1"/>
    <col min="6667" max="6667" width="10.5" style="1590" customWidth="1"/>
    <col min="6668" max="6668" width="11.19921875" style="1590" customWidth="1"/>
    <col min="6669" max="6912" width="9" style="1590"/>
    <col min="6913" max="6913" width="5.69921875" style="1590" customWidth="1"/>
    <col min="6914" max="6914" width="8.19921875" style="1590" customWidth="1"/>
    <col min="6915" max="6917" width="11.59765625" style="1590" customWidth="1"/>
    <col min="6918" max="6918" width="10.69921875" style="1590" customWidth="1"/>
    <col min="6919" max="6919" width="9" style="1590"/>
    <col min="6920" max="6920" width="10" style="1590" customWidth="1"/>
    <col min="6921" max="6921" width="10.69921875" style="1590" customWidth="1"/>
    <col min="6922" max="6922" width="10.8984375" style="1590" customWidth="1"/>
    <col min="6923" max="6923" width="10.5" style="1590" customWidth="1"/>
    <col min="6924" max="6924" width="11.19921875" style="1590" customWidth="1"/>
    <col min="6925" max="7168" width="9" style="1590"/>
    <col min="7169" max="7169" width="5.69921875" style="1590" customWidth="1"/>
    <col min="7170" max="7170" width="8.19921875" style="1590" customWidth="1"/>
    <col min="7171" max="7173" width="11.59765625" style="1590" customWidth="1"/>
    <col min="7174" max="7174" width="10.69921875" style="1590" customWidth="1"/>
    <col min="7175" max="7175" width="9" style="1590"/>
    <col min="7176" max="7176" width="10" style="1590" customWidth="1"/>
    <col min="7177" max="7177" width="10.69921875" style="1590" customWidth="1"/>
    <col min="7178" max="7178" width="10.8984375" style="1590" customWidth="1"/>
    <col min="7179" max="7179" width="10.5" style="1590" customWidth="1"/>
    <col min="7180" max="7180" width="11.19921875" style="1590" customWidth="1"/>
    <col min="7181" max="7424" width="9" style="1590"/>
    <col min="7425" max="7425" width="5.69921875" style="1590" customWidth="1"/>
    <col min="7426" max="7426" width="8.19921875" style="1590" customWidth="1"/>
    <col min="7427" max="7429" width="11.59765625" style="1590" customWidth="1"/>
    <col min="7430" max="7430" width="10.69921875" style="1590" customWidth="1"/>
    <col min="7431" max="7431" width="9" style="1590"/>
    <col min="7432" max="7432" width="10" style="1590" customWidth="1"/>
    <col min="7433" max="7433" width="10.69921875" style="1590" customWidth="1"/>
    <col min="7434" max="7434" width="10.8984375" style="1590" customWidth="1"/>
    <col min="7435" max="7435" width="10.5" style="1590" customWidth="1"/>
    <col min="7436" max="7436" width="11.19921875" style="1590" customWidth="1"/>
    <col min="7437" max="7680" width="9" style="1590"/>
    <col min="7681" max="7681" width="5.69921875" style="1590" customWidth="1"/>
    <col min="7682" max="7682" width="8.19921875" style="1590" customWidth="1"/>
    <col min="7683" max="7685" width="11.59765625" style="1590" customWidth="1"/>
    <col min="7686" max="7686" width="10.69921875" style="1590" customWidth="1"/>
    <col min="7687" max="7687" width="9" style="1590"/>
    <col min="7688" max="7688" width="10" style="1590" customWidth="1"/>
    <col min="7689" max="7689" width="10.69921875" style="1590" customWidth="1"/>
    <col min="7690" max="7690" width="10.8984375" style="1590" customWidth="1"/>
    <col min="7691" max="7691" width="10.5" style="1590" customWidth="1"/>
    <col min="7692" max="7692" width="11.19921875" style="1590" customWidth="1"/>
    <col min="7693" max="7936" width="9" style="1590"/>
    <col min="7937" max="7937" width="5.69921875" style="1590" customWidth="1"/>
    <col min="7938" max="7938" width="8.19921875" style="1590" customWidth="1"/>
    <col min="7939" max="7941" width="11.59765625" style="1590" customWidth="1"/>
    <col min="7942" max="7942" width="10.69921875" style="1590" customWidth="1"/>
    <col min="7943" max="7943" width="9" style="1590"/>
    <col min="7944" max="7944" width="10" style="1590" customWidth="1"/>
    <col min="7945" max="7945" width="10.69921875" style="1590" customWidth="1"/>
    <col min="7946" max="7946" width="10.8984375" style="1590" customWidth="1"/>
    <col min="7947" max="7947" width="10.5" style="1590" customWidth="1"/>
    <col min="7948" max="7948" width="11.19921875" style="1590" customWidth="1"/>
    <col min="7949" max="8192" width="9" style="1590"/>
    <col min="8193" max="8193" width="5.69921875" style="1590" customWidth="1"/>
    <col min="8194" max="8194" width="8.19921875" style="1590" customWidth="1"/>
    <col min="8195" max="8197" width="11.59765625" style="1590" customWidth="1"/>
    <col min="8198" max="8198" width="10.69921875" style="1590" customWidth="1"/>
    <col min="8199" max="8199" width="9" style="1590"/>
    <col min="8200" max="8200" width="10" style="1590" customWidth="1"/>
    <col min="8201" max="8201" width="10.69921875" style="1590" customWidth="1"/>
    <col min="8202" max="8202" width="10.8984375" style="1590" customWidth="1"/>
    <col min="8203" max="8203" width="10.5" style="1590" customWidth="1"/>
    <col min="8204" max="8204" width="11.19921875" style="1590" customWidth="1"/>
    <col min="8205" max="8448" width="9" style="1590"/>
    <col min="8449" max="8449" width="5.69921875" style="1590" customWidth="1"/>
    <col min="8450" max="8450" width="8.19921875" style="1590" customWidth="1"/>
    <col min="8451" max="8453" width="11.59765625" style="1590" customWidth="1"/>
    <col min="8454" max="8454" width="10.69921875" style="1590" customWidth="1"/>
    <col min="8455" max="8455" width="9" style="1590"/>
    <col min="8456" max="8456" width="10" style="1590" customWidth="1"/>
    <col min="8457" max="8457" width="10.69921875" style="1590" customWidth="1"/>
    <col min="8458" max="8458" width="10.8984375" style="1590" customWidth="1"/>
    <col min="8459" max="8459" width="10.5" style="1590" customWidth="1"/>
    <col min="8460" max="8460" width="11.19921875" style="1590" customWidth="1"/>
    <col min="8461" max="8704" width="9" style="1590"/>
    <col min="8705" max="8705" width="5.69921875" style="1590" customWidth="1"/>
    <col min="8706" max="8706" width="8.19921875" style="1590" customWidth="1"/>
    <col min="8707" max="8709" width="11.59765625" style="1590" customWidth="1"/>
    <col min="8710" max="8710" width="10.69921875" style="1590" customWidth="1"/>
    <col min="8711" max="8711" width="9" style="1590"/>
    <col min="8712" max="8712" width="10" style="1590" customWidth="1"/>
    <col min="8713" max="8713" width="10.69921875" style="1590" customWidth="1"/>
    <col min="8714" max="8714" width="10.8984375" style="1590" customWidth="1"/>
    <col min="8715" max="8715" width="10.5" style="1590" customWidth="1"/>
    <col min="8716" max="8716" width="11.19921875" style="1590" customWidth="1"/>
    <col min="8717" max="8960" width="9" style="1590"/>
    <col min="8961" max="8961" width="5.69921875" style="1590" customWidth="1"/>
    <col min="8962" max="8962" width="8.19921875" style="1590" customWidth="1"/>
    <col min="8963" max="8965" width="11.59765625" style="1590" customWidth="1"/>
    <col min="8966" max="8966" width="10.69921875" style="1590" customWidth="1"/>
    <col min="8967" max="8967" width="9" style="1590"/>
    <col min="8968" max="8968" width="10" style="1590" customWidth="1"/>
    <col min="8969" max="8969" width="10.69921875" style="1590" customWidth="1"/>
    <col min="8970" max="8970" width="10.8984375" style="1590" customWidth="1"/>
    <col min="8971" max="8971" width="10.5" style="1590" customWidth="1"/>
    <col min="8972" max="8972" width="11.19921875" style="1590" customWidth="1"/>
    <col min="8973" max="9216" width="9" style="1590"/>
    <col min="9217" max="9217" width="5.69921875" style="1590" customWidth="1"/>
    <col min="9218" max="9218" width="8.19921875" style="1590" customWidth="1"/>
    <col min="9219" max="9221" width="11.59765625" style="1590" customWidth="1"/>
    <col min="9222" max="9222" width="10.69921875" style="1590" customWidth="1"/>
    <col min="9223" max="9223" width="9" style="1590"/>
    <col min="9224" max="9224" width="10" style="1590" customWidth="1"/>
    <col min="9225" max="9225" width="10.69921875" style="1590" customWidth="1"/>
    <col min="9226" max="9226" width="10.8984375" style="1590" customWidth="1"/>
    <col min="9227" max="9227" width="10.5" style="1590" customWidth="1"/>
    <col min="9228" max="9228" width="11.19921875" style="1590" customWidth="1"/>
    <col min="9229" max="9472" width="9" style="1590"/>
    <col min="9473" max="9473" width="5.69921875" style="1590" customWidth="1"/>
    <col min="9474" max="9474" width="8.19921875" style="1590" customWidth="1"/>
    <col min="9475" max="9477" width="11.59765625" style="1590" customWidth="1"/>
    <col min="9478" max="9478" width="10.69921875" style="1590" customWidth="1"/>
    <col min="9479" max="9479" width="9" style="1590"/>
    <col min="9480" max="9480" width="10" style="1590" customWidth="1"/>
    <col min="9481" max="9481" width="10.69921875" style="1590" customWidth="1"/>
    <col min="9482" max="9482" width="10.8984375" style="1590" customWidth="1"/>
    <col min="9483" max="9483" width="10.5" style="1590" customWidth="1"/>
    <col min="9484" max="9484" width="11.19921875" style="1590" customWidth="1"/>
    <col min="9485" max="9728" width="9" style="1590"/>
    <col min="9729" max="9729" width="5.69921875" style="1590" customWidth="1"/>
    <col min="9730" max="9730" width="8.19921875" style="1590" customWidth="1"/>
    <col min="9731" max="9733" width="11.59765625" style="1590" customWidth="1"/>
    <col min="9734" max="9734" width="10.69921875" style="1590" customWidth="1"/>
    <col min="9735" max="9735" width="9" style="1590"/>
    <col min="9736" max="9736" width="10" style="1590" customWidth="1"/>
    <col min="9737" max="9737" width="10.69921875" style="1590" customWidth="1"/>
    <col min="9738" max="9738" width="10.8984375" style="1590" customWidth="1"/>
    <col min="9739" max="9739" width="10.5" style="1590" customWidth="1"/>
    <col min="9740" max="9740" width="11.19921875" style="1590" customWidth="1"/>
    <col min="9741" max="9984" width="9" style="1590"/>
    <col min="9985" max="9985" width="5.69921875" style="1590" customWidth="1"/>
    <col min="9986" max="9986" width="8.19921875" style="1590" customWidth="1"/>
    <col min="9987" max="9989" width="11.59765625" style="1590" customWidth="1"/>
    <col min="9990" max="9990" width="10.69921875" style="1590" customWidth="1"/>
    <col min="9991" max="9991" width="9" style="1590"/>
    <col min="9992" max="9992" width="10" style="1590" customWidth="1"/>
    <col min="9993" max="9993" width="10.69921875" style="1590" customWidth="1"/>
    <col min="9994" max="9994" width="10.8984375" style="1590" customWidth="1"/>
    <col min="9995" max="9995" width="10.5" style="1590" customWidth="1"/>
    <col min="9996" max="9996" width="11.19921875" style="1590" customWidth="1"/>
    <col min="9997" max="10240" width="9" style="1590"/>
    <col min="10241" max="10241" width="5.69921875" style="1590" customWidth="1"/>
    <col min="10242" max="10242" width="8.19921875" style="1590" customWidth="1"/>
    <col min="10243" max="10245" width="11.59765625" style="1590" customWidth="1"/>
    <col min="10246" max="10246" width="10.69921875" style="1590" customWidth="1"/>
    <col min="10247" max="10247" width="9" style="1590"/>
    <col min="10248" max="10248" width="10" style="1590" customWidth="1"/>
    <col min="10249" max="10249" width="10.69921875" style="1590" customWidth="1"/>
    <col min="10250" max="10250" width="10.8984375" style="1590" customWidth="1"/>
    <col min="10251" max="10251" width="10.5" style="1590" customWidth="1"/>
    <col min="10252" max="10252" width="11.19921875" style="1590" customWidth="1"/>
    <col min="10253" max="10496" width="9" style="1590"/>
    <col min="10497" max="10497" width="5.69921875" style="1590" customWidth="1"/>
    <col min="10498" max="10498" width="8.19921875" style="1590" customWidth="1"/>
    <col min="10499" max="10501" width="11.59765625" style="1590" customWidth="1"/>
    <col min="10502" max="10502" width="10.69921875" style="1590" customWidth="1"/>
    <col min="10503" max="10503" width="9" style="1590"/>
    <col min="10504" max="10504" width="10" style="1590" customWidth="1"/>
    <col min="10505" max="10505" width="10.69921875" style="1590" customWidth="1"/>
    <col min="10506" max="10506" width="10.8984375" style="1590" customWidth="1"/>
    <col min="10507" max="10507" width="10.5" style="1590" customWidth="1"/>
    <col min="10508" max="10508" width="11.19921875" style="1590" customWidth="1"/>
    <col min="10509" max="10752" width="9" style="1590"/>
    <col min="10753" max="10753" width="5.69921875" style="1590" customWidth="1"/>
    <col min="10754" max="10754" width="8.19921875" style="1590" customWidth="1"/>
    <col min="10755" max="10757" width="11.59765625" style="1590" customWidth="1"/>
    <col min="10758" max="10758" width="10.69921875" style="1590" customWidth="1"/>
    <col min="10759" max="10759" width="9" style="1590"/>
    <col min="10760" max="10760" width="10" style="1590" customWidth="1"/>
    <col min="10761" max="10761" width="10.69921875" style="1590" customWidth="1"/>
    <col min="10762" max="10762" width="10.8984375" style="1590" customWidth="1"/>
    <col min="10763" max="10763" width="10.5" style="1590" customWidth="1"/>
    <col min="10764" max="10764" width="11.19921875" style="1590" customWidth="1"/>
    <col min="10765" max="11008" width="9" style="1590"/>
    <col min="11009" max="11009" width="5.69921875" style="1590" customWidth="1"/>
    <col min="11010" max="11010" width="8.19921875" style="1590" customWidth="1"/>
    <col min="11011" max="11013" width="11.59765625" style="1590" customWidth="1"/>
    <col min="11014" max="11014" width="10.69921875" style="1590" customWidth="1"/>
    <col min="11015" max="11015" width="9" style="1590"/>
    <col min="11016" max="11016" width="10" style="1590" customWidth="1"/>
    <col min="11017" max="11017" width="10.69921875" style="1590" customWidth="1"/>
    <col min="11018" max="11018" width="10.8984375" style="1590" customWidth="1"/>
    <col min="11019" max="11019" width="10.5" style="1590" customWidth="1"/>
    <col min="11020" max="11020" width="11.19921875" style="1590" customWidth="1"/>
    <col min="11021" max="11264" width="9" style="1590"/>
    <col min="11265" max="11265" width="5.69921875" style="1590" customWidth="1"/>
    <col min="11266" max="11266" width="8.19921875" style="1590" customWidth="1"/>
    <col min="11267" max="11269" width="11.59765625" style="1590" customWidth="1"/>
    <col min="11270" max="11270" width="10.69921875" style="1590" customWidth="1"/>
    <col min="11271" max="11271" width="9" style="1590"/>
    <col min="11272" max="11272" width="10" style="1590" customWidth="1"/>
    <col min="11273" max="11273" width="10.69921875" style="1590" customWidth="1"/>
    <col min="11274" max="11274" width="10.8984375" style="1590" customWidth="1"/>
    <col min="11275" max="11275" width="10.5" style="1590" customWidth="1"/>
    <col min="11276" max="11276" width="11.19921875" style="1590" customWidth="1"/>
    <col min="11277" max="11520" width="9" style="1590"/>
    <col min="11521" max="11521" width="5.69921875" style="1590" customWidth="1"/>
    <col min="11522" max="11522" width="8.19921875" style="1590" customWidth="1"/>
    <col min="11523" max="11525" width="11.59765625" style="1590" customWidth="1"/>
    <col min="11526" max="11526" width="10.69921875" style="1590" customWidth="1"/>
    <col min="11527" max="11527" width="9" style="1590"/>
    <col min="11528" max="11528" width="10" style="1590" customWidth="1"/>
    <col min="11529" max="11529" width="10.69921875" style="1590" customWidth="1"/>
    <col min="11530" max="11530" width="10.8984375" style="1590" customWidth="1"/>
    <col min="11531" max="11531" width="10.5" style="1590" customWidth="1"/>
    <col min="11532" max="11532" width="11.19921875" style="1590" customWidth="1"/>
    <col min="11533" max="11776" width="9" style="1590"/>
    <col min="11777" max="11777" width="5.69921875" style="1590" customWidth="1"/>
    <col min="11778" max="11778" width="8.19921875" style="1590" customWidth="1"/>
    <col min="11779" max="11781" width="11.59765625" style="1590" customWidth="1"/>
    <col min="11782" max="11782" width="10.69921875" style="1590" customWidth="1"/>
    <col min="11783" max="11783" width="9" style="1590"/>
    <col min="11784" max="11784" width="10" style="1590" customWidth="1"/>
    <col min="11785" max="11785" width="10.69921875" style="1590" customWidth="1"/>
    <col min="11786" max="11786" width="10.8984375" style="1590" customWidth="1"/>
    <col min="11787" max="11787" width="10.5" style="1590" customWidth="1"/>
    <col min="11788" max="11788" width="11.19921875" style="1590" customWidth="1"/>
    <col min="11789" max="12032" width="9" style="1590"/>
    <col min="12033" max="12033" width="5.69921875" style="1590" customWidth="1"/>
    <col min="12034" max="12034" width="8.19921875" style="1590" customWidth="1"/>
    <col min="12035" max="12037" width="11.59765625" style="1590" customWidth="1"/>
    <col min="12038" max="12038" width="10.69921875" style="1590" customWidth="1"/>
    <col min="12039" max="12039" width="9" style="1590"/>
    <col min="12040" max="12040" width="10" style="1590" customWidth="1"/>
    <col min="12041" max="12041" width="10.69921875" style="1590" customWidth="1"/>
    <col min="12042" max="12042" width="10.8984375" style="1590" customWidth="1"/>
    <col min="12043" max="12043" width="10.5" style="1590" customWidth="1"/>
    <col min="12044" max="12044" width="11.19921875" style="1590" customWidth="1"/>
    <col min="12045" max="12288" width="9" style="1590"/>
    <col min="12289" max="12289" width="5.69921875" style="1590" customWidth="1"/>
    <col min="12290" max="12290" width="8.19921875" style="1590" customWidth="1"/>
    <col min="12291" max="12293" width="11.59765625" style="1590" customWidth="1"/>
    <col min="12294" max="12294" width="10.69921875" style="1590" customWidth="1"/>
    <col min="12295" max="12295" width="9" style="1590"/>
    <col min="12296" max="12296" width="10" style="1590" customWidth="1"/>
    <col min="12297" max="12297" width="10.69921875" style="1590" customWidth="1"/>
    <col min="12298" max="12298" width="10.8984375" style="1590" customWidth="1"/>
    <col min="12299" max="12299" width="10.5" style="1590" customWidth="1"/>
    <col min="12300" max="12300" width="11.19921875" style="1590" customWidth="1"/>
    <col min="12301" max="12544" width="9" style="1590"/>
    <col min="12545" max="12545" width="5.69921875" style="1590" customWidth="1"/>
    <col min="12546" max="12546" width="8.19921875" style="1590" customWidth="1"/>
    <col min="12547" max="12549" width="11.59765625" style="1590" customWidth="1"/>
    <col min="12550" max="12550" width="10.69921875" style="1590" customWidth="1"/>
    <col min="12551" max="12551" width="9" style="1590"/>
    <col min="12552" max="12552" width="10" style="1590" customWidth="1"/>
    <col min="12553" max="12553" width="10.69921875" style="1590" customWidth="1"/>
    <col min="12554" max="12554" width="10.8984375" style="1590" customWidth="1"/>
    <col min="12555" max="12555" width="10.5" style="1590" customWidth="1"/>
    <col min="12556" max="12556" width="11.19921875" style="1590" customWidth="1"/>
    <col min="12557" max="12800" width="9" style="1590"/>
    <col min="12801" max="12801" width="5.69921875" style="1590" customWidth="1"/>
    <col min="12802" max="12802" width="8.19921875" style="1590" customWidth="1"/>
    <col min="12803" max="12805" width="11.59765625" style="1590" customWidth="1"/>
    <col min="12806" max="12806" width="10.69921875" style="1590" customWidth="1"/>
    <col min="12807" max="12807" width="9" style="1590"/>
    <col min="12808" max="12808" width="10" style="1590" customWidth="1"/>
    <col min="12809" max="12809" width="10.69921875" style="1590" customWidth="1"/>
    <col min="12810" max="12810" width="10.8984375" style="1590" customWidth="1"/>
    <col min="12811" max="12811" width="10.5" style="1590" customWidth="1"/>
    <col min="12812" max="12812" width="11.19921875" style="1590" customWidth="1"/>
    <col min="12813" max="13056" width="9" style="1590"/>
    <col min="13057" max="13057" width="5.69921875" style="1590" customWidth="1"/>
    <col min="13058" max="13058" width="8.19921875" style="1590" customWidth="1"/>
    <col min="13059" max="13061" width="11.59765625" style="1590" customWidth="1"/>
    <col min="13062" max="13062" width="10.69921875" style="1590" customWidth="1"/>
    <col min="13063" max="13063" width="9" style="1590"/>
    <col min="13064" max="13064" width="10" style="1590" customWidth="1"/>
    <col min="13065" max="13065" width="10.69921875" style="1590" customWidth="1"/>
    <col min="13066" max="13066" width="10.8984375" style="1590" customWidth="1"/>
    <col min="13067" max="13067" width="10.5" style="1590" customWidth="1"/>
    <col min="13068" max="13068" width="11.19921875" style="1590" customWidth="1"/>
    <col min="13069" max="13312" width="9" style="1590"/>
    <col min="13313" max="13313" width="5.69921875" style="1590" customWidth="1"/>
    <col min="13314" max="13314" width="8.19921875" style="1590" customWidth="1"/>
    <col min="13315" max="13317" width="11.59765625" style="1590" customWidth="1"/>
    <col min="13318" max="13318" width="10.69921875" style="1590" customWidth="1"/>
    <col min="13319" max="13319" width="9" style="1590"/>
    <col min="13320" max="13320" width="10" style="1590" customWidth="1"/>
    <col min="13321" max="13321" width="10.69921875" style="1590" customWidth="1"/>
    <col min="13322" max="13322" width="10.8984375" style="1590" customWidth="1"/>
    <col min="13323" max="13323" width="10.5" style="1590" customWidth="1"/>
    <col min="13324" max="13324" width="11.19921875" style="1590" customWidth="1"/>
    <col min="13325" max="13568" width="9" style="1590"/>
    <col min="13569" max="13569" width="5.69921875" style="1590" customWidth="1"/>
    <col min="13570" max="13570" width="8.19921875" style="1590" customWidth="1"/>
    <col min="13571" max="13573" width="11.59765625" style="1590" customWidth="1"/>
    <col min="13574" max="13574" width="10.69921875" style="1590" customWidth="1"/>
    <col min="13575" max="13575" width="9" style="1590"/>
    <col min="13576" max="13576" width="10" style="1590" customWidth="1"/>
    <col min="13577" max="13577" width="10.69921875" style="1590" customWidth="1"/>
    <col min="13578" max="13578" width="10.8984375" style="1590" customWidth="1"/>
    <col min="13579" max="13579" width="10.5" style="1590" customWidth="1"/>
    <col min="13580" max="13580" width="11.19921875" style="1590" customWidth="1"/>
    <col min="13581" max="13824" width="9" style="1590"/>
    <col min="13825" max="13825" width="5.69921875" style="1590" customWidth="1"/>
    <col min="13826" max="13826" width="8.19921875" style="1590" customWidth="1"/>
    <col min="13827" max="13829" width="11.59765625" style="1590" customWidth="1"/>
    <col min="13830" max="13830" width="10.69921875" style="1590" customWidth="1"/>
    <col min="13831" max="13831" width="9" style="1590"/>
    <col min="13832" max="13832" width="10" style="1590" customWidth="1"/>
    <col min="13833" max="13833" width="10.69921875" style="1590" customWidth="1"/>
    <col min="13834" max="13834" width="10.8984375" style="1590" customWidth="1"/>
    <col min="13835" max="13835" width="10.5" style="1590" customWidth="1"/>
    <col min="13836" max="13836" width="11.19921875" style="1590" customWidth="1"/>
    <col min="13837" max="14080" width="9" style="1590"/>
    <col min="14081" max="14081" width="5.69921875" style="1590" customWidth="1"/>
    <col min="14082" max="14082" width="8.19921875" style="1590" customWidth="1"/>
    <col min="14083" max="14085" width="11.59765625" style="1590" customWidth="1"/>
    <col min="14086" max="14086" width="10.69921875" style="1590" customWidth="1"/>
    <col min="14087" max="14087" width="9" style="1590"/>
    <col min="14088" max="14088" width="10" style="1590" customWidth="1"/>
    <col min="14089" max="14089" width="10.69921875" style="1590" customWidth="1"/>
    <col min="14090" max="14090" width="10.8984375" style="1590" customWidth="1"/>
    <col min="14091" max="14091" width="10.5" style="1590" customWidth="1"/>
    <col min="14092" max="14092" width="11.19921875" style="1590" customWidth="1"/>
    <col min="14093" max="14336" width="9" style="1590"/>
    <col min="14337" max="14337" width="5.69921875" style="1590" customWidth="1"/>
    <col min="14338" max="14338" width="8.19921875" style="1590" customWidth="1"/>
    <col min="14339" max="14341" width="11.59765625" style="1590" customWidth="1"/>
    <col min="14342" max="14342" width="10.69921875" style="1590" customWidth="1"/>
    <col min="14343" max="14343" width="9" style="1590"/>
    <col min="14344" max="14344" width="10" style="1590" customWidth="1"/>
    <col min="14345" max="14345" width="10.69921875" style="1590" customWidth="1"/>
    <col min="14346" max="14346" width="10.8984375" style="1590" customWidth="1"/>
    <col min="14347" max="14347" width="10.5" style="1590" customWidth="1"/>
    <col min="14348" max="14348" width="11.19921875" style="1590" customWidth="1"/>
    <col min="14349" max="14592" width="9" style="1590"/>
    <col min="14593" max="14593" width="5.69921875" style="1590" customWidth="1"/>
    <col min="14594" max="14594" width="8.19921875" style="1590" customWidth="1"/>
    <col min="14595" max="14597" width="11.59765625" style="1590" customWidth="1"/>
    <col min="14598" max="14598" width="10.69921875" style="1590" customWidth="1"/>
    <col min="14599" max="14599" width="9" style="1590"/>
    <col min="14600" max="14600" width="10" style="1590" customWidth="1"/>
    <col min="14601" max="14601" width="10.69921875" style="1590" customWidth="1"/>
    <col min="14602" max="14602" width="10.8984375" style="1590" customWidth="1"/>
    <col min="14603" max="14603" width="10.5" style="1590" customWidth="1"/>
    <col min="14604" max="14604" width="11.19921875" style="1590" customWidth="1"/>
    <col min="14605" max="14848" width="9" style="1590"/>
    <col min="14849" max="14849" width="5.69921875" style="1590" customWidth="1"/>
    <col min="14850" max="14850" width="8.19921875" style="1590" customWidth="1"/>
    <col min="14851" max="14853" width="11.59765625" style="1590" customWidth="1"/>
    <col min="14854" max="14854" width="10.69921875" style="1590" customWidth="1"/>
    <col min="14855" max="14855" width="9" style="1590"/>
    <col min="14856" max="14856" width="10" style="1590" customWidth="1"/>
    <col min="14857" max="14857" width="10.69921875" style="1590" customWidth="1"/>
    <col min="14858" max="14858" width="10.8984375" style="1590" customWidth="1"/>
    <col min="14859" max="14859" width="10.5" style="1590" customWidth="1"/>
    <col min="14860" max="14860" width="11.19921875" style="1590" customWidth="1"/>
    <col min="14861" max="15104" width="9" style="1590"/>
    <col min="15105" max="15105" width="5.69921875" style="1590" customWidth="1"/>
    <col min="15106" max="15106" width="8.19921875" style="1590" customWidth="1"/>
    <col min="15107" max="15109" width="11.59765625" style="1590" customWidth="1"/>
    <col min="15110" max="15110" width="10.69921875" style="1590" customWidth="1"/>
    <col min="15111" max="15111" width="9" style="1590"/>
    <col min="15112" max="15112" width="10" style="1590" customWidth="1"/>
    <col min="15113" max="15113" width="10.69921875" style="1590" customWidth="1"/>
    <col min="15114" max="15114" width="10.8984375" style="1590" customWidth="1"/>
    <col min="15115" max="15115" width="10.5" style="1590" customWidth="1"/>
    <col min="15116" max="15116" width="11.19921875" style="1590" customWidth="1"/>
    <col min="15117" max="15360" width="9" style="1590"/>
    <col min="15361" max="15361" width="5.69921875" style="1590" customWidth="1"/>
    <col min="15362" max="15362" width="8.19921875" style="1590" customWidth="1"/>
    <col min="15363" max="15365" width="11.59765625" style="1590" customWidth="1"/>
    <col min="15366" max="15366" width="10.69921875" style="1590" customWidth="1"/>
    <col min="15367" max="15367" width="9" style="1590"/>
    <col min="15368" max="15368" width="10" style="1590" customWidth="1"/>
    <col min="15369" max="15369" width="10.69921875" style="1590" customWidth="1"/>
    <col min="15370" max="15370" width="10.8984375" style="1590" customWidth="1"/>
    <col min="15371" max="15371" width="10.5" style="1590" customWidth="1"/>
    <col min="15372" max="15372" width="11.19921875" style="1590" customWidth="1"/>
    <col min="15373" max="15616" width="9" style="1590"/>
    <col min="15617" max="15617" width="5.69921875" style="1590" customWidth="1"/>
    <col min="15618" max="15618" width="8.19921875" style="1590" customWidth="1"/>
    <col min="15619" max="15621" width="11.59765625" style="1590" customWidth="1"/>
    <col min="15622" max="15622" width="10.69921875" style="1590" customWidth="1"/>
    <col min="15623" max="15623" width="9" style="1590"/>
    <col min="15624" max="15624" width="10" style="1590" customWidth="1"/>
    <col min="15625" max="15625" width="10.69921875" style="1590" customWidth="1"/>
    <col min="15626" max="15626" width="10.8984375" style="1590" customWidth="1"/>
    <col min="15627" max="15627" width="10.5" style="1590" customWidth="1"/>
    <col min="15628" max="15628" width="11.19921875" style="1590" customWidth="1"/>
    <col min="15629" max="15872" width="9" style="1590"/>
    <col min="15873" max="15873" width="5.69921875" style="1590" customWidth="1"/>
    <col min="15874" max="15874" width="8.19921875" style="1590" customWidth="1"/>
    <col min="15875" max="15877" width="11.59765625" style="1590" customWidth="1"/>
    <col min="15878" max="15878" width="10.69921875" style="1590" customWidth="1"/>
    <col min="15879" max="15879" width="9" style="1590"/>
    <col min="15880" max="15880" width="10" style="1590" customWidth="1"/>
    <col min="15881" max="15881" width="10.69921875" style="1590" customWidth="1"/>
    <col min="15882" max="15882" width="10.8984375" style="1590" customWidth="1"/>
    <col min="15883" max="15883" width="10.5" style="1590" customWidth="1"/>
    <col min="15884" max="15884" width="11.19921875" style="1590" customWidth="1"/>
    <col min="15885" max="16128" width="9" style="1590"/>
    <col min="16129" max="16129" width="5.69921875" style="1590" customWidth="1"/>
    <col min="16130" max="16130" width="8.19921875" style="1590" customWidth="1"/>
    <col min="16131" max="16133" width="11.59765625" style="1590" customWidth="1"/>
    <col min="16134" max="16134" width="10.69921875" style="1590" customWidth="1"/>
    <col min="16135" max="16135" width="9" style="1590"/>
    <col min="16136" max="16136" width="10" style="1590" customWidth="1"/>
    <col min="16137" max="16137" width="10.69921875" style="1590" customWidth="1"/>
    <col min="16138" max="16138" width="10.8984375" style="1590" customWidth="1"/>
    <col min="16139" max="16139" width="10.5" style="1590" customWidth="1"/>
    <col min="16140" max="16140" width="11.19921875" style="1590" customWidth="1"/>
    <col min="16141" max="16384" width="9" style="1590"/>
  </cols>
  <sheetData>
    <row r="1" spans="1:13" s="1583" customFormat="1" ht="20.100000000000001" customHeight="1">
      <c r="A1" s="2167"/>
      <c r="B1" s="2167"/>
      <c r="C1" s="2167"/>
      <c r="D1" s="2167"/>
      <c r="E1" s="2167"/>
      <c r="F1" s="2167"/>
      <c r="G1" s="2167"/>
      <c r="H1" s="2167"/>
      <c r="I1" s="2167"/>
      <c r="J1" s="2167"/>
      <c r="K1" s="2167"/>
      <c r="L1" s="2166" t="str">
        <f>"索引号："&amp;档案索引!D8</f>
        <v>索引号：2B-3</v>
      </c>
    </row>
    <row r="2" spans="1:13" s="1589" customFormat="1" ht="25.5" customHeight="1">
      <c r="A2" s="3401" t="s">
        <v>5934</v>
      </c>
      <c r="B2" s="3401"/>
      <c r="C2" s="3401"/>
      <c r="D2" s="3401"/>
      <c r="E2" s="3401"/>
      <c r="F2" s="3401"/>
      <c r="G2" s="3401"/>
      <c r="H2" s="3401"/>
      <c r="I2" s="3401"/>
      <c r="J2" s="3401"/>
      <c r="K2" s="3401"/>
      <c r="L2" s="1865"/>
    </row>
    <row r="3" spans="1:13" ht="29.25" customHeight="1">
      <c r="A3" s="3402" t="s">
        <v>6631</v>
      </c>
      <c r="B3" s="3405" t="s">
        <v>5546</v>
      </c>
      <c r="C3" s="3407" t="s">
        <v>5547</v>
      </c>
      <c r="D3" s="3407"/>
      <c r="E3" s="3407"/>
      <c r="F3" s="3407" t="s">
        <v>5548</v>
      </c>
      <c r="G3" s="3407" t="s">
        <v>5549</v>
      </c>
      <c r="H3" s="3407" t="s">
        <v>7692</v>
      </c>
      <c r="I3" s="3407" t="s">
        <v>5551</v>
      </c>
      <c r="J3" s="3407" t="s">
        <v>5552</v>
      </c>
      <c r="K3" s="3407" t="s">
        <v>5553</v>
      </c>
      <c r="L3" s="3407" t="s">
        <v>4899</v>
      </c>
    </row>
    <row r="4" spans="1:13" ht="42" customHeight="1">
      <c r="A4" s="3403"/>
      <c r="B4" s="3409"/>
      <c r="C4" s="1864" t="s">
        <v>5554</v>
      </c>
      <c r="D4" s="1864" t="s">
        <v>5555</v>
      </c>
      <c r="E4" s="1864" t="s">
        <v>5556</v>
      </c>
      <c r="F4" s="3407"/>
      <c r="G4" s="3407"/>
      <c r="H4" s="3407"/>
      <c r="I4" s="3407"/>
      <c r="J4" s="3407"/>
      <c r="K4" s="3407"/>
      <c r="L4" s="3407"/>
    </row>
    <row r="5" spans="1:13" ht="14.25" customHeight="1">
      <c r="A5" s="3404"/>
      <c r="B5" s="1835">
        <v>1</v>
      </c>
      <c r="C5" s="1835">
        <v>2</v>
      </c>
      <c r="D5" s="1835">
        <v>3</v>
      </c>
      <c r="E5" s="1835">
        <v>4</v>
      </c>
      <c r="F5" s="1835">
        <v>5</v>
      </c>
      <c r="G5" s="1835">
        <v>6</v>
      </c>
      <c r="H5" s="1835">
        <v>7</v>
      </c>
      <c r="I5" s="1835">
        <v>8</v>
      </c>
      <c r="J5" s="1835">
        <v>9</v>
      </c>
      <c r="K5" s="1835" t="s">
        <v>5557</v>
      </c>
      <c r="L5" s="1980"/>
    </row>
    <row r="6" spans="1:13" ht="14.25" customHeight="1">
      <c r="A6" s="1835">
        <v>1</v>
      </c>
      <c r="B6" s="1587"/>
      <c r="C6" s="1587"/>
      <c r="D6" s="1587"/>
      <c r="E6" s="1587"/>
      <c r="F6" s="1587"/>
      <c r="G6" s="1587"/>
      <c r="H6" s="1587"/>
      <c r="I6" s="1587"/>
      <c r="J6" s="2076"/>
      <c r="K6" s="2075">
        <f t="shared" ref="K6:K14" si="0">ROUND(J6*0.1,2)</f>
        <v>0</v>
      </c>
      <c r="L6" s="1980"/>
    </row>
    <row r="7" spans="1:13" ht="14.25" customHeight="1">
      <c r="A7" s="1835">
        <v>2</v>
      </c>
      <c r="B7" s="1587"/>
      <c r="C7" s="1587"/>
      <c r="D7" s="1587"/>
      <c r="E7" s="1587"/>
      <c r="F7" s="1587"/>
      <c r="G7" s="1587"/>
      <c r="H7" s="1587"/>
      <c r="I7" s="1587"/>
      <c r="J7" s="2076"/>
      <c r="K7" s="2075">
        <f t="shared" si="0"/>
        <v>0</v>
      </c>
      <c r="L7" s="1980"/>
    </row>
    <row r="8" spans="1:13" ht="14.25" customHeight="1">
      <c r="A8" s="1835">
        <v>3</v>
      </c>
      <c r="B8" s="1587"/>
      <c r="C8" s="1587"/>
      <c r="D8" s="1587"/>
      <c r="E8" s="1587"/>
      <c r="F8" s="1587"/>
      <c r="G8" s="1587"/>
      <c r="H8" s="1587"/>
      <c r="I8" s="1587"/>
      <c r="J8" s="2076"/>
      <c r="K8" s="2075">
        <f t="shared" si="0"/>
        <v>0</v>
      </c>
      <c r="L8" s="1980"/>
    </row>
    <row r="9" spans="1:13" ht="14.25" customHeight="1">
      <c r="A9" s="1835">
        <v>4</v>
      </c>
      <c r="B9" s="1587"/>
      <c r="C9" s="1587"/>
      <c r="D9" s="1587"/>
      <c r="E9" s="1587"/>
      <c r="F9" s="1587"/>
      <c r="G9" s="1587"/>
      <c r="H9" s="1587"/>
      <c r="I9" s="1591"/>
      <c r="J9" s="2076"/>
      <c r="K9" s="2075">
        <f t="shared" si="0"/>
        <v>0</v>
      </c>
      <c r="L9" s="1980"/>
      <c r="M9" s="1770" t="s">
        <v>6458</v>
      </c>
    </row>
    <row r="10" spans="1:13" ht="14.25" customHeight="1">
      <c r="A10" s="1835">
        <v>5</v>
      </c>
      <c r="B10" s="1587"/>
      <c r="C10" s="1587"/>
      <c r="D10" s="1587"/>
      <c r="E10" s="1587"/>
      <c r="F10" s="1587"/>
      <c r="G10" s="1587"/>
      <c r="H10" s="1587"/>
      <c r="I10" s="1587"/>
      <c r="J10" s="2076"/>
      <c r="K10" s="2075">
        <f t="shared" si="0"/>
        <v>0</v>
      </c>
      <c r="L10" s="1980"/>
    </row>
    <row r="11" spans="1:13" ht="14.25" customHeight="1">
      <c r="A11" s="1835">
        <v>6</v>
      </c>
      <c r="B11" s="1587"/>
      <c r="C11" s="1587"/>
      <c r="D11" s="1587"/>
      <c r="E11" s="1587"/>
      <c r="F11" s="1587"/>
      <c r="G11" s="1587"/>
      <c r="H11" s="1587"/>
      <c r="I11" s="1587"/>
      <c r="J11" s="2076"/>
      <c r="K11" s="2075">
        <f t="shared" si="0"/>
        <v>0</v>
      </c>
      <c r="L11" s="1980"/>
    </row>
    <row r="12" spans="1:13" ht="14.25" customHeight="1">
      <c r="A12" s="1835">
        <v>7</v>
      </c>
      <c r="B12" s="1587"/>
      <c r="C12" s="1587"/>
      <c r="D12" s="1587"/>
      <c r="E12" s="1587"/>
      <c r="F12" s="1587"/>
      <c r="G12" s="1587"/>
      <c r="H12" s="1587"/>
      <c r="I12" s="1587"/>
      <c r="J12" s="2076"/>
      <c r="K12" s="2075">
        <f t="shared" si="0"/>
        <v>0</v>
      </c>
      <c r="L12" s="1980"/>
    </row>
    <row r="13" spans="1:13" ht="14.25" customHeight="1">
      <c r="A13" s="1835">
        <v>8</v>
      </c>
      <c r="B13" s="1587"/>
      <c r="C13" s="1587"/>
      <c r="D13" s="1587"/>
      <c r="E13" s="1587"/>
      <c r="F13" s="1587"/>
      <c r="G13" s="1587"/>
      <c r="H13" s="1587"/>
      <c r="I13" s="1587"/>
      <c r="J13" s="2076"/>
      <c r="K13" s="2075">
        <f t="shared" si="0"/>
        <v>0</v>
      </c>
      <c r="L13" s="1980"/>
    </row>
    <row r="14" spans="1:13" ht="14.25" customHeight="1">
      <c r="A14" s="1835">
        <v>9</v>
      </c>
      <c r="B14" s="1587"/>
      <c r="C14" s="1587"/>
      <c r="D14" s="1587"/>
      <c r="E14" s="1587"/>
      <c r="F14" s="1587"/>
      <c r="G14" s="1587"/>
      <c r="H14" s="1587"/>
      <c r="I14" s="1587"/>
      <c r="J14" s="2076"/>
      <c r="K14" s="2075">
        <f t="shared" si="0"/>
        <v>0</v>
      </c>
      <c r="L14" s="1980"/>
    </row>
    <row r="15" spans="1:13" ht="47.25" customHeight="1">
      <c r="A15" s="1868">
        <v>10</v>
      </c>
      <c r="B15" s="1835" t="s">
        <v>5558</v>
      </c>
      <c r="C15" s="1872" t="s">
        <v>1866</v>
      </c>
      <c r="D15" s="1872" t="s">
        <v>1866</v>
      </c>
      <c r="E15" s="1872" t="s">
        <v>1866</v>
      </c>
      <c r="F15" s="1872" t="s">
        <v>1866</v>
      </c>
      <c r="G15" s="1872" t="s">
        <v>1866</v>
      </c>
      <c r="H15" s="1872" t="s">
        <v>1866</v>
      </c>
      <c r="I15" s="1872" t="s">
        <v>1866</v>
      </c>
      <c r="J15" s="2075">
        <f>SUM(J6:J14)</f>
        <v>0</v>
      </c>
      <c r="K15" s="2075">
        <f>SUM(K6:K14)</f>
        <v>0</v>
      </c>
      <c r="L15" s="1839" t="s">
        <v>5560</v>
      </c>
    </row>
    <row r="16" spans="1:13">
      <c r="A16" s="3473"/>
      <c r="B16" s="3473"/>
      <c r="C16" s="3473"/>
      <c r="D16" s="3473"/>
      <c r="E16" s="3473"/>
      <c r="F16" s="3473"/>
      <c r="G16" s="3473"/>
      <c r="H16" s="3473"/>
      <c r="I16" s="3473"/>
      <c r="J16" s="3473"/>
      <c r="K16" s="3473"/>
      <c r="L16" s="2020" t="s">
        <v>5559</v>
      </c>
    </row>
  </sheetData>
  <mergeCells count="12">
    <mergeCell ref="L3:L4"/>
    <mergeCell ref="A16:K16"/>
    <mergeCell ref="A2:K2"/>
    <mergeCell ref="A3:A5"/>
    <mergeCell ref="B3:B4"/>
    <mergeCell ref="C3:E3"/>
    <mergeCell ref="F3:F4"/>
    <mergeCell ref="G3:G4"/>
    <mergeCell ref="H3:H4"/>
    <mergeCell ref="I3:I4"/>
    <mergeCell ref="J3:J4"/>
    <mergeCell ref="K3:K4"/>
  </mergeCells>
  <phoneticPr fontId="51" type="noConversion"/>
  <hyperlinks>
    <hyperlink ref="M9" location="A107012综合利用资源生产产品取得的收入优惠明细表!A1" display="A107012综合利用资源生产产品取得的收入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tabColor theme="3" tint="0.39997558519241921"/>
  </sheetPr>
  <dimension ref="A1:H16"/>
  <sheetViews>
    <sheetView workbookViewId="0">
      <selection activeCell="B5" sqref="B5"/>
    </sheetView>
  </sheetViews>
  <sheetFormatPr defaultRowHeight="15.6"/>
  <cols>
    <col min="1" max="1" width="5.19921875" style="1597" customWidth="1"/>
    <col min="2" max="2" width="64.59765625" style="1597" customWidth="1"/>
    <col min="3" max="3" width="16.09765625" style="1597" customWidth="1"/>
    <col min="4" max="4" width="19.8984375" style="1597" customWidth="1"/>
    <col min="5" max="256" width="9" style="1597"/>
    <col min="257" max="257" width="5.19921875" style="1597" customWidth="1"/>
    <col min="258" max="258" width="64.59765625" style="1597" customWidth="1"/>
    <col min="259" max="259" width="16.09765625" style="1597" customWidth="1"/>
    <col min="260" max="260" width="19.8984375" style="1597" customWidth="1"/>
    <col min="261" max="512" width="9" style="1597"/>
    <col min="513" max="513" width="5.19921875" style="1597" customWidth="1"/>
    <col min="514" max="514" width="64.59765625" style="1597" customWidth="1"/>
    <col min="515" max="515" width="16.09765625" style="1597" customWidth="1"/>
    <col min="516" max="516" width="19.8984375" style="1597" customWidth="1"/>
    <col min="517" max="768" width="9" style="1597"/>
    <col min="769" max="769" width="5.19921875" style="1597" customWidth="1"/>
    <col min="770" max="770" width="64.59765625" style="1597" customWidth="1"/>
    <col min="771" max="771" width="16.09765625" style="1597" customWidth="1"/>
    <col min="772" max="772" width="19.8984375" style="1597" customWidth="1"/>
    <col min="773" max="1024" width="9" style="1597"/>
    <col min="1025" max="1025" width="5.19921875" style="1597" customWidth="1"/>
    <col min="1026" max="1026" width="64.59765625" style="1597" customWidth="1"/>
    <col min="1027" max="1027" width="16.09765625" style="1597" customWidth="1"/>
    <col min="1028" max="1028" width="19.8984375" style="1597" customWidth="1"/>
    <col min="1029" max="1280" width="9" style="1597"/>
    <col min="1281" max="1281" width="5.19921875" style="1597" customWidth="1"/>
    <col min="1282" max="1282" width="64.59765625" style="1597" customWidth="1"/>
    <col min="1283" max="1283" width="16.09765625" style="1597" customWidth="1"/>
    <col min="1284" max="1284" width="19.8984375" style="1597" customWidth="1"/>
    <col min="1285" max="1536" width="9" style="1597"/>
    <col min="1537" max="1537" width="5.19921875" style="1597" customWidth="1"/>
    <col min="1538" max="1538" width="64.59765625" style="1597" customWidth="1"/>
    <col min="1539" max="1539" width="16.09765625" style="1597" customWidth="1"/>
    <col min="1540" max="1540" width="19.8984375" style="1597" customWidth="1"/>
    <col min="1541" max="1792" width="9" style="1597"/>
    <col min="1793" max="1793" width="5.19921875" style="1597" customWidth="1"/>
    <col min="1794" max="1794" width="64.59765625" style="1597" customWidth="1"/>
    <col min="1795" max="1795" width="16.09765625" style="1597" customWidth="1"/>
    <col min="1796" max="1796" width="19.8984375" style="1597" customWidth="1"/>
    <col min="1797" max="2048" width="9" style="1597"/>
    <col min="2049" max="2049" width="5.19921875" style="1597" customWidth="1"/>
    <col min="2050" max="2050" width="64.59765625" style="1597" customWidth="1"/>
    <col min="2051" max="2051" width="16.09765625" style="1597" customWidth="1"/>
    <col min="2052" max="2052" width="19.8984375" style="1597" customWidth="1"/>
    <col min="2053" max="2304" width="9" style="1597"/>
    <col min="2305" max="2305" width="5.19921875" style="1597" customWidth="1"/>
    <col min="2306" max="2306" width="64.59765625" style="1597" customWidth="1"/>
    <col min="2307" max="2307" width="16.09765625" style="1597" customWidth="1"/>
    <col min="2308" max="2308" width="19.8984375" style="1597" customWidth="1"/>
    <col min="2309" max="2560" width="9" style="1597"/>
    <col min="2561" max="2561" width="5.19921875" style="1597" customWidth="1"/>
    <col min="2562" max="2562" width="64.59765625" style="1597" customWidth="1"/>
    <col min="2563" max="2563" width="16.09765625" style="1597" customWidth="1"/>
    <col min="2564" max="2564" width="19.8984375" style="1597" customWidth="1"/>
    <col min="2565" max="2816" width="9" style="1597"/>
    <col min="2817" max="2817" width="5.19921875" style="1597" customWidth="1"/>
    <col min="2818" max="2818" width="64.59765625" style="1597" customWidth="1"/>
    <col min="2819" max="2819" width="16.09765625" style="1597" customWidth="1"/>
    <col min="2820" max="2820" width="19.8984375" style="1597" customWidth="1"/>
    <col min="2821" max="3072" width="9" style="1597"/>
    <col min="3073" max="3073" width="5.19921875" style="1597" customWidth="1"/>
    <col min="3074" max="3074" width="64.59765625" style="1597" customWidth="1"/>
    <col min="3075" max="3075" width="16.09765625" style="1597" customWidth="1"/>
    <col min="3076" max="3076" width="19.8984375" style="1597" customWidth="1"/>
    <col min="3077" max="3328" width="9" style="1597"/>
    <col min="3329" max="3329" width="5.19921875" style="1597" customWidth="1"/>
    <col min="3330" max="3330" width="64.59765625" style="1597" customWidth="1"/>
    <col min="3331" max="3331" width="16.09765625" style="1597" customWidth="1"/>
    <col min="3332" max="3332" width="19.8984375" style="1597" customWidth="1"/>
    <col min="3333" max="3584" width="9" style="1597"/>
    <col min="3585" max="3585" width="5.19921875" style="1597" customWidth="1"/>
    <col min="3586" max="3586" width="64.59765625" style="1597" customWidth="1"/>
    <col min="3587" max="3587" width="16.09765625" style="1597" customWidth="1"/>
    <col min="3588" max="3588" width="19.8984375" style="1597" customWidth="1"/>
    <col min="3589" max="3840" width="9" style="1597"/>
    <col min="3841" max="3841" width="5.19921875" style="1597" customWidth="1"/>
    <col min="3842" max="3842" width="64.59765625" style="1597" customWidth="1"/>
    <col min="3843" max="3843" width="16.09765625" style="1597" customWidth="1"/>
    <col min="3844" max="3844" width="19.8984375" style="1597" customWidth="1"/>
    <col min="3845" max="4096" width="9" style="1597"/>
    <col min="4097" max="4097" width="5.19921875" style="1597" customWidth="1"/>
    <col min="4098" max="4098" width="64.59765625" style="1597" customWidth="1"/>
    <col min="4099" max="4099" width="16.09765625" style="1597" customWidth="1"/>
    <col min="4100" max="4100" width="19.8984375" style="1597" customWidth="1"/>
    <col min="4101" max="4352" width="9" style="1597"/>
    <col min="4353" max="4353" width="5.19921875" style="1597" customWidth="1"/>
    <col min="4354" max="4354" width="64.59765625" style="1597" customWidth="1"/>
    <col min="4355" max="4355" width="16.09765625" style="1597" customWidth="1"/>
    <col min="4356" max="4356" width="19.8984375" style="1597" customWidth="1"/>
    <col min="4357" max="4608" width="9" style="1597"/>
    <col min="4609" max="4609" width="5.19921875" style="1597" customWidth="1"/>
    <col min="4610" max="4610" width="64.59765625" style="1597" customWidth="1"/>
    <col min="4611" max="4611" width="16.09765625" style="1597" customWidth="1"/>
    <col min="4612" max="4612" width="19.8984375" style="1597" customWidth="1"/>
    <col min="4613" max="4864" width="9" style="1597"/>
    <col min="4865" max="4865" width="5.19921875" style="1597" customWidth="1"/>
    <col min="4866" max="4866" width="64.59765625" style="1597" customWidth="1"/>
    <col min="4867" max="4867" width="16.09765625" style="1597" customWidth="1"/>
    <col min="4868" max="4868" width="19.8984375" style="1597" customWidth="1"/>
    <col min="4869" max="5120" width="9" style="1597"/>
    <col min="5121" max="5121" width="5.19921875" style="1597" customWidth="1"/>
    <col min="5122" max="5122" width="64.59765625" style="1597" customWidth="1"/>
    <col min="5123" max="5123" width="16.09765625" style="1597" customWidth="1"/>
    <col min="5124" max="5124" width="19.8984375" style="1597" customWidth="1"/>
    <col min="5125" max="5376" width="9" style="1597"/>
    <col min="5377" max="5377" width="5.19921875" style="1597" customWidth="1"/>
    <col min="5378" max="5378" width="64.59765625" style="1597" customWidth="1"/>
    <col min="5379" max="5379" width="16.09765625" style="1597" customWidth="1"/>
    <col min="5380" max="5380" width="19.8984375" style="1597" customWidth="1"/>
    <col min="5381" max="5632" width="9" style="1597"/>
    <col min="5633" max="5633" width="5.19921875" style="1597" customWidth="1"/>
    <col min="5634" max="5634" width="64.59765625" style="1597" customWidth="1"/>
    <col min="5635" max="5635" width="16.09765625" style="1597" customWidth="1"/>
    <col min="5636" max="5636" width="19.8984375" style="1597" customWidth="1"/>
    <col min="5637" max="5888" width="9" style="1597"/>
    <col min="5889" max="5889" width="5.19921875" style="1597" customWidth="1"/>
    <col min="5890" max="5890" width="64.59765625" style="1597" customWidth="1"/>
    <col min="5891" max="5891" width="16.09765625" style="1597" customWidth="1"/>
    <col min="5892" max="5892" width="19.8984375" style="1597" customWidth="1"/>
    <col min="5893" max="6144" width="9" style="1597"/>
    <col min="6145" max="6145" width="5.19921875" style="1597" customWidth="1"/>
    <col min="6146" max="6146" width="64.59765625" style="1597" customWidth="1"/>
    <col min="6147" max="6147" width="16.09765625" style="1597" customWidth="1"/>
    <col min="6148" max="6148" width="19.8984375" style="1597" customWidth="1"/>
    <col min="6149" max="6400" width="9" style="1597"/>
    <col min="6401" max="6401" width="5.19921875" style="1597" customWidth="1"/>
    <col min="6402" max="6402" width="64.59765625" style="1597" customWidth="1"/>
    <col min="6403" max="6403" width="16.09765625" style="1597" customWidth="1"/>
    <col min="6404" max="6404" width="19.8984375" style="1597" customWidth="1"/>
    <col min="6405" max="6656" width="9" style="1597"/>
    <col min="6657" max="6657" width="5.19921875" style="1597" customWidth="1"/>
    <col min="6658" max="6658" width="64.59765625" style="1597" customWidth="1"/>
    <col min="6659" max="6659" width="16.09765625" style="1597" customWidth="1"/>
    <col min="6660" max="6660" width="19.8984375" style="1597" customWidth="1"/>
    <col min="6661" max="6912" width="9" style="1597"/>
    <col min="6913" max="6913" width="5.19921875" style="1597" customWidth="1"/>
    <col min="6914" max="6914" width="64.59765625" style="1597" customWidth="1"/>
    <col min="6915" max="6915" width="16.09765625" style="1597" customWidth="1"/>
    <col min="6916" max="6916" width="19.8984375" style="1597" customWidth="1"/>
    <col min="6917" max="7168" width="9" style="1597"/>
    <col min="7169" max="7169" width="5.19921875" style="1597" customWidth="1"/>
    <col min="7170" max="7170" width="64.59765625" style="1597" customWidth="1"/>
    <col min="7171" max="7171" width="16.09765625" style="1597" customWidth="1"/>
    <col min="7172" max="7172" width="19.8984375" style="1597" customWidth="1"/>
    <col min="7173" max="7424" width="9" style="1597"/>
    <col min="7425" max="7425" width="5.19921875" style="1597" customWidth="1"/>
    <col min="7426" max="7426" width="64.59765625" style="1597" customWidth="1"/>
    <col min="7427" max="7427" width="16.09765625" style="1597" customWidth="1"/>
    <col min="7428" max="7428" width="19.8984375" style="1597" customWidth="1"/>
    <col min="7429" max="7680" width="9" style="1597"/>
    <col min="7681" max="7681" width="5.19921875" style="1597" customWidth="1"/>
    <col min="7682" max="7682" width="64.59765625" style="1597" customWidth="1"/>
    <col min="7683" max="7683" width="16.09765625" style="1597" customWidth="1"/>
    <col min="7684" max="7684" width="19.8984375" style="1597" customWidth="1"/>
    <col min="7685" max="7936" width="9" style="1597"/>
    <col min="7937" max="7937" width="5.19921875" style="1597" customWidth="1"/>
    <col min="7938" max="7938" width="64.59765625" style="1597" customWidth="1"/>
    <col min="7939" max="7939" width="16.09765625" style="1597" customWidth="1"/>
    <col min="7940" max="7940" width="19.8984375" style="1597" customWidth="1"/>
    <col min="7941" max="8192" width="9" style="1597"/>
    <col min="8193" max="8193" width="5.19921875" style="1597" customWidth="1"/>
    <col min="8194" max="8194" width="64.59765625" style="1597" customWidth="1"/>
    <col min="8195" max="8195" width="16.09765625" style="1597" customWidth="1"/>
    <col min="8196" max="8196" width="19.8984375" style="1597" customWidth="1"/>
    <col min="8197" max="8448" width="9" style="1597"/>
    <col min="8449" max="8449" width="5.19921875" style="1597" customWidth="1"/>
    <col min="8450" max="8450" width="64.59765625" style="1597" customWidth="1"/>
    <col min="8451" max="8451" width="16.09765625" style="1597" customWidth="1"/>
    <col min="8452" max="8452" width="19.8984375" style="1597" customWidth="1"/>
    <col min="8453" max="8704" width="9" style="1597"/>
    <col min="8705" max="8705" width="5.19921875" style="1597" customWidth="1"/>
    <col min="8706" max="8706" width="64.59765625" style="1597" customWidth="1"/>
    <col min="8707" max="8707" width="16.09765625" style="1597" customWidth="1"/>
    <col min="8708" max="8708" width="19.8984375" style="1597" customWidth="1"/>
    <col min="8709" max="8960" width="9" style="1597"/>
    <col min="8961" max="8961" width="5.19921875" style="1597" customWidth="1"/>
    <col min="8962" max="8962" width="64.59765625" style="1597" customWidth="1"/>
    <col min="8963" max="8963" width="16.09765625" style="1597" customWidth="1"/>
    <col min="8964" max="8964" width="19.8984375" style="1597" customWidth="1"/>
    <col min="8965" max="9216" width="9" style="1597"/>
    <col min="9217" max="9217" width="5.19921875" style="1597" customWidth="1"/>
    <col min="9218" max="9218" width="64.59765625" style="1597" customWidth="1"/>
    <col min="9219" max="9219" width="16.09765625" style="1597" customWidth="1"/>
    <col min="9220" max="9220" width="19.8984375" style="1597" customWidth="1"/>
    <col min="9221" max="9472" width="9" style="1597"/>
    <col min="9473" max="9473" width="5.19921875" style="1597" customWidth="1"/>
    <col min="9474" max="9474" width="64.59765625" style="1597" customWidth="1"/>
    <col min="9475" max="9475" width="16.09765625" style="1597" customWidth="1"/>
    <col min="9476" max="9476" width="19.8984375" style="1597" customWidth="1"/>
    <col min="9477" max="9728" width="9" style="1597"/>
    <col min="9729" max="9729" width="5.19921875" style="1597" customWidth="1"/>
    <col min="9730" max="9730" width="64.59765625" style="1597" customWidth="1"/>
    <col min="9731" max="9731" width="16.09765625" style="1597" customWidth="1"/>
    <col min="9732" max="9732" width="19.8984375" style="1597" customWidth="1"/>
    <col min="9733" max="9984" width="9" style="1597"/>
    <col min="9985" max="9985" width="5.19921875" style="1597" customWidth="1"/>
    <col min="9986" max="9986" width="64.59765625" style="1597" customWidth="1"/>
    <col min="9987" max="9987" width="16.09765625" style="1597" customWidth="1"/>
    <col min="9988" max="9988" width="19.8984375" style="1597" customWidth="1"/>
    <col min="9989" max="10240" width="9" style="1597"/>
    <col min="10241" max="10241" width="5.19921875" style="1597" customWidth="1"/>
    <col min="10242" max="10242" width="64.59765625" style="1597" customWidth="1"/>
    <col min="10243" max="10243" width="16.09765625" style="1597" customWidth="1"/>
    <col min="10244" max="10244" width="19.8984375" style="1597" customWidth="1"/>
    <col min="10245" max="10496" width="9" style="1597"/>
    <col min="10497" max="10497" width="5.19921875" style="1597" customWidth="1"/>
    <col min="10498" max="10498" width="64.59765625" style="1597" customWidth="1"/>
    <col min="10499" max="10499" width="16.09765625" style="1597" customWidth="1"/>
    <col min="10500" max="10500" width="19.8984375" style="1597" customWidth="1"/>
    <col min="10501" max="10752" width="9" style="1597"/>
    <col min="10753" max="10753" width="5.19921875" style="1597" customWidth="1"/>
    <col min="10754" max="10754" width="64.59765625" style="1597" customWidth="1"/>
    <col min="10755" max="10755" width="16.09765625" style="1597" customWidth="1"/>
    <col min="10756" max="10756" width="19.8984375" style="1597" customWidth="1"/>
    <col min="10757" max="11008" width="9" style="1597"/>
    <col min="11009" max="11009" width="5.19921875" style="1597" customWidth="1"/>
    <col min="11010" max="11010" width="64.59765625" style="1597" customWidth="1"/>
    <col min="11011" max="11011" width="16.09765625" style="1597" customWidth="1"/>
    <col min="11012" max="11012" width="19.8984375" style="1597" customWidth="1"/>
    <col min="11013" max="11264" width="9" style="1597"/>
    <col min="11265" max="11265" width="5.19921875" style="1597" customWidth="1"/>
    <col min="11266" max="11266" width="64.59765625" style="1597" customWidth="1"/>
    <col min="11267" max="11267" width="16.09765625" style="1597" customWidth="1"/>
    <col min="11268" max="11268" width="19.8984375" style="1597" customWidth="1"/>
    <col min="11269" max="11520" width="9" style="1597"/>
    <col min="11521" max="11521" width="5.19921875" style="1597" customWidth="1"/>
    <col min="11522" max="11522" width="64.59765625" style="1597" customWidth="1"/>
    <col min="11523" max="11523" width="16.09765625" style="1597" customWidth="1"/>
    <col min="11524" max="11524" width="19.8984375" style="1597" customWidth="1"/>
    <col min="11525" max="11776" width="9" style="1597"/>
    <col min="11777" max="11777" width="5.19921875" style="1597" customWidth="1"/>
    <col min="11778" max="11778" width="64.59765625" style="1597" customWidth="1"/>
    <col min="11779" max="11779" width="16.09765625" style="1597" customWidth="1"/>
    <col min="11780" max="11780" width="19.8984375" style="1597" customWidth="1"/>
    <col min="11781" max="12032" width="9" style="1597"/>
    <col min="12033" max="12033" width="5.19921875" style="1597" customWidth="1"/>
    <col min="12034" max="12034" width="64.59765625" style="1597" customWidth="1"/>
    <col min="12035" max="12035" width="16.09765625" style="1597" customWidth="1"/>
    <col min="12036" max="12036" width="19.8984375" style="1597" customWidth="1"/>
    <col min="12037" max="12288" width="9" style="1597"/>
    <col min="12289" max="12289" width="5.19921875" style="1597" customWidth="1"/>
    <col min="12290" max="12290" width="64.59765625" style="1597" customWidth="1"/>
    <col min="12291" max="12291" width="16.09765625" style="1597" customWidth="1"/>
    <col min="12292" max="12292" width="19.8984375" style="1597" customWidth="1"/>
    <col min="12293" max="12544" width="9" style="1597"/>
    <col min="12545" max="12545" width="5.19921875" style="1597" customWidth="1"/>
    <col min="12546" max="12546" width="64.59765625" style="1597" customWidth="1"/>
    <col min="12547" max="12547" width="16.09765625" style="1597" customWidth="1"/>
    <col min="12548" max="12548" width="19.8984375" style="1597" customWidth="1"/>
    <col min="12549" max="12800" width="9" style="1597"/>
    <col min="12801" max="12801" width="5.19921875" style="1597" customWidth="1"/>
    <col min="12802" max="12802" width="64.59765625" style="1597" customWidth="1"/>
    <col min="12803" max="12803" width="16.09765625" style="1597" customWidth="1"/>
    <col min="12804" max="12804" width="19.8984375" style="1597" customWidth="1"/>
    <col min="12805" max="13056" width="9" style="1597"/>
    <col min="13057" max="13057" width="5.19921875" style="1597" customWidth="1"/>
    <col min="13058" max="13058" width="64.59765625" style="1597" customWidth="1"/>
    <col min="13059" max="13059" width="16.09765625" style="1597" customWidth="1"/>
    <col min="13060" max="13060" width="19.8984375" style="1597" customWidth="1"/>
    <col min="13061" max="13312" width="9" style="1597"/>
    <col min="13313" max="13313" width="5.19921875" style="1597" customWidth="1"/>
    <col min="13314" max="13314" width="64.59765625" style="1597" customWidth="1"/>
    <col min="13315" max="13315" width="16.09765625" style="1597" customWidth="1"/>
    <col min="13316" max="13316" width="19.8984375" style="1597" customWidth="1"/>
    <col min="13317" max="13568" width="9" style="1597"/>
    <col min="13569" max="13569" width="5.19921875" style="1597" customWidth="1"/>
    <col min="13570" max="13570" width="64.59765625" style="1597" customWidth="1"/>
    <col min="13571" max="13571" width="16.09765625" style="1597" customWidth="1"/>
    <col min="13572" max="13572" width="19.8984375" style="1597" customWidth="1"/>
    <col min="13573" max="13824" width="9" style="1597"/>
    <col min="13825" max="13825" width="5.19921875" style="1597" customWidth="1"/>
    <col min="13826" max="13826" width="64.59765625" style="1597" customWidth="1"/>
    <col min="13827" max="13827" width="16.09765625" style="1597" customWidth="1"/>
    <col min="13828" max="13828" width="19.8984375" style="1597" customWidth="1"/>
    <col min="13829" max="14080" width="9" style="1597"/>
    <col min="14081" max="14081" width="5.19921875" style="1597" customWidth="1"/>
    <col min="14082" max="14082" width="64.59765625" style="1597" customWidth="1"/>
    <col min="14083" max="14083" width="16.09765625" style="1597" customWidth="1"/>
    <col min="14084" max="14084" width="19.8984375" style="1597" customWidth="1"/>
    <col min="14085" max="14336" width="9" style="1597"/>
    <col min="14337" max="14337" width="5.19921875" style="1597" customWidth="1"/>
    <col min="14338" max="14338" width="64.59765625" style="1597" customWidth="1"/>
    <col min="14339" max="14339" width="16.09765625" style="1597" customWidth="1"/>
    <col min="14340" max="14340" width="19.8984375" style="1597" customWidth="1"/>
    <col min="14341" max="14592" width="9" style="1597"/>
    <col min="14593" max="14593" width="5.19921875" style="1597" customWidth="1"/>
    <col min="14594" max="14594" width="64.59765625" style="1597" customWidth="1"/>
    <col min="14595" max="14595" width="16.09765625" style="1597" customWidth="1"/>
    <col min="14596" max="14596" width="19.8984375" style="1597" customWidth="1"/>
    <col min="14597" max="14848" width="9" style="1597"/>
    <col min="14849" max="14849" width="5.19921875" style="1597" customWidth="1"/>
    <col min="14850" max="14850" width="64.59765625" style="1597" customWidth="1"/>
    <col min="14851" max="14851" width="16.09765625" style="1597" customWidth="1"/>
    <col min="14852" max="14852" width="19.8984375" style="1597" customWidth="1"/>
    <col min="14853" max="15104" width="9" style="1597"/>
    <col min="15105" max="15105" width="5.19921875" style="1597" customWidth="1"/>
    <col min="15106" max="15106" width="64.59765625" style="1597" customWidth="1"/>
    <col min="15107" max="15107" width="16.09765625" style="1597" customWidth="1"/>
    <col min="15108" max="15108" width="19.8984375" style="1597" customWidth="1"/>
    <col min="15109" max="15360" width="9" style="1597"/>
    <col min="15361" max="15361" width="5.19921875" style="1597" customWidth="1"/>
    <col min="15362" max="15362" width="64.59765625" style="1597" customWidth="1"/>
    <col min="15363" max="15363" width="16.09765625" style="1597" customWidth="1"/>
    <col min="15364" max="15364" width="19.8984375" style="1597" customWidth="1"/>
    <col min="15365" max="15616" width="9" style="1597"/>
    <col min="15617" max="15617" width="5.19921875" style="1597" customWidth="1"/>
    <col min="15618" max="15618" width="64.59765625" style="1597" customWidth="1"/>
    <col min="15619" max="15619" width="16.09765625" style="1597" customWidth="1"/>
    <col min="15620" max="15620" width="19.8984375" style="1597" customWidth="1"/>
    <col min="15621" max="15872" width="9" style="1597"/>
    <col min="15873" max="15873" width="5.19921875" style="1597" customWidth="1"/>
    <col min="15874" max="15874" width="64.59765625" style="1597" customWidth="1"/>
    <col min="15875" max="15875" width="16.09765625" style="1597" customWidth="1"/>
    <col min="15876" max="15876" width="19.8984375" style="1597" customWidth="1"/>
    <col min="15877" max="16128" width="9" style="1597"/>
    <col min="16129" max="16129" width="5.19921875" style="1597" customWidth="1"/>
    <col min="16130" max="16130" width="64.59765625" style="1597" customWidth="1"/>
    <col min="16131" max="16131" width="16.09765625" style="1597" customWidth="1"/>
    <col min="16132" max="16132" width="19.8984375" style="1597" customWidth="1"/>
    <col min="16133" max="16384" width="9" style="1597"/>
  </cols>
  <sheetData>
    <row r="1" spans="1:8" s="1593" customFormat="1" ht="20.100000000000001" customHeight="1">
      <c r="A1" s="3400"/>
      <c r="B1" s="3400"/>
      <c r="C1" s="3400"/>
      <c r="D1" s="2166" t="str">
        <f>"索引号："&amp;档案索引!D9</f>
        <v>索引号：2B-4</v>
      </c>
    </row>
    <row r="2" spans="1:8" s="1655" customFormat="1" ht="25.5" customHeight="1">
      <c r="A2" s="3401" t="s">
        <v>5935</v>
      </c>
      <c r="B2" s="3401"/>
      <c r="C2" s="3401"/>
      <c r="D2" s="1870"/>
    </row>
    <row r="3" spans="1:8" s="1595" customFormat="1" ht="14.25" customHeight="1">
      <c r="A3" s="1837" t="s">
        <v>1853</v>
      </c>
      <c r="B3" s="1837" t="s">
        <v>1627</v>
      </c>
      <c r="C3" s="1835" t="s">
        <v>5563</v>
      </c>
      <c r="D3" s="1872" t="s">
        <v>4899</v>
      </c>
      <c r="H3" s="1596"/>
    </row>
    <row r="4" spans="1:8" s="1595" customFormat="1" ht="14.25" customHeight="1">
      <c r="A4" s="1835">
        <v>1</v>
      </c>
      <c r="B4" s="1871" t="s">
        <v>5564</v>
      </c>
      <c r="C4" s="1872" t="s">
        <v>1859</v>
      </c>
      <c r="D4" s="1871"/>
    </row>
    <row r="5" spans="1:8" s="1595" customFormat="1" ht="14.25" customHeight="1">
      <c r="A5" s="1835">
        <v>2</v>
      </c>
      <c r="B5" s="1871" t="s">
        <v>5565</v>
      </c>
      <c r="C5" s="2077"/>
      <c r="D5" s="1871"/>
    </row>
    <row r="6" spans="1:8" s="1595" customFormat="1" ht="14.25" customHeight="1">
      <c r="A6" s="1835">
        <v>3</v>
      </c>
      <c r="B6" s="1839" t="s">
        <v>5566</v>
      </c>
      <c r="C6" s="2075">
        <f>ROUND(C5*0.1,2)</f>
        <v>0</v>
      </c>
      <c r="D6" s="1871"/>
    </row>
    <row r="7" spans="1:8" s="1595" customFormat="1" ht="14.25" customHeight="1">
      <c r="A7" s="1835">
        <v>4</v>
      </c>
      <c r="B7" s="1839" t="s">
        <v>5567</v>
      </c>
      <c r="C7" s="1872" t="s">
        <v>1859</v>
      </c>
      <c r="D7" s="1871"/>
    </row>
    <row r="8" spans="1:8" s="1595" customFormat="1" ht="15.75" customHeight="1">
      <c r="A8" s="1837">
        <v>5</v>
      </c>
      <c r="B8" s="1838" t="s">
        <v>5568</v>
      </c>
      <c r="C8" s="2078">
        <f>C9+C10-C11</f>
        <v>0</v>
      </c>
      <c r="D8" s="1981"/>
    </row>
    <row r="9" spans="1:8" s="1595" customFormat="1" ht="14.25" customHeight="1">
      <c r="A9" s="1835">
        <v>6</v>
      </c>
      <c r="B9" s="1839" t="s">
        <v>5569</v>
      </c>
      <c r="C9" s="2077"/>
      <c r="D9" s="1871"/>
    </row>
    <row r="10" spans="1:8" s="1595" customFormat="1" ht="14.25" customHeight="1">
      <c r="A10" s="1835">
        <v>7</v>
      </c>
      <c r="B10" s="1871" t="s">
        <v>5570</v>
      </c>
      <c r="C10" s="2077"/>
      <c r="D10" s="1871"/>
      <c r="E10" s="1675" t="s">
        <v>6460</v>
      </c>
    </row>
    <row r="11" spans="1:8" s="1595" customFormat="1" ht="14.25" customHeight="1">
      <c r="A11" s="1835">
        <v>8</v>
      </c>
      <c r="B11" s="1871" t="s">
        <v>5571</v>
      </c>
      <c r="C11" s="2077"/>
      <c r="D11" s="1871"/>
    </row>
    <row r="12" spans="1:8" s="1595" customFormat="1" ht="15.75" customHeight="1">
      <c r="A12" s="1837">
        <v>9</v>
      </c>
      <c r="B12" s="1838" t="s">
        <v>5572</v>
      </c>
      <c r="C12" s="2078">
        <f>ROUND(C8*0.1,2)</f>
        <v>0</v>
      </c>
      <c r="D12" s="1871"/>
    </row>
    <row r="13" spans="1:8" s="1595" customFormat="1" ht="14.25" customHeight="1">
      <c r="A13" s="1835">
        <v>10</v>
      </c>
      <c r="B13" s="1871" t="s">
        <v>5573</v>
      </c>
      <c r="C13" s="1872" t="s">
        <v>1859</v>
      </c>
      <c r="D13" s="1871"/>
    </row>
    <row r="14" spans="1:8" s="1595" customFormat="1" ht="14.25" customHeight="1">
      <c r="A14" s="1835">
        <v>11</v>
      </c>
      <c r="B14" s="1871" t="s">
        <v>5574</v>
      </c>
      <c r="C14" s="2077"/>
      <c r="D14" s="1871"/>
    </row>
    <row r="15" spans="1:8" s="1595" customFormat="1" ht="14.25" customHeight="1">
      <c r="A15" s="1835">
        <v>12</v>
      </c>
      <c r="B15" s="1839" t="s">
        <v>5575</v>
      </c>
      <c r="C15" s="2075">
        <f>ROUND(C14*0.1,2)</f>
        <v>0</v>
      </c>
      <c r="D15" s="1871"/>
    </row>
    <row r="16" spans="1:8" s="1595" customFormat="1" ht="14.25" customHeight="1">
      <c r="A16" s="1835">
        <v>13</v>
      </c>
      <c r="B16" s="1871" t="s">
        <v>5576</v>
      </c>
      <c r="C16" s="2075">
        <f>C6+C12+C15</f>
        <v>0</v>
      </c>
      <c r="D16" s="1871" t="s">
        <v>5577</v>
      </c>
    </row>
  </sheetData>
  <mergeCells count="2">
    <mergeCell ref="A1:C1"/>
    <mergeCell ref="A2:C2"/>
  </mergeCells>
  <phoneticPr fontId="51" type="noConversion"/>
  <hyperlinks>
    <hyperlink ref="E10" location="A107013金融保险等机构取得涉农利息保费收入优惠明细表!A1" display="A107013金融保险等机构取得涉农利息保费收入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tabColor rgb="FFFFFF00"/>
  </sheetPr>
  <dimension ref="A1:X15"/>
  <sheetViews>
    <sheetView workbookViewId="0">
      <selection activeCell="J15" sqref="J15"/>
    </sheetView>
  </sheetViews>
  <sheetFormatPr defaultRowHeight="15.6"/>
  <cols>
    <col min="1" max="1" width="5.69921875" style="1598" customWidth="1"/>
    <col min="2" max="2" width="19.59765625" style="1598" customWidth="1"/>
    <col min="3" max="20" width="10.19921875" style="1598" customWidth="1"/>
    <col min="21" max="256" width="9" style="1598"/>
    <col min="257" max="257" width="5.69921875" style="1598" customWidth="1"/>
    <col min="258" max="258" width="4.59765625" style="1598" customWidth="1"/>
    <col min="259" max="259" width="5.09765625" style="1598" customWidth="1"/>
    <col min="260" max="260" width="5" style="1598" customWidth="1"/>
    <col min="261" max="261" width="5.09765625" style="1598" customWidth="1"/>
    <col min="262" max="262" width="4.69921875" style="1598" customWidth="1"/>
    <col min="263" max="265" width="6.09765625" style="1598" customWidth="1"/>
    <col min="266" max="266" width="5.09765625" style="1598" customWidth="1"/>
    <col min="267" max="267" width="4.09765625" style="1598" customWidth="1"/>
    <col min="268" max="276" width="6.09765625" style="1598" customWidth="1"/>
    <col min="277" max="512" width="9" style="1598"/>
    <col min="513" max="513" width="5.69921875" style="1598" customWidth="1"/>
    <col min="514" max="514" width="4.59765625" style="1598" customWidth="1"/>
    <col min="515" max="515" width="5.09765625" style="1598" customWidth="1"/>
    <col min="516" max="516" width="5" style="1598" customWidth="1"/>
    <col min="517" max="517" width="5.09765625" style="1598" customWidth="1"/>
    <col min="518" max="518" width="4.69921875" style="1598" customWidth="1"/>
    <col min="519" max="521" width="6.09765625" style="1598" customWidth="1"/>
    <col min="522" max="522" width="5.09765625" style="1598" customWidth="1"/>
    <col min="523" max="523" width="4.09765625" style="1598" customWidth="1"/>
    <col min="524" max="532" width="6.09765625" style="1598" customWidth="1"/>
    <col min="533" max="768" width="9" style="1598"/>
    <col min="769" max="769" width="5.69921875" style="1598" customWidth="1"/>
    <col min="770" max="770" width="4.59765625" style="1598" customWidth="1"/>
    <col min="771" max="771" width="5.09765625" style="1598" customWidth="1"/>
    <col min="772" max="772" width="5" style="1598" customWidth="1"/>
    <col min="773" max="773" width="5.09765625" style="1598" customWidth="1"/>
    <col min="774" max="774" width="4.69921875" style="1598" customWidth="1"/>
    <col min="775" max="777" width="6.09765625" style="1598" customWidth="1"/>
    <col min="778" max="778" width="5.09765625" style="1598" customWidth="1"/>
    <col min="779" max="779" width="4.09765625" style="1598" customWidth="1"/>
    <col min="780" max="788" width="6.09765625" style="1598" customWidth="1"/>
    <col min="789" max="1024" width="9" style="1598"/>
    <col min="1025" max="1025" width="5.69921875" style="1598" customWidth="1"/>
    <col min="1026" max="1026" width="4.59765625" style="1598" customWidth="1"/>
    <col min="1027" max="1027" width="5.09765625" style="1598" customWidth="1"/>
    <col min="1028" max="1028" width="5" style="1598" customWidth="1"/>
    <col min="1029" max="1029" width="5.09765625" style="1598" customWidth="1"/>
    <col min="1030" max="1030" width="4.69921875" style="1598" customWidth="1"/>
    <col min="1031" max="1033" width="6.09765625" style="1598" customWidth="1"/>
    <col min="1034" max="1034" width="5.09765625" style="1598" customWidth="1"/>
    <col min="1035" max="1035" width="4.09765625" style="1598" customWidth="1"/>
    <col min="1036" max="1044" width="6.09765625" style="1598" customWidth="1"/>
    <col min="1045" max="1280" width="9" style="1598"/>
    <col min="1281" max="1281" width="5.69921875" style="1598" customWidth="1"/>
    <col min="1282" max="1282" width="4.59765625" style="1598" customWidth="1"/>
    <col min="1283" max="1283" width="5.09765625" style="1598" customWidth="1"/>
    <col min="1284" max="1284" width="5" style="1598" customWidth="1"/>
    <col min="1285" max="1285" width="5.09765625" style="1598" customWidth="1"/>
    <col min="1286" max="1286" width="4.69921875" style="1598" customWidth="1"/>
    <col min="1287" max="1289" width="6.09765625" style="1598" customWidth="1"/>
    <col min="1290" max="1290" width="5.09765625" style="1598" customWidth="1"/>
    <col min="1291" max="1291" width="4.09765625" style="1598" customWidth="1"/>
    <col min="1292" max="1300" width="6.09765625" style="1598" customWidth="1"/>
    <col min="1301" max="1536" width="9" style="1598"/>
    <col min="1537" max="1537" width="5.69921875" style="1598" customWidth="1"/>
    <col min="1538" max="1538" width="4.59765625" style="1598" customWidth="1"/>
    <col min="1539" max="1539" width="5.09765625" style="1598" customWidth="1"/>
    <col min="1540" max="1540" width="5" style="1598" customWidth="1"/>
    <col min="1541" max="1541" width="5.09765625" style="1598" customWidth="1"/>
    <col min="1542" max="1542" width="4.69921875" style="1598" customWidth="1"/>
    <col min="1543" max="1545" width="6.09765625" style="1598" customWidth="1"/>
    <col min="1546" max="1546" width="5.09765625" style="1598" customWidth="1"/>
    <col min="1547" max="1547" width="4.09765625" style="1598" customWidth="1"/>
    <col min="1548" max="1556" width="6.09765625" style="1598" customWidth="1"/>
    <col min="1557" max="1792" width="9" style="1598"/>
    <col min="1793" max="1793" width="5.69921875" style="1598" customWidth="1"/>
    <col min="1794" max="1794" width="4.59765625" style="1598" customWidth="1"/>
    <col min="1795" max="1795" width="5.09765625" style="1598" customWidth="1"/>
    <col min="1796" max="1796" width="5" style="1598" customWidth="1"/>
    <col min="1797" max="1797" width="5.09765625" style="1598" customWidth="1"/>
    <col min="1798" max="1798" width="4.69921875" style="1598" customWidth="1"/>
    <col min="1799" max="1801" width="6.09765625" style="1598" customWidth="1"/>
    <col min="1802" max="1802" width="5.09765625" style="1598" customWidth="1"/>
    <col min="1803" max="1803" width="4.09765625" style="1598" customWidth="1"/>
    <col min="1804" max="1812" width="6.09765625" style="1598" customWidth="1"/>
    <col min="1813" max="2048" width="9" style="1598"/>
    <col min="2049" max="2049" width="5.69921875" style="1598" customWidth="1"/>
    <col min="2050" max="2050" width="4.59765625" style="1598" customWidth="1"/>
    <col min="2051" max="2051" width="5.09765625" style="1598" customWidth="1"/>
    <col min="2052" max="2052" width="5" style="1598" customWidth="1"/>
    <col min="2053" max="2053" width="5.09765625" style="1598" customWidth="1"/>
    <col min="2054" max="2054" width="4.69921875" style="1598" customWidth="1"/>
    <col min="2055" max="2057" width="6.09765625" style="1598" customWidth="1"/>
    <col min="2058" max="2058" width="5.09765625" style="1598" customWidth="1"/>
    <col min="2059" max="2059" width="4.09765625" style="1598" customWidth="1"/>
    <col min="2060" max="2068" width="6.09765625" style="1598" customWidth="1"/>
    <col min="2069" max="2304" width="9" style="1598"/>
    <col min="2305" max="2305" width="5.69921875" style="1598" customWidth="1"/>
    <col min="2306" max="2306" width="4.59765625" style="1598" customWidth="1"/>
    <col min="2307" max="2307" width="5.09765625" style="1598" customWidth="1"/>
    <col min="2308" max="2308" width="5" style="1598" customWidth="1"/>
    <col min="2309" max="2309" width="5.09765625" style="1598" customWidth="1"/>
    <col min="2310" max="2310" width="4.69921875" style="1598" customWidth="1"/>
    <col min="2311" max="2313" width="6.09765625" style="1598" customWidth="1"/>
    <col min="2314" max="2314" width="5.09765625" style="1598" customWidth="1"/>
    <col min="2315" max="2315" width="4.09765625" style="1598" customWidth="1"/>
    <col min="2316" max="2324" width="6.09765625" style="1598" customWidth="1"/>
    <col min="2325" max="2560" width="9" style="1598"/>
    <col min="2561" max="2561" width="5.69921875" style="1598" customWidth="1"/>
    <col min="2562" max="2562" width="4.59765625" style="1598" customWidth="1"/>
    <col min="2563" max="2563" width="5.09765625" style="1598" customWidth="1"/>
    <col min="2564" max="2564" width="5" style="1598" customWidth="1"/>
    <col min="2565" max="2565" width="5.09765625" style="1598" customWidth="1"/>
    <col min="2566" max="2566" width="4.69921875" style="1598" customWidth="1"/>
    <col min="2567" max="2569" width="6.09765625" style="1598" customWidth="1"/>
    <col min="2570" max="2570" width="5.09765625" style="1598" customWidth="1"/>
    <col min="2571" max="2571" width="4.09765625" style="1598" customWidth="1"/>
    <col min="2572" max="2580" width="6.09765625" style="1598" customWidth="1"/>
    <col min="2581" max="2816" width="9" style="1598"/>
    <col min="2817" max="2817" width="5.69921875" style="1598" customWidth="1"/>
    <col min="2818" max="2818" width="4.59765625" style="1598" customWidth="1"/>
    <col min="2819" max="2819" width="5.09765625" style="1598" customWidth="1"/>
    <col min="2820" max="2820" width="5" style="1598" customWidth="1"/>
    <col min="2821" max="2821" width="5.09765625" style="1598" customWidth="1"/>
    <col min="2822" max="2822" width="4.69921875" style="1598" customWidth="1"/>
    <col min="2823" max="2825" width="6.09765625" style="1598" customWidth="1"/>
    <col min="2826" max="2826" width="5.09765625" style="1598" customWidth="1"/>
    <col min="2827" max="2827" width="4.09765625" style="1598" customWidth="1"/>
    <col min="2828" max="2836" width="6.09765625" style="1598" customWidth="1"/>
    <col min="2837" max="3072" width="9" style="1598"/>
    <col min="3073" max="3073" width="5.69921875" style="1598" customWidth="1"/>
    <col min="3074" max="3074" width="4.59765625" style="1598" customWidth="1"/>
    <col min="3075" max="3075" width="5.09765625" style="1598" customWidth="1"/>
    <col min="3076" max="3076" width="5" style="1598" customWidth="1"/>
    <col min="3077" max="3077" width="5.09765625" style="1598" customWidth="1"/>
    <col min="3078" max="3078" width="4.69921875" style="1598" customWidth="1"/>
    <col min="3079" max="3081" width="6.09765625" style="1598" customWidth="1"/>
    <col min="3082" max="3082" width="5.09765625" style="1598" customWidth="1"/>
    <col min="3083" max="3083" width="4.09765625" style="1598" customWidth="1"/>
    <col min="3084" max="3092" width="6.09765625" style="1598" customWidth="1"/>
    <col min="3093" max="3328" width="9" style="1598"/>
    <col min="3329" max="3329" width="5.69921875" style="1598" customWidth="1"/>
    <col min="3330" max="3330" width="4.59765625" style="1598" customWidth="1"/>
    <col min="3331" max="3331" width="5.09765625" style="1598" customWidth="1"/>
    <col min="3332" max="3332" width="5" style="1598" customWidth="1"/>
    <col min="3333" max="3333" width="5.09765625" style="1598" customWidth="1"/>
    <col min="3334" max="3334" width="4.69921875" style="1598" customWidth="1"/>
    <col min="3335" max="3337" width="6.09765625" style="1598" customWidth="1"/>
    <col min="3338" max="3338" width="5.09765625" style="1598" customWidth="1"/>
    <col min="3339" max="3339" width="4.09765625" style="1598" customWidth="1"/>
    <col min="3340" max="3348" width="6.09765625" style="1598" customWidth="1"/>
    <col min="3349" max="3584" width="9" style="1598"/>
    <col min="3585" max="3585" width="5.69921875" style="1598" customWidth="1"/>
    <col min="3586" max="3586" width="4.59765625" style="1598" customWidth="1"/>
    <col min="3587" max="3587" width="5.09765625" style="1598" customWidth="1"/>
    <col min="3588" max="3588" width="5" style="1598" customWidth="1"/>
    <col min="3589" max="3589" width="5.09765625" style="1598" customWidth="1"/>
    <col min="3590" max="3590" width="4.69921875" style="1598" customWidth="1"/>
    <col min="3591" max="3593" width="6.09765625" style="1598" customWidth="1"/>
    <col min="3594" max="3594" width="5.09765625" style="1598" customWidth="1"/>
    <col min="3595" max="3595" width="4.09765625" style="1598" customWidth="1"/>
    <col min="3596" max="3604" width="6.09765625" style="1598" customWidth="1"/>
    <col min="3605" max="3840" width="9" style="1598"/>
    <col min="3841" max="3841" width="5.69921875" style="1598" customWidth="1"/>
    <col min="3842" max="3842" width="4.59765625" style="1598" customWidth="1"/>
    <col min="3843" max="3843" width="5.09765625" style="1598" customWidth="1"/>
    <col min="3844" max="3844" width="5" style="1598" customWidth="1"/>
    <col min="3845" max="3845" width="5.09765625" style="1598" customWidth="1"/>
    <col min="3846" max="3846" width="4.69921875" style="1598" customWidth="1"/>
    <col min="3847" max="3849" width="6.09765625" style="1598" customWidth="1"/>
    <col min="3850" max="3850" width="5.09765625" style="1598" customWidth="1"/>
    <col min="3851" max="3851" width="4.09765625" style="1598" customWidth="1"/>
    <col min="3852" max="3860" width="6.09765625" style="1598" customWidth="1"/>
    <col min="3861" max="4096" width="9" style="1598"/>
    <col min="4097" max="4097" width="5.69921875" style="1598" customWidth="1"/>
    <col min="4098" max="4098" width="4.59765625" style="1598" customWidth="1"/>
    <col min="4099" max="4099" width="5.09765625" style="1598" customWidth="1"/>
    <col min="4100" max="4100" width="5" style="1598" customWidth="1"/>
    <col min="4101" max="4101" width="5.09765625" style="1598" customWidth="1"/>
    <col min="4102" max="4102" width="4.69921875" style="1598" customWidth="1"/>
    <col min="4103" max="4105" width="6.09765625" style="1598" customWidth="1"/>
    <col min="4106" max="4106" width="5.09765625" style="1598" customWidth="1"/>
    <col min="4107" max="4107" width="4.09765625" style="1598" customWidth="1"/>
    <col min="4108" max="4116" width="6.09765625" style="1598" customWidth="1"/>
    <col min="4117" max="4352" width="9" style="1598"/>
    <col min="4353" max="4353" width="5.69921875" style="1598" customWidth="1"/>
    <col min="4354" max="4354" width="4.59765625" style="1598" customWidth="1"/>
    <col min="4355" max="4355" width="5.09765625" style="1598" customWidth="1"/>
    <col min="4356" max="4356" width="5" style="1598" customWidth="1"/>
    <col min="4357" max="4357" width="5.09765625" style="1598" customWidth="1"/>
    <col min="4358" max="4358" width="4.69921875" style="1598" customWidth="1"/>
    <col min="4359" max="4361" width="6.09765625" style="1598" customWidth="1"/>
    <col min="4362" max="4362" width="5.09765625" style="1598" customWidth="1"/>
    <col min="4363" max="4363" width="4.09765625" style="1598" customWidth="1"/>
    <col min="4364" max="4372" width="6.09765625" style="1598" customWidth="1"/>
    <col min="4373" max="4608" width="9" style="1598"/>
    <col min="4609" max="4609" width="5.69921875" style="1598" customWidth="1"/>
    <col min="4610" max="4610" width="4.59765625" style="1598" customWidth="1"/>
    <col min="4611" max="4611" width="5.09765625" style="1598" customWidth="1"/>
    <col min="4612" max="4612" width="5" style="1598" customWidth="1"/>
    <col min="4613" max="4613" width="5.09765625" style="1598" customWidth="1"/>
    <col min="4614" max="4614" width="4.69921875" style="1598" customWidth="1"/>
    <col min="4615" max="4617" width="6.09765625" style="1598" customWidth="1"/>
    <col min="4618" max="4618" width="5.09765625" style="1598" customWidth="1"/>
    <col min="4619" max="4619" width="4.09765625" style="1598" customWidth="1"/>
    <col min="4620" max="4628" width="6.09765625" style="1598" customWidth="1"/>
    <col min="4629" max="4864" width="9" style="1598"/>
    <col min="4865" max="4865" width="5.69921875" style="1598" customWidth="1"/>
    <col min="4866" max="4866" width="4.59765625" style="1598" customWidth="1"/>
    <col min="4867" max="4867" width="5.09765625" style="1598" customWidth="1"/>
    <col min="4868" max="4868" width="5" style="1598" customWidth="1"/>
    <col min="4869" max="4869" width="5.09765625" style="1598" customWidth="1"/>
    <col min="4870" max="4870" width="4.69921875" style="1598" customWidth="1"/>
    <col min="4871" max="4873" width="6.09765625" style="1598" customWidth="1"/>
    <col min="4874" max="4874" width="5.09765625" style="1598" customWidth="1"/>
    <col min="4875" max="4875" width="4.09765625" style="1598" customWidth="1"/>
    <col min="4876" max="4884" width="6.09765625" style="1598" customWidth="1"/>
    <col min="4885" max="5120" width="9" style="1598"/>
    <col min="5121" max="5121" width="5.69921875" style="1598" customWidth="1"/>
    <col min="5122" max="5122" width="4.59765625" style="1598" customWidth="1"/>
    <col min="5123" max="5123" width="5.09765625" style="1598" customWidth="1"/>
    <col min="5124" max="5124" width="5" style="1598" customWidth="1"/>
    <col min="5125" max="5125" width="5.09765625" style="1598" customWidth="1"/>
    <col min="5126" max="5126" width="4.69921875" style="1598" customWidth="1"/>
    <col min="5127" max="5129" width="6.09765625" style="1598" customWidth="1"/>
    <col min="5130" max="5130" width="5.09765625" style="1598" customWidth="1"/>
    <col min="5131" max="5131" width="4.09765625" style="1598" customWidth="1"/>
    <col min="5132" max="5140" width="6.09765625" style="1598" customWidth="1"/>
    <col min="5141" max="5376" width="9" style="1598"/>
    <col min="5377" max="5377" width="5.69921875" style="1598" customWidth="1"/>
    <col min="5378" max="5378" width="4.59765625" style="1598" customWidth="1"/>
    <col min="5379" max="5379" width="5.09765625" style="1598" customWidth="1"/>
    <col min="5380" max="5380" width="5" style="1598" customWidth="1"/>
    <col min="5381" max="5381" width="5.09765625" style="1598" customWidth="1"/>
    <col min="5382" max="5382" width="4.69921875" style="1598" customWidth="1"/>
    <col min="5383" max="5385" width="6.09765625" style="1598" customWidth="1"/>
    <col min="5386" max="5386" width="5.09765625" style="1598" customWidth="1"/>
    <col min="5387" max="5387" width="4.09765625" style="1598" customWidth="1"/>
    <col min="5388" max="5396" width="6.09765625" style="1598" customWidth="1"/>
    <col min="5397" max="5632" width="9" style="1598"/>
    <col min="5633" max="5633" width="5.69921875" style="1598" customWidth="1"/>
    <col min="5634" max="5634" width="4.59765625" style="1598" customWidth="1"/>
    <col min="5635" max="5635" width="5.09765625" style="1598" customWidth="1"/>
    <col min="5636" max="5636" width="5" style="1598" customWidth="1"/>
    <col min="5637" max="5637" width="5.09765625" style="1598" customWidth="1"/>
    <col min="5638" max="5638" width="4.69921875" style="1598" customWidth="1"/>
    <col min="5639" max="5641" width="6.09765625" style="1598" customWidth="1"/>
    <col min="5642" max="5642" width="5.09765625" style="1598" customWidth="1"/>
    <col min="5643" max="5643" width="4.09765625" style="1598" customWidth="1"/>
    <col min="5644" max="5652" width="6.09765625" style="1598" customWidth="1"/>
    <col min="5653" max="5888" width="9" style="1598"/>
    <col min="5889" max="5889" width="5.69921875" style="1598" customWidth="1"/>
    <col min="5890" max="5890" width="4.59765625" style="1598" customWidth="1"/>
    <col min="5891" max="5891" width="5.09765625" style="1598" customWidth="1"/>
    <col min="5892" max="5892" width="5" style="1598" customWidth="1"/>
    <col min="5893" max="5893" width="5.09765625" style="1598" customWidth="1"/>
    <col min="5894" max="5894" width="4.69921875" style="1598" customWidth="1"/>
    <col min="5895" max="5897" width="6.09765625" style="1598" customWidth="1"/>
    <col min="5898" max="5898" width="5.09765625" style="1598" customWidth="1"/>
    <col min="5899" max="5899" width="4.09765625" style="1598" customWidth="1"/>
    <col min="5900" max="5908" width="6.09765625" style="1598" customWidth="1"/>
    <col min="5909" max="6144" width="9" style="1598"/>
    <col min="6145" max="6145" width="5.69921875" style="1598" customWidth="1"/>
    <col min="6146" max="6146" width="4.59765625" style="1598" customWidth="1"/>
    <col min="6147" max="6147" width="5.09765625" style="1598" customWidth="1"/>
    <col min="6148" max="6148" width="5" style="1598" customWidth="1"/>
    <col min="6149" max="6149" width="5.09765625" style="1598" customWidth="1"/>
    <col min="6150" max="6150" width="4.69921875" style="1598" customWidth="1"/>
    <col min="6151" max="6153" width="6.09765625" style="1598" customWidth="1"/>
    <col min="6154" max="6154" width="5.09765625" style="1598" customWidth="1"/>
    <col min="6155" max="6155" width="4.09765625" style="1598" customWidth="1"/>
    <col min="6156" max="6164" width="6.09765625" style="1598" customWidth="1"/>
    <col min="6165" max="6400" width="9" style="1598"/>
    <col min="6401" max="6401" width="5.69921875" style="1598" customWidth="1"/>
    <col min="6402" max="6402" width="4.59765625" style="1598" customWidth="1"/>
    <col min="6403" max="6403" width="5.09765625" style="1598" customWidth="1"/>
    <col min="6404" max="6404" width="5" style="1598" customWidth="1"/>
    <col min="6405" max="6405" width="5.09765625" style="1598" customWidth="1"/>
    <col min="6406" max="6406" width="4.69921875" style="1598" customWidth="1"/>
    <col min="6407" max="6409" width="6.09765625" style="1598" customWidth="1"/>
    <col min="6410" max="6410" width="5.09765625" style="1598" customWidth="1"/>
    <col min="6411" max="6411" width="4.09765625" style="1598" customWidth="1"/>
    <col min="6412" max="6420" width="6.09765625" style="1598" customWidth="1"/>
    <col min="6421" max="6656" width="9" style="1598"/>
    <col min="6657" max="6657" width="5.69921875" style="1598" customWidth="1"/>
    <col min="6658" max="6658" width="4.59765625" style="1598" customWidth="1"/>
    <col min="6659" max="6659" width="5.09765625" style="1598" customWidth="1"/>
    <col min="6660" max="6660" width="5" style="1598" customWidth="1"/>
    <col min="6661" max="6661" width="5.09765625" style="1598" customWidth="1"/>
    <col min="6662" max="6662" width="4.69921875" style="1598" customWidth="1"/>
    <col min="6663" max="6665" width="6.09765625" style="1598" customWidth="1"/>
    <col min="6666" max="6666" width="5.09765625" style="1598" customWidth="1"/>
    <col min="6667" max="6667" width="4.09765625" style="1598" customWidth="1"/>
    <col min="6668" max="6676" width="6.09765625" style="1598" customWidth="1"/>
    <col min="6677" max="6912" width="9" style="1598"/>
    <col min="6913" max="6913" width="5.69921875" style="1598" customWidth="1"/>
    <col min="6914" max="6914" width="4.59765625" style="1598" customWidth="1"/>
    <col min="6915" max="6915" width="5.09765625" style="1598" customWidth="1"/>
    <col min="6916" max="6916" width="5" style="1598" customWidth="1"/>
    <col min="6917" max="6917" width="5.09765625" style="1598" customWidth="1"/>
    <col min="6918" max="6918" width="4.69921875" style="1598" customWidth="1"/>
    <col min="6919" max="6921" width="6.09765625" style="1598" customWidth="1"/>
    <col min="6922" max="6922" width="5.09765625" style="1598" customWidth="1"/>
    <col min="6923" max="6923" width="4.09765625" style="1598" customWidth="1"/>
    <col min="6924" max="6932" width="6.09765625" style="1598" customWidth="1"/>
    <col min="6933" max="7168" width="9" style="1598"/>
    <col min="7169" max="7169" width="5.69921875" style="1598" customWidth="1"/>
    <col min="7170" max="7170" width="4.59765625" style="1598" customWidth="1"/>
    <col min="7171" max="7171" width="5.09765625" style="1598" customWidth="1"/>
    <col min="7172" max="7172" width="5" style="1598" customWidth="1"/>
    <col min="7173" max="7173" width="5.09765625" style="1598" customWidth="1"/>
    <col min="7174" max="7174" width="4.69921875" style="1598" customWidth="1"/>
    <col min="7175" max="7177" width="6.09765625" style="1598" customWidth="1"/>
    <col min="7178" max="7178" width="5.09765625" style="1598" customWidth="1"/>
    <col min="7179" max="7179" width="4.09765625" style="1598" customWidth="1"/>
    <col min="7180" max="7188" width="6.09765625" style="1598" customWidth="1"/>
    <col min="7189" max="7424" width="9" style="1598"/>
    <col min="7425" max="7425" width="5.69921875" style="1598" customWidth="1"/>
    <col min="7426" max="7426" width="4.59765625" style="1598" customWidth="1"/>
    <col min="7427" max="7427" width="5.09765625" style="1598" customWidth="1"/>
    <col min="7428" max="7428" width="5" style="1598" customWidth="1"/>
    <col min="7429" max="7429" width="5.09765625" style="1598" customWidth="1"/>
    <col min="7430" max="7430" width="4.69921875" style="1598" customWidth="1"/>
    <col min="7431" max="7433" width="6.09765625" style="1598" customWidth="1"/>
    <col min="7434" max="7434" width="5.09765625" style="1598" customWidth="1"/>
    <col min="7435" max="7435" width="4.09765625" style="1598" customWidth="1"/>
    <col min="7436" max="7444" width="6.09765625" style="1598" customWidth="1"/>
    <col min="7445" max="7680" width="9" style="1598"/>
    <col min="7681" max="7681" width="5.69921875" style="1598" customWidth="1"/>
    <col min="7682" max="7682" width="4.59765625" style="1598" customWidth="1"/>
    <col min="7683" max="7683" width="5.09765625" style="1598" customWidth="1"/>
    <col min="7684" max="7684" width="5" style="1598" customWidth="1"/>
    <col min="7685" max="7685" width="5.09765625" style="1598" customWidth="1"/>
    <col min="7686" max="7686" width="4.69921875" style="1598" customWidth="1"/>
    <col min="7687" max="7689" width="6.09765625" style="1598" customWidth="1"/>
    <col min="7690" max="7690" width="5.09765625" style="1598" customWidth="1"/>
    <col min="7691" max="7691" width="4.09765625" style="1598" customWidth="1"/>
    <col min="7692" max="7700" width="6.09765625" style="1598" customWidth="1"/>
    <col min="7701" max="7936" width="9" style="1598"/>
    <col min="7937" max="7937" width="5.69921875" style="1598" customWidth="1"/>
    <col min="7938" max="7938" width="4.59765625" style="1598" customWidth="1"/>
    <col min="7939" max="7939" width="5.09765625" style="1598" customWidth="1"/>
    <col min="7940" max="7940" width="5" style="1598" customWidth="1"/>
    <col min="7941" max="7941" width="5.09765625" style="1598" customWidth="1"/>
    <col min="7942" max="7942" width="4.69921875" style="1598" customWidth="1"/>
    <col min="7943" max="7945" width="6.09765625" style="1598" customWidth="1"/>
    <col min="7946" max="7946" width="5.09765625" style="1598" customWidth="1"/>
    <col min="7947" max="7947" width="4.09765625" style="1598" customWidth="1"/>
    <col min="7948" max="7956" width="6.09765625" style="1598" customWidth="1"/>
    <col min="7957" max="8192" width="9" style="1598"/>
    <col min="8193" max="8193" width="5.69921875" style="1598" customWidth="1"/>
    <col min="8194" max="8194" width="4.59765625" style="1598" customWidth="1"/>
    <col min="8195" max="8195" width="5.09765625" style="1598" customWidth="1"/>
    <col min="8196" max="8196" width="5" style="1598" customWidth="1"/>
    <col min="8197" max="8197" width="5.09765625" style="1598" customWidth="1"/>
    <col min="8198" max="8198" width="4.69921875" style="1598" customWidth="1"/>
    <col min="8199" max="8201" width="6.09765625" style="1598" customWidth="1"/>
    <col min="8202" max="8202" width="5.09765625" style="1598" customWidth="1"/>
    <col min="8203" max="8203" width="4.09765625" style="1598" customWidth="1"/>
    <col min="8204" max="8212" width="6.09765625" style="1598" customWidth="1"/>
    <col min="8213" max="8448" width="9" style="1598"/>
    <col min="8449" max="8449" width="5.69921875" style="1598" customWidth="1"/>
    <col min="8450" max="8450" width="4.59765625" style="1598" customWidth="1"/>
    <col min="8451" max="8451" width="5.09765625" style="1598" customWidth="1"/>
    <col min="8452" max="8452" width="5" style="1598" customWidth="1"/>
    <col min="8453" max="8453" width="5.09765625" style="1598" customWidth="1"/>
    <col min="8454" max="8454" width="4.69921875" style="1598" customWidth="1"/>
    <col min="8455" max="8457" width="6.09765625" style="1598" customWidth="1"/>
    <col min="8458" max="8458" width="5.09765625" style="1598" customWidth="1"/>
    <col min="8459" max="8459" width="4.09765625" style="1598" customWidth="1"/>
    <col min="8460" max="8468" width="6.09765625" style="1598" customWidth="1"/>
    <col min="8469" max="8704" width="9" style="1598"/>
    <col min="8705" max="8705" width="5.69921875" style="1598" customWidth="1"/>
    <col min="8706" max="8706" width="4.59765625" style="1598" customWidth="1"/>
    <col min="8707" max="8707" width="5.09765625" style="1598" customWidth="1"/>
    <col min="8708" max="8708" width="5" style="1598" customWidth="1"/>
    <col min="8709" max="8709" width="5.09765625" style="1598" customWidth="1"/>
    <col min="8710" max="8710" width="4.69921875" style="1598" customWidth="1"/>
    <col min="8711" max="8713" width="6.09765625" style="1598" customWidth="1"/>
    <col min="8714" max="8714" width="5.09765625" style="1598" customWidth="1"/>
    <col min="8715" max="8715" width="4.09765625" style="1598" customWidth="1"/>
    <col min="8716" max="8724" width="6.09765625" style="1598" customWidth="1"/>
    <col min="8725" max="8960" width="9" style="1598"/>
    <col min="8961" max="8961" width="5.69921875" style="1598" customWidth="1"/>
    <col min="8962" max="8962" width="4.59765625" style="1598" customWidth="1"/>
    <col min="8963" max="8963" width="5.09765625" style="1598" customWidth="1"/>
    <col min="8964" max="8964" width="5" style="1598" customWidth="1"/>
    <col min="8965" max="8965" width="5.09765625" style="1598" customWidth="1"/>
    <col min="8966" max="8966" width="4.69921875" style="1598" customWidth="1"/>
    <col min="8967" max="8969" width="6.09765625" style="1598" customWidth="1"/>
    <col min="8970" max="8970" width="5.09765625" style="1598" customWidth="1"/>
    <col min="8971" max="8971" width="4.09765625" style="1598" customWidth="1"/>
    <col min="8972" max="8980" width="6.09765625" style="1598" customWidth="1"/>
    <col min="8981" max="9216" width="9" style="1598"/>
    <col min="9217" max="9217" width="5.69921875" style="1598" customWidth="1"/>
    <col min="9218" max="9218" width="4.59765625" style="1598" customWidth="1"/>
    <col min="9219" max="9219" width="5.09765625" style="1598" customWidth="1"/>
    <col min="9220" max="9220" width="5" style="1598" customWidth="1"/>
    <col min="9221" max="9221" width="5.09765625" style="1598" customWidth="1"/>
    <col min="9222" max="9222" width="4.69921875" style="1598" customWidth="1"/>
    <col min="9223" max="9225" width="6.09765625" style="1598" customWidth="1"/>
    <col min="9226" max="9226" width="5.09765625" style="1598" customWidth="1"/>
    <col min="9227" max="9227" width="4.09765625" style="1598" customWidth="1"/>
    <col min="9228" max="9236" width="6.09765625" style="1598" customWidth="1"/>
    <col min="9237" max="9472" width="9" style="1598"/>
    <col min="9473" max="9473" width="5.69921875" style="1598" customWidth="1"/>
    <col min="9474" max="9474" width="4.59765625" style="1598" customWidth="1"/>
    <col min="9475" max="9475" width="5.09765625" style="1598" customWidth="1"/>
    <col min="9476" max="9476" width="5" style="1598" customWidth="1"/>
    <col min="9477" max="9477" width="5.09765625" style="1598" customWidth="1"/>
    <col min="9478" max="9478" width="4.69921875" style="1598" customWidth="1"/>
    <col min="9479" max="9481" width="6.09765625" style="1598" customWidth="1"/>
    <col min="9482" max="9482" width="5.09765625" style="1598" customWidth="1"/>
    <col min="9483" max="9483" width="4.09765625" style="1598" customWidth="1"/>
    <col min="9484" max="9492" width="6.09765625" style="1598" customWidth="1"/>
    <col min="9493" max="9728" width="9" style="1598"/>
    <col min="9729" max="9729" width="5.69921875" style="1598" customWidth="1"/>
    <col min="9730" max="9730" width="4.59765625" style="1598" customWidth="1"/>
    <col min="9731" max="9731" width="5.09765625" style="1598" customWidth="1"/>
    <col min="9732" max="9732" width="5" style="1598" customWidth="1"/>
    <col min="9733" max="9733" width="5.09765625" style="1598" customWidth="1"/>
    <col min="9734" max="9734" width="4.69921875" style="1598" customWidth="1"/>
    <col min="9735" max="9737" width="6.09765625" style="1598" customWidth="1"/>
    <col min="9738" max="9738" width="5.09765625" style="1598" customWidth="1"/>
    <col min="9739" max="9739" width="4.09765625" style="1598" customWidth="1"/>
    <col min="9740" max="9748" width="6.09765625" style="1598" customWidth="1"/>
    <col min="9749" max="9984" width="9" style="1598"/>
    <col min="9985" max="9985" width="5.69921875" style="1598" customWidth="1"/>
    <col min="9986" max="9986" width="4.59765625" style="1598" customWidth="1"/>
    <col min="9987" max="9987" width="5.09765625" style="1598" customWidth="1"/>
    <col min="9988" max="9988" width="5" style="1598" customWidth="1"/>
    <col min="9989" max="9989" width="5.09765625" style="1598" customWidth="1"/>
    <col min="9990" max="9990" width="4.69921875" style="1598" customWidth="1"/>
    <col min="9991" max="9993" width="6.09765625" style="1598" customWidth="1"/>
    <col min="9994" max="9994" width="5.09765625" style="1598" customWidth="1"/>
    <col min="9995" max="9995" width="4.09765625" style="1598" customWidth="1"/>
    <col min="9996" max="10004" width="6.09765625" style="1598" customWidth="1"/>
    <col min="10005" max="10240" width="9" style="1598"/>
    <col min="10241" max="10241" width="5.69921875" style="1598" customWidth="1"/>
    <col min="10242" max="10242" width="4.59765625" style="1598" customWidth="1"/>
    <col min="10243" max="10243" width="5.09765625" style="1598" customWidth="1"/>
    <col min="10244" max="10244" width="5" style="1598" customWidth="1"/>
    <col min="10245" max="10245" width="5.09765625" style="1598" customWidth="1"/>
    <col min="10246" max="10246" width="4.69921875" style="1598" customWidth="1"/>
    <col min="10247" max="10249" width="6.09765625" style="1598" customWidth="1"/>
    <col min="10250" max="10250" width="5.09765625" style="1598" customWidth="1"/>
    <col min="10251" max="10251" width="4.09765625" style="1598" customWidth="1"/>
    <col min="10252" max="10260" width="6.09765625" style="1598" customWidth="1"/>
    <col min="10261" max="10496" width="9" style="1598"/>
    <col min="10497" max="10497" width="5.69921875" style="1598" customWidth="1"/>
    <col min="10498" max="10498" width="4.59765625" style="1598" customWidth="1"/>
    <col min="10499" max="10499" width="5.09765625" style="1598" customWidth="1"/>
    <col min="10500" max="10500" width="5" style="1598" customWidth="1"/>
    <col min="10501" max="10501" width="5.09765625" style="1598" customWidth="1"/>
    <col min="10502" max="10502" width="4.69921875" style="1598" customWidth="1"/>
    <col min="10503" max="10505" width="6.09765625" style="1598" customWidth="1"/>
    <col min="10506" max="10506" width="5.09765625" style="1598" customWidth="1"/>
    <col min="10507" max="10507" width="4.09765625" style="1598" customWidth="1"/>
    <col min="10508" max="10516" width="6.09765625" style="1598" customWidth="1"/>
    <col min="10517" max="10752" width="9" style="1598"/>
    <col min="10753" max="10753" width="5.69921875" style="1598" customWidth="1"/>
    <col min="10754" max="10754" width="4.59765625" style="1598" customWidth="1"/>
    <col min="10755" max="10755" width="5.09765625" style="1598" customWidth="1"/>
    <col min="10756" max="10756" width="5" style="1598" customWidth="1"/>
    <col min="10757" max="10757" width="5.09765625" style="1598" customWidth="1"/>
    <col min="10758" max="10758" width="4.69921875" style="1598" customWidth="1"/>
    <col min="10759" max="10761" width="6.09765625" style="1598" customWidth="1"/>
    <col min="10762" max="10762" width="5.09765625" style="1598" customWidth="1"/>
    <col min="10763" max="10763" width="4.09765625" style="1598" customWidth="1"/>
    <col min="10764" max="10772" width="6.09765625" style="1598" customWidth="1"/>
    <col min="10773" max="11008" width="9" style="1598"/>
    <col min="11009" max="11009" width="5.69921875" style="1598" customWidth="1"/>
    <col min="11010" max="11010" width="4.59765625" style="1598" customWidth="1"/>
    <col min="11011" max="11011" width="5.09765625" style="1598" customWidth="1"/>
    <col min="11012" max="11012" width="5" style="1598" customWidth="1"/>
    <col min="11013" max="11013" width="5.09765625" style="1598" customWidth="1"/>
    <col min="11014" max="11014" width="4.69921875" style="1598" customWidth="1"/>
    <col min="11015" max="11017" width="6.09765625" style="1598" customWidth="1"/>
    <col min="11018" max="11018" width="5.09765625" style="1598" customWidth="1"/>
    <col min="11019" max="11019" width="4.09765625" style="1598" customWidth="1"/>
    <col min="11020" max="11028" width="6.09765625" style="1598" customWidth="1"/>
    <col min="11029" max="11264" width="9" style="1598"/>
    <col min="11265" max="11265" width="5.69921875" style="1598" customWidth="1"/>
    <col min="11266" max="11266" width="4.59765625" style="1598" customWidth="1"/>
    <col min="11267" max="11267" width="5.09765625" style="1598" customWidth="1"/>
    <col min="11268" max="11268" width="5" style="1598" customWidth="1"/>
    <col min="11269" max="11269" width="5.09765625" style="1598" customWidth="1"/>
    <col min="11270" max="11270" width="4.69921875" style="1598" customWidth="1"/>
    <col min="11271" max="11273" width="6.09765625" style="1598" customWidth="1"/>
    <col min="11274" max="11274" width="5.09765625" style="1598" customWidth="1"/>
    <col min="11275" max="11275" width="4.09765625" style="1598" customWidth="1"/>
    <col min="11276" max="11284" width="6.09765625" style="1598" customWidth="1"/>
    <col min="11285" max="11520" width="9" style="1598"/>
    <col min="11521" max="11521" width="5.69921875" style="1598" customWidth="1"/>
    <col min="11522" max="11522" width="4.59765625" style="1598" customWidth="1"/>
    <col min="11523" max="11523" width="5.09765625" style="1598" customWidth="1"/>
    <col min="11524" max="11524" width="5" style="1598" customWidth="1"/>
    <col min="11525" max="11525" width="5.09765625" style="1598" customWidth="1"/>
    <col min="11526" max="11526" width="4.69921875" style="1598" customWidth="1"/>
    <col min="11527" max="11529" width="6.09765625" style="1598" customWidth="1"/>
    <col min="11530" max="11530" width="5.09765625" style="1598" customWidth="1"/>
    <col min="11531" max="11531" width="4.09765625" style="1598" customWidth="1"/>
    <col min="11532" max="11540" width="6.09765625" style="1598" customWidth="1"/>
    <col min="11541" max="11776" width="9" style="1598"/>
    <col min="11777" max="11777" width="5.69921875" style="1598" customWidth="1"/>
    <col min="11778" max="11778" width="4.59765625" style="1598" customWidth="1"/>
    <col min="11779" max="11779" width="5.09765625" style="1598" customWidth="1"/>
    <col min="11780" max="11780" width="5" style="1598" customWidth="1"/>
    <col min="11781" max="11781" width="5.09765625" style="1598" customWidth="1"/>
    <col min="11782" max="11782" width="4.69921875" style="1598" customWidth="1"/>
    <col min="11783" max="11785" width="6.09765625" style="1598" customWidth="1"/>
    <col min="11786" max="11786" width="5.09765625" style="1598" customWidth="1"/>
    <col min="11787" max="11787" width="4.09765625" style="1598" customWidth="1"/>
    <col min="11788" max="11796" width="6.09765625" style="1598" customWidth="1"/>
    <col min="11797" max="12032" width="9" style="1598"/>
    <col min="12033" max="12033" width="5.69921875" style="1598" customWidth="1"/>
    <col min="12034" max="12034" width="4.59765625" style="1598" customWidth="1"/>
    <col min="12035" max="12035" width="5.09765625" style="1598" customWidth="1"/>
    <col min="12036" max="12036" width="5" style="1598" customWidth="1"/>
    <col min="12037" max="12037" width="5.09765625" style="1598" customWidth="1"/>
    <col min="12038" max="12038" width="4.69921875" style="1598" customWidth="1"/>
    <col min="12039" max="12041" width="6.09765625" style="1598" customWidth="1"/>
    <col min="12042" max="12042" width="5.09765625" style="1598" customWidth="1"/>
    <col min="12043" max="12043" width="4.09765625" style="1598" customWidth="1"/>
    <col min="12044" max="12052" width="6.09765625" style="1598" customWidth="1"/>
    <col min="12053" max="12288" width="9" style="1598"/>
    <col min="12289" max="12289" width="5.69921875" style="1598" customWidth="1"/>
    <col min="12290" max="12290" width="4.59765625" style="1598" customWidth="1"/>
    <col min="12291" max="12291" width="5.09765625" style="1598" customWidth="1"/>
    <col min="12292" max="12292" width="5" style="1598" customWidth="1"/>
    <col min="12293" max="12293" width="5.09765625" style="1598" customWidth="1"/>
    <col min="12294" max="12294" width="4.69921875" style="1598" customWidth="1"/>
    <col min="12295" max="12297" width="6.09765625" style="1598" customWidth="1"/>
    <col min="12298" max="12298" width="5.09765625" style="1598" customWidth="1"/>
    <col min="12299" max="12299" width="4.09765625" style="1598" customWidth="1"/>
    <col min="12300" max="12308" width="6.09765625" style="1598" customWidth="1"/>
    <col min="12309" max="12544" width="9" style="1598"/>
    <col min="12545" max="12545" width="5.69921875" style="1598" customWidth="1"/>
    <col min="12546" max="12546" width="4.59765625" style="1598" customWidth="1"/>
    <col min="12547" max="12547" width="5.09765625" style="1598" customWidth="1"/>
    <col min="12548" max="12548" width="5" style="1598" customWidth="1"/>
    <col min="12549" max="12549" width="5.09765625" style="1598" customWidth="1"/>
    <col min="12550" max="12550" width="4.69921875" style="1598" customWidth="1"/>
    <col min="12551" max="12553" width="6.09765625" style="1598" customWidth="1"/>
    <col min="12554" max="12554" width="5.09765625" style="1598" customWidth="1"/>
    <col min="12555" max="12555" width="4.09765625" style="1598" customWidth="1"/>
    <col min="12556" max="12564" width="6.09765625" style="1598" customWidth="1"/>
    <col min="12565" max="12800" width="9" style="1598"/>
    <col min="12801" max="12801" width="5.69921875" style="1598" customWidth="1"/>
    <col min="12802" max="12802" width="4.59765625" style="1598" customWidth="1"/>
    <col min="12803" max="12803" width="5.09765625" style="1598" customWidth="1"/>
    <col min="12804" max="12804" width="5" style="1598" customWidth="1"/>
    <col min="12805" max="12805" width="5.09765625" style="1598" customWidth="1"/>
    <col min="12806" max="12806" width="4.69921875" style="1598" customWidth="1"/>
    <col min="12807" max="12809" width="6.09765625" style="1598" customWidth="1"/>
    <col min="12810" max="12810" width="5.09765625" style="1598" customWidth="1"/>
    <col min="12811" max="12811" width="4.09765625" style="1598" customWidth="1"/>
    <col min="12812" max="12820" width="6.09765625" style="1598" customWidth="1"/>
    <col min="12821" max="13056" width="9" style="1598"/>
    <col min="13057" max="13057" width="5.69921875" style="1598" customWidth="1"/>
    <col min="13058" max="13058" width="4.59765625" style="1598" customWidth="1"/>
    <col min="13059" max="13059" width="5.09765625" style="1598" customWidth="1"/>
    <col min="13060" max="13060" width="5" style="1598" customWidth="1"/>
    <col min="13061" max="13061" width="5.09765625" style="1598" customWidth="1"/>
    <col min="13062" max="13062" width="4.69921875" style="1598" customWidth="1"/>
    <col min="13063" max="13065" width="6.09765625" style="1598" customWidth="1"/>
    <col min="13066" max="13066" width="5.09765625" style="1598" customWidth="1"/>
    <col min="13067" max="13067" width="4.09765625" style="1598" customWidth="1"/>
    <col min="13068" max="13076" width="6.09765625" style="1598" customWidth="1"/>
    <col min="13077" max="13312" width="9" style="1598"/>
    <col min="13313" max="13313" width="5.69921875" style="1598" customWidth="1"/>
    <col min="13314" max="13314" width="4.59765625" style="1598" customWidth="1"/>
    <col min="13315" max="13315" width="5.09765625" style="1598" customWidth="1"/>
    <col min="13316" max="13316" width="5" style="1598" customWidth="1"/>
    <col min="13317" max="13317" width="5.09765625" style="1598" customWidth="1"/>
    <col min="13318" max="13318" width="4.69921875" style="1598" customWidth="1"/>
    <col min="13319" max="13321" width="6.09765625" style="1598" customWidth="1"/>
    <col min="13322" max="13322" width="5.09765625" style="1598" customWidth="1"/>
    <col min="13323" max="13323" width="4.09765625" style="1598" customWidth="1"/>
    <col min="13324" max="13332" width="6.09765625" style="1598" customWidth="1"/>
    <col min="13333" max="13568" width="9" style="1598"/>
    <col min="13569" max="13569" width="5.69921875" style="1598" customWidth="1"/>
    <col min="13570" max="13570" width="4.59765625" style="1598" customWidth="1"/>
    <col min="13571" max="13571" width="5.09765625" style="1598" customWidth="1"/>
    <col min="13572" max="13572" width="5" style="1598" customWidth="1"/>
    <col min="13573" max="13573" width="5.09765625" style="1598" customWidth="1"/>
    <col min="13574" max="13574" width="4.69921875" style="1598" customWidth="1"/>
    <col min="13575" max="13577" width="6.09765625" style="1598" customWidth="1"/>
    <col min="13578" max="13578" width="5.09765625" style="1598" customWidth="1"/>
    <col min="13579" max="13579" width="4.09765625" style="1598" customWidth="1"/>
    <col min="13580" max="13588" width="6.09765625" style="1598" customWidth="1"/>
    <col min="13589" max="13824" width="9" style="1598"/>
    <col min="13825" max="13825" width="5.69921875" style="1598" customWidth="1"/>
    <col min="13826" max="13826" width="4.59765625" style="1598" customWidth="1"/>
    <col min="13827" max="13827" width="5.09765625" style="1598" customWidth="1"/>
    <col min="13828" max="13828" width="5" style="1598" customWidth="1"/>
    <col min="13829" max="13829" width="5.09765625" style="1598" customWidth="1"/>
    <col min="13830" max="13830" width="4.69921875" style="1598" customWidth="1"/>
    <col min="13831" max="13833" width="6.09765625" style="1598" customWidth="1"/>
    <col min="13834" max="13834" width="5.09765625" style="1598" customWidth="1"/>
    <col min="13835" max="13835" width="4.09765625" style="1598" customWidth="1"/>
    <col min="13836" max="13844" width="6.09765625" style="1598" customWidth="1"/>
    <col min="13845" max="14080" width="9" style="1598"/>
    <col min="14081" max="14081" width="5.69921875" style="1598" customWidth="1"/>
    <col min="14082" max="14082" width="4.59765625" style="1598" customWidth="1"/>
    <col min="14083" max="14083" width="5.09765625" style="1598" customWidth="1"/>
    <col min="14084" max="14084" width="5" style="1598" customWidth="1"/>
    <col min="14085" max="14085" width="5.09765625" style="1598" customWidth="1"/>
    <col min="14086" max="14086" width="4.69921875" style="1598" customWidth="1"/>
    <col min="14087" max="14089" width="6.09765625" style="1598" customWidth="1"/>
    <col min="14090" max="14090" width="5.09765625" style="1598" customWidth="1"/>
    <col min="14091" max="14091" width="4.09765625" style="1598" customWidth="1"/>
    <col min="14092" max="14100" width="6.09765625" style="1598" customWidth="1"/>
    <col min="14101" max="14336" width="9" style="1598"/>
    <col min="14337" max="14337" width="5.69921875" style="1598" customWidth="1"/>
    <col min="14338" max="14338" width="4.59765625" style="1598" customWidth="1"/>
    <col min="14339" max="14339" width="5.09765625" style="1598" customWidth="1"/>
    <col min="14340" max="14340" width="5" style="1598" customWidth="1"/>
    <col min="14341" max="14341" width="5.09765625" style="1598" customWidth="1"/>
    <col min="14342" max="14342" width="4.69921875" style="1598" customWidth="1"/>
    <col min="14343" max="14345" width="6.09765625" style="1598" customWidth="1"/>
    <col min="14346" max="14346" width="5.09765625" style="1598" customWidth="1"/>
    <col min="14347" max="14347" width="4.09765625" style="1598" customWidth="1"/>
    <col min="14348" max="14356" width="6.09765625" style="1598" customWidth="1"/>
    <col min="14357" max="14592" width="9" style="1598"/>
    <col min="14593" max="14593" width="5.69921875" style="1598" customWidth="1"/>
    <col min="14594" max="14594" width="4.59765625" style="1598" customWidth="1"/>
    <col min="14595" max="14595" width="5.09765625" style="1598" customWidth="1"/>
    <col min="14596" max="14596" width="5" style="1598" customWidth="1"/>
    <col min="14597" max="14597" width="5.09765625" style="1598" customWidth="1"/>
    <col min="14598" max="14598" width="4.69921875" style="1598" customWidth="1"/>
    <col min="14599" max="14601" width="6.09765625" style="1598" customWidth="1"/>
    <col min="14602" max="14602" width="5.09765625" style="1598" customWidth="1"/>
    <col min="14603" max="14603" width="4.09765625" style="1598" customWidth="1"/>
    <col min="14604" max="14612" width="6.09765625" style="1598" customWidth="1"/>
    <col min="14613" max="14848" width="9" style="1598"/>
    <col min="14849" max="14849" width="5.69921875" style="1598" customWidth="1"/>
    <col min="14850" max="14850" width="4.59765625" style="1598" customWidth="1"/>
    <col min="14851" max="14851" width="5.09765625" style="1598" customWidth="1"/>
    <col min="14852" max="14852" width="5" style="1598" customWidth="1"/>
    <col min="14853" max="14853" width="5.09765625" style="1598" customWidth="1"/>
    <col min="14854" max="14854" width="4.69921875" style="1598" customWidth="1"/>
    <col min="14855" max="14857" width="6.09765625" style="1598" customWidth="1"/>
    <col min="14858" max="14858" width="5.09765625" style="1598" customWidth="1"/>
    <col min="14859" max="14859" width="4.09765625" style="1598" customWidth="1"/>
    <col min="14860" max="14868" width="6.09765625" style="1598" customWidth="1"/>
    <col min="14869" max="15104" width="9" style="1598"/>
    <col min="15105" max="15105" width="5.69921875" style="1598" customWidth="1"/>
    <col min="15106" max="15106" width="4.59765625" style="1598" customWidth="1"/>
    <col min="15107" max="15107" width="5.09765625" style="1598" customWidth="1"/>
    <col min="15108" max="15108" width="5" style="1598" customWidth="1"/>
    <col min="15109" max="15109" width="5.09765625" style="1598" customWidth="1"/>
    <col min="15110" max="15110" width="4.69921875" style="1598" customWidth="1"/>
    <col min="15111" max="15113" width="6.09765625" style="1598" customWidth="1"/>
    <col min="15114" max="15114" width="5.09765625" style="1598" customWidth="1"/>
    <col min="15115" max="15115" width="4.09765625" style="1598" customWidth="1"/>
    <col min="15116" max="15124" width="6.09765625" style="1598" customWidth="1"/>
    <col min="15125" max="15360" width="9" style="1598"/>
    <col min="15361" max="15361" width="5.69921875" style="1598" customWidth="1"/>
    <col min="15362" max="15362" width="4.59765625" style="1598" customWidth="1"/>
    <col min="15363" max="15363" width="5.09765625" style="1598" customWidth="1"/>
    <col min="15364" max="15364" width="5" style="1598" customWidth="1"/>
    <col min="15365" max="15365" width="5.09765625" style="1598" customWidth="1"/>
    <col min="15366" max="15366" width="4.69921875" style="1598" customWidth="1"/>
    <col min="15367" max="15369" width="6.09765625" style="1598" customWidth="1"/>
    <col min="15370" max="15370" width="5.09765625" style="1598" customWidth="1"/>
    <col min="15371" max="15371" width="4.09765625" style="1598" customWidth="1"/>
    <col min="15372" max="15380" width="6.09765625" style="1598" customWidth="1"/>
    <col min="15381" max="15616" width="9" style="1598"/>
    <col min="15617" max="15617" width="5.69921875" style="1598" customWidth="1"/>
    <col min="15618" max="15618" width="4.59765625" style="1598" customWidth="1"/>
    <col min="15619" max="15619" width="5.09765625" style="1598" customWidth="1"/>
    <col min="15620" max="15620" width="5" style="1598" customWidth="1"/>
    <col min="15621" max="15621" width="5.09765625" style="1598" customWidth="1"/>
    <col min="15622" max="15622" width="4.69921875" style="1598" customWidth="1"/>
    <col min="15623" max="15625" width="6.09765625" style="1598" customWidth="1"/>
    <col min="15626" max="15626" width="5.09765625" style="1598" customWidth="1"/>
    <col min="15627" max="15627" width="4.09765625" style="1598" customWidth="1"/>
    <col min="15628" max="15636" width="6.09765625" style="1598" customWidth="1"/>
    <col min="15637" max="15872" width="9" style="1598"/>
    <col min="15873" max="15873" width="5.69921875" style="1598" customWidth="1"/>
    <col min="15874" max="15874" width="4.59765625" style="1598" customWidth="1"/>
    <col min="15875" max="15875" width="5.09765625" style="1598" customWidth="1"/>
    <col min="15876" max="15876" width="5" style="1598" customWidth="1"/>
    <col min="15877" max="15877" width="5.09765625" style="1598" customWidth="1"/>
    <col min="15878" max="15878" width="4.69921875" style="1598" customWidth="1"/>
    <col min="15879" max="15881" width="6.09765625" style="1598" customWidth="1"/>
    <col min="15882" max="15882" width="5.09765625" style="1598" customWidth="1"/>
    <col min="15883" max="15883" width="4.09765625" style="1598" customWidth="1"/>
    <col min="15884" max="15892" width="6.09765625" style="1598" customWidth="1"/>
    <col min="15893" max="16128" width="9" style="1598"/>
    <col min="16129" max="16129" width="5.69921875" style="1598" customWidth="1"/>
    <col min="16130" max="16130" width="4.59765625" style="1598" customWidth="1"/>
    <col min="16131" max="16131" width="5.09765625" style="1598" customWidth="1"/>
    <col min="16132" max="16132" width="5" style="1598" customWidth="1"/>
    <col min="16133" max="16133" width="5.09765625" style="1598" customWidth="1"/>
    <col min="16134" max="16134" width="4.69921875" style="1598" customWidth="1"/>
    <col min="16135" max="16137" width="6.09765625" style="1598" customWidth="1"/>
    <col min="16138" max="16138" width="5.09765625" style="1598" customWidth="1"/>
    <col min="16139" max="16139" width="4.09765625" style="1598" customWidth="1"/>
    <col min="16140" max="16148" width="6.09765625" style="1598" customWidth="1"/>
    <col min="16149" max="16384" width="9" style="1598"/>
  </cols>
  <sheetData>
    <row r="1" spans="1:24" ht="20.100000000000001" customHeight="1">
      <c r="A1" s="2164"/>
      <c r="B1" s="2164"/>
      <c r="C1" s="2164"/>
      <c r="D1" s="2164"/>
      <c r="E1" s="2164"/>
      <c r="F1" s="2164"/>
      <c r="G1" s="2164"/>
      <c r="H1" s="2164"/>
      <c r="I1" s="2164"/>
      <c r="J1" s="2164"/>
      <c r="K1" s="2164"/>
      <c r="L1" s="2164"/>
      <c r="M1" s="2164"/>
      <c r="N1" s="2164"/>
      <c r="O1" s="2164"/>
      <c r="P1" s="2164"/>
      <c r="Q1" s="2164"/>
      <c r="R1" s="2164"/>
      <c r="S1" s="2164"/>
      <c r="T1" s="2164"/>
      <c r="U1" s="2165" t="str">
        <f>"索引号："&amp;档案索引!D10</f>
        <v>索引号：2B-5</v>
      </c>
    </row>
    <row r="2" spans="1:24" s="1599" customFormat="1" ht="25.5" customHeight="1">
      <c r="A2" s="3401" t="s">
        <v>5936</v>
      </c>
      <c r="B2" s="3401"/>
      <c r="C2" s="3401"/>
      <c r="D2" s="3401"/>
      <c r="E2" s="3401"/>
      <c r="F2" s="3401"/>
      <c r="G2" s="3401"/>
      <c r="H2" s="3401"/>
      <c r="I2" s="3401"/>
      <c r="J2" s="3401"/>
      <c r="K2" s="3401"/>
      <c r="L2" s="3401"/>
      <c r="M2" s="3401"/>
      <c r="N2" s="3401"/>
      <c r="O2" s="3401"/>
      <c r="P2" s="3401"/>
      <c r="Q2" s="3401"/>
      <c r="R2" s="3401"/>
      <c r="S2" s="3401"/>
      <c r="T2" s="3401"/>
      <c r="U2" s="1854"/>
    </row>
    <row r="3" spans="1:24" s="1517" customFormat="1" ht="14.25" customHeight="1">
      <c r="A3" s="3399" t="s">
        <v>1853</v>
      </c>
      <c r="B3" s="3407" t="s">
        <v>5580</v>
      </c>
      <c r="C3" s="3407" t="s">
        <v>5581</v>
      </c>
      <c r="D3" s="3407"/>
      <c r="E3" s="3407"/>
      <c r="F3" s="3407"/>
      <c r="G3" s="3407"/>
      <c r="H3" s="3407"/>
      <c r="I3" s="3407"/>
      <c r="J3" s="3407"/>
      <c r="K3" s="3407"/>
      <c r="L3" s="3405" t="s">
        <v>5582</v>
      </c>
      <c r="M3" s="3405" t="s">
        <v>5583</v>
      </c>
      <c r="N3" s="3474" t="s">
        <v>5584</v>
      </c>
      <c r="O3" s="3475"/>
      <c r="P3" s="3410" t="s">
        <v>5585</v>
      </c>
      <c r="Q3" s="3411"/>
      <c r="R3" s="3411"/>
      <c r="S3" s="3412"/>
      <c r="T3" s="3405" t="s">
        <v>5586</v>
      </c>
      <c r="U3" s="3405" t="s">
        <v>4899</v>
      </c>
      <c r="X3" s="1600"/>
    </row>
    <row r="4" spans="1:24" s="1517" customFormat="1" ht="121.5" customHeight="1">
      <c r="A4" s="3399"/>
      <c r="B4" s="3407"/>
      <c r="C4" s="1864" t="s">
        <v>5587</v>
      </c>
      <c r="D4" s="1864" t="s">
        <v>5588</v>
      </c>
      <c r="E4" s="1864" t="s">
        <v>5589</v>
      </c>
      <c r="F4" s="1864" t="s">
        <v>5590</v>
      </c>
      <c r="G4" s="1864" t="s">
        <v>5591</v>
      </c>
      <c r="H4" s="1864" t="s">
        <v>5592</v>
      </c>
      <c r="I4" s="1864" t="s">
        <v>5593</v>
      </c>
      <c r="J4" s="1864" t="s">
        <v>5594</v>
      </c>
      <c r="K4" s="1864" t="s">
        <v>5595</v>
      </c>
      <c r="L4" s="3409"/>
      <c r="M4" s="3409"/>
      <c r="N4" s="1873" t="s">
        <v>5596</v>
      </c>
      <c r="O4" s="1873" t="s">
        <v>5597</v>
      </c>
      <c r="P4" s="1873" t="s">
        <v>5598</v>
      </c>
      <c r="Q4" s="1873" t="s">
        <v>5599</v>
      </c>
      <c r="R4" s="1873" t="s">
        <v>5600</v>
      </c>
      <c r="S4" s="1873" t="s">
        <v>5601</v>
      </c>
      <c r="T4" s="3409"/>
      <c r="U4" s="3409"/>
    </row>
    <row r="5" spans="1:24" s="1600" customFormat="1" ht="73.5" customHeight="1">
      <c r="A5" s="3399"/>
      <c r="B5" s="1835">
        <v>1</v>
      </c>
      <c r="C5" s="1864">
        <v>2</v>
      </c>
      <c r="D5" s="1864">
        <v>3</v>
      </c>
      <c r="E5" s="1864">
        <v>4</v>
      </c>
      <c r="F5" s="1864">
        <v>5</v>
      </c>
      <c r="G5" s="1864">
        <v>6</v>
      </c>
      <c r="H5" s="1864">
        <v>7</v>
      </c>
      <c r="I5" s="1864">
        <v>8</v>
      </c>
      <c r="J5" s="1864">
        <v>9</v>
      </c>
      <c r="K5" s="1864" t="s">
        <v>5602</v>
      </c>
      <c r="L5" s="1863">
        <v>11</v>
      </c>
      <c r="M5" s="1863" t="s">
        <v>5603</v>
      </c>
      <c r="N5" s="1863" t="s">
        <v>5604</v>
      </c>
      <c r="O5" s="1863" t="s">
        <v>5605</v>
      </c>
      <c r="P5" s="1863">
        <v>15</v>
      </c>
      <c r="Q5" s="1863">
        <v>16</v>
      </c>
      <c r="R5" s="1863">
        <v>17</v>
      </c>
      <c r="S5" s="1863" t="s">
        <v>5606</v>
      </c>
      <c r="T5" s="1863" t="s">
        <v>5607</v>
      </c>
      <c r="U5" s="1867"/>
    </row>
    <row r="6" spans="1:24" s="1517" customFormat="1" ht="14.25" customHeight="1">
      <c r="A6" s="1835">
        <v>1</v>
      </c>
      <c r="B6" s="1571"/>
      <c r="C6" s="2076"/>
      <c r="D6" s="2076"/>
      <c r="E6" s="2076"/>
      <c r="F6" s="2076"/>
      <c r="G6" s="2076"/>
      <c r="H6" s="2076"/>
      <c r="I6" s="2076"/>
      <c r="J6" s="2076"/>
      <c r="K6" s="2075">
        <f>SUM(C6:J6)</f>
        <v>0</v>
      </c>
      <c r="L6" s="2076"/>
      <c r="M6" s="2075">
        <f>K6-L6</f>
        <v>0</v>
      </c>
      <c r="N6" s="2076"/>
      <c r="O6" s="2075">
        <f>ROUND(N6*0.5,2)</f>
        <v>0</v>
      </c>
      <c r="P6" s="2076"/>
      <c r="Q6" s="2076"/>
      <c r="R6" s="2076"/>
      <c r="S6" s="2075">
        <f>Q6+R6</f>
        <v>0</v>
      </c>
      <c r="T6" s="2075">
        <f>O6+S6</f>
        <v>0</v>
      </c>
      <c r="U6" s="1829"/>
    </row>
    <row r="7" spans="1:24" s="1517" customFormat="1" ht="14.25" customHeight="1">
      <c r="A7" s="1835">
        <v>2</v>
      </c>
      <c r="B7" s="1601"/>
      <c r="C7" s="2076"/>
      <c r="D7" s="2076"/>
      <c r="E7" s="2076"/>
      <c r="F7" s="2076"/>
      <c r="G7" s="2076"/>
      <c r="H7" s="2076"/>
      <c r="I7" s="2076"/>
      <c r="J7" s="2076"/>
      <c r="K7" s="2075">
        <f t="shared" ref="K7:K14" si="0">SUM(C7:J7)</f>
        <v>0</v>
      </c>
      <c r="L7" s="2076"/>
      <c r="M7" s="2075">
        <f t="shared" ref="M7:M14" si="1">K7-L7</f>
        <v>0</v>
      </c>
      <c r="N7" s="2076"/>
      <c r="O7" s="2075">
        <f t="shared" ref="O7:O14" si="2">ROUND(N7*0.5,2)</f>
        <v>0</v>
      </c>
      <c r="P7" s="2076"/>
      <c r="Q7" s="2076"/>
      <c r="R7" s="2076"/>
      <c r="S7" s="2075">
        <f t="shared" ref="S7:S14" si="3">Q7+R7</f>
        <v>0</v>
      </c>
      <c r="T7" s="2075">
        <f t="shared" ref="T7:T14" si="4">O7+S7</f>
        <v>0</v>
      </c>
      <c r="U7" s="1829"/>
    </row>
    <row r="8" spans="1:24" s="1517" customFormat="1" ht="14.25" customHeight="1">
      <c r="A8" s="1835">
        <v>3</v>
      </c>
      <c r="B8" s="1602"/>
      <c r="C8" s="2076"/>
      <c r="D8" s="2076"/>
      <c r="E8" s="2076"/>
      <c r="F8" s="2076"/>
      <c r="G8" s="2076"/>
      <c r="H8" s="2076"/>
      <c r="I8" s="2076"/>
      <c r="J8" s="2076"/>
      <c r="K8" s="2075">
        <f t="shared" si="0"/>
        <v>0</v>
      </c>
      <c r="L8" s="2076"/>
      <c r="M8" s="2075">
        <f t="shared" si="1"/>
        <v>0</v>
      </c>
      <c r="N8" s="2076"/>
      <c r="O8" s="2075">
        <f t="shared" si="2"/>
        <v>0</v>
      </c>
      <c r="P8" s="2076"/>
      <c r="Q8" s="2076"/>
      <c r="R8" s="2076"/>
      <c r="S8" s="2075">
        <f t="shared" si="3"/>
        <v>0</v>
      </c>
      <c r="T8" s="2075">
        <f t="shared" si="4"/>
        <v>0</v>
      </c>
      <c r="U8" s="1829"/>
    </row>
    <row r="9" spans="1:24" s="1517" customFormat="1" ht="14.25" customHeight="1">
      <c r="A9" s="1835">
        <v>4</v>
      </c>
      <c r="B9" s="1601"/>
      <c r="C9" s="2076"/>
      <c r="D9" s="2076"/>
      <c r="E9" s="2076"/>
      <c r="F9" s="2076"/>
      <c r="G9" s="2076"/>
      <c r="H9" s="2076"/>
      <c r="I9" s="2076"/>
      <c r="J9" s="2076"/>
      <c r="K9" s="2075">
        <f t="shared" si="0"/>
        <v>0</v>
      </c>
      <c r="L9" s="2076"/>
      <c r="M9" s="2075">
        <f t="shared" si="1"/>
        <v>0</v>
      </c>
      <c r="N9" s="2076"/>
      <c r="O9" s="2075">
        <f t="shared" si="2"/>
        <v>0</v>
      </c>
      <c r="P9" s="2076"/>
      <c r="Q9" s="2076"/>
      <c r="R9" s="2076"/>
      <c r="S9" s="2075">
        <f t="shared" si="3"/>
        <v>0</v>
      </c>
      <c r="T9" s="2075">
        <f t="shared" si="4"/>
        <v>0</v>
      </c>
      <c r="U9" s="1829"/>
      <c r="V9" s="1770" t="s">
        <v>6462</v>
      </c>
    </row>
    <row r="10" spans="1:24" s="1517" customFormat="1" ht="14.25" customHeight="1">
      <c r="A10" s="1835">
        <v>5</v>
      </c>
      <c r="B10" s="1601"/>
      <c r="C10" s="2076"/>
      <c r="D10" s="2076"/>
      <c r="E10" s="2076"/>
      <c r="F10" s="2076"/>
      <c r="G10" s="2076"/>
      <c r="H10" s="2076"/>
      <c r="I10" s="2076"/>
      <c r="J10" s="2076"/>
      <c r="K10" s="2075">
        <f t="shared" si="0"/>
        <v>0</v>
      </c>
      <c r="L10" s="2076"/>
      <c r="M10" s="2075">
        <f t="shared" si="1"/>
        <v>0</v>
      </c>
      <c r="N10" s="2076"/>
      <c r="O10" s="2075">
        <f t="shared" si="2"/>
        <v>0</v>
      </c>
      <c r="P10" s="2076"/>
      <c r="Q10" s="2076"/>
      <c r="R10" s="2076"/>
      <c r="S10" s="2075">
        <f t="shared" si="3"/>
        <v>0</v>
      </c>
      <c r="T10" s="2075">
        <f t="shared" si="4"/>
        <v>0</v>
      </c>
      <c r="U10" s="1829"/>
    </row>
    <row r="11" spans="1:24" s="1517" customFormat="1" ht="14.25" customHeight="1">
      <c r="A11" s="1835">
        <v>6</v>
      </c>
      <c r="B11" s="1592"/>
      <c r="C11" s="2076"/>
      <c r="D11" s="2076"/>
      <c r="E11" s="2076"/>
      <c r="F11" s="2076"/>
      <c r="G11" s="2076"/>
      <c r="H11" s="2076"/>
      <c r="I11" s="2076"/>
      <c r="J11" s="2076"/>
      <c r="K11" s="2075">
        <f t="shared" si="0"/>
        <v>0</v>
      </c>
      <c r="L11" s="2076"/>
      <c r="M11" s="2075">
        <f t="shared" si="1"/>
        <v>0</v>
      </c>
      <c r="N11" s="2076"/>
      <c r="O11" s="2075">
        <f t="shared" si="2"/>
        <v>0</v>
      </c>
      <c r="P11" s="2076"/>
      <c r="Q11" s="2076"/>
      <c r="R11" s="2076"/>
      <c r="S11" s="2075">
        <f t="shared" si="3"/>
        <v>0</v>
      </c>
      <c r="T11" s="2075">
        <f t="shared" si="4"/>
        <v>0</v>
      </c>
      <c r="U11" s="1829"/>
    </row>
    <row r="12" spans="1:24">
      <c r="A12" s="1835">
        <v>7</v>
      </c>
      <c r="B12" s="1571"/>
      <c r="C12" s="2076"/>
      <c r="D12" s="2076"/>
      <c r="E12" s="2076"/>
      <c r="F12" s="2076"/>
      <c r="G12" s="2076"/>
      <c r="H12" s="2076"/>
      <c r="I12" s="2076"/>
      <c r="J12" s="2076"/>
      <c r="K12" s="2075">
        <f t="shared" si="0"/>
        <v>0</v>
      </c>
      <c r="L12" s="2076"/>
      <c r="M12" s="2075">
        <f t="shared" si="1"/>
        <v>0</v>
      </c>
      <c r="N12" s="2076"/>
      <c r="O12" s="2075">
        <f t="shared" si="2"/>
        <v>0</v>
      </c>
      <c r="P12" s="2076"/>
      <c r="Q12" s="2076"/>
      <c r="R12" s="2076"/>
      <c r="S12" s="2075">
        <f t="shared" si="3"/>
        <v>0</v>
      </c>
      <c r="T12" s="2075">
        <f t="shared" si="4"/>
        <v>0</v>
      </c>
      <c r="U12" s="1941"/>
    </row>
    <row r="13" spans="1:24">
      <c r="A13" s="1835">
        <v>8</v>
      </c>
      <c r="B13" s="1571"/>
      <c r="C13" s="2076"/>
      <c r="D13" s="2076"/>
      <c r="E13" s="2076"/>
      <c r="F13" s="2076"/>
      <c r="G13" s="2076"/>
      <c r="H13" s="2076"/>
      <c r="I13" s="2076"/>
      <c r="J13" s="2076"/>
      <c r="K13" s="2075">
        <f t="shared" si="0"/>
        <v>0</v>
      </c>
      <c r="L13" s="2076"/>
      <c r="M13" s="2075">
        <f t="shared" si="1"/>
        <v>0</v>
      </c>
      <c r="N13" s="2076"/>
      <c r="O13" s="2075">
        <f t="shared" si="2"/>
        <v>0</v>
      </c>
      <c r="P13" s="2076"/>
      <c r="Q13" s="2076"/>
      <c r="R13" s="2076"/>
      <c r="S13" s="2075">
        <f t="shared" si="3"/>
        <v>0</v>
      </c>
      <c r="T13" s="2075">
        <f t="shared" si="4"/>
        <v>0</v>
      </c>
      <c r="U13" s="1941"/>
    </row>
    <row r="14" spans="1:24">
      <c r="A14" s="1835">
        <v>9</v>
      </c>
      <c r="B14" s="1571"/>
      <c r="C14" s="2076"/>
      <c r="D14" s="2076"/>
      <c r="E14" s="2076"/>
      <c r="F14" s="2076"/>
      <c r="G14" s="2076"/>
      <c r="H14" s="2076"/>
      <c r="I14" s="2076"/>
      <c r="J14" s="2076"/>
      <c r="K14" s="2075">
        <f t="shared" si="0"/>
        <v>0</v>
      </c>
      <c r="L14" s="2076"/>
      <c r="M14" s="2075">
        <f t="shared" si="1"/>
        <v>0</v>
      </c>
      <c r="N14" s="2076"/>
      <c r="O14" s="2075">
        <f t="shared" si="2"/>
        <v>0</v>
      </c>
      <c r="P14" s="2076"/>
      <c r="Q14" s="2076"/>
      <c r="R14" s="2076"/>
      <c r="S14" s="2075">
        <f t="shared" si="3"/>
        <v>0</v>
      </c>
      <c r="T14" s="2075">
        <f t="shared" si="4"/>
        <v>0</v>
      </c>
      <c r="U14" s="1941"/>
    </row>
    <row r="15" spans="1:24" ht="58.5" customHeight="1">
      <c r="A15" s="1874" t="s">
        <v>5541</v>
      </c>
      <c r="B15" s="1846" t="s">
        <v>2429</v>
      </c>
      <c r="C15" s="2075">
        <f>SUM(C6:C14)</f>
        <v>0</v>
      </c>
      <c r="D15" s="2075">
        <f t="shared" ref="D15:R15" si="5">SUM(D6:D14)</f>
        <v>0</v>
      </c>
      <c r="E15" s="2075">
        <f t="shared" si="5"/>
        <v>0</v>
      </c>
      <c r="F15" s="2075">
        <f t="shared" si="5"/>
        <v>0</v>
      </c>
      <c r="G15" s="2075">
        <f t="shared" si="5"/>
        <v>0</v>
      </c>
      <c r="H15" s="2075">
        <f t="shared" si="5"/>
        <v>0</v>
      </c>
      <c r="I15" s="2075">
        <f t="shared" si="5"/>
        <v>0</v>
      </c>
      <c r="J15" s="2075">
        <f t="shared" si="5"/>
        <v>0</v>
      </c>
      <c r="K15" s="2075">
        <f t="shared" si="5"/>
        <v>0</v>
      </c>
      <c r="L15" s="2075">
        <f t="shared" si="5"/>
        <v>0</v>
      </c>
      <c r="M15" s="2075">
        <f t="shared" si="5"/>
        <v>0</v>
      </c>
      <c r="N15" s="2075">
        <f t="shared" si="5"/>
        <v>0</v>
      </c>
      <c r="O15" s="2075">
        <v>0</v>
      </c>
      <c r="P15" s="2075">
        <f t="shared" si="5"/>
        <v>0</v>
      </c>
      <c r="Q15" s="2075">
        <f t="shared" si="5"/>
        <v>0</v>
      </c>
      <c r="R15" s="2075">
        <f t="shared" si="5"/>
        <v>0</v>
      </c>
      <c r="S15" s="2075">
        <v>0</v>
      </c>
      <c r="T15" s="2075">
        <f>研发加计扣除归集审核表!D79</f>
        <v>0</v>
      </c>
      <c r="U15" s="1978" t="s">
        <v>5608</v>
      </c>
    </row>
  </sheetData>
  <mergeCells count="10">
    <mergeCell ref="U3:U4"/>
    <mergeCell ref="A2:T2"/>
    <mergeCell ref="A3:A5"/>
    <mergeCell ref="B3:B4"/>
    <mergeCell ref="C3:K3"/>
    <mergeCell ref="L3:L4"/>
    <mergeCell ref="M3:M4"/>
    <mergeCell ref="N3:O3"/>
    <mergeCell ref="P3:S3"/>
    <mergeCell ref="T3:T4"/>
  </mergeCells>
  <phoneticPr fontId="51" type="noConversion"/>
  <hyperlinks>
    <hyperlink ref="V9" location="A107014研发费用加计扣除优惠明细表!A1" display="A107014研发费用加计扣除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tabColor rgb="FFFFFF00"/>
  </sheetPr>
  <dimension ref="A1:L44"/>
  <sheetViews>
    <sheetView workbookViewId="0">
      <selection activeCell="C7" sqref="C7"/>
    </sheetView>
  </sheetViews>
  <sheetFormatPr defaultColWidth="9.3984375" defaultRowHeight="24" customHeight="1"/>
  <cols>
    <col min="1" max="1" width="5.19921875" style="1605" customWidth="1"/>
    <col min="2" max="2" width="41.59765625" style="1606" customWidth="1"/>
    <col min="3" max="8" width="12.3984375" style="1607" customWidth="1"/>
    <col min="9" max="9" width="12.3984375" style="1605" customWidth="1"/>
    <col min="10" max="10" width="11.8984375" style="1605" customWidth="1"/>
    <col min="11" max="256" width="9.3984375" style="1605"/>
    <col min="257" max="257" width="5.19921875" style="1605" customWidth="1"/>
    <col min="258" max="258" width="41.59765625" style="1605" customWidth="1"/>
    <col min="259" max="260" width="9.8984375" style="1605" customWidth="1"/>
    <col min="261" max="261" width="8.19921875" style="1605" customWidth="1"/>
    <col min="262" max="262" width="8.3984375" style="1605" customWidth="1"/>
    <col min="263" max="263" width="7.8984375" style="1605" customWidth="1"/>
    <col min="264" max="264" width="10.8984375" style="1605" customWidth="1"/>
    <col min="265" max="265" width="8.19921875" style="1605" customWidth="1"/>
    <col min="266" max="266" width="11.8984375" style="1605" customWidth="1"/>
    <col min="267" max="512" width="9.3984375" style="1605"/>
    <col min="513" max="513" width="5.19921875" style="1605" customWidth="1"/>
    <col min="514" max="514" width="41.59765625" style="1605" customWidth="1"/>
    <col min="515" max="516" width="9.8984375" style="1605" customWidth="1"/>
    <col min="517" max="517" width="8.19921875" style="1605" customWidth="1"/>
    <col min="518" max="518" width="8.3984375" style="1605" customWidth="1"/>
    <col min="519" max="519" width="7.8984375" style="1605" customWidth="1"/>
    <col min="520" max="520" width="10.8984375" style="1605" customWidth="1"/>
    <col min="521" max="521" width="8.19921875" style="1605" customWidth="1"/>
    <col min="522" max="522" width="11.8984375" style="1605" customWidth="1"/>
    <col min="523" max="768" width="9.3984375" style="1605"/>
    <col min="769" max="769" width="5.19921875" style="1605" customWidth="1"/>
    <col min="770" max="770" width="41.59765625" style="1605" customWidth="1"/>
    <col min="771" max="772" width="9.8984375" style="1605" customWidth="1"/>
    <col min="773" max="773" width="8.19921875" style="1605" customWidth="1"/>
    <col min="774" max="774" width="8.3984375" style="1605" customWidth="1"/>
    <col min="775" max="775" width="7.8984375" style="1605" customWidth="1"/>
    <col min="776" max="776" width="10.8984375" style="1605" customWidth="1"/>
    <col min="777" max="777" width="8.19921875" style="1605" customWidth="1"/>
    <col min="778" max="778" width="11.8984375" style="1605" customWidth="1"/>
    <col min="779" max="1024" width="9.3984375" style="1605"/>
    <col min="1025" max="1025" width="5.19921875" style="1605" customWidth="1"/>
    <col min="1026" max="1026" width="41.59765625" style="1605" customWidth="1"/>
    <col min="1027" max="1028" width="9.8984375" style="1605" customWidth="1"/>
    <col min="1029" max="1029" width="8.19921875" style="1605" customWidth="1"/>
    <col min="1030" max="1030" width="8.3984375" style="1605" customWidth="1"/>
    <col min="1031" max="1031" width="7.8984375" style="1605" customWidth="1"/>
    <col min="1032" max="1032" width="10.8984375" style="1605" customWidth="1"/>
    <col min="1033" max="1033" width="8.19921875" style="1605" customWidth="1"/>
    <col min="1034" max="1034" width="11.8984375" style="1605" customWidth="1"/>
    <col min="1035" max="1280" width="9.3984375" style="1605"/>
    <col min="1281" max="1281" width="5.19921875" style="1605" customWidth="1"/>
    <col min="1282" max="1282" width="41.59765625" style="1605" customWidth="1"/>
    <col min="1283" max="1284" width="9.8984375" style="1605" customWidth="1"/>
    <col min="1285" max="1285" width="8.19921875" style="1605" customWidth="1"/>
    <col min="1286" max="1286" width="8.3984375" style="1605" customWidth="1"/>
    <col min="1287" max="1287" width="7.8984375" style="1605" customWidth="1"/>
    <col min="1288" max="1288" width="10.8984375" style="1605" customWidth="1"/>
    <col min="1289" max="1289" width="8.19921875" style="1605" customWidth="1"/>
    <col min="1290" max="1290" width="11.8984375" style="1605" customWidth="1"/>
    <col min="1291" max="1536" width="9.3984375" style="1605"/>
    <col min="1537" max="1537" width="5.19921875" style="1605" customWidth="1"/>
    <col min="1538" max="1538" width="41.59765625" style="1605" customWidth="1"/>
    <col min="1539" max="1540" width="9.8984375" style="1605" customWidth="1"/>
    <col min="1541" max="1541" width="8.19921875" style="1605" customWidth="1"/>
    <col min="1542" max="1542" width="8.3984375" style="1605" customWidth="1"/>
    <col min="1543" max="1543" width="7.8984375" style="1605" customWidth="1"/>
    <col min="1544" max="1544" width="10.8984375" style="1605" customWidth="1"/>
    <col min="1545" max="1545" width="8.19921875" style="1605" customWidth="1"/>
    <col min="1546" max="1546" width="11.8984375" style="1605" customWidth="1"/>
    <col min="1547" max="1792" width="9.3984375" style="1605"/>
    <col min="1793" max="1793" width="5.19921875" style="1605" customWidth="1"/>
    <col min="1794" max="1794" width="41.59765625" style="1605" customWidth="1"/>
    <col min="1795" max="1796" width="9.8984375" style="1605" customWidth="1"/>
    <col min="1797" max="1797" width="8.19921875" style="1605" customWidth="1"/>
    <col min="1798" max="1798" width="8.3984375" style="1605" customWidth="1"/>
    <col min="1799" max="1799" width="7.8984375" style="1605" customWidth="1"/>
    <col min="1800" max="1800" width="10.8984375" style="1605" customWidth="1"/>
    <col min="1801" max="1801" width="8.19921875" style="1605" customWidth="1"/>
    <col min="1802" max="1802" width="11.8984375" style="1605" customWidth="1"/>
    <col min="1803" max="2048" width="9.3984375" style="1605"/>
    <col min="2049" max="2049" width="5.19921875" style="1605" customWidth="1"/>
    <col min="2050" max="2050" width="41.59765625" style="1605" customWidth="1"/>
    <col min="2051" max="2052" width="9.8984375" style="1605" customWidth="1"/>
    <col min="2053" max="2053" width="8.19921875" style="1605" customWidth="1"/>
    <col min="2054" max="2054" width="8.3984375" style="1605" customWidth="1"/>
    <col min="2055" max="2055" width="7.8984375" style="1605" customWidth="1"/>
    <col min="2056" max="2056" width="10.8984375" style="1605" customWidth="1"/>
    <col min="2057" max="2057" width="8.19921875" style="1605" customWidth="1"/>
    <col min="2058" max="2058" width="11.8984375" style="1605" customWidth="1"/>
    <col min="2059" max="2304" width="9.3984375" style="1605"/>
    <col min="2305" max="2305" width="5.19921875" style="1605" customWidth="1"/>
    <col min="2306" max="2306" width="41.59765625" style="1605" customWidth="1"/>
    <col min="2307" max="2308" width="9.8984375" style="1605" customWidth="1"/>
    <col min="2309" max="2309" width="8.19921875" style="1605" customWidth="1"/>
    <col min="2310" max="2310" width="8.3984375" style="1605" customWidth="1"/>
    <col min="2311" max="2311" width="7.8984375" style="1605" customWidth="1"/>
    <col min="2312" max="2312" width="10.8984375" style="1605" customWidth="1"/>
    <col min="2313" max="2313" width="8.19921875" style="1605" customWidth="1"/>
    <col min="2314" max="2314" width="11.8984375" style="1605" customWidth="1"/>
    <col min="2315" max="2560" width="9.3984375" style="1605"/>
    <col min="2561" max="2561" width="5.19921875" style="1605" customWidth="1"/>
    <col min="2562" max="2562" width="41.59765625" style="1605" customWidth="1"/>
    <col min="2563" max="2564" width="9.8984375" style="1605" customWidth="1"/>
    <col min="2565" max="2565" width="8.19921875" style="1605" customWidth="1"/>
    <col min="2566" max="2566" width="8.3984375" style="1605" customWidth="1"/>
    <col min="2567" max="2567" width="7.8984375" style="1605" customWidth="1"/>
    <col min="2568" max="2568" width="10.8984375" style="1605" customWidth="1"/>
    <col min="2569" max="2569" width="8.19921875" style="1605" customWidth="1"/>
    <col min="2570" max="2570" width="11.8984375" style="1605" customWidth="1"/>
    <col min="2571" max="2816" width="9.3984375" style="1605"/>
    <col min="2817" max="2817" width="5.19921875" style="1605" customWidth="1"/>
    <col min="2818" max="2818" width="41.59765625" style="1605" customWidth="1"/>
    <col min="2819" max="2820" width="9.8984375" style="1605" customWidth="1"/>
    <col min="2821" max="2821" width="8.19921875" style="1605" customWidth="1"/>
    <col min="2822" max="2822" width="8.3984375" style="1605" customWidth="1"/>
    <col min="2823" max="2823" width="7.8984375" style="1605" customWidth="1"/>
    <col min="2824" max="2824" width="10.8984375" style="1605" customWidth="1"/>
    <col min="2825" max="2825" width="8.19921875" style="1605" customWidth="1"/>
    <col min="2826" max="2826" width="11.8984375" style="1605" customWidth="1"/>
    <col min="2827" max="3072" width="9.3984375" style="1605"/>
    <col min="3073" max="3073" width="5.19921875" style="1605" customWidth="1"/>
    <col min="3074" max="3074" width="41.59765625" style="1605" customWidth="1"/>
    <col min="3075" max="3076" width="9.8984375" style="1605" customWidth="1"/>
    <col min="3077" max="3077" width="8.19921875" style="1605" customWidth="1"/>
    <col min="3078" max="3078" width="8.3984375" style="1605" customWidth="1"/>
    <col min="3079" max="3079" width="7.8984375" style="1605" customWidth="1"/>
    <col min="3080" max="3080" width="10.8984375" style="1605" customWidth="1"/>
    <col min="3081" max="3081" width="8.19921875" style="1605" customWidth="1"/>
    <col min="3082" max="3082" width="11.8984375" style="1605" customWidth="1"/>
    <col min="3083" max="3328" width="9.3984375" style="1605"/>
    <col min="3329" max="3329" width="5.19921875" style="1605" customWidth="1"/>
    <col min="3330" max="3330" width="41.59765625" style="1605" customWidth="1"/>
    <col min="3331" max="3332" width="9.8984375" style="1605" customWidth="1"/>
    <col min="3333" max="3333" width="8.19921875" style="1605" customWidth="1"/>
    <col min="3334" max="3334" width="8.3984375" style="1605" customWidth="1"/>
    <col min="3335" max="3335" width="7.8984375" style="1605" customWidth="1"/>
    <col min="3336" max="3336" width="10.8984375" style="1605" customWidth="1"/>
    <col min="3337" max="3337" width="8.19921875" style="1605" customWidth="1"/>
    <col min="3338" max="3338" width="11.8984375" style="1605" customWidth="1"/>
    <col min="3339" max="3584" width="9.3984375" style="1605"/>
    <col min="3585" max="3585" width="5.19921875" style="1605" customWidth="1"/>
    <col min="3586" max="3586" width="41.59765625" style="1605" customWidth="1"/>
    <col min="3587" max="3588" width="9.8984375" style="1605" customWidth="1"/>
    <col min="3589" max="3589" width="8.19921875" style="1605" customWidth="1"/>
    <col min="3590" max="3590" width="8.3984375" style="1605" customWidth="1"/>
    <col min="3591" max="3591" width="7.8984375" style="1605" customWidth="1"/>
    <col min="3592" max="3592" width="10.8984375" style="1605" customWidth="1"/>
    <col min="3593" max="3593" width="8.19921875" style="1605" customWidth="1"/>
    <col min="3594" max="3594" width="11.8984375" style="1605" customWidth="1"/>
    <col min="3595" max="3840" width="9.3984375" style="1605"/>
    <col min="3841" max="3841" width="5.19921875" style="1605" customWidth="1"/>
    <col min="3842" max="3842" width="41.59765625" style="1605" customWidth="1"/>
    <col min="3843" max="3844" width="9.8984375" style="1605" customWidth="1"/>
    <col min="3845" max="3845" width="8.19921875" style="1605" customWidth="1"/>
    <col min="3846" max="3846" width="8.3984375" style="1605" customWidth="1"/>
    <col min="3847" max="3847" width="7.8984375" style="1605" customWidth="1"/>
    <col min="3848" max="3848" width="10.8984375" style="1605" customWidth="1"/>
    <col min="3849" max="3849" width="8.19921875" style="1605" customWidth="1"/>
    <col min="3850" max="3850" width="11.8984375" style="1605" customWidth="1"/>
    <col min="3851" max="4096" width="9.3984375" style="1605"/>
    <col min="4097" max="4097" width="5.19921875" style="1605" customWidth="1"/>
    <col min="4098" max="4098" width="41.59765625" style="1605" customWidth="1"/>
    <col min="4099" max="4100" width="9.8984375" style="1605" customWidth="1"/>
    <col min="4101" max="4101" width="8.19921875" style="1605" customWidth="1"/>
    <col min="4102" max="4102" width="8.3984375" style="1605" customWidth="1"/>
    <col min="4103" max="4103" width="7.8984375" style="1605" customWidth="1"/>
    <col min="4104" max="4104" width="10.8984375" style="1605" customWidth="1"/>
    <col min="4105" max="4105" width="8.19921875" style="1605" customWidth="1"/>
    <col min="4106" max="4106" width="11.8984375" style="1605" customWidth="1"/>
    <col min="4107" max="4352" width="9.3984375" style="1605"/>
    <col min="4353" max="4353" width="5.19921875" style="1605" customWidth="1"/>
    <col min="4354" max="4354" width="41.59765625" style="1605" customWidth="1"/>
    <col min="4355" max="4356" width="9.8984375" style="1605" customWidth="1"/>
    <col min="4357" max="4357" width="8.19921875" style="1605" customWidth="1"/>
    <col min="4358" max="4358" width="8.3984375" style="1605" customWidth="1"/>
    <col min="4359" max="4359" width="7.8984375" style="1605" customWidth="1"/>
    <col min="4360" max="4360" width="10.8984375" style="1605" customWidth="1"/>
    <col min="4361" max="4361" width="8.19921875" style="1605" customWidth="1"/>
    <col min="4362" max="4362" width="11.8984375" style="1605" customWidth="1"/>
    <col min="4363" max="4608" width="9.3984375" style="1605"/>
    <col min="4609" max="4609" width="5.19921875" style="1605" customWidth="1"/>
    <col min="4610" max="4610" width="41.59765625" style="1605" customWidth="1"/>
    <col min="4611" max="4612" width="9.8984375" style="1605" customWidth="1"/>
    <col min="4613" max="4613" width="8.19921875" style="1605" customWidth="1"/>
    <col min="4614" max="4614" width="8.3984375" style="1605" customWidth="1"/>
    <col min="4615" max="4615" width="7.8984375" style="1605" customWidth="1"/>
    <col min="4616" max="4616" width="10.8984375" style="1605" customWidth="1"/>
    <col min="4617" max="4617" width="8.19921875" style="1605" customWidth="1"/>
    <col min="4618" max="4618" width="11.8984375" style="1605" customWidth="1"/>
    <col min="4619" max="4864" width="9.3984375" style="1605"/>
    <col min="4865" max="4865" width="5.19921875" style="1605" customWidth="1"/>
    <col min="4866" max="4866" width="41.59765625" style="1605" customWidth="1"/>
    <col min="4867" max="4868" width="9.8984375" style="1605" customWidth="1"/>
    <col min="4869" max="4869" width="8.19921875" style="1605" customWidth="1"/>
    <col min="4870" max="4870" width="8.3984375" style="1605" customWidth="1"/>
    <col min="4871" max="4871" width="7.8984375" style="1605" customWidth="1"/>
    <col min="4872" max="4872" width="10.8984375" style="1605" customWidth="1"/>
    <col min="4873" max="4873" width="8.19921875" style="1605" customWidth="1"/>
    <col min="4874" max="4874" width="11.8984375" style="1605" customWidth="1"/>
    <col min="4875" max="5120" width="9.3984375" style="1605"/>
    <col min="5121" max="5121" width="5.19921875" style="1605" customWidth="1"/>
    <col min="5122" max="5122" width="41.59765625" style="1605" customWidth="1"/>
    <col min="5123" max="5124" width="9.8984375" style="1605" customWidth="1"/>
    <col min="5125" max="5125" width="8.19921875" style="1605" customWidth="1"/>
    <col min="5126" max="5126" width="8.3984375" style="1605" customWidth="1"/>
    <col min="5127" max="5127" width="7.8984375" style="1605" customWidth="1"/>
    <col min="5128" max="5128" width="10.8984375" style="1605" customWidth="1"/>
    <col min="5129" max="5129" width="8.19921875" style="1605" customWidth="1"/>
    <col min="5130" max="5130" width="11.8984375" style="1605" customWidth="1"/>
    <col min="5131" max="5376" width="9.3984375" style="1605"/>
    <col min="5377" max="5377" width="5.19921875" style="1605" customWidth="1"/>
    <col min="5378" max="5378" width="41.59765625" style="1605" customWidth="1"/>
    <col min="5379" max="5380" width="9.8984375" style="1605" customWidth="1"/>
    <col min="5381" max="5381" width="8.19921875" style="1605" customWidth="1"/>
    <col min="5382" max="5382" width="8.3984375" style="1605" customWidth="1"/>
    <col min="5383" max="5383" width="7.8984375" style="1605" customWidth="1"/>
    <col min="5384" max="5384" width="10.8984375" style="1605" customWidth="1"/>
    <col min="5385" max="5385" width="8.19921875" style="1605" customWidth="1"/>
    <col min="5386" max="5386" width="11.8984375" style="1605" customWidth="1"/>
    <col min="5387" max="5632" width="9.3984375" style="1605"/>
    <col min="5633" max="5633" width="5.19921875" style="1605" customWidth="1"/>
    <col min="5634" max="5634" width="41.59765625" style="1605" customWidth="1"/>
    <col min="5635" max="5636" width="9.8984375" style="1605" customWidth="1"/>
    <col min="5637" max="5637" width="8.19921875" style="1605" customWidth="1"/>
    <col min="5638" max="5638" width="8.3984375" style="1605" customWidth="1"/>
    <col min="5639" max="5639" width="7.8984375" style="1605" customWidth="1"/>
    <col min="5640" max="5640" width="10.8984375" style="1605" customWidth="1"/>
    <col min="5641" max="5641" width="8.19921875" style="1605" customWidth="1"/>
    <col min="5642" max="5642" width="11.8984375" style="1605" customWidth="1"/>
    <col min="5643" max="5888" width="9.3984375" style="1605"/>
    <col min="5889" max="5889" width="5.19921875" style="1605" customWidth="1"/>
    <col min="5890" max="5890" width="41.59765625" style="1605" customWidth="1"/>
    <col min="5891" max="5892" width="9.8984375" style="1605" customWidth="1"/>
    <col min="5893" max="5893" width="8.19921875" style="1605" customWidth="1"/>
    <col min="5894" max="5894" width="8.3984375" style="1605" customWidth="1"/>
    <col min="5895" max="5895" width="7.8984375" style="1605" customWidth="1"/>
    <col min="5896" max="5896" width="10.8984375" style="1605" customWidth="1"/>
    <col min="5897" max="5897" width="8.19921875" style="1605" customWidth="1"/>
    <col min="5898" max="5898" width="11.8984375" style="1605" customWidth="1"/>
    <col min="5899" max="6144" width="9.3984375" style="1605"/>
    <col min="6145" max="6145" width="5.19921875" style="1605" customWidth="1"/>
    <col min="6146" max="6146" width="41.59765625" style="1605" customWidth="1"/>
    <col min="6147" max="6148" width="9.8984375" style="1605" customWidth="1"/>
    <col min="6149" max="6149" width="8.19921875" style="1605" customWidth="1"/>
    <col min="6150" max="6150" width="8.3984375" style="1605" customWidth="1"/>
    <col min="6151" max="6151" width="7.8984375" style="1605" customWidth="1"/>
    <col min="6152" max="6152" width="10.8984375" style="1605" customWidth="1"/>
    <col min="6153" max="6153" width="8.19921875" style="1605" customWidth="1"/>
    <col min="6154" max="6154" width="11.8984375" style="1605" customWidth="1"/>
    <col min="6155" max="6400" width="9.3984375" style="1605"/>
    <col min="6401" max="6401" width="5.19921875" style="1605" customWidth="1"/>
    <col min="6402" max="6402" width="41.59765625" style="1605" customWidth="1"/>
    <col min="6403" max="6404" width="9.8984375" style="1605" customWidth="1"/>
    <col min="6405" max="6405" width="8.19921875" style="1605" customWidth="1"/>
    <col min="6406" max="6406" width="8.3984375" style="1605" customWidth="1"/>
    <col min="6407" max="6407" width="7.8984375" style="1605" customWidth="1"/>
    <col min="6408" max="6408" width="10.8984375" style="1605" customWidth="1"/>
    <col min="6409" max="6409" width="8.19921875" style="1605" customWidth="1"/>
    <col min="6410" max="6410" width="11.8984375" style="1605" customWidth="1"/>
    <col min="6411" max="6656" width="9.3984375" style="1605"/>
    <col min="6657" max="6657" width="5.19921875" style="1605" customWidth="1"/>
    <col min="6658" max="6658" width="41.59765625" style="1605" customWidth="1"/>
    <col min="6659" max="6660" width="9.8984375" style="1605" customWidth="1"/>
    <col min="6661" max="6661" width="8.19921875" style="1605" customWidth="1"/>
    <col min="6662" max="6662" width="8.3984375" style="1605" customWidth="1"/>
    <col min="6663" max="6663" width="7.8984375" style="1605" customWidth="1"/>
    <col min="6664" max="6664" width="10.8984375" style="1605" customWidth="1"/>
    <col min="6665" max="6665" width="8.19921875" style="1605" customWidth="1"/>
    <col min="6666" max="6666" width="11.8984375" style="1605" customWidth="1"/>
    <col min="6667" max="6912" width="9.3984375" style="1605"/>
    <col min="6913" max="6913" width="5.19921875" style="1605" customWidth="1"/>
    <col min="6914" max="6914" width="41.59765625" style="1605" customWidth="1"/>
    <col min="6915" max="6916" width="9.8984375" style="1605" customWidth="1"/>
    <col min="6917" max="6917" width="8.19921875" style="1605" customWidth="1"/>
    <col min="6918" max="6918" width="8.3984375" style="1605" customWidth="1"/>
    <col min="6919" max="6919" width="7.8984375" style="1605" customWidth="1"/>
    <col min="6920" max="6920" width="10.8984375" style="1605" customWidth="1"/>
    <col min="6921" max="6921" width="8.19921875" style="1605" customWidth="1"/>
    <col min="6922" max="6922" width="11.8984375" style="1605" customWidth="1"/>
    <col min="6923" max="7168" width="9.3984375" style="1605"/>
    <col min="7169" max="7169" width="5.19921875" style="1605" customWidth="1"/>
    <col min="7170" max="7170" width="41.59765625" style="1605" customWidth="1"/>
    <col min="7171" max="7172" width="9.8984375" style="1605" customWidth="1"/>
    <col min="7173" max="7173" width="8.19921875" style="1605" customWidth="1"/>
    <col min="7174" max="7174" width="8.3984375" style="1605" customWidth="1"/>
    <col min="7175" max="7175" width="7.8984375" style="1605" customWidth="1"/>
    <col min="7176" max="7176" width="10.8984375" style="1605" customWidth="1"/>
    <col min="7177" max="7177" width="8.19921875" style="1605" customWidth="1"/>
    <col min="7178" max="7178" width="11.8984375" style="1605" customWidth="1"/>
    <col min="7179" max="7424" width="9.3984375" style="1605"/>
    <col min="7425" max="7425" width="5.19921875" style="1605" customWidth="1"/>
    <col min="7426" max="7426" width="41.59765625" style="1605" customWidth="1"/>
    <col min="7427" max="7428" width="9.8984375" style="1605" customWidth="1"/>
    <col min="7429" max="7429" width="8.19921875" style="1605" customWidth="1"/>
    <col min="7430" max="7430" width="8.3984375" style="1605" customWidth="1"/>
    <col min="7431" max="7431" width="7.8984375" style="1605" customWidth="1"/>
    <col min="7432" max="7432" width="10.8984375" style="1605" customWidth="1"/>
    <col min="7433" max="7433" width="8.19921875" style="1605" customWidth="1"/>
    <col min="7434" max="7434" width="11.8984375" style="1605" customWidth="1"/>
    <col min="7435" max="7680" width="9.3984375" style="1605"/>
    <col min="7681" max="7681" width="5.19921875" style="1605" customWidth="1"/>
    <col min="7682" max="7682" width="41.59765625" style="1605" customWidth="1"/>
    <col min="7683" max="7684" width="9.8984375" style="1605" customWidth="1"/>
    <col min="7685" max="7685" width="8.19921875" style="1605" customWidth="1"/>
    <col min="7686" max="7686" width="8.3984375" style="1605" customWidth="1"/>
    <col min="7687" max="7687" width="7.8984375" style="1605" customWidth="1"/>
    <col min="7688" max="7688" width="10.8984375" style="1605" customWidth="1"/>
    <col min="7689" max="7689" width="8.19921875" style="1605" customWidth="1"/>
    <col min="7690" max="7690" width="11.8984375" style="1605" customWidth="1"/>
    <col min="7691" max="7936" width="9.3984375" style="1605"/>
    <col min="7937" max="7937" width="5.19921875" style="1605" customWidth="1"/>
    <col min="7938" max="7938" width="41.59765625" style="1605" customWidth="1"/>
    <col min="7939" max="7940" width="9.8984375" style="1605" customWidth="1"/>
    <col min="7941" max="7941" width="8.19921875" style="1605" customWidth="1"/>
    <col min="7942" max="7942" width="8.3984375" style="1605" customWidth="1"/>
    <col min="7943" max="7943" width="7.8984375" style="1605" customWidth="1"/>
    <col min="7944" max="7944" width="10.8984375" style="1605" customWidth="1"/>
    <col min="7945" max="7945" width="8.19921875" style="1605" customWidth="1"/>
    <col min="7946" max="7946" width="11.8984375" style="1605" customWidth="1"/>
    <col min="7947" max="8192" width="9.3984375" style="1605"/>
    <col min="8193" max="8193" width="5.19921875" style="1605" customWidth="1"/>
    <col min="8194" max="8194" width="41.59765625" style="1605" customWidth="1"/>
    <col min="8195" max="8196" width="9.8984375" style="1605" customWidth="1"/>
    <col min="8197" max="8197" width="8.19921875" style="1605" customWidth="1"/>
    <col min="8198" max="8198" width="8.3984375" style="1605" customWidth="1"/>
    <col min="8199" max="8199" width="7.8984375" style="1605" customWidth="1"/>
    <col min="8200" max="8200" width="10.8984375" style="1605" customWidth="1"/>
    <col min="8201" max="8201" width="8.19921875" style="1605" customWidth="1"/>
    <col min="8202" max="8202" width="11.8984375" style="1605" customWidth="1"/>
    <col min="8203" max="8448" width="9.3984375" style="1605"/>
    <col min="8449" max="8449" width="5.19921875" style="1605" customWidth="1"/>
    <col min="8450" max="8450" width="41.59765625" style="1605" customWidth="1"/>
    <col min="8451" max="8452" width="9.8984375" style="1605" customWidth="1"/>
    <col min="8453" max="8453" width="8.19921875" style="1605" customWidth="1"/>
    <col min="8454" max="8454" width="8.3984375" style="1605" customWidth="1"/>
    <col min="8455" max="8455" width="7.8984375" style="1605" customWidth="1"/>
    <col min="8456" max="8456" width="10.8984375" style="1605" customWidth="1"/>
    <col min="8457" max="8457" width="8.19921875" style="1605" customWidth="1"/>
    <col min="8458" max="8458" width="11.8984375" style="1605" customWidth="1"/>
    <col min="8459" max="8704" width="9.3984375" style="1605"/>
    <col min="8705" max="8705" width="5.19921875" style="1605" customWidth="1"/>
    <col min="8706" max="8706" width="41.59765625" style="1605" customWidth="1"/>
    <col min="8707" max="8708" width="9.8984375" style="1605" customWidth="1"/>
    <col min="8709" max="8709" width="8.19921875" style="1605" customWidth="1"/>
    <col min="8710" max="8710" width="8.3984375" style="1605" customWidth="1"/>
    <col min="8711" max="8711" width="7.8984375" style="1605" customWidth="1"/>
    <col min="8712" max="8712" width="10.8984375" style="1605" customWidth="1"/>
    <col min="8713" max="8713" width="8.19921875" style="1605" customWidth="1"/>
    <col min="8714" max="8714" width="11.8984375" style="1605" customWidth="1"/>
    <col min="8715" max="8960" width="9.3984375" style="1605"/>
    <col min="8961" max="8961" width="5.19921875" style="1605" customWidth="1"/>
    <col min="8962" max="8962" width="41.59765625" style="1605" customWidth="1"/>
    <col min="8963" max="8964" width="9.8984375" style="1605" customWidth="1"/>
    <col min="8965" max="8965" width="8.19921875" style="1605" customWidth="1"/>
    <col min="8966" max="8966" width="8.3984375" style="1605" customWidth="1"/>
    <col min="8967" max="8967" width="7.8984375" style="1605" customWidth="1"/>
    <col min="8968" max="8968" width="10.8984375" style="1605" customWidth="1"/>
    <col min="8969" max="8969" width="8.19921875" style="1605" customWidth="1"/>
    <col min="8970" max="8970" width="11.8984375" style="1605" customWidth="1"/>
    <col min="8971" max="9216" width="9.3984375" style="1605"/>
    <col min="9217" max="9217" width="5.19921875" style="1605" customWidth="1"/>
    <col min="9218" max="9218" width="41.59765625" style="1605" customWidth="1"/>
    <col min="9219" max="9220" width="9.8984375" style="1605" customWidth="1"/>
    <col min="9221" max="9221" width="8.19921875" style="1605" customWidth="1"/>
    <col min="9222" max="9222" width="8.3984375" style="1605" customWidth="1"/>
    <col min="9223" max="9223" width="7.8984375" style="1605" customWidth="1"/>
    <col min="9224" max="9224" width="10.8984375" style="1605" customWidth="1"/>
    <col min="9225" max="9225" width="8.19921875" style="1605" customWidth="1"/>
    <col min="9226" max="9226" width="11.8984375" style="1605" customWidth="1"/>
    <col min="9227" max="9472" width="9.3984375" style="1605"/>
    <col min="9473" max="9473" width="5.19921875" style="1605" customWidth="1"/>
    <col min="9474" max="9474" width="41.59765625" style="1605" customWidth="1"/>
    <col min="9475" max="9476" width="9.8984375" style="1605" customWidth="1"/>
    <col min="9477" max="9477" width="8.19921875" style="1605" customWidth="1"/>
    <col min="9478" max="9478" width="8.3984375" style="1605" customWidth="1"/>
    <col min="9479" max="9479" width="7.8984375" style="1605" customWidth="1"/>
    <col min="9480" max="9480" width="10.8984375" style="1605" customWidth="1"/>
    <col min="9481" max="9481" width="8.19921875" style="1605" customWidth="1"/>
    <col min="9482" max="9482" width="11.8984375" style="1605" customWidth="1"/>
    <col min="9483" max="9728" width="9.3984375" style="1605"/>
    <col min="9729" max="9729" width="5.19921875" style="1605" customWidth="1"/>
    <col min="9730" max="9730" width="41.59765625" style="1605" customWidth="1"/>
    <col min="9731" max="9732" width="9.8984375" style="1605" customWidth="1"/>
    <col min="9733" max="9733" width="8.19921875" style="1605" customWidth="1"/>
    <col min="9734" max="9734" width="8.3984375" style="1605" customWidth="1"/>
    <col min="9735" max="9735" width="7.8984375" style="1605" customWidth="1"/>
    <col min="9736" max="9736" width="10.8984375" style="1605" customWidth="1"/>
    <col min="9737" max="9737" width="8.19921875" style="1605" customWidth="1"/>
    <col min="9738" max="9738" width="11.8984375" style="1605" customWidth="1"/>
    <col min="9739" max="9984" width="9.3984375" style="1605"/>
    <col min="9985" max="9985" width="5.19921875" style="1605" customWidth="1"/>
    <col min="9986" max="9986" width="41.59765625" style="1605" customWidth="1"/>
    <col min="9987" max="9988" width="9.8984375" style="1605" customWidth="1"/>
    <col min="9989" max="9989" width="8.19921875" style="1605" customWidth="1"/>
    <col min="9990" max="9990" width="8.3984375" style="1605" customWidth="1"/>
    <col min="9991" max="9991" width="7.8984375" style="1605" customWidth="1"/>
    <col min="9992" max="9992" width="10.8984375" style="1605" customWidth="1"/>
    <col min="9993" max="9993" width="8.19921875" style="1605" customWidth="1"/>
    <col min="9994" max="9994" width="11.8984375" style="1605" customWidth="1"/>
    <col min="9995" max="10240" width="9.3984375" style="1605"/>
    <col min="10241" max="10241" width="5.19921875" style="1605" customWidth="1"/>
    <col min="10242" max="10242" width="41.59765625" style="1605" customWidth="1"/>
    <col min="10243" max="10244" width="9.8984375" style="1605" customWidth="1"/>
    <col min="10245" max="10245" width="8.19921875" style="1605" customWidth="1"/>
    <col min="10246" max="10246" width="8.3984375" style="1605" customWidth="1"/>
    <col min="10247" max="10247" width="7.8984375" style="1605" customWidth="1"/>
    <col min="10248" max="10248" width="10.8984375" style="1605" customWidth="1"/>
    <col min="10249" max="10249" width="8.19921875" style="1605" customWidth="1"/>
    <col min="10250" max="10250" width="11.8984375" style="1605" customWidth="1"/>
    <col min="10251" max="10496" width="9.3984375" style="1605"/>
    <col min="10497" max="10497" width="5.19921875" style="1605" customWidth="1"/>
    <col min="10498" max="10498" width="41.59765625" style="1605" customWidth="1"/>
    <col min="10499" max="10500" width="9.8984375" style="1605" customWidth="1"/>
    <col min="10501" max="10501" width="8.19921875" style="1605" customWidth="1"/>
    <col min="10502" max="10502" width="8.3984375" style="1605" customWidth="1"/>
    <col min="10503" max="10503" width="7.8984375" style="1605" customWidth="1"/>
    <col min="10504" max="10504" width="10.8984375" style="1605" customWidth="1"/>
    <col min="10505" max="10505" width="8.19921875" style="1605" customWidth="1"/>
    <col min="10506" max="10506" width="11.8984375" style="1605" customWidth="1"/>
    <col min="10507" max="10752" width="9.3984375" style="1605"/>
    <col min="10753" max="10753" width="5.19921875" style="1605" customWidth="1"/>
    <col min="10754" max="10754" width="41.59765625" style="1605" customWidth="1"/>
    <col min="10755" max="10756" width="9.8984375" style="1605" customWidth="1"/>
    <col min="10757" max="10757" width="8.19921875" style="1605" customWidth="1"/>
    <col min="10758" max="10758" width="8.3984375" style="1605" customWidth="1"/>
    <col min="10759" max="10759" width="7.8984375" style="1605" customWidth="1"/>
    <col min="10760" max="10760" width="10.8984375" style="1605" customWidth="1"/>
    <col min="10761" max="10761" width="8.19921875" style="1605" customWidth="1"/>
    <col min="10762" max="10762" width="11.8984375" style="1605" customWidth="1"/>
    <col min="10763" max="11008" width="9.3984375" style="1605"/>
    <col min="11009" max="11009" width="5.19921875" style="1605" customWidth="1"/>
    <col min="11010" max="11010" width="41.59765625" style="1605" customWidth="1"/>
    <col min="11011" max="11012" width="9.8984375" style="1605" customWidth="1"/>
    <col min="11013" max="11013" width="8.19921875" style="1605" customWidth="1"/>
    <col min="11014" max="11014" width="8.3984375" style="1605" customWidth="1"/>
    <col min="11015" max="11015" width="7.8984375" style="1605" customWidth="1"/>
    <col min="11016" max="11016" width="10.8984375" style="1605" customWidth="1"/>
    <col min="11017" max="11017" width="8.19921875" style="1605" customWidth="1"/>
    <col min="11018" max="11018" width="11.8984375" style="1605" customWidth="1"/>
    <col min="11019" max="11264" width="9.3984375" style="1605"/>
    <col min="11265" max="11265" width="5.19921875" style="1605" customWidth="1"/>
    <col min="11266" max="11266" width="41.59765625" style="1605" customWidth="1"/>
    <col min="11267" max="11268" width="9.8984375" style="1605" customWidth="1"/>
    <col min="11269" max="11269" width="8.19921875" style="1605" customWidth="1"/>
    <col min="11270" max="11270" width="8.3984375" style="1605" customWidth="1"/>
    <col min="11271" max="11271" width="7.8984375" style="1605" customWidth="1"/>
    <col min="11272" max="11272" width="10.8984375" style="1605" customWidth="1"/>
    <col min="11273" max="11273" width="8.19921875" style="1605" customWidth="1"/>
    <col min="11274" max="11274" width="11.8984375" style="1605" customWidth="1"/>
    <col min="11275" max="11520" width="9.3984375" style="1605"/>
    <col min="11521" max="11521" width="5.19921875" style="1605" customWidth="1"/>
    <col min="11522" max="11522" width="41.59765625" style="1605" customWidth="1"/>
    <col min="11523" max="11524" width="9.8984375" style="1605" customWidth="1"/>
    <col min="11525" max="11525" width="8.19921875" style="1605" customWidth="1"/>
    <col min="11526" max="11526" width="8.3984375" style="1605" customWidth="1"/>
    <col min="11527" max="11527" width="7.8984375" style="1605" customWidth="1"/>
    <col min="11528" max="11528" width="10.8984375" style="1605" customWidth="1"/>
    <col min="11529" max="11529" width="8.19921875" style="1605" customWidth="1"/>
    <col min="11530" max="11530" width="11.8984375" style="1605" customWidth="1"/>
    <col min="11531" max="11776" width="9.3984375" style="1605"/>
    <col min="11777" max="11777" width="5.19921875" style="1605" customWidth="1"/>
    <col min="11778" max="11778" width="41.59765625" style="1605" customWidth="1"/>
    <col min="11779" max="11780" width="9.8984375" style="1605" customWidth="1"/>
    <col min="11781" max="11781" width="8.19921875" style="1605" customWidth="1"/>
    <col min="11782" max="11782" width="8.3984375" style="1605" customWidth="1"/>
    <col min="11783" max="11783" width="7.8984375" style="1605" customWidth="1"/>
    <col min="11784" max="11784" width="10.8984375" style="1605" customWidth="1"/>
    <col min="11785" max="11785" width="8.19921875" style="1605" customWidth="1"/>
    <col min="11786" max="11786" width="11.8984375" style="1605" customWidth="1"/>
    <col min="11787" max="12032" width="9.3984375" style="1605"/>
    <col min="12033" max="12033" width="5.19921875" style="1605" customWidth="1"/>
    <col min="12034" max="12034" width="41.59765625" style="1605" customWidth="1"/>
    <col min="12035" max="12036" width="9.8984375" style="1605" customWidth="1"/>
    <col min="12037" max="12037" width="8.19921875" style="1605" customWidth="1"/>
    <col min="12038" max="12038" width="8.3984375" style="1605" customWidth="1"/>
    <col min="12039" max="12039" width="7.8984375" style="1605" customWidth="1"/>
    <col min="12040" max="12040" width="10.8984375" style="1605" customWidth="1"/>
    <col min="12041" max="12041" width="8.19921875" style="1605" customWidth="1"/>
    <col min="12042" max="12042" width="11.8984375" style="1605" customWidth="1"/>
    <col min="12043" max="12288" width="9.3984375" style="1605"/>
    <col min="12289" max="12289" width="5.19921875" style="1605" customWidth="1"/>
    <col min="12290" max="12290" width="41.59765625" style="1605" customWidth="1"/>
    <col min="12291" max="12292" width="9.8984375" style="1605" customWidth="1"/>
    <col min="12293" max="12293" width="8.19921875" style="1605" customWidth="1"/>
    <col min="12294" max="12294" width="8.3984375" style="1605" customWidth="1"/>
    <col min="12295" max="12295" width="7.8984375" style="1605" customWidth="1"/>
    <col min="12296" max="12296" width="10.8984375" style="1605" customWidth="1"/>
    <col min="12297" max="12297" width="8.19921875" style="1605" customWidth="1"/>
    <col min="12298" max="12298" width="11.8984375" style="1605" customWidth="1"/>
    <col min="12299" max="12544" width="9.3984375" style="1605"/>
    <col min="12545" max="12545" width="5.19921875" style="1605" customWidth="1"/>
    <col min="12546" max="12546" width="41.59765625" style="1605" customWidth="1"/>
    <col min="12547" max="12548" width="9.8984375" style="1605" customWidth="1"/>
    <col min="12549" max="12549" width="8.19921875" style="1605" customWidth="1"/>
    <col min="12550" max="12550" width="8.3984375" style="1605" customWidth="1"/>
    <col min="12551" max="12551" width="7.8984375" style="1605" customWidth="1"/>
    <col min="12552" max="12552" width="10.8984375" style="1605" customWidth="1"/>
    <col min="12553" max="12553" width="8.19921875" style="1605" customWidth="1"/>
    <col min="12554" max="12554" width="11.8984375" style="1605" customWidth="1"/>
    <col min="12555" max="12800" width="9.3984375" style="1605"/>
    <col min="12801" max="12801" width="5.19921875" style="1605" customWidth="1"/>
    <col min="12802" max="12802" width="41.59765625" style="1605" customWidth="1"/>
    <col min="12803" max="12804" width="9.8984375" style="1605" customWidth="1"/>
    <col min="12805" max="12805" width="8.19921875" style="1605" customWidth="1"/>
    <col min="12806" max="12806" width="8.3984375" style="1605" customWidth="1"/>
    <col min="12807" max="12807" width="7.8984375" style="1605" customWidth="1"/>
    <col min="12808" max="12808" width="10.8984375" style="1605" customWidth="1"/>
    <col min="12809" max="12809" width="8.19921875" style="1605" customWidth="1"/>
    <col min="12810" max="12810" width="11.8984375" style="1605" customWidth="1"/>
    <col min="12811" max="13056" width="9.3984375" style="1605"/>
    <col min="13057" max="13057" width="5.19921875" style="1605" customWidth="1"/>
    <col min="13058" max="13058" width="41.59765625" style="1605" customWidth="1"/>
    <col min="13059" max="13060" width="9.8984375" style="1605" customWidth="1"/>
    <col min="13061" max="13061" width="8.19921875" style="1605" customWidth="1"/>
    <col min="13062" max="13062" width="8.3984375" style="1605" customWidth="1"/>
    <col min="13063" max="13063" width="7.8984375" style="1605" customWidth="1"/>
    <col min="13064" max="13064" width="10.8984375" style="1605" customWidth="1"/>
    <col min="13065" max="13065" width="8.19921875" style="1605" customWidth="1"/>
    <col min="13066" max="13066" width="11.8984375" style="1605" customWidth="1"/>
    <col min="13067" max="13312" width="9.3984375" style="1605"/>
    <col min="13313" max="13313" width="5.19921875" style="1605" customWidth="1"/>
    <col min="13314" max="13314" width="41.59765625" style="1605" customWidth="1"/>
    <col min="13315" max="13316" width="9.8984375" style="1605" customWidth="1"/>
    <col min="13317" max="13317" width="8.19921875" style="1605" customWidth="1"/>
    <col min="13318" max="13318" width="8.3984375" style="1605" customWidth="1"/>
    <col min="13319" max="13319" width="7.8984375" style="1605" customWidth="1"/>
    <col min="13320" max="13320" width="10.8984375" style="1605" customWidth="1"/>
    <col min="13321" max="13321" width="8.19921875" style="1605" customWidth="1"/>
    <col min="13322" max="13322" width="11.8984375" style="1605" customWidth="1"/>
    <col min="13323" max="13568" width="9.3984375" style="1605"/>
    <col min="13569" max="13569" width="5.19921875" style="1605" customWidth="1"/>
    <col min="13570" max="13570" width="41.59765625" style="1605" customWidth="1"/>
    <col min="13571" max="13572" width="9.8984375" style="1605" customWidth="1"/>
    <col min="13573" max="13573" width="8.19921875" style="1605" customWidth="1"/>
    <col min="13574" max="13574" width="8.3984375" style="1605" customWidth="1"/>
    <col min="13575" max="13575" width="7.8984375" style="1605" customWidth="1"/>
    <col min="13576" max="13576" width="10.8984375" style="1605" customWidth="1"/>
    <col min="13577" max="13577" width="8.19921875" style="1605" customWidth="1"/>
    <col min="13578" max="13578" width="11.8984375" style="1605" customWidth="1"/>
    <col min="13579" max="13824" width="9.3984375" style="1605"/>
    <col min="13825" max="13825" width="5.19921875" style="1605" customWidth="1"/>
    <col min="13826" max="13826" width="41.59765625" style="1605" customWidth="1"/>
    <col min="13827" max="13828" width="9.8984375" style="1605" customWidth="1"/>
    <col min="13829" max="13829" width="8.19921875" style="1605" customWidth="1"/>
    <col min="13830" max="13830" width="8.3984375" style="1605" customWidth="1"/>
    <col min="13831" max="13831" width="7.8984375" style="1605" customWidth="1"/>
    <col min="13832" max="13832" width="10.8984375" style="1605" customWidth="1"/>
    <col min="13833" max="13833" width="8.19921875" style="1605" customWidth="1"/>
    <col min="13834" max="13834" width="11.8984375" style="1605" customWidth="1"/>
    <col min="13835" max="14080" width="9.3984375" style="1605"/>
    <col min="14081" max="14081" width="5.19921875" style="1605" customWidth="1"/>
    <col min="14082" max="14082" width="41.59765625" style="1605" customWidth="1"/>
    <col min="14083" max="14084" width="9.8984375" style="1605" customWidth="1"/>
    <col min="14085" max="14085" width="8.19921875" style="1605" customWidth="1"/>
    <col min="14086" max="14086" width="8.3984375" style="1605" customWidth="1"/>
    <col min="14087" max="14087" width="7.8984375" style="1605" customWidth="1"/>
    <col min="14088" max="14088" width="10.8984375" style="1605" customWidth="1"/>
    <col min="14089" max="14089" width="8.19921875" style="1605" customWidth="1"/>
    <col min="14090" max="14090" width="11.8984375" style="1605" customWidth="1"/>
    <col min="14091" max="14336" width="9.3984375" style="1605"/>
    <col min="14337" max="14337" width="5.19921875" style="1605" customWidth="1"/>
    <col min="14338" max="14338" width="41.59765625" style="1605" customWidth="1"/>
    <col min="14339" max="14340" width="9.8984375" style="1605" customWidth="1"/>
    <col min="14341" max="14341" width="8.19921875" style="1605" customWidth="1"/>
    <col min="14342" max="14342" width="8.3984375" style="1605" customWidth="1"/>
    <col min="14343" max="14343" width="7.8984375" style="1605" customWidth="1"/>
    <col min="14344" max="14344" width="10.8984375" style="1605" customWidth="1"/>
    <col min="14345" max="14345" width="8.19921875" style="1605" customWidth="1"/>
    <col min="14346" max="14346" width="11.8984375" style="1605" customWidth="1"/>
    <col min="14347" max="14592" width="9.3984375" style="1605"/>
    <col min="14593" max="14593" width="5.19921875" style="1605" customWidth="1"/>
    <col min="14594" max="14594" width="41.59765625" style="1605" customWidth="1"/>
    <col min="14595" max="14596" width="9.8984375" style="1605" customWidth="1"/>
    <col min="14597" max="14597" width="8.19921875" style="1605" customWidth="1"/>
    <col min="14598" max="14598" width="8.3984375" style="1605" customWidth="1"/>
    <col min="14599" max="14599" width="7.8984375" style="1605" customWidth="1"/>
    <col min="14600" max="14600" width="10.8984375" style="1605" customWidth="1"/>
    <col min="14601" max="14601" width="8.19921875" style="1605" customWidth="1"/>
    <col min="14602" max="14602" width="11.8984375" style="1605" customWidth="1"/>
    <col min="14603" max="14848" width="9.3984375" style="1605"/>
    <col min="14849" max="14849" width="5.19921875" style="1605" customWidth="1"/>
    <col min="14850" max="14850" width="41.59765625" style="1605" customWidth="1"/>
    <col min="14851" max="14852" width="9.8984375" style="1605" customWidth="1"/>
    <col min="14853" max="14853" width="8.19921875" style="1605" customWidth="1"/>
    <col min="14854" max="14854" width="8.3984375" style="1605" customWidth="1"/>
    <col min="14855" max="14855" width="7.8984375" style="1605" customWidth="1"/>
    <col min="14856" max="14856" width="10.8984375" style="1605" customWidth="1"/>
    <col min="14857" max="14857" width="8.19921875" style="1605" customWidth="1"/>
    <col min="14858" max="14858" width="11.8984375" style="1605" customWidth="1"/>
    <col min="14859" max="15104" width="9.3984375" style="1605"/>
    <col min="15105" max="15105" width="5.19921875" style="1605" customWidth="1"/>
    <col min="15106" max="15106" width="41.59765625" style="1605" customWidth="1"/>
    <col min="15107" max="15108" width="9.8984375" style="1605" customWidth="1"/>
    <col min="15109" max="15109" width="8.19921875" style="1605" customWidth="1"/>
    <col min="15110" max="15110" width="8.3984375" style="1605" customWidth="1"/>
    <col min="15111" max="15111" width="7.8984375" style="1605" customWidth="1"/>
    <col min="15112" max="15112" width="10.8984375" style="1605" customWidth="1"/>
    <col min="15113" max="15113" width="8.19921875" style="1605" customWidth="1"/>
    <col min="15114" max="15114" width="11.8984375" style="1605" customWidth="1"/>
    <col min="15115" max="15360" width="9.3984375" style="1605"/>
    <col min="15361" max="15361" width="5.19921875" style="1605" customWidth="1"/>
    <col min="15362" max="15362" width="41.59765625" style="1605" customWidth="1"/>
    <col min="15363" max="15364" width="9.8984375" style="1605" customWidth="1"/>
    <col min="15365" max="15365" width="8.19921875" style="1605" customWidth="1"/>
    <col min="15366" max="15366" width="8.3984375" style="1605" customWidth="1"/>
    <col min="15367" max="15367" width="7.8984375" style="1605" customWidth="1"/>
    <col min="15368" max="15368" width="10.8984375" style="1605" customWidth="1"/>
    <col min="15369" max="15369" width="8.19921875" style="1605" customWidth="1"/>
    <col min="15370" max="15370" width="11.8984375" style="1605" customWidth="1"/>
    <col min="15371" max="15616" width="9.3984375" style="1605"/>
    <col min="15617" max="15617" width="5.19921875" style="1605" customWidth="1"/>
    <col min="15618" max="15618" width="41.59765625" style="1605" customWidth="1"/>
    <col min="15619" max="15620" width="9.8984375" style="1605" customWidth="1"/>
    <col min="15621" max="15621" width="8.19921875" style="1605" customWidth="1"/>
    <col min="15622" max="15622" width="8.3984375" style="1605" customWidth="1"/>
    <col min="15623" max="15623" width="7.8984375" style="1605" customWidth="1"/>
    <col min="15624" max="15624" width="10.8984375" style="1605" customWidth="1"/>
    <col min="15625" max="15625" width="8.19921875" style="1605" customWidth="1"/>
    <col min="15626" max="15626" width="11.8984375" style="1605" customWidth="1"/>
    <col min="15627" max="15872" width="9.3984375" style="1605"/>
    <col min="15873" max="15873" width="5.19921875" style="1605" customWidth="1"/>
    <col min="15874" max="15874" width="41.59765625" style="1605" customWidth="1"/>
    <col min="15875" max="15876" width="9.8984375" style="1605" customWidth="1"/>
    <col min="15877" max="15877" width="8.19921875" style="1605" customWidth="1"/>
    <col min="15878" max="15878" width="8.3984375" style="1605" customWidth="1"/>
    <col min="15879" max="15879" width="7.8984375" style="1605" customWidth="1"/>
    <col min="15880" max="15880" width="10.8984375" style="1605" customWidth="1"/>
    <col min="15881" max="15881" width="8.19921875" style="1605" customWidth="1"/>
    <col min="15882" max="15882" width="11.8984375" style="1605" customWidth="1"/>
    <col min="15883" max="16128" width="9.3984375" style="1605"/>
    <col min="16129" max="16129" width="5.19921875" style="1605" customWidth="1"/>
    <col min="16130" max="16130" width="41.59765625" style="1605" customWidth="1"/>
    <col min="16131" max="16132" width="9.8984375" style="1605" customWidth="1"/>
    <col min="16133" max="16133" width="8.19921875" style="1605" customWidth="1"/>
    <col min="16134" max="16134" width="8.3984375" style="1605" customWidth="1"/>
    <col min="16135" max="16135" width="7.8984375" style="1605" customWidth="1"/>
    <col min="16136" max="16136" width="10.8984375" style="1605" customWidth="1"/>
    <col min="16137" max="16137" width="8.19921875" style="1605" customWidth="1"/>
    <col min="16138" max="16138" width="11.8984375" style="1605" customWidth="1"/>
    <col min="16139" max="16384" width="9.3984375" style="1605"/>
  </cols>
  <sheetData>
    <row r="1" spans="1:12" s="1583" customFormat="1" ht="20.100000000000001" customHeight="1">
      <c r="A1" s="2167"/>
      <c r="B1" s="2167"/>
      <c r="C1" s="2167"/>
      <c r="D1" s="2167"/>
      <c r="E1" s="2167"/>
      <c r="F1" s="2167"/>
      <c r="G1" s="2167"/>
      <c r="H1" s="2167"/>
      <c r="I1" s="2167"/>
      <c r="J1" s="2166" t="str">
        <f>"索引号："&amp;档案索引!D11</f>
        <v>索引号：2B-6</v>
      </c>
    </row>
    <row r="2" spans="1:12" s="1589" customFormat="1" ht="25.5" customHeight="1">
      <c r="A2" s="3401" t="s">
        <v>5937</v>
      </c>
      <c r="B2" s="3401"/>
      <c r="C2" s="3401"/>
      <c r="D2" s="3401"/>
      <c r="E2" s="3401"/>
      <c r="F2" s="3401"/>
      <c r="G2" s="3401"/>
      <c r="H2" s="3401"/>
      <c r="I2" s="3401"/>
      <c r="J2" s="1865"/>
    </row>
    <row r="3" spans="1:12" s="1603" customFormat="1" ht="28.5" customHeight="1">
      <c r="A3" s="3402" t="s">
        <v>1853</v>
      </c>
      <c r="B3" s="3405" t="s">
        <v>4973</v>
      </c>
      <c r="C3" s="1863" t="s">
        <v>5611</v>
      </c>
      <c r="D3" s="1863" t="s">
        <v>5612</v>
      </c>
      <c r="E3" s="1863" t="s">
        <v>5613</v>
      </c>
      <c r="F3" s="1863" t="s">
        <v>5614</v>
      </c>
      <c r="G3" s="1863" t="s">
        <v>1522</v>
      </c>
      <c r="H3" s="1837" t="s">
        <v>5615</v>
      </c>
      <c r="I3" s="1863" t="s">
        <v>5616</v>
      </c>
      <c r="J3" s="1867" t="s">
        <v>4899</v>
      </c>
    </row>
    <row r="4" spans="1:12" s="1603" customFormat="1" ht="12.75" customHeight="1">
      <c r="A4" s="3404"/>
      <c r="B4" s="3406"/>
      <c r="C4" s="1835">
        <v>1</v>
      </c>
      <c r="D4" s="1835">
        <v>2</v>
      </c>
      <c r="E4" s="1835">
        <v>3</v>
      </c>
      <c r="F4" s="1835">
        <v>4</v>
      </c>
      <c r="G4" s="1835">
        <v>5</v>
      </c>
      <c r="H4" s="1835" t="s">
        <v>5617</v>
      </c>
      <c r="I4" s="1835">
        <v>7</v>
      </c>
      <c r="J4" s="1836"/>
      <c r="L4" s="1604"/>
    </row>
    <row r="5" spans="1:12" s="1603" customFormat="1" ht="12.75" customHeight="1">
      <c r="A5" s="1835">
        <v>1</v>
      </c>
      <c r="B5" s="1839" t="s">
        <v>5618</v>
      </c>
      <c r="C5" s="2075">
        <f>C6+C17</f>
        <v>0</v>
      </c>
      <c r="D5" s="2075">
        <f t="shared" ref="D5:I5" si="0">D6+D17</f>
        <v>0</v>
      </c>
      <c r="E5" s="2075">
        <f t="shared" si="0"/>
        <v>0</v>
      </c>
      <c r="F5" s="2075">
        <f t="shared" si="0"/>
        <v>0</v>
      </c>
      <c r="G5" s="2075">
        <f t="shared" si="0"/>
        <v>0</v>
      </c>
      <c r="H5" s="2075">
        <f t="shared" si="0"/>
        <v>0</v>
      </c>
      <c r="I5" s="2075">
        <f t="shared" si="0"/>
        <v>0</v>
      </c>
      <c r="J5" s="1836"/>
    </row>
    <row r="6" spans="1:12" s="1603" customFormat="1" ht="12.75" customHeight="1">
      <c r="A6" s="1835">
        <v>2</v>
      </c>
      <c r="B6" s="1839" t="s">
        <v>5619</v>
      </c>
      <c r="C6" s="2075">
        <f>SUM(C7:C13,C15:C16)</f>
        <v>0</v>
      </c>
      <c r="D6" s="2075">
        <f t="shared" ref="D6:I6" si="1">SUM(D7:D13,D15:D16)</f>
        <v>0</v>
      </c>
      <c r="E6" s="2075">
        <f t="shared" si="1"/>
        <v>0</v>
      </c>
      <c r="F6" s="2075">
        <f t="shared" si="1"/>
        <v>0</v>
      </c>
      <c r="G6" s="2075">
        <f t="shared" si="1"/>
        <v>0</v>
      </c>
      <c r="H6" s="2075">
        <f t="shared" si="1"/>
        <v>0</v>
      </c>
      <c r="I6" s="2075">
        <f t="shared" si="1"/>
        <v>0</v>
      </c>
      <c r="J6" s="1836"/>
    </row>
    <row r="7" spans="1:12" s="1603" customFormat="1" ht="26.25" customHeight="1">
      <c r="A7" s="1837">
        <v>3</v>
      </c>
      <c r="B7" s="1838" t="s">
        <v>5620</v>
      </c>
      <c r="C7" s="2082"/>
      <c r="D7" s="2082"/>
      <c r="E7" s="2082"/>
      <c r="F7" s="2082"/>
      <c r="G7" s="2082"/>
      <c r="H7" s="2078">
        <f>C7-D7-E7-F7+G7</f>
        <v>0</v>
      </c>
      <c r="I7" s="2082"/>
      <c r="J7" s="1981"/>
    </row>
    <row r="8" spans="1:12" s="1603" customFormat="1" ht="12.75" customHeight="1">
      <c r="A8" s="1835">
        <v>4</v>
      </c>
      <c r="B8" s="1839" t="s">
        <v>5621</v>
      </c>
      <c r="C8" s="2076"/>
      <c r="D8" s="2076"/>
      <c r="E8" s="2076"/>
      <c r="F8" s="2076"/>
      <c r="G8" s="2076"/>
      <c r="H8" s="2075">
        <f t="shared" ref="H8:H36" si="2">C8-D8-E8-F8+G8</f>
        <v>0</v>
      </c>
      <c r="I8" s="2076"/>
      <c r="J8" s="1836"/>
    </row>
    <row r="9" spans="1:12" s="1603" customFormat="1" ht="12.75" customHeight="1">
      <c r="A9" s="1835">
        <v>5</v>
      </c>
      <c r="B9" s="1839" t="s">
        <v>5622</v>
      </c>
      <c r="C9" s="2076"/>
      <c r="D9" s="2076"/>
      <c r="E9" s="2076"/>
      <c r="F9" s="2076"/>
      <c r="G9" s="2076"/>
      <c r="H9" s="2075">
        <f t="shared" si="2"/>
        <v>0</v>
      </c>
      <c r="I9" s="2076"/>
      <c r="J9" s="1836"/>
    </row>
    <row r="10" spans="1:12" s="1603" customFormat="1" ht="12.75" customHeight="1">
      <c r="A10" s="1835">
        <v>6</v>
      </c>
      <c r="B10" s="1839" t="s">
        <v>5623</v>
      </c>
      <c r="C10" s="2076"/>
      <c r="D10" s="2076"/>
      <c r="E10" s="2076"/>
      <c r="F10" s="2076"/>
      <c r="G10" s="2076"/>
      <c r="H10" s="2075">
        <f t="shared" si="2"/>
        <v>0</v>
      </c>
      <c r="I10" s="2076"/>
      <c r="J10" s="1836"/>
    </row>
    <row r="11" spans="1:12" s="1603" customFormat="1" ht="12.75" customHeight="1">
      <c r="A11" s="1835">
        <v>7</v>
      </c>
      <c r="B11" s="1839" t="s">
        <v>5624</v>
      </c>
      <c r="C11" s="2076"/>
      <c r="D11" s="2076"/>
      <c r="E11" s="2076"/>
      <c r="F11" s="2076"/>
      <c r="G11" s="2076"/>
      <c r="H11" s="2075">
        <f t="shared" si="2"/>
        <v>0</v>
      </c>
      <c r="I11" s="2076"/>
      <c r="J11" s="1836"/>
    </row>
    <row r="12" spans="1:12" s="1603" customFormat="1" ht="12.75" customHeight="1">
      <c r="A12" s="1835">
        <v>8</v>
      </c>
      <c r="B12" s="1839" t="s">
        <v>5625</v>
      </c>
      <c r="C12" s="2076"/>
      <c r="D12" s="2076"/>
      <c r="E12" s="2076"/>
      <c r="F12" s="2076"/>
      <c r="G12" s="2076"/>
      <c r="H12" s="2075">
        <f t="shared" si="2"/>
        <v>0</v>
      </c>
      <c r="I12" s="2076"/>
      <c r="J12" s="1836"/>
      <c r="K12" s="1770" t="s">
        <v>6464</v>
      </c>
    </row>
    <row r="13" spans="1:12" s="1603" customFormat="1" ht="28.5" customHeight="1">
      <c r="A13" s="1837">
        <v>9</v>
      </c>
      <c r="B13" s="1838" t="s">
        <v>5626</v>
      </c>
      <c r="C13" s="2082"/>
      <c r="D13" s="2082"/>
      <c r="E13" s="2082"/>
      <c r="F13" s="2082"/>
      <c r="G13" s="2082"/>
      <c r="H13" s="2078">
        <f t="shared" si="2"/>
        <v>0</v>
      </c>
      <c r="I13" s="2082"/>
      <c r="J13" s="1981"/>
    </row>
    <row r="14" spans="1:12" s="1603" customFormat="1" ht="12.75" customHeight="1">
      <c r="A14" s="1835">
        <v>10</v>
      </c>
      <c r="B14" s="1839" t="s">
        <v>5627</v>
      </c>
      <c r="C14" s="2076"/>
      <c r="D14" s="2076"/>
      <c r="E14" s="2076"/>
      <c r="F14" s="2076"/>
      <c r="G14" s="2076"/>
      <c r="H14" s="2075">
        <f t="shared" si="2"/>
        <v>0</v>
      </c>
      <c r="I14" s="2076"/>
      <c r="J14" s="1836"/>
    </row>
    <row r="15" spans="1:12" s="1603" customFormat="1" ht="12.75" customHeight="1">
      <c r="A15" s="1835">
        <v>11</v>
      </c>
      <c r="B15" s="1839" t="s">
        <v>5628</v>
      </c>
      <c r="C15" s="2076"/>
      <c r="D15" s="2076"/>
      <c r="E15" s="2076"/>
      <c r="F15" s="2076"/>
      <c r="G15" s="2076"/>
      <c r="H15" s="2075">
        <f t="shared" si="2"/>
        <v>0</v>
      </c>
      <c r="I15" s="2076"/>
      <c r="J15" s="1836"/>
    </row>
    <row r="16" spans="1:12" s="1603" customFormat="1" ht="12.75" customHeight="1">
      <c r="A16" s="1835">
        <v>12</v>
      </c>
      <c r="B16" s="1839" t="s">
        <v>5503</v>
      </c>
      <c r="C16" s="2076"/>
      <c r="D16" s="2076"/>
      <c r="E16" s="2076"/>
      <c r="F16" s="2076"/>
      <c r="G16" s="2076"/>
      <c r="H16" s="2075">
        <f t="shared" si="2"/>
        <v>0</v>
      </c>
      <c r="I16" s="2076"/>
      <c r="J16" s="1836"/>
    </row>
    <row r="17" spans="1:10" s="1603" customFormat="1" ht="12.75" customHeight="1">
      <c r="A17" s="1835">
        <v>13</v>
      </c>
      <c r="B17" s="1839" t="s">
        <v>5629</v>
      </c>
      <c r="C17" s="2075">
        <f>SUM(C18:C20)</f>
        <v>0</v>
      </c>
      <c r="D17" s="2075">
        <f t="shared" ref="D17:I17" si="3">SUM(D18:D20)</f>
        <v>0</v>
      </c>
      <c r="E17" s="2075">
        <f t="shared" si="3"/>
        <v>0</v>
      </c>
      <c r="F17" s="2075">
        <f t="shared" si="3"/>
        <v>0</v>
      </c>
      <c r="G17" s="2075">
        <f t="shared" si="3"/>
        <v>0</v>
      </c>
      <c r="H17" s="2075">
        <f t="shared" si="3"/>
        <v>0</v>
      </c>
      <c r="I17" s="2075">
        <f t="shared" si="3"/>
        <v>0</v>
      </c>
      <c r="J17" s="1836"/>
    </row>
    <row r="18" spans="1:10" s="1603" customFormat="1" ht="12.75" customHeight="1">
      <c r="A18" s="1835">
        <v>14</v>
      </c>
      <c r="B18" s="1839" t="s">
        <v>5630</v>
      </c>
      <c r="C18" s="2076"/>
      <c r="D18" s="2076"/>
      <c r="E18" s="2076"/>
      <c r="F18" s="2076"/>
      <c r="G18" s="2076"/>
      <c r="H18" s="2075">
        <f t="shared" si="2"/>
        <v>0</v>
      </c>
      <c r="I18" s="2076"/>
      <c r="J18" s="1836"/>
    </row>
    <row r="19" spans="1:10" s="1603" customFormat="1" ht="12.75" customHeight="1">
      <c r="A19" s="1835">
        <v>15</v>
      </c>
      <c r="B19" s="1839" t="s">
        <v>5631</v>
      </c>
      <c r="C19" s="2076"/>
      <c r="D19" s="2076"/>
      <c r="E19" s="2076"/>
      <c r="F19" s="2076"/>
      <c r="G19" s="2076"/>
      <c r="H19" s="2075">
        <f t="shared" si="2"/>
        <v>0</v>
      </c>
      <c r="I19" s="2076"/>
      <c r="J19" s="1836"/>
    </row>
    <row r="20" spans="1:10" s="1603" customFormat="1" ht="12.75" customHeight="1">
      <c r="A20" s="1835">
        <v>16</v>
      </c>
      <c r="B20" s="1839" t="s">
        <v>5511</v>
      </c>
      <c r="C20" s="2076"/>
      <c r="D20" s="2076"/>
      <c r="E20" s="2076"/>
      <c r="F20" s="2076"/>
      <c r="G20" s="2076"/>
      <c r="H20" s="2075">
        <f t="shared" si="2"/>
        <v>0</v>
      </c>
      <c r="I20" s="2076"/>
      <c r="J20" s="1836"/>
    </row>
    <row r="21" spans="1:10" s="1603" customFormat="1" ht="26.25" customHeight="1">
      <c r="A21" s="1837">
        <v>17</v>
      </c>
      <c r="B21" s="1838" t="s">
        <v>5632</v>
      </c>
      <c r="C21" s="2078">
        <f>SUM(C22:C29)</f>
        <v>0</v>
      </c>
      <c r="D21" s="2078">
        <f t="shared" ref="D21:H21" si="4">SUM(D22:D29)</f>
        <v>0</v>
      </c>
      <c r="E21" s="2078">
        <f t="shared" si="4"/>
        <v>0</v>
      </c>
      <c r="F21" s="2078">
        <f t="shared" si="4"/>
        <v>0</v>
      </c>
      <c r="G21" s="2078">
        <f t="shared" si="4"/>
        <v>0</v>
      </c>
      <c r="H21" s="2078">
        <f t="shared" si="4"/>
        <v>0</v>
      </c>
      <c r="I21" s="2078">
        <f>SUM(I22:I29)</f>
        <v>0</v>
      </c>
      <c r="J21" s="1981"/>
    </row>
    <row r="22" spans="1:10" s="1603" customFormat="1" ht="12.75" customHeight="1">
      <c r="A22" s="1835">
        <v>18</v>
      </c>
      <c r="B22" s="1839" t="s">
        <v>5633</v>
      </c>
      <c r="C22" s="2076"/>
      <c r="D22" s="2076"/>
      <c r="E22" s="2076"/>
      <c r="F22" s="2076"/>
      <c r="G22" s="2076"/>
      <c r="H22" s="2075">
        <f t="shared" si="2"/>
        <v>0</v>
      </c>
      <c r="I22" s="2076"/>
      <c r="J22" s="1836"/>
    </row>
    <row r="23" spans="1:10" s="1603" customFormat="1" ht="12.75" customHeight="1">
      <c r="A23" s="1835">
        <v>19</v>
      </c>
      <c r="B23" s="1839" t="s">
        <v>5634</v>
      </c>
      <c r="C23" s="2076"/>
      <c r="D23" s="2076"/>
      <c r="E23" s="2076"/>
      <c r="F23" s="2076"/>
      <c r="G23" s="2076"/>
      <c r="H23" s="2075">
        <f t="shared" si="2"/>
        <v>0</v>
      </c>
      <c r="I23" s="2076"/>
      <c r="J23" s="1836"/>
    </row>
    <row r="24" spans="1:10" s="1603" customFormat="1" ht="12.75" customHeight="1">
      <c r="A24" s="1835">
        <v>20</v>
      </c>
      <c r="B24" s="1839" t="s">
        <v>5635</v>
      </c>
      <c r="C24" s="2076"/>
      <c r="D24" s="2076"/>
      <c r="E24" s="2076"/>
      <c r="F24" s="2076"/>
      <c r="G24" s="2076"/>
      <c r="H24" s="2075">
        <f t="shared" si="2"/>
        <v>0</v>
      </c>
      <c r="I24" s="2076"/>
      <c r="J24" s="1836"/>
    </row>
    <row r="25" spans="1:10" s="1603" customFormat="1" ht="12.75" customHeight="1">
      <c r="A25" s="1835">
        <v>21</v>
      </c>
      <c r="B25" s="1839" t="s">
        <v>5636</v>
      </c>
      <c r="C25" s="2076"/>
      <c r="D25" s="2076"/>
      <c r="E25" s="2076"/>
      <c r="F25" s="2076"/>
      <c r="G25" s="2076"/>
      <c r="H25" s="2075">
        <f t="shared" si="2"/>
        <v>0</v>
      </c>
      <c r="I25" s="2076"/>
      <c r="J25" s="1836"/>
    </row>
    <row r="26" spans="1:10" s="1603" customFormat="1" ht="12.75" customHeight="1">
      <c r="A26" s="1835">
        <v>22</v>
      </c>
      <c r="B26" s="1839" t="s">
        <v>5637</v>
      </c>
      <c r="C26" s="2076"/>
      <c r="D26" s="2076"/>
      <c r="E26" s="2076"/>
      <c r="F26" s="2076"/>
      <c r="G26" s="2076"/>
      <c r="H26" s="2075">
        <f t="shared" si="2"/>
        <v>0</v>
      </c>
      <c r="I26" s="2076"/>
      <c r="J26" s="1836"/>
    </row>
    <row r="27" spans="1:10" s="1603" customFormat="1" ht="12.75" customHeight="1">
      <c r="A27" s="1835">
        <v>23</v>
      </c>
      <c r="B27" s="1839" t="s">
        <v>5638</v>
      </c>
      <c r="C27" s="2076"/>
      <c r="D27" s="2076"/>
      <c r="E27" s="2076"/>
      <c r="F27" s="2076"/>
      <c r="G27" s="2076"/>
      <c r="H27" s="2075">
        <f t="shared" si="2"/>
        <v>0</v>
      </c>
      <c r="I27" s="2076"/>
      <c r="J27" s="1836"/>
    </row>
    <row r="28" spans="1:10" s="1603" customFormat="1" ht="12.75" customHeight="1">
      <c r="A28" s="1835">
        <v>24</v>
      </c>
      <c r="B28" s="1839" t="s">
        <v>5639</v>
      </c>
      <c r="C28" s="2076"/>
      <c r="D28" s="2076"/>
      <c r="E28" s="2076"/>
      <c r="F28" s="2076"/>
      <c r="G28" s="2076"/>
      <c r="H28" s="2075">
        <f t="shared" si="2"/>
        <v>0</v>
      </c>
      <c r="I28" s="2076"/>
      <c r="J28" s="1836"/>
    </row>
    <row r="29" spans="1:10" s="1603" customFormat="1" ht="12.75" customHeight="1">
      <c r="A29" s="1835">
        <v>25</v>
      </c>
      <c r="B29" s="1839" t="s">
        <v>5640</v>
      </c>
      <c r="C29" s="2076"/>
      <c r="D29" s="2076"/>
      <c r="E29" s="2076"/>
      <c r="F29" s="2076"/>
      <c r="G29" s="2076"/>
      <c r="H29" s="2075">
        <f t="shared" si="2"/>
        <v>0</v>
      </c>
      <c r="I29" s="2076"/>
      <c r="J29" s="1836"/>
    </row>
    <row r="30" spans="1:10" s="1603" customFormat="1" ht="29.25" customHeight="1">
      <c r="A30" s="1835">
        <v>26</v>
      </c>
      <c r="B30" s="1839" t="s">
        <v>5641</v>
      </c>
      <c r="C30" s="2075">
        <f>SUM(C31:C36)</f>
        <v>0</v>
      </c>
      <c r="D30" s="2075">
        <f t="shared" ref="D30:I30" si="5">SUM(D31:D36)</f>
        <v>0</v>
      </c>
      <c r="E30" s="2075">
        <f t="shared" si="5"/>
        <v>0</v>
      </c>
      <c r="F30" s="2075">
        <f t="shared" si="5"/>
        <v>0</v>
      </c>
      <c r="G30" s="2075">
        <f t="shared" si="5"/>
        <v>0</v>
      </c>
      <c r="H30" s="2075">
        <f t="shared" si="5"/>
        <v>0</v>
      </c>
      <c r="I30" s="2075">
        <f t="shared" si="5"/>
        <v>0</v>
      </c>
      <c r="J30" s="1836"/>
    </row>
    <row r="31" spans="1:10" s="1603" customFormat="1" ht="12.75" customHeight="1">
      <c r="A31" s="1835">
        <v>27</v>
      </c>
      <c r="B31" s="1839" t="s">
        <v>5642</v>
      </c>
      <c r="C31" s="2076"/>
      <c r="D31" s="2076"/>
      <c r="E31" s="2076"/>
      <c r="F31" s="2076"/>
      <c r="G31" s="2076"/>
      <c r="H31" s="2075">
        <f t="shared" si="2"/>
        <v>0</v>
      </c>
      <c r="I31" s="2076"/>
      <c r="J31" s="1836"/>
    </row>
    <row r="32" spans="1:10" s="1603" customFormat="1" ht="12.75" customHeight="1">
      <c r="A32" s="1835">
        <v>28</v>
      </c>
      <c r="B32" s="1839" t="s">
        <v>5643</v>
      </c>
      <c r="C32" s="2076"/>
      <c r="D32" s="2076"/>
      <c r="E32" s="2076"/>
      <c r="F32" s="2076"/>
      <c r="G32" s="2076"/>
      <c r="H32" s="2075">
        <f t="shared" si="2"/>
        <v>0</v>
      </c>
      <c r="I32" s="2076"/>
      <c r="J32" s="1836"/>
    </row>
    <row r="33" spans="1:10" s="1603" customFormat="1" ht="12.75" customHeight="1">
      <c r="A33" s="1835">
        <v>29</v>
      </c>
      <c r="B33" s="1839" t="s">
        <v>5644</v>
      </c>
      <c r="C33" s="2076"/>
      <c r="D33" s="2076"/>
      <c r="E33" s="2076"/>
      <c r="F33" s="2076"/>
      <c r="G33" s="2076"/>
      <c r="H33" s="2075">
        <f t="shared" si="2"/>
        <v>0</v>
      </c>
      <c r="I33" s="2076"/>
      <c r="J33" s="1836"/>
    </row>
    <row r="34" spans="1:10" s="1603" customFormat="1" ht="12.75" customHeight="1">
      <c r="A34" s="1835">
        <v>30</v>
      </c>
      <c r="B34" s="1839" t="s">
        <v>5645</v>
      </c>
      <c r="C34" s="2076"/>
      <c r="D34" s="2076"/>
      <c r="E34" s="2076"/>
      <c r="F34" s="2076"/>
      <c r="G34" s="2076"/>
      <c r="H34" s="2075">
        <f t="shared" si="2"/>
        <v>0</v>
      </c>
      <c r="I34" s="2076"/>
      <c r="J34" s="1836"/>
    </row>
    <row r="35" spans="1:10" s="1603" customFormat="1" ht="12.75" customHeight="1">
      <c r="A35" s="1835">
        <v>31</v>
      </c>
      <c r="B35" s="1839" t="s">
        <v>5646</v>
      </c>
      <c r="C35" s="2076"/>
      <c r="D35" s="2076"/>
      <c r="E35" s="2076"/>
      <c r="F35" s="2076"/>
      <c r="G35" s="2076"/>
      <c r="H35" s="2075">
        <f t="shared" si="2"/>
        <v>0</v>
      </c>
      <c r="I35" s="2076"/>
      <c r="J35" s="1836"/>
    </row>
    <row r="36" spans="1:10" s="1603" customFormat="1" ht="12.75" customHeight="1">
      <c r="A36" s="1835">
        <v>32</v>
      </c>
      <c r="B36" s="1839" t="s">
        <v>5647</v>
      </c>
      <c r="C36" s="2076"/>
      <c r="D36" s="2076"/>
      <c r="E36" s="2076"/>
      <c r="F36" s="2076"/>
      <c r="G36" s="2076"/>
      <c r="H36" s="2075">
        <f t="shared" si="2"/>
        <v>0</v>
      </c>
      <c r="I36" s="2076"/>
      <c r="J36" s="1836"/>
    </row>
    <row r="37" spans="1:10" s="1603" customFormat="1" ht="12.75" customHeight="1">
      <c r="A37" s="1835">
        <v>33</v>
      </c>
      <c r="B37" s="1839" t="s">
        <v>5648</v>
      </c>
      <c r="C37" s="2076"/>
      <c r="D37" s="2076"/>
      <c r="E37" s="2076"/>
      <c r="F37" s="2076"/>
      <c r="G37" s="1982" t="s">
        <v>5542</v>
      </c>
      <c r="H37" s="2075">
        <f>C37-D37-E37-F37</f>
        <v>0</v>
      </c>
      <c r="I37" s="2075">
        <f>I38+I39</f>
        <v>0</v>
      </c>
      <c r="J37" s="1836"/>
    </row>
    <row r="38" spans="1:10" s="1603" customFormat="1" ht="12.75" customHeight="1">
      <c r="A38" s="1835">
        <v>34</v>
      </c>
      <c r="B38" s="1839" t="s">
        <v>5649</v>
      </c>
      <c r="C38" s="1982" t="s">
        <v>5542</v>
      </c>
      <c r="D38" s="1982" t="s">
        <v>5542</v>
      </c>
      <c r="E38" s="1982" t="s">
        <v>5542</v>
      </c>
      <c r="F38" s="1982" t="s">
        <v>5542</v>
      </c>
      <c r="G38" s="1982" t="s">
        <v>5542</v>
      </c>
      <c r="H38" s="1982" t="s">
        <v>5542</v>
      </c>
      <c r="I38" s="2076"/>
      <c r="J38" s="1836"/>
    </row>
    <row r="39" spans="1:10" s="1603" customFormat="1" ht="12.75" customHeight="1">
      <c r="A39" s="1835">
        <v>35</v>
      </c>
      <c r="B39" s="1839" t="s">
        <v>5650</v>
      </c>
      <c r="C39" s="1982" t="s">
        <v>5542</v>
      </c>
      <c r="D39" s="1982" t="s">
        <v>5542</v>
      </c>
      <c r="E39" s="1982" t="s">
        <v>5542</v>
      </c>
      <c r="F39" s="1982" t="s">
        <v>5542</v>
      </c>
      <c r="G39" s="1982" t="s">
        <v>5542</v>
      </c>
      <c r="H39" s="1982" t="s">
        <v>5542</v>
      </c>
      <c r="I39" s="2076"/>
      <c r="J39" s="1836"/>
    </row>
    <row r="40" spans="1:10" s="1603" customFormat="1" ht="12.75" customHeight="1">
      <c r="A40" s="1835">
        <v>36</v>
      </c>
      <c r="B40" s="1839" t="s">
        <v>5651</v>
      </c>
      <c r="C40" s="2075">
        <f>SUM(C41:C43)</f>
        <v>0</v>
      </c>
      <c r="D40" s="2075">
        <f t="shared" ref="D40:I40" si="6">SUM(D41:D43)</f>
        <v>0</v>
      </c>
      <c r="E40" s="2075">
        <f t="shared" si="6"/>
        <v>0</v>
      </c>
      <c r="F40" s="2075">
        <f t="shared" si="6"/>
        <v>0</v>
      </c>
      <c r="G40" s="2075">
        <f t="shared" si="6"/>
        <v>0</v>
      </c>
      <c r="H40" s="2075">
        <f t="shared" si="6"/>
        <v>0</v>
      </c>
      <c r="I40" s="2075">
        <f t="shared" si="6"/>
        <v>0</v>
      </c>
      <c r="J40" s="1836"/>
    </row>
    <row r="41" spans="1:10" s="1603" customFormat="1" ht="12.75" customHeight="1">
      <c r="A41" s="1835">
        <v>37</v>
      </c>
      <c r="B41" s="1839" t="s">
        <v>5652</v>
      </c>
      <c r="C41" s="2076"/>
      <c r="D41" s="2076"/>
      <c r="E41" s="2076"/>
      <c r="F41" s="2076"/>
      <c r="G41" s="2076"/>
      <c r="H41" s="2075">
        <f t="shared" ref="H41:H43" si="7">C41-D41-E41-F41+G41</f>
        <v>0</v>
      </c>
      <c r="I41" s="2076"/>
      <c r="J41" s="1836"/>
    </row>
    <row r="42" spans="1:10" s="1603" customFormat="1" ht="24" customHeight="1">
      <c r="A42" s="1835">
        <v>38</v>
      </c>
      <c r="B42" s="1839" t="s">
        <v>5653</v>
      </c>
      <c r="C42" s="2076"/>
      <c r="D42" s="2076"/>
      <c r="E42" s="2076"/>
      <c r="F42" s="2076"/>
      <c r="G42" s="2076"/>
      <c r="H42" s="2075">
        <f t="shared" si="7"/>
        <v>0</v>
      </c>
      <c r="I42" s="2076"/>
      <c r="J42" s="1836"/>
    </row>
    <row r="43" spans="1:10" s="1603" customFormat="1" ht="12.75" customHeight="1">
      <c r="A43" s="1835">
        <v>39</v>
      </c>
      <c r="B43" s="1839" t="s">
        <v>5654</v>
      </c>
      <c r="C43" s="2076"/>
      <c r="D43" s="2076"/>
      <c r="E43" s="2076"/>
      <c r="F43" s="2076"/>
      <c r="G43" s="2076"/>
      <c r="H43" s="2075">
        <f t="shared" si="7"/>
        <v>0</v>
      </c>
      <c r="I43" s="2076"/>
      <c r="J43" s="1836"/>
    </row>
    <row r="44" spans="1:10" s="1603" customFormat="1" ht="40.5" customHeight="1">
      <c r="A44" s="1835">
        <v>40</v>
      </c>
      <c r="B44" s="1839" t="s">
        <v>5655</v>
      </c>
      <c r="C44" s="2075">
        <f>C5+C21+C30+C37+C40</f>
        <v>0</v>
      </c>
      <c r="D44" s="2075">
        <f t="shared" ref="D44:I44" si="8">D5+D21+D30+D37+D40</f>
        <v>0</v>
      </c>
      <c r="E44" s="2075">
        <f t="shared" si="8"/>
        <v>0</v>
      </c>
      <c r="F44" s="2075">
        <f t="shared" si="8"/>
        <v>0</v>
      </c>
      <c r="G44" s="2075">
        <f>G5+G21+G30+G40</f>
        <v>0</v>
      </c>
      <c r="H44" s="2075">
        <f t="shared" si="8"/>
        <v>0</v>
      </c>
      <c r="I44" s="2075">
        <f t="shared" si="8"/>
        <v>0</v>
      </c>
      <c r="J44" s="1839" t="s">
        <v>5656</v>
      </c>
    </row>
  </sheetData>
  <mergeCells count="3">
    <mergeCell ref="A2:I2"/>
    <mergeCell ref="A3:A4"/>
    <mergeCell ref="B3:B4"/>
  </mergeCells>
  <phoneticPr fontId="51" type="noConversion"/>
  <hyperlinks>
    <hyperlink ref="K12" location="A107020所得减免优惠明细表!A1" display="A107020所得减免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tabColor rgb="FFFFFF00"/>
  </sheetPr>
  <dimension ref="A1:F26"/>
  <sheetViews>
    <sheetView workbookViewId="0">
      <selection activeCell="C10" sqref="C10"/>
    </sheetView>
  </sheetViews>
  <sheetFormatPr defaultRowHeight="15.6"/>
  <cols>
    <col min="1" max="1" width="5.19921875" style="1608" customWidth="1"/>
    <col min="2" max="2" width="56.3984375" style="1608" customWidth="1"/>
    <col min="3" max="3" width="19.19921875" style="1608" customWidth="1"/>
    <col min="4" max="4" width="11.8984375" style="1608" customWidth="1"/>
    <col min="5" max="5" width="9" style="1608"/>
    <col min="6" max="6" width="41.5" style="1608" customWidth="1"/>
    <col min="7" max="256" width="9" style="1608"/>
    <col min="257" max="257" width="5.19921875" style="1608" customWidth="1"/>
    <col min="258" max="258" width="56.3984375" style="1608" customWidth="1"/>
    <col min="259" max="259" width="19.19921875" style="1608" customWidth="1"/>
    <col min="260" max="260" width="11.8984375" style="1608" customWidth="1"/>
    <col min="261" max="261" width="9" style="1608"/>
    <col min="262" max="262" width="41.5" style="1608" customWidth="1"/>
    <col min="263" max="512" width="9" style="1608"/>
    <col min="513" max="513" width="5.19921875" style="1608" customWidth="1"/>
    <col min="514" max="514" width="56.3984375" style="1608" customWidth="1"/>
    <col min="515" max="515" width="19.19921875" style="1608" customWidth="1"/>
    <col min="516" max="516" width="11.8984375" style="1608" customWidth="1"/>
    <col min="517" max="517" width="9" style="1608"/>
    <col min="518" max="518" width="41.5" style="1608" customWidth="1"/>
    <col min="519" max="768" width="9" style="1608"/>
    <col min="769" max="769" width="5.19921875" style="1608" customWidth="1"/>
    <col min="770" max="770" width="56.3984375" style="1608" customWidth="1"/>
    <col min="771" max="771" width="19.19921875" style="1608" customWidth="1"/>
    <col min="772" max="772" width="11.8984375" style="1608" customWidth="1"/>
    <col min="773" max="773" width="9" style="1608"/>
    <col min="774" max="774" width="41.5" style="1608" customWidth="1"/>
    <col min="775" max="1024" width="9" style="1608"/>
    <col min="1025" max="1025" width="5.19921875" style="1608" customWidth="1"/>
    <col min="1026" max="1026" width="56.3984375" style="1608" customWidth="1"/>
    <col min="1027" max="1027" width="19.19921875" style="1608" customWidth="1"/>
    <col min="1028" max="1028" width="11.8984375" style="1608" customWidth="1"/>
    <col min="1029" max="1029" width="9" style="1608"/>
    <col min="1030" max="1030" width="41.5" style="1608" customWidth="1"/>
    <col min="1031" max="1280" width="9" style="1608"/>
    <col min="1281" max="1281" width="5.19921875" style="1608" customWidth="1"/>
    <col min="1282" max="1282" width="56.3984375" style="1608" customWidth="1"/>
    <col min="1283" max="1283" width="19.19921875" style="1608" customWidth="1"/>
    <col min="1284" max="1284" width="11.8984375" style="1608" customWidth="1"/>
    <col min="1285" max="1285" width="9" style="1608"/>
    <col min="1286" max="1286" width="41.5" style="1608" customWidth="1"/>
    <col min="1287" max="1536" width="9" style="1608"/>
    <col min="1537" max="1537" width="5.19921875" style="1608" customWidth="1"/>
    <col min="1538" max="1538" width="56.3984375" style="1608" customWidth="1"/>
    <col min="1539" max="1539" width="19.19921875" style="1608" customWidth="1"/>
    <col min="1540" max="1540" width="11.8984375" style="1608" customWidth="1"/>
    <col min="1541" max="1541" width="9" style="1608"/>
    <col min="1542" max="1542" width="41.5" style="1608" customWidth="1"/>
    <col min="1543" max="1792" width="9" style="1608"/>
    <col min="1793" max="1793" width="5.19921875" style="1608" customWidth="1"/>
    <col min="1794" max="1794" width="56.3984375" style="1608" customWidth="1"/>
    <col min="1795" max="1795" width="19.19921875" style="1608" customWidth="1"/>
    <col min="1796" max="1796" width="11.8984375" style="1608" customWidth="1"/>
    <col min="1797" max="1797" width="9" style="1608"/>
    <col min="1798" max="1798" width="41.5" style="1608" customWidth="1"/>
    <col min="1799" max="2048" width="9" style="1608"/>
    <col min="2049" max="2049" width="5.19921875" style="1608" customWidth="1"/>
    <col min="2050" max="2050" width="56.3984375" style="1608" customWidth="1"/>
    <col min="2051" max="2051" width="19.19921875" style="1608" customWidth="1"/>
    <col min="2052" max="2052" width="11.8984375" style="1608" customWidth="1"/>
    <col min="2053" max="2053" width="9" style="1608"/>
    <col min="2054" max="2054" width="41.5" style="1608" customWidth="1"/>
    <col min="2055" max="2304" width="9" style="1608"/>
    <col min="2305" max="2305" width="5.19921875" style="1608" customWidth="1"/>
    <col min="2306" max="2306" width="56.3984375" style="1608" customWidth="1"/>
    <col min="2307" max="2307" width="19.19921875" style="1608" customWidth="1"/>
    <col min="2308" max="2308" width="11.8984375" style="1608" customWidth="1"/>
    <col min="2309" max="2309" width="9" style="1608"/>
    <col min="2310" max="2310" width="41.5" style="1608" customWidth="1"/>
    <col min="2311" max="2560" width="9" style="1608"/>
    <col min="2561" max="2561" width="5.19921875" style="1608" customWidth="1"/>
    <col min="2562" max="2562" width="56.3984375" style="1608" customWidth="1"/>
    <col min="2563" max="2563" width="19.19921875" style="1608" customWidth="1"/>
    <col min="2564" max="2564" width="11.8984375" style="1608" customWidth="1"/>
    <col min="2565" max="2565" width="9" style="1608"/>
    <col min="2566" max="2566" width="41.5" style="1608" customWidth="1"/>
    <col min="2567" max="2816" width="9" style="1608"/>
    <col min="2817" max="2817" width="5.19921875" style="1608" customWidth="1"/>
    <col min="2818" max="2818" width="56.3984375" style="1608" customWidth="1"/>
    <col min="2819" max="2819" width="19.19921875" style="1608" customWidth="1"/>
    <col min="2820" max="2820" width="11.8984375" style="1608" customWidth="1"/>
    <col min="2821" max="2821" width="9" style="1608"/>
    <col min="2822" max="2822" width="41.5" style="1608" customWidth="1"/>
    <col min="2823" max="3072" width="9" style="1608"/>
    <col min="3073" max="3073" width="5.19921875" style="1608" customWidth="1"/>
    <col min="3074" max="3074" width="56.3984375" style="1608" customWidth="1"/>
    <col min="3075" max="3075" width="19.19921875" style="1608" customWidth="1"/>
    <col min="3076" max="3076" width="11.8984375" style="1608" customWidth="1"/>
    <col min="3077" max="3077" width="9" style="1608"/>
    <col min="3078" max="3078" width="41.5" style="1608" customWidth="1"/>
    <col min="3079" max="3328" width="9" style="1608"/>
    <col min="3329" max="3329" width="5.19921875" style="1608" customWidth="1"/>
    <col min="3330" max="3330" width="56.3984375" style="1608" customWidth="1"/>
    <col min="3331" max="3331" width="19.19921875" style="1608" customWidth="1"/>
    <col min="3332" max="3332" width="11.8984375" style="1608" customWidth="1"/>
    <col min="3333" max="3333" width="9" style="1608"/>
    <col min="3334" max="3334" width="41.5" style="1608" customWidth="1"/>
    <col min="3335" max="3584" width="9" style="1608"/>
    <col min="3585" max="3585" width="5.19921875" style="1608" customWidth="1"/>
    <col min="3586" max="3586" width="56.3984375" style="1608" customWidth="1"/>
    <col min="3587" max="3587" width="19.19921875" style="1608" customWidth="1"/>
    <col min="3588" max="3588" width="11.8984375" style="1608" customWidth="1"/>
    <col min="3589" max="3589" width="9" style="1608"/>
    <col min="3590" max="3590" width="41.5" style="1608" customWidth="1"/>
    <col min="3591" max="3840" width="9" style="1608"/>
    <col min="3841" max="3841" width="5.19921875" style="1608" customWidth="1"/>
    <col min="3842" max="3842" width="56.3984375" style="1608" customWidth="1"/>
    <col min="3843" max="3843" width="19.19921875" style="1608" customWidth="1"/>
    <col min="3844" max="3844" width="11.8984375" style="1608" customWidth="1"/>
    <col min="3845" max="3845" width="9" style="1608"/>
    <col min="3846" max="3846" width="41.5" style="1608" customWidth="1"/>
    <col min="3847" max="4096" width="9" style="1608"/>
    <col min="4097" max="4097" width="5.19921875" style="1608" customWidth="1"/>
    <col min="4098" max="4098" width="56.3984375" style="1608" customWidth="1"/>
    <col min="4099" max="4099" width="19.19921875" style="1608" customWidth="1"/>
    <col min="4100" max="4100" width="11.8984375" style="1608" customWidth="1"/>
    <col min="4101" max="4101" width="9" style="1608"/>
    <col min="4102" max="4102" width="41.5" style="1608" customWidth="1"/>
    <col min="4103" max="4352" width="9" style="1608"/>
    <col min="4353" max="4353" width="5.19921875" style="1608" customWidth="1"/>
    <col min="4354" max="4354" width="56.3984375" style="1608" customWidth="1"/>
    <col min="4355" max="4355" width="19.19921875" style="1608" customWidth="1"/>
    <col min="4356" max="4356" width="11.8984375" style="1608" customWidth="1"/>
    <col min="4357" max="4357" width="9" style="1608"/>
    <col min="4358" max="4358" width="41.5" style="1608" customWidth="1"/>
    <col min="4359" max="4608" width="9" style="1608"/>
    <col min="4609" max="4609" width="5.19921875" style="1608" customWidth="1"/>
    <col min="4610" max="4610" width="56.3984375" style="1608" customWidth="1"/>
    <col min="4611" max="4611" width="19.19921875" style="1608" customWidth="1"/>
    <col min="4612" max="4612" width="11.8984375" style="1608" customWidth="1"/>
    <col min="4613" max="4613" width="9" style="1608"/>
    <col min="4614" max="4614" width="41.5" style="1608" customWidth="1"/>
    <col min="4615" max="4864" width="9" style="1608"/>
    <col min="4865" max="4865" width="5.19921875" style="1608" customWidth="1"/>
    <col min="4866" max="4866" width="56.3984375" style="1608" customWidth="1"/>
    <col min="4867" max="4867" width="19.19921875" style="1608" customWidth="1"/>
    <col min="4868" max="4868" width="11.8984375" style="1608" customWidth="1"/>
    <col min="4869" max="4869" width="9" style="1608"/>
    <col min="4870" max="4870" width="41.5" style="1608" customWidth="1"/>
    <col min="4871" max="5120" width="9" style="1608"/>
    <col min="5121" max="5121" width="5.19921875" style="1608" customWidth="1"/>
    <col min="5122" max="5122" width="56.3984375" style="1608" customWidth="1"/>
    <col min="5123" max="5123" width="19.19921875" style="1608" customWidth="1"/>
    <col min="5124" max="5124" width="11.8984375" style="1608" customWidth="1"/>
    <col min="5125" max="5125" width="9" style="1608"/>
    <col min="5126" max="5126" width="41.5" style="1608" customWidth="1"/>
    <col min="5127" max="5376" width="9" style="1608"/>
    <col min="5377" max="5377" width="5.19921875" style="1608" customWidth="1"/>
    <col min="5378" max="5378" width="56.3984375" style="1608" customWidth="1"/>
    <col min="5379" max="5379" width="19.19921875" style="1608" customWidth="1"/>
    <col min="5380" max="5380" width="11.8984375" style="1608" customWidth="1"/>
    <col min="5381" max="5381" width="9" style="1608"/>
    <col min="5382" max="5382" width="41.5" style="1608" customWidth="1"/>
    <col min="5383" max="5632" width="9" style="1608"/>
    <col min="5633" max="5633" width="5.19921875" style="1608" customWidth="1"/>
    <col min="5634" max="5634" width="56.3984375" style="1608" customWidth="1"/>
    <col min="5635" max="5635" width="19.19921875" style="1608" customWidth="1"/>
    <col min="5636" max="5636" width="11.8984375" style="1608" customWidth="1"/>
    <col min="5637" max="5637" width="9" style="1608"/>
    <col min="5638" max="5638" width="41.5" style="1608" customWidth="1"/>
    <col min="5639" max="5888" width="9" style="1608"/>
    <col min="5889" max="5889" width="5.19921875" style="1608" customWidth="1"/>
    <col min="5890" max="5890" width="56.3984375" style="1608" customWidth="1"/>
    <col min="5891" max="5891" width="19.19921875" style="1608" customWidth="1"/>
    <col min="5892" max="5892" width="11.8984375" style="1608" customWidth="1"/>
    <col min="5893" max="5893" width="9" style="1608"/>
    <col min="5894" max="5894" width="41.5" style="1608" customWidth="1"/>
    <col min="5895" max="6144" width="9" style="1608"/>
    <col min="6145" max="6145" width="5.19921875" style="1608" customWidth="1"/>
    <col min="6146" max="6146" width="56.3984375" style="1608" customWidth="1"/>
    <col min="6147" max="6147" width="19.19921875" style="1608" customWidth="1"/>
    <col min="6148" max="6148" width="11.8984375" style="1608" customWidth="1"/>
    <col min="6149" max="6149" width="9" style="1608"/>
    <col min="6150" max="6150" width="41.5" style="1608" customWidth="1"/>
    <col min="6151" max="6400" width="9" style="1608"/>
    <col min="6401" max="6401" width="5.19921875" style="1608" customWidth="1"/>
    <col min="6402" max="6402" width="56.3984375" style="1608" customWidth="1"/>
    <col min="6403" max="6403" width="19.19921875" style="1608" customWidth="1"/>
    <col min="6404" max="6404" width="11.8984375" style="1608" customWidth="1"/>
    <col min="6405" max="6405" width="9" style="1608"/>
    <col min="6406" max="6406" width="41.5" style="1608" customWidth="1"/>
    <col min="6407" max="6656" width="9" style="1608"/>
    <col min="6657" max="6657" width="5.19921875" style="1608" customWidth="1"/>
    <col min="6658" max="6658" width="56.3984375" style="1608" customWidth="1"/>
    <col min="6659" max="6659" width="19.19921875" style="1608" customWidth="1"/>
    <col min="6660" max="6660" width="11.8984375" style="1608" customWidth="1"/>
    <col min="6661" max="6661" width="9" style="1608"/>
    <col min="6662" max="6662" width="41.5" style="1608" customWidth="1"/>
    <col min="6663" max="6912" width="9" style="1608"/>
    <col min="6913" max="6913" width="5.19921875" style="1608" customWidth="1"/>
    <col min="6914" max="6914" width="56.3984375" style="1608" customWidth="1"/>
    <col min="6915" max="6915" width="19.19921875" style="1608" customWidth="1"/>
    <col min="6916" max="6916" width="11.8984375" style="1608" customWidth="1"/>
    <col min="6917" max="6917" width="9" style="1608"/>
    <col min="6918" max="6918" width="41.5" style="1608" customWidth="1"/>
    <col min="6919" max="7168" width="9" style="1608"/>
    <col min="7169" max="7169" width="5.19921875" style="1608" customWidth="1"/>
    <col min="7170" max="7170" width="56.3984375" style="1608" customWidth="1"/>
    <col min="7171" max="7171" width="19.19921875" style="1608" customWidth="1"/>
    <col min="7172" max="7172" width="11.8984375" style="1608" customWidth="1"/>
    <col min="7173" max="7173" width="9" style="1608"/>
    <col min="7174" max="7174" width="41.5" style="1608" customWidth="1"/>
    <col min="7175" max="7424" width="9" style="1608"/>
    <col min="7425" max="7425" width="5.19921875" style="1608" customWidth="1"/>
    <col min="7426" max="7426" width="56.3984375" style="1608" customWidth="1"/>
    <col min="7427" max="7427" width="19.19921875" style="1608" customWidth="1"/>
    <col min="7428" max="7428" width="11.8984375" style="1608" customWidth="1"/>
    <col min="7429" max="7429" width="9" style="1608"/>
    <col min="7430" max="7430" width="41.5" style="1608" customWidth="1"/>
    <col min="7431" max="7680" width="9" style="1608"/>
    <col min="7681" max="7681" width="5.19921875" style="1608" customWidth="1"/>
    <col min="7682" max="7682" width="56.3984375" style="1608" customWidth="1"/>
    <col min="7683" max="7683" width="19.19921875" style="1608" customWidth="1"/>
    <col min="7684" max="7684" width="11.8984375" style="1608" customWidth="1"/>
    <col min="7685" max="7685" width="9" style="1608"/>
    <col min="7686" max="7686" width="41.5" style="1608" customWidth="1"/>
    <col min="7687" max="7936" width="9" style="1608"/>
    <col min="7937" max="7937" width="5.19921875" style="1608" customWidth="1"/>
    <col min="7938" max="7938" width="56.3984375" style="1608" customWidth="1"/>
    <col min="7939" max="7939" width="19.19921875" style="1608" customWidth="1"/>
    <col min="7940" max="7940" width="11.8984375" style="1608" customWidth="1"/>
    <col min="7941" max="7941" width="9" style="1608"/>
    <col min="7942" max="7942" width="41.5" style="1608" customWidth="1"/>
    <col min="7943" max="8192" width="9" style="1608"/>
    <col min="8193" max="8193" width="5.19921875" style="1608" customWidth="1"/>
    <col min="8194" max="8194" width="56.3984375" style="1608" customWidth="1"/>
    <col min="8195" max="8195" width="19.19921875" style="1608" customWidth="1"/>
    <col min="8196" max="8196" width="11.8984375" style="1608" customWidth="1"/>
    <col min="8197" max="8197" width="9" style="1608"/>
    <col min="8198" max="8198" width="41.5" style="1608" customWidth="1"/>
    <col min="8199" max="8448" width="9" style="1608"/>
    <col min="8449" max="8449" width="5.19921875" style="1608" customWidth="1"/>
    <col min="8450" max="8450" width="56.3984375" style="1608" customWidth="1"/>
    <col min="8451" max="8451" width="19.19921875" style="1608" customWidth="1"/>
    <col min="8452" max="8452" width="11.8984375" style="1608" customWidth="1"/>
    <col min="8453" max="8453" width="9" style="1608"/>
    <col min="8454" max="8454" width="41.5" style="1608" customWidth="1"/>
    <col min="8455" max="8704" width="9" style="1608"/>
    <col min="8705" max="8705" width="5.19921875" style="1608" customWidth="1"/>
    <col min="8706" max="8706" width="56.3984375" style="1608" customWidth="1"/>
    <col min="8707" max="8707" width="19.19921875" style="1608" customWidth="1"/>
    <col min="8708" max="8708" width="11.8984375" style="1608" customWidth="1"/>
    <col min="8709" max="8709" width="9" style="1608"/>
    <col min="8710" max="8710" width="41.5" style="1608" customWidth="1"/>
    <col min="8711" max="8960" width="9" style="1608"/>
    <col min="8961" max="8961" width="5.19921875" style="1608" customWidth="1"/>
    <col min="8962" max="8962" width="56.3984375" style="1608" customWidth="1"/>
    <col min="8963" max="8963" width="19.19921875" style="1608" customWidth="1"/>
    <col min="8964" max="8964" width="11.8984375" style="1608" customWidth="1"/>
    <col min="8965" max="8965" width="9" style="1608"/>
    <col min="8966" max="8966" width="41.5" style="1608" customWidth="1"/>
    <col min="8967" max="9216" width="9" style="1608"/>
    <col min="9217" max="9217" width="5.19921875" style="1608" customWidth="1"/>
    <col min="9218" max="9218" width="56.3984375" style="1608" customWidth="1"/>
    <col min="9219" max="9219" width="19.19921875" style="1608" customWidth="1"/>
    <col min="9220" max="9220" width="11.8984375" style="1608" customWidth="1"/>
    <col min="9221" max="9221" width="9" style="1608"/>
    <col min="9222" max="9222" width="41.5" style="1608" customWidth="1"/>
    <col min="9223" max="9472" width="9" style="1608"/>
    <col min="9473" max="9473" width="5.19921875" style="1608" customWidth="1"/>
    <col min="9474" max="9474" width="56.3984375" style="1608" customWidth="1"/>
    <col min="9475" max="9475" width="19.19921875" style="1608" customWidth="1"/>
    <col min="9476" max="9476" width="11.8984375" style="1608" customWidth="1"/>
    <col min="9477" max="9477" width="9" style="1608"/>
    <col min="9478" max="9478" width="41.5" style="1608" customWidth="1"/>
    <col min="9479" max="9728" width="9" style="1608"/>
    <col min="9729" max="9729" width="5.19921875" style="1608" customWidth="1"/>
    <col min="9730" max="9730" width="56.3984375" style="1608" customWidth="1"/>
    <col min="9731" max="9731" width="19.19921875" style="1608" customWidth="1"/>
    <col min="9732" max="9732" width="11.8984375" style="1608" customWidth="1"/>
    <col min="9733" max="9733" width="9" style="1608"/>
    <col min="9734" max="9734" width="41.5" style="1608" customWidth="1"/>
    <col min="9735" max="9984" width="9" style="1608"/>
    <col min="9985" max="9985" width="5.19921875" style="1608" customWidth="1"/>
    <col min="9986" max="9986" width="56.3984375" style="1608" customWidth="1"/>
    <col min="9987" max="9987" width="19.19921875" style="1608" customWidth="1"/>
    <col min="9988" max="9988" width="11.8984375" style="1608" customWidth="1"/>
    <col min="9989" max="9989" width="9" style="1608"/>
    <col min="9990" max="9990" width="41.5" style="1608" customWidth="1"/>
    <col min="9991" max="10240" width="9" style="1608"/>
    <col min="10241" max="10241" width="5.19921875" style="1608" customWidth="1"/>
    <col min="10242" max="10242" width="56.3984375" style="1608" customWidth="1"/>
    <col min="10243" max="10243" width="19.19921875" style="1608" customWidth="1"/>
    <col min="10244" max="10244" width="11.8984375" style="1608" customWidth="1"/>
    <col min="10245" max="10245" width="9" style="1608"/>
    <col min="10246" max="10246" width="41.5" style="1608" customWidth="1"/>
    <col min="10247" max="10496" width="9" style="1608"/>
    <col min="10497" max="10497" width="5.19921875" style="1608" customWidth="1"/>
    <col min="10498" max="10498" width="56.3984375" style="1608" customWidth="1"/>
    <col min="10499" max="10499" width="19.19921875" style="1608" customWidth="1"/>
    <col min="10500" max="10500" width="11.8984375" style="1608" customWidth="1"/>
    <col min="10501" max="10501" width="9" style="1608"/>
    <col min="10502" max="10502" width="41.5" style="1608" customWidth="1"/>
    <col min="10503" max="10752" width="9" style="1608"/>
    <col min="10753" max="10753" width="5.19921875" style="1608" customWidth="1"/>
    <col min="10754" max="10754" width="56.3984375" style="1608" customWidth="1"/>
    <col min="10755" max="10755" width="19.19921875" style="1608" customWidth="1"/>
    <col min="10756" max="10756" width="11.8984375" style="1608" customWidth="1"/>
    <col min="10757" max="10757" width="9" style="1608"/>
    <col min="10758" max="10758" width="41.5" style="1608" customWidth="1"/>
    <col min="10759" max="11008" width="9" style="1608"/>
    <col min="11009" max="11009" width="5.19921875" style="1608" customWidth="1"/>
    <col min="11010" max="11010" width="56.3984375" style="1608" customWidth="1"/>
    <col min="11011" max="11011" width="19.19921875" style="1608" customWidth="1"/>
    <col min="11012" max="11012" width="11.8984375" style="1608" customWidth="1"/>
    <col min="11013" max="11013" width="9" style="1608"/>
    <col min="11014" max="11014" width="41.5" style="1608" customWidth="1"/>
    <col min="11015" max="11264" width="9" style="1608"/>
    <col min="11265" max="11265" width="5.19921875" style="1608" customWidth="1"/>
    <col min="11266" max="11266" width="56.3984375" style="1608" customWidth="1"/>
    <col min="11267" max="11267" width="19.19921875" style="1608" customWidth="1"/>
    <col min="11268" max="11268" width="11.8984375" style="1608" customWidth="1"/>
    <col min="11269" max="11269" width="9" style="1608"/>
    <col min="11270" max="11270" width="41.5" style="1608" customWidth="1"/>
    <col min="11271" max="11520" width="9" style="1608"/>
    <col min="11521" max="11521" width="5.19921875" style="1608" customWidth="1"/>
    <col min="11522" max="11522" width="56.3984375" style="1608" customWidth="1"/>
    <col min="11523" max="11523" width="19.19921875" style="1608" customWidth="1"/>
    <col min="11524" max="11524" width="11.8984375" style="1608" customWidth="1"/>
    <col min="11525" max="11525" width="9" style="1608"/>
    <col min="11526" max="11526" width="41.5" style="1608" customWidth="1"/>
    <col min="11527" max="11776" width="9" style="1608"/>
    <col min="11777" max="11777" width="5.19921875" style="1608" customWidth="1"/>
    <col min="11778" max="11778" width="56.3984375" style="1608" customWidth="1"/>
    <col min="11779" max="11779" width="19.19921875" style="1608" customWidth="1"/>
    <col min="11780" max="11780" width="11.8984375" style="1608" customWidth="1"/>
    <col min="11781" max="11781" width="9" style="1608"/>
    <col min="11782" max="11782" width="41.5" style="1608" customWidth="1"/>
    <col min="11783" max="12032" width="9" style="1608"/>
    <col min="12033" max="12033" width="5.19921875" style="1608" customWidth="1"/>
    <col min="12034" max="12034" width="56.3984375" style="1608" customWidth="1"/>
    <col min="12035" max="12035" width="19.19921875" style="1608" customWidth="1"/>
    <col min="12036" max="12036" width="11.8984375" style="1608" customWidth="1"/>
    <col min="12037" max="12037" width="9" style="1608"/>
    <col min="12038" max="12038" width="41.5" style="1608" customWidth="1"/>
    <col min="12039" max="12288" width="9" style="1608"/>
    <col min="12289" max="12289" width="5.19921875" style="1608" customWidth="1"/>
    <col min="12290" max="12290" width="56.3984375" style="1608" customWidth="1"/>
    <col min="12291" max="12291" width="19.19921875" style="1608" customWidth="1"/>
    <col min="12292" max="12292" width="11.8984375" style="1608" customWidth="1"/>
    <col min="12293" max="12293" width="9" style="1608"/>
    <col min="12294" max="12294" width="41.5" style="1608" customWidth="1"/>
    <col min="12295" max="12544" width="9" style="1608"/>
    <col min="12545" max="12545" width="5.19921875" style="1608" customWidth="1"/>
    <col min="12546" max="12546" width="56.3984375" style="1608" customWidth="1"/>
    <col min="12547" max="12547" width="19.19921875" style="1608" customWidth="1"/>
    <col min="12548" max="12548" width="11.8984375" style="1608" customWidth="1"/>
    <col min="12549" max="12549" width="9" style="1608"/>
    <col min="12550" max="12550" width="41.5" style="1608" customWidth="1"/>
    <col min="12551" max="12800" width="9" style="1608"/>
    <col min="12801" max="12801" width="5.19921875" style="1608" customWidth="1"/>
    <col min="12802" max="12802" width="56.3984375" style="1608" customWidth="1"/>
    <col min="12803" max="12803" width="19.19921875" style="1608" customWidth="1"/>
    <col min="12804" max="12804" width="11.8984375" style="1608" customWidth="1"/>
    <col min="12805" max="12805" width="9" style="1608"/>
    <col min="12806" max="12806" width="41.5" style="1608" customWidth="1"/>
    <col min="12807" max="13056" width="9" style="1608"/>
    <col min="13057" max="13057" width="5.19921875" style="1608" customWidth="1"/>
    <col min="13058" max="13058" width="56.3984375" style="1608" customWidth="1"/>
    <col min="13059" max="13059" width="19.19921875" style="1608" customWidth="1"/>
    <col min="13060" max="13060" width="11.8984375" style="1608" customWidth="1"/>
    <col min="13061" max="13061" width="9" style="1608"/>
    <col min="13062" max="13062" width="41.5" style="1608" customWidth="1"/>
    <col min="13063" max="13312" width="9" style="1608"/>
    <col min="13313" max="13313" width="5.19921875" style="1608" customWidth="1"/>
    <col min="13314" max="13314" width="56.3984375" style="1608" customWidth="1"/>
    <col min="13315" max="13315" width="19.19921875" style="1608" customWidth="1"/>
    <col min="13316" max="13316" width="11.8984375" style="1608" customWidth="1"/>
    <col min="13317" max="13317" width="9" style="1608"/>
    <col min="13318" max="13318" width="41.5" style="1608" customWidth="1"/>
    <col min="13319" max="13568" width="9" style="1608"/>
    <col min="13569" max="13569" width="5.19921875" style="1608" customWidth="1"/>
    <col min="13570" max="13570" width="56.3984375" style="1608" customWidth="1"/>
    <col min="13571" max="13571" width="19.19921875" style="1608" customWidth="1"/>
    <col min="13572" max="13572" width="11.8984375" style="1608" customWidth="1"/>
    <col min="13573" max="13573" width="9" style="1608"/>
    <col min="13574" max="13574" width="41.5" style="1608" customWidth="1"/>
    <col min="13575" max="13824" width="9" style="1608"/>
    <col min="13825" max="13825" width="5.19921875" style="1608" customWidth="1"/>
    <col min="13826" max="13826" width="56.3984375" style="1608" customWidth="1"/>
    <col min="13827" max="13827" width="19.19921875" style="1608" customWidth="1"/>
    <col min="13828" max="13828" width="11.8984375" style="1608" customWidth="1"/>
    <col min="13829" max="13829" width="9" style="1608"/>
    <col min="13830" max="13830" width="41.5" style="1608" customWidth="1"/>
    <col min="13831" max="14080" width="9" style="1608"/>
    <col min="14081" max="14081" width="5.19921875" style="1608" customWidth="1"/>
    <col min="14082" max="14082" width="56.3984375" style="1608" customWidth="1"/>
    <col min="14083" max="14083" width="19.19921875" style="1608" customWidth="1"/>
    <col min="14084" max="14084" width="11.8984375" style="1608" customWidth="1"/>
    <col min="14085" max="14085" width="9" style="1608"/>
    <col min="14086" max="14086" width="41.5" style="1608" customWidth="1"/>
    <col min="14087" max="14336" width="9" style="1608"/>
    <col min="14337" max="14337" width="5.19921875" style="1608" customWidth="1"/>
    <col min="14338" max="14338" width="56.3984375" style="1608" customWidth="1"/>
    <col min="14339" max="14339" width="19.19921875" style="1608" customWidth="1"/>
    <col min="14340" max="14340" width="11.8984375" style="1608" customWidth="1"/>
    <col min="14341" max="14341" width="9" style="1608"/>
    <col min="14342" max="14342" width="41.5" style="1608" customWidth="1"/>
    <col min="14343" max="14592" width="9" style="1608"/>
    <col min="14593" max="14593" width="5.19921875" style="1608" customWidth="1"/>
    <col min="14594" max="14594" width="56.3984375" style="1608" customWidth="1"/>
    <col min="14595" max="14595" width="19.19921875" style="1608" customWidth="1"/>
    <col min="14596" max="14596" width="11.8984375" style="1608" customWidth="1"/>
    <col min="14597" max="14597" width="9" style="1608"/>
    <col min="14598" max="14598" width="41.5" style="1608" customWidth="1"/>
    <col min="14599" max="14848" width="9" style="1608"/>
    <col min="14849" max="14849" width="5.19921875" style="1608" customWidth="1"/>
    <col min="14850" max="14850" width="56.3984375" style="1608" customWidth="1"/>
    <col min="14851" max="14851" width="19.19921875" style="1608" customWidth="1"/>
    <col min="14852" max="14852" width="11.8984375" style="1608" customWidth="1"/>
    <col min="14853" max="14853" width="9" style="1608"/>
    <col min="14854" max="14854" width="41.5" style="1608" customWidth="1"/>
    <col min="14855" max="15104" width="9" style="1608"/>
    <col min="15105" max="15105" width="5.19921875" style="1608" customWidth="1"/>
    <col min="15106" max="15106" width="56.3984375" style="1608" customWidth="1"/>
    <col min="15107" max="15107" width="19.19921875" style="1608" customWidth="1"/>
    <col min="15108" max="15108" width="11.8984375" style="1608" customWidth="1"/>
    <col min="15109" max="15109" width="9" style="1608"/>
    <col min="15110" max="15110" width="41.5" style="1608" customWidth="1"/>
    <col min="15111" max="15360" width="9" style="1608"/>
    <col min="15361" max="15361" width="5.19921875" style="1608" customWidth="1"/>
    <col min="15362" max="15362" width="56.3984375" style="1608" customWidth="1"/>
    <col min="15363" max="15363" width="19.19921875" style="1608" customWidth="1"/>
    <col min="15364" max="15364" width="11.8984375" style="1608" customWidth="1"/>
    <col min="15365" max="15365" width="9" style="1608"/>
    <col min="15366" max="15366" width="41.5" style="1608" customWidth="1"/>
    <col min="15367" max="15616" width="9" style="1608"/>
    <col min="15617" max="15617" width="5.19921875" style="1608" customWidth="1"/>
    <col min="15618" max="15618" width="56.3984375" style="1608" customWidth="1"/>
    <col min="15619" max="15619" width="19.19921875" style="1608" customWidth="1"/>
    <col min="15620" max="15620" width="11.8984375" style="1608" customWidth="1"/>
    <col min="15621" max="15621" width="9" style="1608"/>
    <col min="15622" max="15622" width="41.5" style="1608" customWidth="1"/>
    <col min="15623" max="15872" width="9" style="1608"/>
    <col min="15873" max="15873" width="5.19921875" style="1608" customWidth="1"/>
    <col min="15874" max="15874" width="56.3984375" style="1608" customWidth="1"/>
    <col min="15875" max="15875" width="19.19921875" style="1608" customWidth="1"/>
    <col min="15876" max="15876" width="11.8984375" style="1608" customWidth="1"/>
    <col min="15877" max="15877" width="9" style="1608"/>
    <col min="15878" max="15878" width="41.5" style="1608" customWidth="1"/>
    <col min="15879" max="16128" width="9" style="1608"/>
    <col min="16129" max="16129" width="5.19921875" style="1608" customWidth="1"/>
    <col min="16130" max="16130" width="56.3984375" style="1608" customWidth="1"/>
    <col min="16131" max="16131" width="19.19921875" style="1608" customWidth="1"/>
    <col min="16132" max="16132" width="11.8984375" style="1608" customWidth="1"/>
    <col min="16133" max="16133" width="9" style="1608"/>
    <col min="16134" max="16134" width="41.5" style="1608" customWidth="1"/>
    <col min="16135" max="16384" width="9" style="1608"/>
  </cols>
  <sheetData>
    <row r="1" spans="1:6" ht="20.100000000000001" customHeight="1">
      <c r="A1" s="2167"/>
      <c r="B1" s="2167"/>
      <c r="C1" s="2167"/>
      <c r="D1" s="2168" t="str">
        <f>"索引号："&amp;档案索引!D12</f>
        <v>索引号：2B-7</v>
      </c>
    </row>
    <row r="2" spans="1:6" s="1609" customFormat="1" ht="25.5" customHeight="1">
      <c r="A2" s="3401" t="s">
        <v>5938</v>
      </c>
      <c r="B2" s="3401"/>
      <c r="C2" s="3461"/>
      <c r="D2" s="1876"/>
    </row>
    <row r="3" spans="1:6" s="1610" customFormat="1" ht="14.25" customHeight="1">
      <c r="A3" s="1877" t="s">
        <v>1853</v>
      </c>
      <c r="B3" s="1877" t="s">
        <v>665</v>
      </c>
      <c r="C3" s="1877" t="s">
        <v>2353</v>
      </c>
      <c r="D3" s="1877" t="s">
        <v>4899</v>
      </c>
      <c r="F3" s="1611"/>
    </row>
    <row r="4" spans="1:6" s="1610" customFormat="1" ht="14.25" customHeight="1">
      <c r="A4" s="3476" t="s">
        <v>6829</v>
      </c>
      <c r="B4" s="3477"/>
      <c r="C4" s="3477"/>
      <c r="D4" s="3478"/>
    </row>
    <row r="5" spans="1:6" s="1610" customFormat="1" ht="14.25" customHeight="1">
      <c r="A5" s="1877">
        <v>1</v>
      </c>
      <c r="B5" s="1879" t="s">
        <v>5659</v>
      </c>
      <c r="C5" s="1612"/>
      <c r="D5" s="1983"/>
    </row>
    <row r="6" spans="1:6" s="1610" customFormat="1" ht="14.25" customHeight="1">
      <c r="A6" s="1877">
        <v>2</v>
      </c>
      <c r="B6" s="1878" t="s">
        <v>5660</v>
      </c>
      <c r="C6" s="2283">
        <v>0.7</v>
      </c>
      <c r="D6" s="1983"/>
    </row>
    <row r="7" spans="1:6" s="1610" customFormat="1" ht="14.25" customHeight="1">
      <c r="A7" s="1877">
        <v>3</v>
      </c>
      <c r="B7" s="1878" t="s">
        <v>6830</v>
      </c>
      <c r="C7" s="2075">
        <f>ROUND(C5*C6,2)</f>
        <v>0</v>
      </c>
      <c r="D7" s="1983"/>
    </row>
    <row r="8" spans="1:6" s="1610" customFormat="1" ht="14.25" customHeight="1">
      <c r="A8" s="1877">
        <v>4</v>
      </c>
      <c r="B8" s="1878" t="s">
        <v>5661</v>
      </c>
      <c r="C8" s="2238"/>
      <c r="D8" s="1983"/>
    </row>
    <row r="9" spans="1:6" s="1610" customFormat="1" ht="14.25" customHeight="1">
      <c r="A9" s="1877">
        <v>5</v>
      </c>
      <c r="B9" s="1878" t="s">
        <v>6831</v>
      </c>
      <c r="C9" s="2075">
        <f>C7+C8</f>
        <v>0</v>
      </c>
      <c r="D9" s="1983"/>
    </row>
    <row r="10" spans="1:6" s="1610" customFormat="1" ht="14.25" customHeight="1">
      <c r="A10" s="1877">
        <v>6</v>
      </c>
      <c r="B10" s="1878" t="s">
        <v>5662</v>
      </c>
      <c r="C10" s="2075">
        <f ca="1">MAX('A100000中华人民共和国企业所得税年度纳税申报表（A类）'!$D$22-'A100000中华人民共和国企业所得税年度纳税申报表（A类）'!$D$23-$C$18,0)</f>
        <v>0</v>
      </c>
      <c r="D10" s="2284" t="s">
        <v>6844</v>
      </c>
    </row>
    <row r="11" spans="1:6" s="1610" customFormat="1" ht="14.25" customHeight="1">
      <c r="A11" s="1877">
        <v>7</v>
      </c>
      <c r="B11" s="1878" t="s">
        <v>6832</v>
      </c>
      <c r="C11" s="2075">
        <f ca="1">MIN(C9,C10)</f>
        <v>0</v>
      </c>
      <c r="D11" s="1983"/>
    </row>
    <row r="12" spans="1:6" s="1610" customFormat="1" ht="14.25" customHeight="1">
      <c r="A12" s="1877">
        <v>8</v>
      </c>
      <c r="B12" s="1878" t="s">
        <v>5665</v>
      </c>
      <c r="C12" s="2075">
        <f ca="1">C9-C11</f>
        <v>0</v>
      </c>
      <c r="D12" s="1983"/>
    </row>
    <row r="13" spans="1:6" s="1610" customFormat="1" ht="14.25" customHeight="1">
      <c r="A13" s="3476" t="s">
        <v>6833</v>
      </c>
      <c r="B13" s="3477"/>
      <c r="C13" s="3477"/>
      <c r="D13" s="3478"/>
    </row>
    <row r="14" spans="1:6" s="1610" customFormat="1" ht="14.25" customHeight="1">
      <c r="A14" s="1877">
        <v>9</v>
      </c>
      <c r="B14" s="1878" t="s">
        <v>6835</v>
      </c>
      <c r="C14" s="2238"/>
      <c r="D14" s="1983"/>
    </row>
    <row r="15" spans="1:6" s="1610" customFormat="1" ht="14.25" customHeight="1">
      <c r="A15" s="1877">
        <v>10</v>
      </c>
      <c r="B15" s="1878" t="s">
        <v>6836</v>
      </c>
      <c r="C15" s="2238"/>
      <c r="D15" s="1983"/>
    </row>
    <row r="16" spans="1:6" s="1610" customFormat="1" ht="14.25" customHeight="1">
      <c r="A16" s="1877">
        <v>11</v>
      </c>
      <c r="B16" s="1878" t="s">
        <v>6837</v>
      </c>
      <c r="C16" s="2238"/>
      <c r="D16" s="1983"/>
    </row>
    <row r="17" spans="1:5" s="1610" customFormat="1" ht="14.25" customHeight="1">
      <c r="A17" s="1877">
        <v>12</v>
      </c>
      <c r="B17" s="1878" t="s">
        <v>6838</v>
      </c>
      <c r="C17" s="2075">
        <f>C15+C16</f>
        <v>0</v>
      </c>
      <c r="D17" s="1983"/>
    </row>
    <row r="18" spans="1:5" s="1610" customFormat="1" ht="48.75" customHeight="1">
      <c r="A18" s="1877">
        <v>13</v>
      </c>
      <c r="B18" s="1878" t="s">
        <v>6839</v>
      </c>
      <c r="C18" s="2075">
        <f ca="1">MAX(0,MIN(C14,C17,'A100000中华人民共和国企业所得税年度纳税申报表（A类）'!$D$22-'A100000中华人民共和国企业所得税年度纳税申报表（A类）'!$D$23))</f>
        <v>0</v>
      </c>
      <c r="D18" s="1984" t="s">
        <v>5663</v>
      </c>
    </row>
    <row r="19" spans="1:5" s="1610" customFormat="1" ht="30" customHeight="1">
      <c r="A19" s="1877">
        <v>14</v>
      </c>
      <c r="B19" s="1878" t="s">
        <v>6840</v>
      </c>
      <c r="C19" s="2075">
        <f>MAX(C17-C14,0)</f>
        <v>0</v>
      </c>
      <c r="D19" s="1985" t="s">
        <v>5664</v>
      </c>
      <c r="E19" s="1675" t="s">
        <v>6466</v>
      </c>
    </row>
    <row r="20" spans="1:5" s="1610" customFormat="1" ht="30" customHeight="1">
      <c r="A20" s="3476" t="s">
        <v>6834</v>
      </c>
      <c r="B20" s="3477"/>
      <c r="C20" s="3477"/>
      <c r="D20" s="3478"/>
      <c r="E20" s="1675"/>
    </row>
    <row r="21" spans="1:5" s="1610" customFormat="1" ht="14.25" customHeight="1">
      <c r="A21" s="1877">
        <v>15</v>
      </c>
      <c r="B21" s="1878" t="s">
        <v>6841</v>
      </c>
      <c r="C21" s="2075">
        <f ca="1">C18+C11</f>
        <v>0</v>
      </c>
      <c r="D21" s="1983" t="s">
        <v>6842</v>
      </c>
    </row>
    <row r="22" spans="1:5">
      <c r="A22" s="1584"/>
      <c r="B22" s="1584"/>
      <c r="C22" s="1584"/>
      <c r="D22" s="1584"/>
    </row>
    <row r="23" spans="1:5">
      <c r="A23" s="1584"/>
      <c r="B23" s="1584"/>
      <c r="C23" s="1584"/>
      <c r="D23" s="1584"/>
    </row>
    <row r="24" spans="1:5">
      <c r="A24" s="1584"/>
      <c r="B24" s="1584"/>
      <c r="C24" s="1584"/>
      <c r="D24" s="1584"/>
    </row>
    <row r="25" spans="1:5">
      <c r="A25" s="1584"/>
      <c r="B25" s="1584"/>
      <c r="C25" s="1584"/>
      <c r="D25" s="1584"/>
    </row>
    <row r="26" spans="1:5">
      <c r="A26" s="1584"/>
      <c r="B26" s="1584"/>
      <c r="C26" s="1584"/>
      <c r="D26" s="1584"/>
    </row>
  </sheetData>
  <mergeCells count="4">
    <mergeCell ref="A2:C2"/>
    <mergeCell ref="A4:D4"/>
    <mergeCell ref="A13:D13"/>
    <mergeCell ref="A20:D20"/>
  </mergeCells>
  <phoneticPr fontId="51" type="noConversion"/>
  <hyperlinks>
    <hyperlink ref="E19" location="A107030抵扣应纳税所得额明细表!A1" display="A107030抵扣应纳税所得额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tabColor rgb="FFFFFF00"/>
  </sheetPr>
  <dimension ref="A1:K152"/>
  <sheetViews>
    <sheetView topLeftCell="A82" workbookViewId="0">
      <selection activeCell="A96" sqref="A96:D96"/>
    </sheetView>
  </sheetViews>
  <sheetFormatPr defaultRowHeight="15.6"/>
  <cols>
    <col min="1" max="1" width="5.19921875" style="1605" customWidth="1"/>
    <col min="2" max="2" width="61.59765625" style="1605" customWidth="1"/>
    <col min="3" max="3" width="12.3984375" style="1605" customWidth="1"/>
    <col min="4" max="4" width="20.19921875" style="1605" customWidth="1"/>
    <col min="5" max="5" width="9" style="1605"/>
    <col min="6" max="6" width="17.59765625" style="1605" customWidth="1"/>
    <col min="7" max="7" width="9" style="1605"/>
    <col min="8" max="8" width="11.19921875" style="1605" customWidth="1"/>
    <col min="9" max="250" width="9" style="1605"/>
    <col min="251" max="251" width="5.19921875" style="1605" customWidth="1"/>
    <col min="252" max="252" width="48.09765625" style="1605" customWidth="1"/>
    <col min="253" max="253" width="7.8984375" style="1605" customWidth="1"/>
    <col min="254" max="254" width="20.19921875" style="1605" customWidth="1"/>
    <col min="255" max="255" width="9" style="1605"/>
    <col min="256" max="256" width="17.59765625" style="1605" customWidth="1"/>
    <col min="257" max="506" width="9" style="1605"/>
    <col min="507" max="507" width="5.19921875" style="1605" customWidth="1"/>
    <col min="508" max="508" width="48.09765625" style="1605" customWidth="1"/>
    <col min="509" max="509" width="7.8984375" style="1605" customWidth="1"/>
    <col min="510" max="510" width="20.19921875" style="1605" customWidth="1"/>
    <col min="511" max="511" width="9" style="1605"/>
    <col min="512" max="512" width="17.59765625" style="1605" customWidth="1"/>
    <col min="513" max="762" width="9" style="1605"/>
    <col min="763" max="763" width="5.19921875" style="1605" customWidth="1"/>
    <col min="764" max="764" width="48.09765625" style="1605" customWidth="1"/>
    <col min="765" max="765" width="7.8984375" style="1605" customWidth="1"/>
    <col min="766" max="766" width="20.19921875" style="1605" customWidth="1"/>
    <col min="767" max="767" width="9" style="1605"/>
    <col min="768" max="768" width="17.59765625" style="1605" customWidth="1"/>
    <col min="769" max="1018" width="9" style="1605"/>
    <col min="1019" max="1019" width="5.19921875" style="1605" customWidth="1"/>
    <col min="1020" max="1020" width="48.09765625" style="1605" customWidth="1"/>
    <col min="1021" max="1021" width="7.8984375" style="1605" customWidth="1"/>
    <col min="1022" max="1022" width="20.19921875" style="1605" customWidth="1"/>
    <col min="1023" max="1023" width="9" style="1605"/>
    <col min="1024" max="1024" width="17.59765625" style="1605" customWidth="1"/>
    <col min="1025" max="1274" width="9" style="1605"/>
    <col min="1275" max="1275" width="5.19921875" style="1605" customWidth="1"/>
    <col min="1276" max="1276" width="48.09765625" style="1605" customWidth="1"/>
    <col min="1277" max="1277" width="7.8984375" style="1605" customWidth="1"/>
    <col min="1278" max="1278" width="20.19921875" style="1605" customWidth="1"/>
    <col min="1279" max="1279" width="9" style="1605"/>
    <col min="1280" max="1280" width="17.59765625" style="1605" customWidth="1"/>
    <col min="1281" max="1530" width="9" style="1605"/>
    <col min="1531" max="1531" width="5.19921875" style="1605" customWidth="1"/>
    <col min="1532" max="1532" width="48.09765625" style="1605" customWidth="1"/>
    <col min="1533" max="1533" width="7.8984375" style="1605" customWidth="1"/>
    <col min="1534" max="1534" width="20.19921875" style="1605" customWidth="1"/>
    <col min="1535" max="1535" width="9" style="1605"/>
    <col min="1536" max="1536" width="17.59765625" style="1605" customWidth="1"/>
    <col min="1537" max="1786" width="9" style="1605"/>
    <col min="1787" max="1787" width="5.19921875" style="1605" customWidth="1"/>
    <col min="1788" max="1788" width="48.09765625" style="1605" customWidth="1"/>
    <col min="1789" max="1789" width="7.8984375" style="1605" customWidth="1"/>
    <col min="1790" max="1790" width="20.19921875" style="1605" customWidth="1"/>
    <col min="1791" max="1791" width="9" style="1605"/>
    <col min="1792" max="1792" width="17.59765625" style="1605" customWidth="1"/>
    <col min="1793" max="2042" width="9" style="1605"/>
    <col min="2043" max="2043" width="5.19921875" style="1605" customWidth="1"/>
    <col min="2044" max="2044" width="48.09765625" style="1605" customWidth="1"/>
    <col min="2045" max="2045" width="7.8984375" style="1605" customWidth="1"/>
    <col min="2046" max="2046" width="20.19921875" style="1605" customWidth="1"/>
    <col min="2047" max="2047" width="9" style="1605"/>
    <col min="2048" max="2048" width="17.59765625" style="1605" customWidth="1"/>
    <col min="2049" max="2298" width="9" style="1605"/>
    <col min="2299" max="2299" width="5.19921875" style="1605" customWidth="1"/>
    <col min="2300" max="2300" width="48.09765625" style="1605" customWidth="1"/>
    <col min="2301" max="2301" width="7.8984375" style="1605" customWidth="1"/>
    <col min="2302" max="2302" width="20.19921875" style="1605" customWidth="1"/>
    <col min="2303" max="2303" width="9" style="1605"/>
    <col min="2304" max="2304" width="17.59765625" style="1605" customWidth="1"/>
    <col min="2305" max="2554" width="9" style="1605"/>
    <col min="2555" max="2555" width="5.19921875" style="1605" customWidth="1"/>
    <col min="2556" max="2556" width="48.09765625" style="1605" customWidth="1"/>
    <col min="2557" max="2557" width="7.8984375" style="1605" customWidth="1"/>
    <col min="2558" max="2558" width="20.19921875" style="1605" customWidth="1"/>
    <col min="2559" max="2559" width="9" style="1605"/>
    <col min="2560" max="2560" width="17.59765625" style="1605" customWidth="1"/>
    <col min="2561" max="2810" width="9" style="1605"/>
    <col min="2811" max="2811" width="5.19921875" style="1605" customWidth="1"/>
    <col min="2812" max="2812" width="48.09765625" style="1605" customWidth="1"/>
    <col min="2813" max="2813" width="7.8984375" style="1605" customWidth="1"/>
    <col min="2814" max="2814" width="20.19921875" style="1605" customWidth="1"/>
    <col min="2815" max="2815" width="9" style="1605"/>
    <col min="2816" max="2816" width="17.59765625" style="1605" customWidth="1"/>
    <col min="2817" max="3066" width="9" style="1605"/>
    <col min="3067" max="3067" width="5.19921875" style="1605" customWidth="1"/>
    <col min="3068" max="3068" width="48.09765625" style="1605" customWidth="1"/>
    <col min="3069" max="3069" width="7.8984375" style="1605" customWidth="1"/>
    <col min="3070" max="3070" width="20.19921875" style="1605" customWidth="1"/>
    <col min="3071" max="3071" width="9" style="1605"/>
    <col min="3072" max="3072" width="17.59765625" style="1605" customWidth="1"/>
    <col min="3073" max="3322" width="9" style="1605"/>
    <col min="3323" max="3323" width="5.19921875" style="1605" customWidth="1"/>
    <col min="3324" max="3324" width="48.09765625" style="1605" customWidth="1"/>
    <col min="3325" max="3325" width="7.8984375" style="1605" customWidth="1"/>
    <col min="3326" max="3326" width="20.19921875" style="1605" customWidth="1"/>
    <col min="3327" max="3327" width="9" style="1605"/>
    <col min="3328" max="3328" width="17.59765625" style="1605" customWidth="1"/>
    <col min="3329" max="3578" width="9" style="1605"/>
    <col min="3579" max="3579" width="5.19921875" style="1605" customWidth="1"/>
    <col min="3580" max="3580" width="48.09765625" style="1605" customWidth="1"/>
    <col min="3581" max="3581" width="7.8984375" style="1605" customWidth="1"/>
    <col min="3582" max="3582" width="20.19921875" style="1605" customWidth="1"/>
    <col min="3583" max="3583" width="9" style="1605"/>
    <col min="3584" max="3584" width="17.59765625" style="1605" customWidth="1"/>
    <col min="3585" max="3834" width="9" style="1605"/>
    <col min="3835" max="3835" width="5.19921875" style="1605" customWidth="1"/>
    <col min="3836" max="3836" width="48.09765625" style="1605" customWidth="1"/>
    <col min="3837" max="3837" width="7.8984375" style="1605" customWidth="1"/>
    <col min="3838" max="3838" width="20.19921875" style="1605" customWidth="1"/>
    <col min="3839" max="3839" width="9" style="1605"/>
    <col min="3840" max="3840" width="17.59765625" style="1605" customWidth="1"/>
    <col min="3841" max="4090" width="9" style="1605"/>
    <col min="4091" max="4091" width="5.19921875" style="1605" customWidth="1"/>
    <col min="4092" max="4092" width="48.09765625" style="1605" customWidth="1"/>
    <col min="4093" max="4093" width="7.8984375" style="1605" customWidth="1"/>
    <col min="4094" max="4094" width="20.19921875" style="1605" customWidth="1"/>
    <col min="4095" max="4095" width="9" style="1605"/>
    <col min="4096" max="4096" width="17.59765625" style="1605" customWidth="1"/>
    <col min="4097" max="4346" width="9" style="1605"/>
    <col min="4347" max="4347" width="5.19921875" style="1605" customWidth="1"/>
    <col min="4348" max="4348" width="48.09765625" style="1605" customWidth="1"/>
    <col min="4349" max="4349" width="7.8984375" style="1605" customWidth="1"/>
    <col min="4350" max="4350" width="20.19921875" style="1605" customWidth="1"/>
    <col min="4351" max="4351" width="9" style="1605"/>
    <col min="4352" max="4352" width="17.59765625" style="1605" customWidth="1"/>
    <col min="4353" max="4602" width="9" style="1605"/>
    <col min="4603" max="4603" width="5.19921875" style="1605" customWidth="1"/>
    <col min="4604" max="4604" width="48.09765625" style="1605" customWidth="1"/>
    <col min="4605" max="4605" width="7.8984375" style="1605" customWidth="1"/>
    <col min="4606" max="4606" width="20.19921875" style="1605" customWidth="1"/>
    <col min="4607" max="4607" width="9" style="1605"/>
    <col min="4608" max="4608" width="17.59765625" style="1605" customWidth="1"/>
    <col min="4609" max="4858" width="9" style="1605"/>
    <col min="4859" max="4859" width="5.19921875" style="1605" customWidth="1"/>
    <col min="4860" max="4860" width="48.09765625" style="1605" customWidth="1"/>
    <col min="4861" max="4861" width="7.8984375" style="1605" customWidth="1"/>
    <col min="4862" max="4862" width="20.19921875" style="1605" customWidth="1"/>
    <col min="4863" max="4863" width="9" style="1605"/>
    <col min="4864" max="4864" width="17.59765625" style="1605" customWidth="1"/>
    <col min="4865" max="5114" width="9" style="1605"/>
    <col min="5115" max="5115" width="5.19921875" style="1605" customWidth="1"/>
    <col min="5116" max="5116" width="48.09765625" style="1605" customWidth="1"/>
    <col min="5117" max="5117" width="7.8984375" style="1605" customWidth="1"/>
    <col min="5118" max="5118" width="20.19921875" style="1605" customWidth="1"/>
    <col min="5119" max="5119" width="9" style="1605"/>
    <col min="5120" max="5120" width="17.59765625" style="1605" customWidth="1"/>
    <col min="5121" max="5370" width="9" style="1605"/>
    <col min="5371" max="5371" width="5.19921875" style="1605" customWidth="1"/>
    <col min="5372" max="5372" width="48.09765625" style="1605" customWidth="1"/>
    <col min="5373" max="5373" width="7.8984375" style="1605" customWidth="1"/>
    <col min="5374" max="5374" width="20.19921875" style="1605" customWidth="1"/>
    <col min="5375" max="5375" width="9" style="1605"/>
    <col min="5376" max="5376" width="17.59765625" style="1605" customWidth="1"/>
    <col min="5377" max="5626" width="9" style="1605"/>
    <col min="5627" max="5627" width="5.19921875" style="1605" customWidth="1"/>
    <col min="5628" max="5628" width="48.09765625" style="1605" customWidth="1"/>
    <col min="5629" max="5629" width="7.8984375" style="1605" customWidth="1"/>
    <col min="5630" max="5630" width="20.19921875" style="1605" customWidth="1"/>
    <col min="5631" max="5631" width="9" style="1605"/>
    <col min="5632" max="5632" width="17.59765625" style="1605" customWidth="1"/>
    <col min="5633" max="5882" width="9" style="1605"/>
    <col min="5883" max="5883" width="5.19921875" style="1605" customWidth="1"/>
    <col min="5884" max="5884" width="48.09765625" style="1605" customWidth="1"/>
    <col min="5885" max="5885" width="7.8984375" style="1605" customWidth="1"/>
    <col min="5886" max="5886" width="20.19921875" style="1605" customWidth="1"/>
    <col min="5887" max="5887" width="9" style="1605"/>
    <col min="5888" max="5888" width="17.59765625" style="1605" customWidth="1"/>
    <col min="5889" max="6138" width="9" style="1605"/>
    <col min="6139" max="6139" width="5.19921875" style="1605" customWidth="1"/>
    <col min="6140" max="6140" width="48.09765625" style="1605" customWidth="1"/>
    <col min="6141" max="6141" width="7.8984375" style="1605" customWidth="1"/>
    <col min="6142" max="6142" width="20.19921875" style="1605" customWidth="1"/>
    <col min="6143" max="6143" width="9" style="1605"/>
    <col min="6144" max="6144" width="17.59765625" style="1605" customWidth="1"/>
    <col min="6145" max="6394" width="9" style="1605"/>
    <col min="6395" max="6395" width="5.19921875" style="1605" customWidth="1"/>
    <col min="6396" max="6396" width="48.09765625" style="1605" customWidth="1"/>
    <col min="6397" max="6397" width="7.8984375" style="1605" customWidth="1"/>
    <col min="6398" max="6398" width="20.19921875" style="1605" customWidth="1"/>
    <col min="6399" max="6399" width="9" style="1605"/>
    <col min="6400" max="6400" width="17.59765625" style="1605" customWidth="1"/>
    <col min="6401" max="6650" width="9" style="1605"/>
    <col min="6651" max="6651" width="5.19921875" style="1605" customWidth="1"/>
    <col min="6652" max="6652" width="48.09765625" style="1605" customWidth="1"/>
    <col min="6653" max="6653" width="7.8984375" style="1605" customWidth="1"/>
    <col min="6654" max="6654" width="20.19921875" style="1605" customWidth="1"/>
    <col min="6655" max="6655" width="9" style="1605"/>
    <col min="6656" max="6656" width="17.59765625" style="1605" customWidth="1"/>
    <col min="6657" max="6906" width="9" style="1605"/>
    <col min="6907" max="6907" width="5.19921875" style="1605" customWidth="1"/>
    <col min="6908" max="6908" width="48.09765625" style="1605" customWidth="1"/>
    <col min="6909" max="6909" width="7.8984375" style="1605" customWidth="1"/>
    <col min="6910" max="6910" width="20.19921875" style="1605" customWidth="1"/>
    <col min="6911" max="6911" width="9" style="1605"/>
    <col min="6912" max="6912" width="17.59765625" style="1605" customWidth="1"/>
    <col min="6913" max="7162" width="9" style="1605"/>
    <col min="7163" max="7163" width="5.19921875" style="1605" customWidth="1"/>
    <col min="7164" max="7164" width="48.09765625" style="1605" customWidth="1"/>
    <col min="7165" max="7165" width="7.8984375" style="1605" customWidth="1"/>
    <col min="7166" max="7166" width="20.19921875" style="1605" customWidth="1"/>
    <col min="7167" max="7167" width="9" style="1605"/>
    <col min="7168" max="7168" width="17.59765625" style="1605" customWidth="1"/>
    <col min="7169" max="7418" width="9" style="1605"/>
    <col min="7419" max="7419" width="5.19921875" style="1605" customWidth="1"/>
    <col min="7420" max="7420" width="48.09765625" style="1605" customWidth="1"/>
    <col min="7421" max="7421" width="7.8984375" style="1605" customWidth="1"/>
    <col min="7422" max="7422" width="20.19921875" style="1605" customWidth="1"/>
    <col min="7423" max="7423" width="9" style="1605"/>
    <col min="7424" max="7424" width="17.59765625" style="1605" customWidth="1"/>
    <col min="7425" max="7674" width="9" style="1605"/>
    <col min="7675" max="7675" width="5.19921875" style="1605" customWidth="1"/>
    <col min="7676" max="7676" width="48.09765625" style="1605" customWidth="1"/>
    <col min="7677" max="7677" width="7.8984375" style="1605" customWidth="1"/>
    <col min="7678" max="7678" width="20.19921875" style="1605" customWidth="1"/>
    <col min="7679" max="7679" width="9" style="1605"/>
    <col min="7680" max="7680" width="17.59765625" style="1605" customWidth="1"/>
    <col min="7681" max="7930" width="9" style="1605"/>
    <col min="7931" max="7931" width="5.19921875" style="1605" customWidth="1"/>
    <col min="7932" max="7932" width="48.09765625" style="1605" customWidth="1"/>
    <col min="7933" max="7933" width="7.8984375" style="1605" customWidth="1"/>
    <col min="7934" max="7934" width="20.19921875" style="1605" customWidth="1"/>
    <col min="7935" max="7935" width="9" style="1605"/>
    <col min="7936" max="7936" width="17.59765625" style="1605" customWidth="1"/>
    <col min="7937" max="8186" width="9" style="1605"/>
    <col min="8187" max="8187" width="5.19921875" style="1605" customWidth="1"/>
    <col min="8188" max="8188" width="48.09765625" style="1605" customWidth="1"/>
    <col min="8189" max="8189" width="7.8984375" style="1605" customWidth="1"/>
    <col min="8190" max="8190" width="20.19921875" style="1605" customWidth="1"/>
    <col min="8191" max="8191" width="9" style="1605"/>
    <col min="8192" max="8192" width="17.59765625" style="1605" customWidth="1"/>
    <col min="8193" max="8442" width="9" style="1605"/>
    <col min="8443" max="8443" width="5.19921875" style="1605" customWidth="1"/>
    <col min="8444" max="8444" width="48.09765625" style="1605" customWidth="1"/>
    <col min="8445" max="8445" width="7.8984375" style="1605" customWidth="1"/>
    <col min="8446" max="8446" width="20.19921875" style="1605" customWidth="1"/>
    <col min="8447" max="8447" width="9" style="1605"/>
    <col min="8448" max="8448" width="17.59765625" style="1605" customWidth="1"/>
    <col min="8449" max="8698" width="9" style="1605"/>
    <col min="8699" max="8699" width="5.19921875" style="1605" customWidth="1"/>
    <col min="8700" max="8700" width="48.09765625" style="1605" customWidth="1"/>
    <col min="8701" max="8701" width="7.8984375" style="1605" customWidth="1"/>
    <col min="8702" max="8702" width="20.19921875" style="1605" customWidth="1"/>
    <col min="8703" max="8703" width="9" style="1605"/>
    <col min="8704" max="8704" width="17.59765625" style="1605" customWidth="1"/>
    <col min="8705" max="8954" width="9" style="1605"/>
    <col min="8955" max="8955" width="5.19921875" style="1605" customWidth="1"/>
    <col min="8956" max="8956" width="48.09765625" style="1605" customWidth="1"/>
    <col min="8957" max="8957" width="7.8984375" style="1605" customWidth="1"/>
    <col min="8958" max="8958" width="20.19921875" style="1605" customWidth="1"/>
    <col min="8959" max="8959" width="9" style="1605"/>
    <col min="8960" max="8960" width="17.59765625" style="1605" customWidth="1"/>
    <col min="8961" max="9210" width="9" style="1605"/>
    <col min="9211" max="9211" width="5.19921875" style="1605" customWidth="1"/>
    <col min="9212" max="9212" width="48.09765625" style="1605" customWidth="1"/>
    <col min="9213" max="9213" width="7.8984375" style="1605" customWidth="1"/>
    <col min="9214" max="9214" width="20.19921875" style="1605" customWidth="1"/>
    <col min="9215" max="9215" width="9" style="1605"/>
    <col min="9216" max="9216" width="17.59765625" style="1605" customWidth="1"/>
    <col min="9217" max="9466" width="9" style="1605"/>
    <col min="9467" max="9467" width="5.19921875" style="1605" customWidth="1"/>
    <col min="9468" max="9468" width="48.09765625" style="1605" customWidth="1"/>
    <col min="9469" max="9469" width="7.8984375" style="1605" customWidth="1"/>
    <col min="9470" max="9470" width="20.19921875" style="1605" customWidth="1"/>
    <col min="9471" max="9471" width="9" style="1605"/>
    <col min="9472" max="9472" width="17.59765625" style="1605" customWidth="1"/>
    <col min="9473" max="9722" width="9" style="1605"/>
    <col min="9723" max="9723" width="5.19921875" style="1605" customWidth="1"/>
    <col min="9724" max="9724" width="48.09765625" style="1605" customWidth="1"/>
    <col min="9725" max="9725" width="7.8984375" style="1605" customWidth="1"/>
    <col min="9726" max="9726" width="20.19921875" style="1605" customWidth="1"/>
    <col min="9727" max="9727" width="9" style="1605"/>
    <col min="9728" max="9728" width="17.59765625" style="1605" customWidth="1"/>
    <col min="9729" max="9978" width="9" style="1605"/>
    <col min="9979" max="9979" width="5.19921875" style="1605" customWidth="1"/>
    <col min="9980" max="9980" width="48.09765625" style="1605" customWidth="1"/>
    <col min="9981" max="9981" width="7.8984375" style="1605" customWidth="1"/>
    <col min="9982" max="9982" width="20.19921875" style="1605" customWidth="1"/>
    <col min="9983" max="9983" width="9" style="1605"/>
    <col min="9984" max="9984" width="17.59765625" style="1605" customWidth="1"/>
    <col min="9985" max="10234" width="9" style="1605"/>
    <col min="10235" max="10235" width="5.19921875" style="1605" customWidth="1"/>
    <col min="10236" max="10236" width="48.09765625" style="1605" customWidth="1"/>
    <col min="10237" max="10237" width="7.8984375" style="1605" customWidth="1"/>
    <col min="10238" max="10238" width="20.19921875" style="1605" customWidth="1"/>
    <col min="10239" max="10239" width="9" style="1605"/>
    <col min="10240" max="10240" width="17.59765625" style="1605" customWidth="1"/>
    <col min="10241" max="10490" width="9" style="1605"/>
    <col min="10491" max="10491" width="5.19921875" style="1605" customWidth="1"/>
    <col min="10492" max="10492" width="48.09765625" style="1605" customWidth="1"/>
    <col min="10493" max="10493" width="7.8984375" style="1605" customWidth="1"/>
    <col min="10494" max="10494" width="20.19921875" style="1605" customWidth="1"/>
    <col min="10495" max="10495" width="9" style="1605"/>
    <col min="10496" max="10496" width="17.59765625" style="1605" customWidth="1"/>
    <col min="10497" max="10746" width="9" style="1605"/>
    <col min="10747" max="10747" width="5.19921875" style="1605" customWidth="1"/>
    <col min="10748" max="10748" width="48.09765625" style="1605" customWidth="1"/>
    <col min="10749" max="10749" width="7.8984375" style="1605" customWidth="1"/>
    <col min="10750" max="10750" width="20.19921875" style="1605" customWidth="1"/>
    <col min="10751" max="10751" width="9" style="1605"/>
    <col min="10752" max="10752" width="17.59765625" style="1605" customWidth="1"/>
    <col min="10753" max="11002" width="9" style="1605"/>
    <col min="11003" max="11003" width="5.19921875" style="1605" customWidth="1"/>
    <col min="11004" max="11004" width="48.09765625" style="1605" customWidth="1"/>
    <col min="11005" max="11005" width="7.8984375" style="1605" customWidth="1"/>
    <col min="11006" max="11006" width="20.19921875" style="1605" customWidth="1"/>
    <col min="11007" max="11007" width="9" style="1605"/>
    <col min="11008" max="11008" width="17.59765625" style="1605" customWidth="1"/>
    <col min="11009" max="11258" width="9" style="1605"/>
    <col min="11259" max="11259" width="5.19921875" style="1605" customWidth="1"/>
    <col min="11260" max="11260" width="48.09765625" style="1605" customWidth="1"/>
    <col min="11261" max="11261" width="7.8984375" style="1605" customWidth="1"/>
    <col min="11262" max="11262" width="20.19921875" style="1605" customWidth="1"/>
    <col min="11263" max="11263" width="9" style="1605"/>
    <col min="11264" max="11264" width="17.59765625" style="1605" customWidth="1"/>
    <col min="11265" max="11514" width="9" style="1605"/>
    <col min="11515" max="11515" width="5.19921875" style="1605" customWidth="1"/>
    <col min="11516" max="11516" width="48.09765625" style="1605" customWidth="1"/>
    <col min="11517" max="11517" width="7.8984375" style="1605" customWidth="1"/>
    <col min="11518" max="11518" width="20.19921875" style="1605" customWidth="1"/>
    <col min="11519" max="11519" width="9" style="1605"/>
    <col min="11520" max="11520" width="17.59765625" style="1605" customWidth="1"/>
    <col min="11521" max="11770" width="9" style="1605"/>
    <col min="11771" max="11771" width="5.19921875" style="1605" customWidth="1"/>
    <col min="11772" max="11772" width="48.09765625" style="1605" customWidth="1"/>
    <col min="11773" max="11773" width="7.8984375" style="1605" customWidth="1"/>
    <col min="11774" max="11774" width="20.19921875" style="1605" customWidth="1"/>
    <col min="11775" max="11775" width="9" style="1605"/>
    <col min="11776" max="11776" width="17.59765625" style="1605" customWidth="1"/>
    <col min="11777" max="12026" width="9" style="1605"/>
    <col min="12027" max="12027" width="5.19921875" style="1605" customWidth="1"/>
    <col min="12028" max="12028" width="48.09765625" style="1605" customWidth="1"/>
    <col min="12029" max="12029" width="7.8984375" style="1605" customWidth="1"/>
    <col min="12030" max="12030" width="20.19921875" style="1605" customWidth="1"/>
    <col min="12031" max="12031" width="9" style="1605"/>
    <col min="12032" max="12032" width="17.59765625" style="1605" customWidth="1"/>
    <col min="12033" max="12282" width="9" style="1605"/>
    <col min="12283" max="12283" width="5.19921875" style="1605" customWidth="1"/>
    <col min="12284" max="12284" width="48.09765625" style="1605" customWidth="1"/>
    <col min="12285" max="12285" width="7.8984375" style="1605" customWidth="1"/>
    <col min="12286" max="12286" width="20.19921875" style="1605" customWidth="1"/>
    <col min="12287" max="12287" width="9" style="1605"/>
    <col min="12288" max="12288" width="17.59765625" style="1605" customWidth="1"/>
    <col min="12289" max="12538" width="9" style="1605"/>
    <col min="12539" max="12539" width="5.19921875" style="1605" customWidth="1"/>
    <col min="12540" max="12540" width="48.09765625" style="1605" customWidth="1"/>
    <col min="12541" max="12541" width="7.8984375" style="1605" customWidth="1"/>
    <col min="12542" max="12542" width="20.19921875" style="1605" customWidth="1"/>
    <col min="12543" max="12543" width="9" style="1605"/>
    <col min="12544" max="12544" width="17.59765625" style="1605" customWidth="1"/>
    <col min="12545" max="12794" width="9" style="1605"/>
    <col min="12795" max="12795" width="5.19921875" style="1605" customWidth="1"/>
    <col min="12796" max="12796" width="48.09765625" style="1605" customWidth="1"/>
    <col min="12797" max="12797" width="7.8984375" style="1605" customWidth="1"/>
    <col min="12798" max="12798" width="20.19921875" style="1605" customWidth="1"/>
    <col min="12799" max="12799" width="9" style="1605"/>
    <col min="12800" max="12800" width="17.59765625" style="1605" customWidth="1"/>
    <col min="12801" max="13050" width="9" style="1605"/>
    <col min="13051" max="13051" width="5.19921875" style="1605" customWidth="1"/>
    <col min="13052" max="13052" width="48.09765625" style="1605" customWidth="1"/>
    <col min="13053" max="13053" width="7.8984375" style="1605" customWidth="1"/>
    <col min="13054" max="13054" width="20.19921875" style="1605" customWidth="1"/>
    <col min="13055" max="13055" width="9" style="1605"/>
    <col min="13056" max="13056" width="17.59765625" style="1605" customWidth="1"/>
    <col min="13057" max="13306" width="9" style="1605"/>
    <col min="13307" max="13307" width="5.19921875" style="1605" customWidth="1"/>
    <col min="13308" max="13308" width="48.09765625" style="1605" customWidth="1"/>
    <col min="13309" max="13309" width="7.8984375" style="1605" customWidth="1"/>
    <col min="13310" max="13310" width="20.19921875" style="1605" customWidth="1"/>
    <col min="13311" max="13311" width="9" style="1605"/>
    <col min="13312" max="13312" width="17.59765625" style="1605" customWidth="1"/>
    <col min="13313" max="13562" width="9" style="1605"/>
    <col min="13563" max="13563" width="5.19921875" style="1605" customWidth="1"/>
    <col min="13564" max="13564" width="48.09765625" style="1605" customWidth="1"/>
    <col min="13565" max="13565" width="7.8984375" style="1605" customWidth="1"/>
    <col min="13566" max="13566" width="20.19921875" style="1605" customWidth="1"/>
    <col min="13567" max="13567" width="9" style="1605"/>
    <col min="13568" max="13568" width="17.59765625" style="1605" customWidth="1"/>
    <col min="13569" max="13818" width="9" style="1605"/>
    <col min="13819" max="13819" width="5.19921875" style="1605" customWidth="1"/>
    <col min="13820" max="13820" width="48.09765625" style="1605" customWidth="1"/>
    <col min="13821" max="13821" width="7.8984375" style="1605" customWidth="1"/>
    <col min="13822" max="13822" width="20.19921875" style="1605" customWidth="1"/>
    <col min="13823" max="13823" width="9" style="1605"/>
    <col min="13824" max="13824" width="17.59765625" style="1605" customWidth="1"/>
    <col min="13825" max="14074" width="9" style="1605"/>
    <col min="14075" max="14075" width="5.19921875" style="1605" customWidth="1"/>
    <col min="14076" max="14076" width="48.09765625" style="1605" customWidth="1"/>
    <col min="14077" max="14077" width="7.8984375" style="1605" customWidth="1"/>
    <col min="14078" max="14078" width="20.19921875" style="1605" customWidth="1"/>
    <col min="14079" max="14079" width="9" style="1605"/>
    <col min="14080" max="14080" width="17.59765625" style="1605" customWidth="1"/>
    <col min="14081" max="14330" width="9" style="1605"/>
    <col min="14331" max="14331" width="5.19921875" style="1605" customWidth="1"/>
    <col min="14332" max="14332" width="48.09765625" style="1605" customWidth="1"/>
    <col min="14333" max="14333" width="7.8984375" style="1605" customWidth="1"/>
    <col min="14334" max="14334" width="20.19921875" style="1605" customWidth="1"/>
    <col min="14335" max="14335" width="9" style="1605"/>
    <col min="14336" max="14336" width="17.59765625" style="1605" customWidth="1"/>
    <col min="14337" max="14586" width="9" style="1605"/>
    <col min="14587" max="14587" width="5.19921875" style="1605" customWidth="1"/>
    <col min="14588" max="14588" width="48.09765625" style="1605" customWidth="1"/>
    <col min="14589" max="14589" width="7.8984375" style="1605" customWidth="1"/>
    <col min="14590" max="14590" width="20.19921875" style="1605" customWidth="1"/>
    <col min="14591" max="14591" width="9" style="1605"/>
    <col min="14592" max="14592" width="17.59765625" style="1605" customWidth="1"/>
    <col min="14593" max="14842" width="9" style="1605"/>
    <col min="14843" max="14843" width="5.19921875" style="1605" customWidth="1"/>
    <col min="14844" max="14844" width="48.09765625" style="1605" customWidth="1"/>
    <col min="14845" max="14845" width="7.8984375" style="1605" customWidth="1"/>
    <col min="14846" max="14846" width="20.19921875" style="1605" customWidth="1"/>
    <col min="14847" max="14847" width="9" style="1605"/>
    <col min="14848" max="14848" width="17.59765625" style="1605" customWidth="1"/>
    <col min="14849" max="15098" width="9" style="1605"/>
    <col min="15099" max="15099" width="5.19921875" style="1605" customWidth="1"/>
    <col min="15100" max="15100" width="48.09765625" style="1605" customWidth="1"/>
    <col min="15101" max="15101" width="7.8984375" style="1605" customWidth="1"/>
    <col min="15102" max="15102" width="20.19921875" style="1605" customWidth="1"/>
    <col min="15103" max="15103" width="9" style="1605"/>
    <col min="15104" max="15104" width="17.59765625" style="1605" customWidth="1"/>
    <col min="15105" max="15354" width="9" style="1605"/>
    <col min="15355" max="15355" width="5.19921875" style="1605" customWidth="1"/>
    <col min="15356" max="15356" width="48.09765625" style="1605" customWidth="1"/>
    <col min="15357" max="15357" width="7.8984375" style="1605" customWidth="1"/>
    <col min="15358" max="15358" width="20.19921875" style="1605" customWidth="1"/>
    <col min="15359" max="15359" width="9" style="1605"/>
    <col min="15360" max="15360" width="17.59765625" style="1605" customWidth="1"/>
    <col min="15361" max="15610" width="9" style="1605"/>
    <col min="15611" max="15611" width="5.19921875" style="1605" customWidth="1"/>
    <col min="15612" max="15612" width="48.09765625" style="1605" customWidth="1"/>
    <col min="15613" max="15613" width="7.8984375" style="1605" customWidth="1"/>
    <col min="15614" max="15614" width="20.19921875" style="1605" customWidth="1"/>
    <col min="15615" max="15615" width="9" style="1605"/>
    <col min="15616" max="15616" width="17.59765625" style="1605" customWidth="1"/>
    <col min="15617" max="15866" width="9" style="1605"/>
    <col min="15867" max="15867" width="5.19921875" style="1605" customWidth="1"/>
    <col min="15868" max="15868" width="48.09765625" style="1605" customWidth="1"/>
    <col min="15869" max="15869" width="7.8984375" style="1605" customWidth="1"/>
    <col min="15870" max="15870" width="20.19921875" style="1605" customWidth="1"/>
    <col min="15871" max="15871" width="9" style="1605"/>
    <col min="15872" max="15872" width="17.59765625" style="1605" customWidth="1"/>
    <col min="15873" max="16122" width="9" style="1605"/>
    <col min="16123" max="16123" width="5.19921875" style="1605" customWidth="1"/>
    <col min="16124" max="16124" width="48.09765625" style="1605" customWidth="1"/>
    <col min="16125" max="16125" width="7.8984375" style="1605" customWidth="1"/>
    <col min="16126" max="16126" width="20.19921875" style="1605" customWidth="1"/>
    <col min="16127" max="16127" width="9" style="1605"/>
    <col min="16128" max="16128" width="17.59765625" style="1605" customWidth="1"/>
    <col min="16129" max="16384" width="9" style="1605"/>
  </cols>
  <sheetData>
    <row r="1" spans="1:11" s="1583" customFormat="1" ht="20.100000000000001" customHeight="1">
      <c r="A1" s="3460"/>
      <c r="B1" s="3460"/>
      <c r="C1" s="3460"/>
      <c r="D1" s="2169" t="str">
        <f>"索引号："&amp;档案索引!D13</f>
        <v>索引号：2B-8</v>
      </c>
      <c r="F1" s="2457" t="s">
        <v>7166</v>
      </c>
      <c r="G1" s="1603" t="s">
        <v>7152</v>
      </c>
      <c r="H1" s="1603" t="s">
        <v>7153</v>
      </c>
    </row>
    <row r="2" spans="1:11" s="1589" customFormat="1" ht="25.5" customHeight="1">
      <c r="A2" s="3401" t="s">
        <v>5939</v>
      </c>
      <c r="B2" s="3401"/>
      <c r="C2" s="3401"/>
      <c r="D2" s="1880"/>
      <c r="F2" s="1603">
        <f>截止月-起始月+1</f>
        <v>12</v>
      </c>
      <c r="G2" s="2452">
        <f>IF(F2=12,ROUND((社保明细工资人数!J8/2+社保明细工资人数!J11+社保明细工资人数!J14+社保明细工资人数!J17+社保明细工资人数!J20/2)/4,0),"请自行计算")</f>
        <v>0</v>
      </c>
      <c r="H2" s="2452">
        <f>IF(F2=12,ROUND((资产负债!C35/2+资产负债!I11+资产负债!I14+资产负债!I17+资产负债!D35/2)/4/10000,2),"请自行计算")</f>
        <v>0</v>
      </c>
    </row>
    <row r="3" spans="1:11" s="1603" customFormat="1" ht="14.25" customHeight="1">
      <c r="A3" s="1835" t="s">
        <v>1853</v>
      </c>
      <c r="B3" s="1835" t="s">
        <v>1627</v>
      </c>
      <c r="C3" s="1835" t="s">
        <v>5014</v>
      </c>
      <c r="D3" s="1872" t="s">
        <v>4899</v>
      </c>
      <c r="G3" s="1603" t="str">
        <f>TEXT(基本情况!B45,"yyyy年m月")</f>
        <v>1900年1月</v>
      </c>
      <c r="H3" s="1603" t="str">
        <f>IF(A000000企业基础信息表!E7="否",IF(AND(LEFT(A000000企业基础信息表!B7,2)&gt;"05",LEFT(A000000企业基础信息表!B7,2)&lt;"47",G2&lt;=100,H2&lt;=30000000),"工业企业",IF(OR(LEFT(A000000企业基础信息表!B7,2)&gt;"50",LEFT(A000000企业基础信息表!B7,2)&lt;"06"),IF(AND(G2&lt;=80,H2&lt;=10000000),"其他企业",""),"")),"")</f>
        <v>其他企业</v>
      </c>
      <c r="I3" s="1603">
        <f>IFERROR(VLOOKUP(G3,B77:D87,2,FALSE),C76)</f>
        <v>7.4999999999999997E-2</v>
      </c>
      <c r="J3" s="1603">
        <f>IFERROR(VLOOKUP(G3,B77:D87,3,FALSE),D76)</f>
        <v>3.7499999999999999E-2</v>
      </c>
    </row>
    <row r="4" spans="1:11" s="1603" customFormat="1" ht="14.25" customHeight="1">
      <c r="A4" s="2239">
        <v>1</v>
      </c>
      <c r="B4" s="1836" t="s">
        <v>6845</v>
      </c>
      <c r="C4" s="2458"/>
      <c r="D4" s="1896"/>
      <c r="F4" s="1604"/>
      <c r="G4" s="1604"/>
      <c r="H4" s="2451">
        <f ca="1">IF(H3&lt;&gt;"",IF('A100000中华人民共和国企业所得税年度纳税申报表（A类）'!D26&lt;=300000,ROUND('A100000中华人民共和国企业所得税年度纳税申报表（A类）'!D26*0.15,2),""))</f>
        <v>0</v>
      </c>
      <c r="I4" s="1604"/>
      <c r="J4" s="1604"/>
      <c r="K4" s="1604"/>
    </row>
    <row r="5" spans="1:11" s="1603" customFormat="1" ht="14.25" customHeight="1">
      <c r="A5" s="2239">
        <v>2</v>
      </c>
      <c r="B5" s="1836" t="s">
        <v>6846</v>
      </c>
      <c r="C5" s="2458"/>
      <c r="D5" s="1977"/>
      <c r="F5" s="1604"/>
      <c r="G5" s="1604"/>
      <c r="H5" s="2451">
        <f ca="1">IF(H3&lt;&gt;"",IF('A100000中华人民共和国企业所得税年度纳税申报表（A类）'!D26&lt;=300000,ROUND('A100000中华人民共和国企业所得税年度纳税申报表（A类）'!D26*0.15,2),""))</f>
        <v>0</v>
      </c>
      <c r="I5" s="1604"/>
      <c r="J5" s="1604"/>
      <c r="K5" s="1604"/>
    </row>
    <row r="6" spans="1:11" s="1603" customFormat="1" ht="14.25" customHeight="1">
      <c r="A6" s="2239">
        <v>3</v>
      </c>
      <c r="B6" s="1836" t="s">
        <v>6847</v>
      </c>
      <c r="C6" s="2240">
        <f>A107041高新技术企业优惠情况及明细表!D34</f>
        <v>0</v>
      </c>
      <c r="D6" s="1836"/>
      <c r="H6" s="3479" t="s">
        <v>7167</v>
      </c>
      <c r="I6" s="3479"/>
      <c r="J6" s="3479"/>
    </row>
    <row r="7" spans="1:11" s="1603" customFormat="1" ht="15" customHeight="1">
      <c r="A7" s="2286">
        <v>4</v>
      </c>
      <c r="B7" s="1881" t="s">
        <v>6848</v>
      </c>
      <c r="C7" s="2082"/>
      <c r="D7" s="2288" t="s">
        <v>6880</v>
      </c>
      <c r="H7" s="3479"/>
      <c r="I7" s="3479"/>
      <c r="J7" s="3479"/>
    </row>
    <row r="8" spans="1:11" s="1603" customFormat="1" ht="14.25" customHeight="1">
      <c r="A8" s="2239">
        <v>5</v>
      </c>
      <c r="B8" s="1836" t="s">
        <v>6849</v>
      </c>
      <c r="C8" s="2238"/>
      <c r="D8" s="2288" t="s">
        <v>6880</v>
      </c>
    </row>
    <row r="9" spans="1:11" s="1603" customFormat="1" ht="14.25" customHeight="1">
      <c r="A9" s="2239">
        <v>6</v>
      </c>
      <c r="B9" s="1836" t="s">
        <v>6850</v>
      </c>
      <c r="C9" s="2075">
        <f>C10+C14+C18+C22+SUM(C26:C29)+C32+SUM(C35:C50)</f>
        <v>0</v>
      </c>
      <c r="D9" s="1836"/>
    </row>
    <row r="10" spans="1:11" s="1603" customFormat="1" ht="14.25" customHeight="1">
      <c r="A10" s="2239">
        <v>7</v>
      </c>
      <c r="B10" s="1836" t="s">
        <v>6851</v>
      </c>
      <c r="C10" s="2075">
        <f>C11+C12+C13</f>
        <v>0</v>
      </c>
      <c r="D10" s="1836"/>
    </row>
    <row r="11" spans="1:11" s="1603" customFormat="1" ht="14.25" customHeight="1">
      <c r="A11" s="2239">
        <v>7.1</v>
      </c>
      <c r="B11" s="1836" t="s">
        <v>6879</v>
      </c>
      <c r="C11" s="2238"/>
      <c r="D11" s="1836"/>
    </row>
    <row r="12" spans="1:11" s="1603" customFormat="1" ht="14.25" customHeight="1">
      <c r="A12" s="2239">
        <v>7.2</v>
      </c>
      <c r="B12" s="2287" t="s">
        <v>6878</v>
      </c>
      <c r="C12" s="2238"/>
      <c r="D12" s="1836"/>
    </row>
    <row r="13" spans="1:11" s="1603" customFormat="1" ht="14.25" customHeight="1">
      <c r="A13" s="2239">
        <v>7.3</v>
      </c>
      <c r="B13" s="2287" t="s">
        <v>6877</v>
      </c>
      <c r="C13" s="2238"/>
      <c r="D13" s="1836"/>
    </row>
    <row r="14" spans="1:11" s="1603" customFormat="1" ht="14.25" customHeight="1">
      <c r="A14" s="2239">
        <v>8</v>
      </c>
      <c r="B14" s="1836" t="s">
        <v>6852</v>
      </c>
      <c r="C14" s="2075">
        <f>C15+C16+C17</f>
        <v>0</v>
      </c>
      <c r="D14" s="1836"/>
    </row>
    <row r="15" spans="1:11" s="1603" customFormat="1" ht="14.25" customHeight="1">
      <c r="A15" s="2239">
        <v>8.1</v>
      </c>
      <c r="B15" s="1836" t="s">
        <v>6879</v>
      </c>
      <c r="C15" s="2238"/>
      <c r="D15" s="1836"/>
    </row>
    <row r="16" spans="1:11" s="1603" customFormat="1" ht="14.25" customHeight="1">
      <c r="A16" s="2239">
        <v>8.1999999999999993</v>
      </c>
      <c r="B16" s="2287" t="s">
        <v>6878</v>
      </c>
      <c r="C16" s="2238"/>
      <c r="D16" s="1836"/>
    </row>
    <row r="17" spans="1:4" s="1603" customFormat="1" ht="14.25" customHeight="1">
      <c r="A17" s="2239">
        <v>8.3000000000000007</v>
      </c>
      <c r="B17" s="2287" t="s">
        <v>6877</v>
      </c>
      <c r="C17" s="2238"/>
      <c r="D17" s="1836"/>
    </row>
    <row r="18" spans="1:4" s="1603" customFormat="1" ht="14.25" customHeight="1">
      <c r="A18" s="2239">
        <v>9</v>
      </c>
      <c r="B18" s="1836" t="s">
        <v>6853</v>
      </c>
      <c r="C18" s="2075">
        <f>C19+C20+C21</f>
        <v>0</v>
      </c>
      <c r="D18" s="1836"/>
    </row>
    <row r="19" spans="1:4" s="1603" customFormat="1" ht="14.25" customHeight="1">
      <c r="A19" s="2239">
        <v>9.1</v>
      </c>
      <c r="B19" s="1836" t="s">
        <v>6881</v>
      </c>
      <c r="C19" s="2238"/>
      <c r="D19" s="1836"/>
    </row>
    <row r="20" spans="1:4" s="1603" customFormat="1" ht="14.25" customHeight="1">
      <c r="A20" s="2239">
        <v>9.1999999999999993</v>
      </c>
      <c r="B20" s="2287" t="s">
        <v>6878</v>
      </c>
      <c r="C20" s="2238"/>
      <c r="D20" s="1836"/>
    </row>
    <row r="21" spans="1:4" s="1603" customFormat="1" ht="14.25" customHeight="1">
      <c r="A21" s="2239">
        <v>9.3000000000000007</v>
      </c>
      <c r="B21" s="2287" t="s">
        <v>6877</v>
      </c>
      <c r="C21" s="2238"/>
      <c r="D21" s="1836"/>
    </row>
    <row r="22" spans="1:4" s="1603" customFormat="1" ht="14.25" customHeight="1">
      <c r="A22" s="2239">
        <v>10</v>
      </c>
      <c r="B22" s="1836" t="s">
        <v>6854</v>
      </c>
      <c r="C22" s="2075">
        <f>C23+C24+C25</f>
        <v>0</v>
      </c>
      <c r="D22" s="1836"/>
    </row>
    <row r="23" spans="1:4" s="1603" customFormat="1" ht="14.25" customHeight="1">
      <c r="A23" s="2239">
        <v>10.1</v>
      </c>
      <c r="B23" s="1836" t="s">
        <v>6882</v>
      </c>
      <c r="C23" s="2238"/>
      <c r="D23" s="1836"/>
    </row>
    <row r="24" spans="1:4" s="1603" customFormat="1" ht="14.25" customHeight="1">
      <c r="A24" s="2239">
        <v>10.199999999999999</v>
      </c>
      <c r="B24" s="1836" t="s">
        <v>6855</v>
      </c>
      <c r="C24" s="2238"/>
      <c r="D24" s="1836"/>
    </row>
    <row r="25" spans="1:4" s="1603" customFormat="1" ht="14.25" customHeight="1">
      <c r="A25" s="2239">
        <v>10.3</v>
      </c>
      <c r="B25" s="1836" t="s">
        <v>6856</v>
      </c>
      <c r="C25" s="2238"/>
      <c r="D25" s="1836"/>
    </row>
    <row r="26" spans="1:4" s="1603" customFormat="1" ht="14.25" customHeight="1">
      <c r="A26" s="2239">
        <v>11</v>
      </c>
      <c r="B26" s="1836" t="s">
        <v>6857</v>
      </c>
      <c r="C26" s="2238"/>
      <c r="D26" s="1836"/>
    </row>
    <row r="27" spans="1:4" s="1603" customFormat="1" ht="14.25" customHeight="1">
      <c r="A27" s="2239">
        <v>12</v>
      </c>
      <c r="B27" s="1836" t="s">
        <v>6858</v>
      </c>
      <c r="C27" s="2238"/>
      <c r="D27" s="1836"/>
    </row>
    <row r="28" spans="1:4" s="1603" customFormat="1" ht="14.25" customHeight="1">
      <c r="A28" s="2239">
        <v>13</v>
      </c>
      <c r="B28" s="1836" t="s">
        <v>6859</v>
      </c>
      <c r="C28" s="2238"/>
      <c r="D28" s="1836"/>
    </row>
    <row r="29" spans="1:4" s="1603" customFormat="1" ht="14.25" customHeight="1">
      <c r="A29" s="2239">
        <v>14</v>
      </c>
      <c r="B29" s="1836" t="s">
        <v>6860</v>
      </c>
      <c r="C29" s="2075">
        <f>C30+C31+C32</f>
        <v>0</v>
      </c>
      <c r="D29" s="1836"/>
    </row>
    <row r="30" spans="1:4" s="1603" customFormat="1" ht="14.25" customHeight="1">
      <c r="A30" s="2239">
        <v>14.1</v>
      </c>
      <c r="B30" s="1836" t="s">
        <v>6883</v>
      </c>
      <c r="C30" s="2238"/>
      <c r="D30" s="1836"/>
    </row>
    <row r="31" spans="1:4" s="1603" customFormat="1" ht="14.25" customHeight="1">
      <c r="A31" s="2239">
        <v>14.2</v>
      </c>
      <c r="B31" s="1836" t="s">
        <v>6884</v>
      </c>
      <c r="C31" s="2238"/>
      <c r="D31" s="1836"/>
    </row>
    <row r="32" spans="1:4" s="1603" customFormat="1" ht="14.25" customHeight="1">
      <c r="A32" s="2239">
        <v>15</v>
      </c>
      <c r="B32" s="1836" t="s">
        <v>6861</v>
      </c>
      <c r="C32" s="2075">
        <f>C33+C34+C35</f>
        <v>0</v>
      </c>
      <c r="D32" s="1836"/>
    </row>
    <row r="33" spans="1:5" s="1603" customFormat="1" ht="14.25" customHeight="1">
      <c r="A33" s="2239">
        <v>15.1</v>
      </c>
      <c r="B33" s="1836" t="s">
        <v>6885</v>
      </c>
      <c r="C33" s="2238"/>
      <c r="D33" s="1836"/>
    </row>
    <row r="34" spans="1:5" s="1603" customFormat="1" ht="14.25" customHeight="1">
      <c r="A34" s="2239">
        <v>15.2</v>
      </c>
      <c r="B34" s="1836" t="s">
        <v>6886</v>
      </c>
      <c r="C34" s="2238"/>
      <c r="D34" s="1836"/>
    </row>
    <row r="35" spans="1:5" s="1603" customFormat="1" ht="14.25" customHeight="1">
      <c r="A35" s="2239">
        <v>16</v>
      </c>
      <c r="B35" s="1836" t="s">
        <v>6862</v>
      </c>
      <c r="C35" s="2240">
        <f>软件、集成电路企业优惠情况审核表!E45</f>
        <v>0</v>
      </c>
      <c r="D35" s="1836"/>
    </row>
    <row r="36" spans="1:5" s="1603" customFormat="1" ht="14.25" customHeight="1">
      <c r="A36" s="2239">
        <v>17</v>
      </c>
      <c r="B36" s="1836" t="s">
        <v>6863</v>
      </c>
      <c r="C36" s="2238"/>
      <c r="D36" s="1836"/>
    </row>
    <row r="37" spans="1:5" s="1603" customFormat="1" ht="14.25" customHeight="1">
      <c r="A37" s="2239">
        <v>18</v>
      </c>
      <c r="B37" s="1836" t="s">
        <v>6864</v>
      </c>
      <c r="C37" s="2238"/>
      <c r="D37" s="1836"/>
    </row>
    <row r="38" spans="1:5" s="1603" customFormat="1" ht="14.25" customHeight="1">
      <c r="A38" s="2239">
        <v>19</v>
      </c>
      <c r="B38" s="1836" t="s">
        <v>6865</v>
      </c>
      <c r="C38" s="2238"/>
      <c r="D38" s="1836"/>
    </row>
    <row r="39" spans="1:5" s="1603" customFormat="1" ht="14.25" customHeight="1">
      <c r="A39" s="2239">
        <v>20</v>
      </c>
      <c r="B39" s="1836" t="s">
        <v>6866</v>
      </c>
      <c r="C39" s="2238"/>
      <c r="D39" s="1836"/>
    </row>
    <row r="40" spans="1:5" s="1603" customFormat="1" ht="14.25" customHeight="1">
      <c r="A40" s="2239">
        <v>21</v>
      </c>
      <c r="B40" s="1836" t="s">
        <v>6867</v>
      </c>
      <c r="C40" s="2238"/>
      <c r="D40" s="1836"/>
    </row>
    <row r="41" spans="1:5" s="1603" customFormat="1" ht="14.25" customHeight="1">
      <c r="A41" s="2239">
        <v>22</v>
      </c>
      <c r="B41" s="1836" t="s">
        <v>6868</v>
      </c>
      <c r="C41" s="2238"/>
      <c r="D41" s="1836"/>
    </row>
    <row r="42" spans="1:5" s="1603" customFormat="1" ht="14.25" customHeight="1">
      <c r="A42" s="2239">
        <v>23</v>
      </c>
      <c r="B42" s="1836" t="s">
        <v>6869</v>
      </c>
      <c r="C42" s="2238"/>
      <c r="D42" s="1836"/>
    </row>
    <row r="43" spans="1:5" s="1603" customFormat="1" ht="14.25" customHeight="1">
      <c r="A43" s="2239">
        <v>24</v>
      </c>
      <c r="B43" s="1836" t="s">
        <v>5668</v>
      </c>
      <c r="C43" s="2076"/>
      <c r="D43" s="1836"/>
    </row>
    <row r="44" spans="1:5" s="1603" customFormat="1" ht="14.25" customHeight="1">
      <c r="A44" s="2239">
        <v>25</v>
      </c>
      <c r="B44" s="1836" t="s">
        <v>6870</v>
      </c>
      <c r="C44" s="2076"/>
      <c r="D44" s="1836"/>
    </row>
    <row r="45" spans="1:5" s="1603" customFormat="1" ht="14.25" customHeight="1">
      <c r="A45" s="2239">
        <v>26</v>
      </c>
      <c r="B45" s="1836" t="s">
        <v>6871</v>
      </c>
      <c r="C45" s="2076"/>
      <c r="D45" s="1836"/>
    </row>
    <row r="46" spans="1:5" s="1603" customFormat="1" ht="14.25" customHeight="1">
      <c r="A46" s="2239">
        <v>27</v>
      </c>
      <c r="B46" s="1836" t="s">
        <v>6872</v>
      </c>
      <c r="C46" s="2076"/>
      <c r="D46" s="1836"/>
      <c r="E46" s="1770" t="s">
        <v>6468</v>
      </c>
    </row>
    <row r="47" spans="1:5" s="1603" customFormat="1" ht="14.25" customHeight="1">
      <c r="A47" s="2239">
        <v>28</v>
      </c>
      <c r="B47" s="1836" t="s">
        <v>6873</v>
      </c>
      <c r="C47" s="2076"/>
      <c r="D47" s="1836"/>
    </row>
    <row r="48" spans="1:5" s="1603" customFormat="1" ht="14.25" customHeight="1">
      <c r="A48" s="2239">
        <v>29</v>
      </c>
      <c r="B48" s="1836" t="s">
        <v>6887</v>
      </c>
      <c r="C48" s="2076"/>
      <c r="D48" s="1836"/>
    </row>
    <row r="49" spans="1:4" s="1603" customFormat="1" ht="14.25" customHeight="1">
      <c r="A49" s="2239">
        <v>30</v>
      </c>
      <c r="B49" s="1836" t="s">
        <v>6888</v>
      </c>
      <c r="C49" s="2076"/>
      <c r="D49" s="1836"/>
    </row>
    <row r="50" spans="1:4" s="1603" customFormat="1" ht="14.25" customHeight="1">
      <c r="A50" s="2239">
        <v>31</v>
      </c>
      <c r="B50" s="1836" t="s">
        <v>6889</v>
      </c>
      <c r="C50" s="2076"/>
      <c r="D50" s="1836"/>
    </row>
    <row r="51" spans="1:4" s="1603" customFormat="1" ht="14.25" customHeight="1">
      <c r="A51" s="2239">
        <v>32</v>
      </c>
      <c r="B51" s="1836" t="s">
        <v>6874</v>
      </c>
      <c r="C51" s="2076"/>
      <c r="D51" s="1836"/>
    </row>
    <row r="52" spans="1:4" s="1603" customFormat="1" ht="14.25" customHeight="1">
      <c r="A52" s="2239">
        <v>33</v>
      </c>
      <c r="B52" s="1836" t="s">
        <v>6875</v>
      </c>
      <c r="C52" s="2076"/>
      <c r="D52" s="1836"/>
    </row>
    <row r="53" spans="1:4" s="1603" customFormat="1" ht="14.25" customHeight="1">
      <c r="A53" s="2239">
        <v>34</v>
      </c>
      <c r="B53" s="1836" t="s">
        <v>6876</v>
      </c>
      <c r="C53" s="2075">
        <f>C4+C6+C9-C51+C52</f>
        <v>0</v>
      </c>
      <c r="D53" s="2291" t="s">
        <v>6892</v>
      </c>
    </row>
    <row r="54" spans="1:4">
      <c r="A54" s="3480"/>
      <c r="B54" s="3480"/>
      <c r="C54" s="3480"/>
      <c r="D54" s="2429"/>
    </row>
    <row r="55" spans="1:4">
      <c r="A55" s="3481" t="s">
        <v>7046</v>
      </c>
      <c r="B55" s="3481"/>
      <c r="C55" s="3481"/>
      <c r="D55" s="3481"/>
    </row>
    <row r="56" spans="1:4">
      <c r="A56" s="2430"/>
      <c r="B56" s="2430"/>
      <c r="C56" s="2430"/>
      <c r="D56" s="2430"/>
    </row>
    <row r="57" spans="1:4">
      <c r="A57" s="3482" t="s">
        <v>7047</v>
      </c>
      <c r="B57" s="3482"/>
      <c r="C57" s="3482"/>
      <c r="D57" s="3482"/>
    </row>
    <row r="58" spans="1:4">
      <c r="A58" s="3482" t="s">
        <v>7048</v>
      </c>
      <c r="B58" s="3482"/>
      <c r="C58" s="3482"/>
      <c r="D58" s="3482"/>
    </row>
    <row r="59" spans="1:4">
      <c r="A59" s="3482" t="s">
        <v>7049</v>
      </c>
      <c r="B59" s="3482"/>
      <c r="C59" s="3482"/>
      <c r="D59" s="3482"/>
    </row>
    <row r="60" spans="1:4">
      <c r="A60" s="3482" t="s">
        <v>7050</v>
      </c>
      <c r="B60" s="3482"/>
      <c r="C60" s="3482"/>
      <c r="D60" s="3482"/>
    </row>
    <row r="61" spans="1:4">
      <c r="A61" s="3482" t="s">
        <v>7051</v>
      </c>
      <c r="B61" s="3482"/>
      <c r="C61" s="3482"/>
      <c r="D61" s="3482"/>
    </row>
    <row r="62" spans="1:4">
      <c r="A62" s="3482" t="s">
        <v>7052</v>
      </c>
      <c r="B62" s="3482"/>
      <c r="C62" s="3482"/>
      <c r="D62" s="3482"/>
    </row>
    <row r="63" spans="1:4">
      <c r="A63" s="3482" t="s">
        <v>7053</v>
      </c>
      <c r="B63" s="3482"/>
      <c r="C63" s="3482"/>
      <c r="D63" s="3482"/>
    </row>
    <row r="64" spans="1:4">
      <c r="A64" s="3482" t="s">
        <v>7054</v>
      </c>
      <c r="B64" s="3482"/>
      <c r="C64" s="3482"/>
      <c r="D64" s="3482"/>
    </row>
    <row r="65" spans="1:4">
      <c r="A65" s="3482" t="s">
        <v>7052</v>
      </c>
      <c r="B65" s="3482"/>
      <c r="C65" s="3482"/>
      <c r="D65" s="3482"/>
    </row>
    <row r="66" spans="1:4">
      <c r="A66" s="3482" t="s">
        <v>7055</v>
      </c>
      <c r="B66" s="3482"/>
      <c r="C66" s="3482"/>
      <c r="D66" s="3482"/>
    </row>
    <row r="67" spans="1:4">
      <c r="A67" s="3482" t="s">
        <v>7056</v>
      </c>
      <c r="B67" s="3482"/>
      <c r="C67" s="3482"/>
      <c r="D67" s="3482"/>
    </row>
    <row r="68" spans="1:4">
      <c r="A68" s="3482" t="s">
        <v>7057</v>
      </c>
      <c r="B68" s="3482"/>
      <c r="C68" s="3482"/>
      <c r="D68" s="3482"/>
    </row>
    <row r="69" spans="1:4">
      <c r="A69" s="3482" t="s">
        <v>7058</v>
      </c>
      <c r="B69" s="3482"/>
      <c r="C69" s="3482"/>
      <c r="D69" s="3482"/>
    </row>
    <row r="70" spans="1:4">
      <c r="A70" s="3482" t="s">
        <v>7059</v>
      </c>
      <c r="B70" s="3482"/>
      <c r="C70" s="3482"/>
      <c r="D70" s="3482"/>
    </row>
    <row r="71" spans="1:4">
      <c r="A71" s="3482" t="s">
        <v>7060</v>
      </c>
      <c r="B71" s="3482"/>
      <c r="C71" s="3482"/>
      <c r="D71" s="3482"/>
    </row>
    <row r="72" spans="1:4">
      <c r="A72" s="3482" t="s">
        <v>7061</v>
      </c>
      <c r="B72" s="3482"/>
      <c r="C72" s="3482"/>
      <c r="D72" s="3482"/>
    </row>
    <row r="73" spans="1:4" ht="16.2" thickBot="1">
      <c r="A73" s="3482" t="s">
        <v>7062</v>
      </c>
      <c r="B73" s="3482"/>
      <c r="C73" s="3482"/>
      <c r="D73" s="3482"/>
    </row>
    <row r="74" spans="1:4" ht="16.8" thickTop="1" thickBot="1">
      <c r="A74" s="2431"/>
      <c r="B74" s="2432"/>
      <c r="C74" s="3483" t="s">
        <v>1148</v>
      </c>
      <c r="D74" s="3484"/>
    </row>
    <row r="75" spans="1:4" ht="16.2" thickBot="1">
      <c r="A75" s="2431"/>
      <c r="B75" s="2433" t="s">
        <v>7063</v>
      </c>
      <c r="C75" s="2434" t="s">
        <v>7064</v>
      </c>
      <c r="D75" s="2435" t="s">
        <v>7065</v>
      </c>
    </row>
    <row r="76" spans="1:4" ht="16.2" thickBot="1">
      <c r="A76" s="2431"/>
      <c r="B76" s="2433" t="s">
        <v>7066</v>
      </c>
      <c r="C76" s="2436">
        <v>7.4999999999999997E-2</v>
      </c>
      <c r="D76" s="2437">
        <v>3.7499999999999999E-2</v>
      </c>
    </row>
    <row r="77" spans="1:4" ht="16.2" thickBot="1">
      <c r="A77" s="2431"/>
      <c r="B77" s="2438" t="s">
        <v>7067</v>
      </c>
      <c r="C77" s="2436">
        <v>7.7299999999999994E-2</v>
      </c>
      <c r="D77" s="2437">
        <v>4.0899999999999999E-2</v>
      </c>
    </row>
    <row r="78" spans="1:4" ht="16.2" thickBot="1">
      <c r="A78" s="2431"/>
      <c r="B78" s="2438" t="s">
        <v>7068</v>
      </c>
      <c r="C78" s="2436">
        <v>0.08</v>
      </c>
      <c r="D78" s="2437">
        <v>4.4999999999999998E-2</v>
      </c>
    </row>
    <row r="79" spans="1:4" ht="16.2" thickBot="1">
      <c r="A79" s="2431"/>
      <c r="B79" s="2438" t="s">
        <v>7069</v>
      </c>
      <c r="C79" s="2436">
        <v>8.3299999999999999E-2</v>
      </c>
      <c r="D79" s="2437">
        <v>0.05</v>
      </c>
    </row>
    <row r="80" spans="1:4" ht="16.2" thickBot="1">
      <c r="A80" s="2431"/>
      <c r="B80" s="2438" t="s">
        <v>7070</v>
      </c>
      <c r="C80" s="2436">
        <v>8.7499999999999994E-2</v>
      </c>
      <c r="D80" s="2437">
        <v>5.6300000000000003E-2</v>
      </c>
    </row>
    <row r="81" spans="1:4" ht="16.2" thickBot="1">
      <c r="A81" s="2431"/>
      <c r="B81" s="2438" t="s">
        <v>7071</v>
      </c>
      <c r="C81" s="2436">
        <v>9.2899999999999996E-2</v>
      </c>
      <c r="D81" s="2437">
        <v>6.4299999999999996E-2</v>
      </c>
    </row>
    <row r="82" spans="1:4" ht="16.2" thickBot="1">
      <c r="A82" s="2431"/>
      <c r="B82" s="2438" t="s">
        <v>7072</v>
      </c>
      <c r="C82" s="2436">
        <v>0.1</v>
      </c>
      <c r="D82" s="2437">
        <v>7.4999999999999997E-2</v>
      </c>
    </row>
    <row r="83" spans="1:4" ht="16.2" thickBot="1">
      <c r="A83" s="2431"/>
      <c r="B83" s="2438" t="s">
        <v>7073</v>
      </c>
      <c r="C83" s="2436">
        <v>0.11</v>
      </c>
      <c r="D83" s="2437">
        <v>0.09</v>
      </c>
    </row>
    <row r="84" spans="1:4" ht="16.2" thickBot="1">
      <c r="A84" s="2431"/>
      <c r="B84" s="2438" t="s">
        <v>7074</v>
      </c>
      <c r="C84" s="2436">
        <v>0.125</v>
      </c>
      <c r="D84" s="2437">
        <v>0.1125</v>
      </c>
    </row>
    <row r="85" spans="1:4" ht="16.2" thickBot="1">
      <c r="A85" s="2431"/>
      <c r="B85" s="2438" t="s">
        <v>7075</v>
      </c>
      <c r="C85" s="2436">
        <v>0.15</v>
      </c>
      <c r="D85" s="2439">
        <v>0.15</v>
      </c>
    </row>
    <row r="86" spans="1:4" ht="16.2" thickBot="1">
      <c r="A86" s="2431"/>
      <c r="B86" s="2438" t="s">
        <v>7076</v>
      </c>
      <c r="C86" s="2436">
        <v>0.15</v>
      </c>
      <c r="D86" s="2439">
        <v>0.15</v>
      </c>
    </row>
    <row r="87" spans="1:4" ht="16.2" thickBot="1">
      <c r="A87" s="2431"/>
      <c r="B87" s="2440" t="s">
        <v>7077</v>
      </c>
      <c r="C87" s="2441">
        <v>0.15</v>
      </c>
      <c r="D87" s="2442">
        <v>0.15</v>
      </c>
    </row>
    <row r="88" spans="1:4" ht="16.2" thickTop="1">
      <c r="A88" s="3482" t="s">
        <v>7078</v>
      </c>
      <c r="B88" s="3482"/>
      <c r="C88" s="3482"/>
      <c r="D88" s="3482"/>
    </row>
    <row r="89" spans="1:4">
      <c r="A89" s="3482" t="s">
        <v>7079</v>
      </c>
      <c r="B89" s="3482"/>
      <c r="C89" s="3482"/>
      <c r="D89" s="3482"/>
    </row>
    <row r="90" spans="1:4">
      <c r="A90" s="3482" t="s">
        <v>7080</v>
      </c>
      <c r="B90" s="3482"/>
      <c r="C90" s="3482"/>
      <c r="D90" s="3482"/>
    </row>
    <row r="91" spans="1:4">
      <c r="A91" s="3482" t="s">
        <v>7081</v>
      </c>
      <c r="B91" s="3482"/>
      <c r="C91" s="3482"/>
      <c r="D91" s="3482"/>
    </row>
    <row r="92" spans="1:4">
      <c r="A92" s="3482" t="s">
        <v>7082</v>
      </c>
      <c r="B92" s="3482"/>
      <c r="C92" s="3482"/>
      <c r="D92" s="3482"/>
    </row>
    <row r="93" spans="1:4">
      <c r="A93" s="3482" t="s">
        <v>7083</v>
      </c>
      <c r="B93" s="3482"/>
      <c r="C93" s="3482"/>
      <c r="D93" s="3482"/>
    </row>
    <row r="94" spans="1:4">
      <c r="A94" s="3482" t="s">
        <v>7084</v>
      </c>
      <c r="B94" s="3482"/>
      <c r="C94" s="3482"/>
      <c r="D94" s="3482"/>
    </row>
    <row r="95" spans="1:4">
      <c r="A95" s="3482" t="s">
        <v>7085</v>
      </c>
      <c r="B95" s="3482"/>
      <c r="C95" s="3482"/>
      <c r="D95" s="3482"/>
    </row>
    <row r="96" spans="1:4">
      <c r="A96" s="3482" t="s">
        <v>7086</v>
      </c>
      <c r="B96" s="3482"/>
      <c r="C96" s="3482"/>
      <c r="D96" s="3482"/>
    </row>
    <row r="97" spans="1:4">
      <c r="A97" s="3482" t="s">
        <v>7087</v>
      </c>
      <c r="B97" s="3482"/>
      <c r="C97" s="3482"/>
      <c r="D97" s="3482"/>
    </row>
    <row r="98" spans="1:4">
      <c r="A98" s="3482" t="s">
        <v>7088</v>
      </c>
      <c r="B98" s="3482"/>
      <c r="C98" s="3482"/>
      <c r="D98" s="3482"/>
    </row>
    <row r="99" spans="1:4">
      <c r="A99" s="3482" t="s">
        <v>7089</v>
      </c>
      <c r="B99" s="3482"/>
      <c r="C99" s="3482"/>
      <c r="D99" s="3482"/>
    </row>
    <row r="100" spans="1:4">
      <c r="A100" s="3482" t="s">
        <v>7090</v>
      </c>
      <c r="B100" s="3482"/>
      <c r="C100" s="3482"/>
      <c r="D100" s="3482"/>
    </row>
    <row r="101" spans="1:4">
      <c r="A101" s="3482" t="s">
        <v>7091</v>
      </c>
      <c r="B101" s="3482"/>
      <c r="C101" s="3482"/>
      <c r="D101" s="3482"/>
    </row>
    <row r="102" spans="1:4">
      <c r="A102" s="3482" t="s">
        <v>7092</v>
      </c>
      <c r="B102" s="3482"/>
      <c r="C102" s="3482"/>
      <c r="D102" s="3482"/>
    </row>
    <row r="103" spans="1:4">
      <c r="A103" s="3482" t="s">
        <v>7093</v>
      </c>
      <c r="B103" s="3482"/>
      <c r="C103" s="3482"/>
      <c r="D103" s="3482"/>
    </row>
    <row r="104" spans="1:4">
      <c r="A104" s="3482" t="s">
        <v>7094</v>
      </c>
      <c r="B104" s="3482"/>
      <c r="C104" s="3482"/>
      <c r="D104" s="3482"/>
    </row>
    <row r="105" spans="1:4">
      <c r="A105" s="3482" t="s">
        <v>7095</v>
      </c>
      <c r="B105" s="3482"/>
      <c r="C105" s="3482"/>
      <c r="D105" s="3482"/>
    </row>
    <row r="106" spans="1:4">
      <c r="A106" s="3482" t="s">
        <v>7096</v>
      </c>
      <c r="B106" s="3482"/>
      <c r="C106" s="3482"/>
      <c r="D106" s="3482"/>
    </row>
    <row r="107" spans="1:4">
      <c r="A107" s="3482" t="s">
        <v>7097</v>
      </c>
      <c r="B107" s="3482"/>
      <c r="C107" s="3482"/>
      <c r="D107" s="3482"/>
    </row>
    <row r="108" spans="1:4">
      <c r="A108" s="3482" t="s">
        <v>7098</v>
      </c>
      <c r="B108" s="3482"/>
      <c r="C108" s="3482"/>
      <c r="D108" s="3482"/>
    </row>
    <row r="109" spans="1:4">
      <c r="A109" s="3482" t="s">
        <v>7099</v>
      </c>
      <c r="B109" s="3482"/>
      <c r="C109" s="3482"/>
      <c r="D109" s="3482"/>
    </row>
    <row r="110" spans="1:4">
      <c r="A110" s="3482" t="s">
        <v>7100</v>
      </c>
      <c r="B110" s="3482"/>
      <c r="C110" s="3482"/>
      <c r="D110" s="3482"/>
    </row>
    <row r="111" spans="1:4">
      <c r="A111" s="3482" t="s">
        <v>7101</v>
      </c>
      <c r="B111" s="3482"/>
      <c r="C111" s="3482"/>
      <c r="D111" s="3482"/>
    </row>
    <row r="112" spans="1:4">
      <c r="A112" s="3482" t="s">
        <v>7102</v>
      </c>
      <c r="B112" s="3482"/>
      <c r="C112" s="3482"/>
      <c r="D112" s="3482"/>
    </row>
    <row r="113" spans="1:4">
      <c r="A113" s="3482" t="s">
        <v>7103</v>
      </c>
      <c r="B113" s="3482"/>
      <c r="C113" s="3482"/>
      <c r="D113" s="3482"/>
    </row>
    <row r="114" spans="1:4">
      <c r="A114" s="3482" t="s">
        <v>7104</v>
      </c>
      <c r="B114" s="3482"/>
      <c r="C114" s="3482"/>
      <c r="D114" s="3482"/>
    </row>
    <row r="115" spans="1:4">
      <c r="A115" s="3482" t="s">
        <v>7105</v>
      </c>
      <c r="B115" s="3482"/>
      <c r="C115" s="3482"/>
      <c r="D115" s="3482"/>
    </row>
    <row r="116" spans="1:4">
      <c r="A116" s="3482" t="s">
        <v>7106</v>
      </c>
      <c r="B116" s="3482"/>
      <c r="C116" s="3482"/>
      <c r="D116" s="3482"/>
    </row>
    <row r="117" spans="1:4">
      <c r="A117" s="3482" t="s">
        <v>7107</v>
      </c>
      <c r="B117" s="3482"/>
      <c r="C117" s="3482"/>
      <c r="D117" s="3482"/>
    </row>
    <row r="118" spans="1:4">
      <c r="A118" s="3482" t="s">
        <v>7108</v>
      </c>
      <c r="B118" s="3482"/>
      <c r="C118" s="3482"/>
      <c r="D118" s="3482"/>
    </row>
    <row r="119" spans="1:4">
      <c r="A119" s="3482" t="s">
        <v>7109</v>
      </c>
      <c r="B119" s="3482"/>
      <c r="C119" s="3482"/>
      <c r="D119" s="3482"/>
    </row>
    <row r="120" spans="1:4">
      <c r="A120" s="3482" t="s">
        <v>7110</v>
      </c>
      <c r="B120" s="3482"/>
      <c r="C120" s="3482"/>
      <c r="D120" s="3482"/>
    </row>
    <row r="121" spans="1:4">
      <c r="A121" s="3482" t="s">
        <v>7111</v>
      </c>
      <c r="B121" s="3482"/>
      <c r="C121" s="3482"/>
      <c r="D121" s="3482"/>
    </row>
    <row r="122" spans="1:4">
      <c r="A122" s="3482" t="s">
        <v>7112</v>
      </c>
      <c r="B122" s="3482"/>
      <c r="C122" s="3482"/>
      <c r="D122" s="3482"/>
    </row>
    <row r="123" spans="1:4">
      <c r="A123" s="3482" t="s">
        <v>7113</v>
      </c>
      <c r="B123" s="3482"/>
      <c r="C123" s="3482"/>
      <c r="D123" s="3482"/>
    </row>
    <row r="124" spans="1:4">
      <c r="A124" s="3482" t="s">
        <v>7114</v>
      </c>
      <c r="B124" s="3482"/>
      <c r="C124" s="3482"/>
      <c r="D124" s="3482"/>
    </row>
    <row r="125" spans="1:4">
      <c r="A125" s="3482" t="s">
        <v>7115</v>
      </c>
      <c r="B125" s="3482"/>
      <c r="C125" s="3482"/>
      <c r="D125" s="3482"/>
    </row>
    <row r="126" spans="1:4">
      <c r="A126" s="3482" t="s">
        <v>7116</v>
      </c>
      <c r="B126" s="3482"/>
      <c r="C126" s="3482"/>
      <c r="D126" s="3482"/>
    </row>
    <row r="127" spans="1:4">
      <c r="A127" s="3482" t="s">
        <v>7117</v>
      </c>
      <c r="B127" s="3482"/>
      <c r="C127" s="3482"/>
      <c r="D127" s="3482"/>
    </row>
    <row r="128" spans="1:4">
      <c r="A128" s="3482" t="s">
        <v>7118</v>
      </c>
      <c r="B128" s="3482"/>
      <c r="C128" s="3482"/>
      <c r="D128" s="3482"/>
    </row>
    <row r="129" spans="1:4">
      <c r="A129" s="3482" t="s">
        <v>7119</v>
      </c>
      <c r="B129" s="3482"/>
      <c r="C129" s="3482"/>
      <c r="D129" s="3482"/>
    </row>
    <row r="130" spans="1:4">
      <c r="A130" s="3482" t="s">
        <v>7120</v>
      </c>
      <c r="B130" s="3482"/>
      <c r="C130" s="3482"/>
      <c r="D130" s="3482"/>
    </row>
    <row r="131" spans="1:4">
      <c r="A131" s="3482" t="s">
        <v>7121</v>
      </c>
      <c r="B131" s="3482"/>
      <c r="C131" s="3482"/>
      <c r="D131" s="3482"/>
    </row>
    <row r="132" spans="1:4">
      <c r="A132" s="3482" t="s">
        <v>7122</v>
      </c>
      <c r="B132" s="3482"/>
      <c r="C132" s="3482"/>
      <c r="D132" s="3482"/>
    </row>
    <row r="133" spans="1:4">
      <c r="A133" s="3482" t="s">
        <v>7123</v>
      </c>
      <c r="B133" s="3482"/>
      <c r="C133" s="3482"/>
      <c r="D133" s="3482"/>
    </row>
    <row r="134" spans="1:4">
      <c r="A134" s="3482" t="s">
        <v>7124</v>
      </c>
      <c r="B134" s="3482"/>
      <c r="C134" s="3482"/>
      <c r="D134" s="3482"/>
    </row>
    <row r="135" spans="1:4">
      <c r="A135" s="3482" t="s">
        <v>7125</v>
      </c>
      <c r="B135" s="3482"/>
      <c r="C135" s="3482"/>
      <c r="D135" s="3482"/>
    </row>
    <row r="136" spans="1:4">
      <c r="A136" s="3482" t="s">
        <v>7126</v>
      </c>
      <c r="B136" s="3482"/>
      <c r="C136" s="3482"/>
      <c r="D136" s="3482"/>
    </row>
    <row r="137" spans="1:4">
      <c r="A137" s="3482" t="s">
        <v>7127</v>
      </c>
      <c r="B137" s="3482"/>
      <c r="C137" s="3482"/>
      <c r="D137" s="3482"/>
    </row>
    <row r="138" spans="1:4">
      <c r="A138" s="3482" t="s">
        <v>7128</v>
      </c>
      <c r="B138" s="3482"/>
      <c r="C138" s="3482"/>
      <c r="D138" s="3482"/>
    </row>
    <row r="139" spans="1:4">
      <c r="A139" s="3482" t="s">
        <v>7129</v>
      </c>
      <c r="B139" s="3482"/>
      <c r="C139" s="3482"/>
      <c r="D139" s="3482"/>
    </row>
    <row r="140" spans="1:4">
      <c r="A140" s="3482" t="s">
        <v>7130</v>
      </c>
      <c r="B140" s="3482"/>
      <c r="C140" s="3482"/>
      <c r="D140" s="3482"/>
    </row>
    <row r="141" spans="1:4">
      <c r="A141" s="3482" t="s">
        <v>7131</v>
      </c>
      <c r="B141" s="3482"/>
      <c r="C141" s="3482"/>
      <c r="D141" s="3482"/>
    </row>
    <row r="142" spans="1:4">
      <c r="A142" s="3482" t="s">
        <v>7132</v>
      </c>
      <c r="B142" s="3482"/>
      <c r="C142" s="3482"/>
      <c r="D142" s="3482"/>
    </row>
    <row r="143" spans="1:4">
      <c r="A143" s="3482" t="s">
        <v>7133</v>
      </c>
      <c r="B143" s="3482"/>
      <c r="C143" s="3482"/>
      <c r="D143" s="3482"/>
    </row>
    <row r="144" spans="1:4">
      <c r="A144" s="3482" t="s">
        <v>7134</v>
      </c>
      <c r="B144" s="3482"/>
      <c r="C144" s="3482"/>
      <c r="D144" s="3482"/>
    </row>
    <row r="145" spans="1:4">
      <c r="A145" s="3482" t="s">
        <v>7135</v>
      </c>
      <c r="B145" s="3482"/>
      <c r="C145" s="3482"/>
      <c r="D145" s="3482"/>
    </row>
    <row r="146" spans="1:4">
      <c r="A146" s="3482" t="s">
        <v>7136</v>
      </c>
      <c r="B146" s="3482"/>
      <c r="C146" s="3482"/>
      <c r="D146" s="3482"/>
    </row>
    <row r="147" spans="1:4">
      <c r="A147" s="3482" t="s">
        <v>7137</v>
      </c>
      <c r="B147" s="3482"/>
      <c r="C147" s="3482"/>
      <c r="D147" s="3482"/>
    </row>
    <row r="148" spans="1:4">
      <c r="A148" s="3482" t="s">
        <v>7138</v>
      </c>
      <c r="B148" s="3482"/>
      <c r="C148" s="3482"/>
      <c r="D148" s="3482"/>
    </row>
    <row r="149" spans="1:4">
      <c r="A149" s="3482" t="s">
        <v>7139</v>
      </c>
      <c r="B149" s="3482"/>
      <c r="C149" s="3482"/>
      <c r="D149" s="3482"/>
    </row>
    <row r="150" spans="1:4">
      <c r="A150" s="3482" t="s">
        <v>7140</v>
      </c>
      <c r="B150" s="3482"/>
      <c r="C150" s="3482"/>
      <c r="D150" s="3482"/>
    </row>
    <row r="151" spans="1:4">
      <c r="A151" s="3482" t="s">
        <v>7141</v>
      </c>
      <c r="B151" s="3482"/>
      <c r="C151" s="3482"/>
      <c r="D151" s="3482"/>
    </row>
    <row r="152" spans="1:4">
      <c r="A152" s="3482" t="s">
        <v>7142</v>
      </c>
      <c r="B152" s="3482"/>
      <c r="C152" s="3482"/>
      <c r="D152" s="3482"/>
    </row>
  </sheetData>
  <mergeCells count="88">
    <mergeCell ref="A145:D145"/>
    <mergeCell ref="A151:D151"/>
    <mergeCell ref="A152:D152"/>
    <mergeCell ref="A146:D146"/>
    <mergeCell ref="A147:D147"/>
    <mergeCell ref="A148:D148"/>
    <mergeCell ref="A149:D149"/>
    <mergeCell ref="A150:D150"/>
    <mergeCell ref="A140:D140"/>
    <mergeCell ref="A141:D141"/>
    <mergeCell ref="A142:D142"/>
    <mergeCell ref="A143:D143"/>
    <mergeCell ref="A144:D144"/>
    <mergeCell ref="A135:D135"/>
    <mergeCell ref="A136:D136"/>
    <mergeCell ref="A137:D137"/>
    <mergeCell ref="A138:D138"/>
    <mergeCell ref="A139:D139"/>
    <mergeCell ref="A130:D130"/>
    <mergeCell ref="A131:D131"/>
    <mergeCell ref="A132:D132"/>
    <mergeCell ref="A133:D133"/>
    <mergeCell ref="A134:D134"/>
    <mergeCell ref="A125:D125"/>
    <mergeCell ref="A126:D126"/>
    <mergeCell ref="A127:D127"/>
    <mergeCell ref="A128:D128"/>
    <mergeCell ref="A129:D129"/>
    <mergeCell ref="A120:D120"/>
    <mergeCell ref="A121:D121"/>
    <mergeCell ref="A122:D122"/>
    <mergeCell ref="A123:D123"/>
    <mergeCell ref="A124:D124"/>
    <mergeCell ref="A115:D115"/>
    <mergeCell ref="A116:D116"/>
    <mergeCell ref="A117:D117"/>
    <mergeCell ref="A118:D118"/>
    <mergeCell ref="A119:D119"/>
    <mergeCell ref="A110:D110"/>
    <mergeCell ref="A111:D111"/>
    <mergeCell ref="A112:D112"/>
    <mergeCell ref="A113:D113"/>
    <mergeCell ref="A114:D114"/>
    <mergeCell ref="A105:D105"/>
    <mergeCell ref="A106:D106"/>
    <mergeCell ref="A107:D107"/>
    <mergeCell ref="A108:D108"/>
    <mergeCell ref="A109:D109"/>
    <mergeCell ref="A100:D100"/>
    <mergeCell ref="A101:D101"/>
    <mergeCell ref="A102:D102"/>
    <mergeCell ref="A103:D103"/>
    <mergeCell ref="A104:D104"/>
    <mergeCell ref="A95:D95"/>
    <mergeCell ref="A96:D96"/>
    <mergeCell ref="A97:D97"/>
    <mergeCell ref="A98:D98"/>
    <mergeCell ref="A99:D99"/>
    <mergeCell ref="A90:D90"/>
    <mergeCell ref="A91:D91"/>
    <mergeCell ref="A92:D92"/>
    <mergeCell ref="A93:D93"/>
    <mergeCell ref="A94:D94"/>
    <mergeCell ref="A72:D72"/>
    <mergeCell ref="A73:D73"/>
    <mergeCell ref="C74:D74"/>
    <mergeCell ref="A88:D88"/>
    <mergeCell ref="A89:D89"/>
    <mergeCell ref="A67:D67"/>
    <mergeCell ref="A68:D68"/>
    <mergeCell ref="A69:D69"/>
    <mergeCell ref="A70:D70"/>
    <mergeCell ref="A71:D71"/>
    <mergeCell ref="A62:D62"/>
    <mergeCell ref="A63:D63"/>
    <mergeCell ref="A64:D64"/>
    <mergeCell ref="A65:D65"/>
    <mergeCell ref="A66:D66"/>
    <mergeCell ref="A57:D57"/>
    <mergeCell ref="A58:D58"/>
    <mergeCell ref="A59:D59"/>
    <mergeCell ref="A60:D60"/>
    <mergeCell ref="A61:D61"/>
    <mergeCell ref="H6:J7"/>
    <mergeCell ref="A1:C1"/>
    <mergeCell ref="A2:C2"/>
    <mergeCell ref="A54:C54"/>
    <mergeCell ref="A55:D55"/>
  </mergeCells>
  <phoneticPr fontId="51" type="noConversion"/>
  <hyperlinks>
    <hyperlink ref="E46" location="A107040减免所得税优惠明细表!A1" display="A107040减免所得税优惠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tabColor theme="9" tint="0.39997558519241921"/>
  </sheetPr>
  <dimension ref="A1:I34"/>
  <sheetViews>
    <sheetView topLeftCell="A17" workbookViewId="0">
      <selection activeCell="D33" sqref="D33"/>
    </sheetView>
  </sheetViews>
  <sheetFormatPr defaultColWidth="22.8984375" defaultRowHeight="15.6"/>
  <cols>
    <col min="1" max="1" width="5.19921875" style="1614" customWidth="1"/>
    <col min="2" max="2" width="5.19921875" style="1532" customWidth="1"/>
    <col min="3" max="3" width="50.3984375" style="1532" customWidth="1"/>
    <col min="4" max="4" width="26.09765625" style="1532" customWidth="1"/>
    <col min="5" max="5" width="26.19921875" style="1532" customWidth="1"/>
    <col min="6" max="256" width="22.8984375" style="1532"/>
    <col min="257" max="258" width="5.19921875" style="1532" customWidth="1"/>
    <col min="259" max="259" width="50.3984375" style="1532" customWidth="1"/>
    <col min="260" max="261" width="26.19921875" style="1532" customWidth="1"/>
    <col min="262" max="512" width="22.8984375" style="1532"/>
    <col min="513" max="514" width="5.19921875" style="1532" customWidth="1"/>
    <col min="515" max="515" width="50.3984375" style="1532" customWidth="1"/>
    <col min="516" max="517" width="26.19921875" style="1532" customWidth="1"/>
    <col min="518" max="768" width="22.8984375" style="1532"/>
    <col min="769" max="770" width="5.19921875" style="1532" customWidth="1"/>
    <col min="771" max="771" width="50.3984375" style="1532" customWidth="1"/>
    <col min="772" max="773" width="26.19921875" style="1532" customWidth="1"/>
    <col min="774" max="1024" width="22.8984375" style="1532"/>
    <col min="1025" max="1026" width="5.19921875" style="1532" customWidth="1"/>
    <col min="1027" max="1027" width="50.3984375" style="1532" customWidth="1"/>
    <col min="1028" max="1029" width="26.19921875" style="1532" customWidth="1"/>
    <col min="1030" max="1280" width="22.8984375" style="1532"/>
    <col min="1281" max="1282" width="5.19921875" style="1532" customWidth="1"/>
    <col min="1283" max="1283" width="50.3984375" style="1532" customWidth="1"/>
    <col min="1284" max="1285" width="26.19921875" style="1532" customWidth="1"/>
    <col min="1286" max="1536" width="22.8984375" style="1532"/>
    <col min="1537" max="1538" width="5.19921875" style="1532" customWidth="1"/>
    <col min="1539" max="1539" width="50.3984375" style="1532" customWidth="1"/>
    <col min="1540" max="1541" width="26.19921875" style="1532" customWidth="1"/>
    <col min="1542" max="1792" width="22.8984375" style="1532"/>
    <col min="1793" max="1794" width="5.19921875" style="1532" customWidth="1"/>
    <col min="1795" max="1795" width="50.3984375" style="1532" customWidth="1"/>
    <col min="1796" max="1797" width="26.19921875" style="1532" customWidth="1"/>
    <col min="1798" max="2048" width="22.8984375" style="1532"/>
    <col min="2049" max="2050" width="5.19921875" style="1532" customWidth="1"/>
    <col min="2051" max="2051" width="50.3984375" style="1532" customWidth="1"/>
    <col min="2052" max="2053" width="26.19921875" style="1532" customWidth="1"/>
    <col min="2054" max="2304" width="22.8984375" style="1532"/>
    <col min="2305" max="2306" width="5.19921875" style="1532" customWidth="1"/>
    <col min="2307" max="2307" width="50.3984375" style="1532" customWidth="1"/>
    <col min="2308" max="2309" width="26.19921875" style="1532" customWidth="1"/>
    <col min="2310" max="2560" width="22.8984375" style="1532"/>
    <col min="2561" max="2562" width="5.19921875" style="1532" customWidth="1"/>
    <col min="2563" max="2563" width="50.3984375" style="1532" customWidth="1"/>
    <col min="2564" max="2565" width="26.19921875" style="1532" customWidth="1"/>
    <col min="2566" max="2816" width="22.8984375" style="1532"/>
    <col min="2817" max="2818" width="5.19921875" style="1532" customWidth="1"/>
    <col min="2819" max="2819" width="50.3984375" style="1532" customWidth="1"/>
    <col min="2820" max="2821" width="26.19921875" style="1532" customWidth="1"/>
    <col min="2822" max="3072" width="22.8984375" style="1532"/>
    <col min="3073" max="3074" width="5.19921875" style="1532" customWidth="1"/>
    <col min="3075" max="3075" width="50.3984375" style="1532" customWidth="1"/>
    <col min="3076" max="3077" width="26.19921875" style="1532" customWidth="1"/>
    <col min="3078" max="3328" width="22.8984375" style="1532"/>
    <col min="3329" max="3330" width="5.19921875" style="1532" customWidth="1"/>
    <col min="3331" max="3331" width="50.3984375" style="1532" customWidth="1"/>
    <col min="3332" max="3333" width="26.19921875" style="1532" customWidth="1"/>
    <col min="3334" max="3584" width="22.8984375" style="1532"/>
    <col min="3585" max="3586" width="5.19921875" style="1532" customWidth="1"/>
    <col min="3587" max="3587" width="50.3984375" style="1532" customWidth="1"/>
    <col min="3588" max="3589" width="26.19921875" style="1532" customWidth="1"/>
    <col min="3590" max="3840" width="22.8984375" style="1532"/>
    <col min="3841" max="3842" width="5.19921875" style="1532" customWidth="1"/>
    <col min="3843" max="3843" width="50.3984375" style="1532" customWidth="1"/>
    <col min="3844" max="3845" width="26.19921875" style="1532" customWidth="1"/>
    <col min="3846" max="4096" width="22.8984375" style="1532"/>
    <col min="4097" max="4098" width="5.19921875" style="1532" customWidth="1"/>
    <col min="4099" max="4099" width="50.3984375" style="1532" customWidth="1"/>
    <col min="4100" max="4101" width="26.19921875" style="1532" customWidth="1"/>
    <col min="4102" max="4352" width="22.8984375" style="1532"/>
    <col min="4353" max="4354" width="5.19921875" style="1532" customWidth="1"/>
    <col min="4355" max="4355" width="50.3984375" style="1532" customWidth="1"/>
    <col min="4356" max="4357" width="26.19921875" style="1532" customWidth="1"/>
    <col min="4358" max="4608" width="22.8984375" style="1532"/>
    <col min="4609" max="4610" width="5.19921875" style="1532" customWidth="1"/>
    <col min="4611" max="4611" width="50.3984375" style="1532" customWidth="1"/>
    <col min="4612" max="4613" width="26.19921875" style="1532" customWidth="1"/>
    <col min="4614" max="4864" width="22.8984375" style="1532"/>
    <col min="4865" max="4866" width="5.19921875" style="1532" customWidth="1"/>
    <col min="4867" max="4867" width="50.3984375" style="1532" customWidth="1"/>
    <col min="4868" max="4869" width="26.19921875" style="1532" customWidth="1"/>
    <col min="4870" max="5120" width="22.8984375" style="1532"/>
    <col min="5121" max="5122" width="5.19921875" style="1532" customWidth="1"/>
    <col min="5123" max="5123" width="50.3984375" style="1532" customWidth="1"/>
    <col min="5124" max="5125" width="26.19921875" style="1532" customWidth="1"/>
    <col min="5126" max="5376" width="22.8984375" style="1532"/>
    <col min="5377" max="5378" width="5.19921875" style="1532" customWidth="1"/>
    <col min="5379" max="5379" width="50.3984375" style="1532" customWidth="1"/>
    <col min="5380" max="5381" width="26.19921875" style="1532" customWidth="1"/>
    <col min="5382" max="5632" width="22.8984375" style="1532"/>
    <col min="5633" max="5634" width="5.19921875" style="1532" customWidth="1"/>
    <col min="5635" max="5635" width="50.3984375" style="1532" customWidth="1"/>
    <col min="5636" max="5637" width="26.19921875" style="1532" customWidth="1"/>
    <col min="5638" max="5888" width="22.8984375" style="1532"/>
    <col min="5889" max="5890" width="5.19921875" style="1532" customWidth="1"/>
    <col min="5891" max="5891" width="50.3984375" style="1532" customWidth="1"/>
    <col min="5892" max="5893" width="26.19921875" style="1532" customWidth="1"/>
    <col min="5894" max="6144" width="22.8984375" style="1532"/>
    <col min="6145" max="6146" width="5.19921875" style="1532" customWidth="1"/>
    <col min="6147" max="6147" width="50.3984375" style="1532" customWidth="1"/>
    <col min="6148" max="6149" width="26.19921875" style="1532" customWidth="1"/>
    <col min="6150" max="6400" width="22.8984375" style="1532"/>
    <col min="6401" max="6402" width="5.19921875" style="1532" customWidth="1"/>
    <col min="6403" max="6403" width="50.3984375" style="1532" customWidth="1"/>
    <col min="6404" max="6405" width="26.19921875" style="1532" customWidth="1"/>
    <col min="6406" max="6656" width="22.8984375" style="1532"/>
    <col min="6657" max="6658" width="5.19921875" style="1532" customWidth="1"/>
    <col min="6659" max="6659" width="50.3984375" style="1532" customWidth="1"/>
    <col min="6660" max="6661" width="26.19921875" style="1532" customWidth="1"/>
    <col min="6662" max="6912" width="22.8984375" style="1532"/>
    <col min="6913" max="6914" width="5.19921875" style="1532" customWidth="1"/>
    <col min="6915" max="6915" width="50.3984375" style="1532" customWidth="1"/>
    <col min="6916" max="6917" width="26.19921875" style="1532" customWidth="1"/>
    <col min="6918" max="7168" width="22.8984375" style="1532"/>
    <col min="7169" max="7170" width="5.19921875" style="1532" customWidth="1"/>
    <col min="7171" max="7171" width="50.3984375" style="1532" customWidth="1"/>
    <col min="7172" max="7173" width="26.19921875" style="1532" customWidth="1"/>
    <col min="7174" max="7424" width="22.8984375" style="1532"/>
    <col min="7425" max="7426" width="5.19921875" style="1532" customWidth="1"/>
    <col min="7427" max="7427" width="50.3984375" style="1532" customWidth="1"/>
    <col min="7428" max="7429" width="26.19921875" style="1532" customWidth="1"/>
    <col min="7430" max="7680" width="22.8984375" style="1532"/>
    <col min="7681" max="7682" width="5.19921875" style="1532" customWidth="1"/>
    <col min="7683" max="7683" width="50.3984375" style="1532" customWidth="1"/>
    <col min="7684" max="7685" width="26.19921875" style="1532" customWidth="1"/>
    <col min="7686" max="7936" width="22.8984375" style="1532"/>
    <col min="7937" max="7938" width="5.19921875" style="1532" customWidth="1"/>
    <col min="7939" max="7939" width="50.3984375" style="1532" customWidth="1"/>
    <col min="7940" max="7941" width="26.19921875" style="1532" customWidth="1"/>
    <col min="7942" max="8192" width="22.8984375" style="1532"/>
    <col min="8193" max="8194" width="5.19921875" style="1532" customWidth="1"/>
    <col min="8195" max="8195" width="50.3984375" style="1532" customWidth="1"/>
    <col min="8196" max="8197" width="26.19921875" style="1532" customWidth="1"/>
    <col min="8198" max="8448" width="22.8984375" style="1532"/>
    <col min="8449" max="8450" width="5.19921875" style="1532" customWidth="1"/>
    <col min="8451" max="8451" width="50.3984375" style="1532" customWidth="1"/>
    <col min="8452" max="8453" width="26.19921875" style="1532" customWidth="1"/>
    <col min="8454" max="8704" width="22.8984375" style="1532"/>
    <col min="8705" max="8706" width="5.19921875" style="1532" customWidth="1"/>
    <col min="8707" max="8707" width="50.3984375" style="1532" customWidth="1"/>
    <col min="8708" max="8709" width="26.19921875" style="1532" customWidth="1"/>
    <col min="8710" max="8960" width="22.8984375" style="1532"/>
    <col min="8961" max="8962" width="5.19921875" style="1532" customWidth="1"/>
    <col min="8963" max="8963" width="50.3984375" style="1532" customWidth="1"/>
    <col min="8964" max="8965" width="26.19921875" style="1532" customWidth="1"/>
    <col min="8966" max="9216" width="22.8984375" style="1532"/>
    <col min="9217" max="9218" width="5.19921875" style="1532" customWidth="1"/>
    <col min="9219" max="9219" width="50.3984375" style="1532" customWidth="1"/>
    <col min="9220" max="9221" width="26.19921875" style="1532" customWidth="1"/>
    <col min="9222" max="9472" width="22.8984375" style="1532"/>
    <col min="9473" max="9474" width="5.19921875" style="1532" customWidth="1"/>
    <col min="9475" max="9475" width="50.3984375" style="1532" customWidth="1"/>
    <col min="9476" max="9477" width="26.19921875" style="1532" customWidth="1"/>
    <col min="9478" max="9728" width="22.8984375" style="1532"/>
    <col min="9729" max="9730" width="5.19921875" style="1532" customWidth="1"/>
    <col min="9731" max="9731" width="50.3984375" style="1532" customWidth="1"/>
    <col min="9732" max="9733" width="26.19921875" style="1532" customWidth="1"/>
    <col min="9734" max="9984" width="22.8984375" style="1532"/>
    <col min="9985" max="9986" width="5.19921875" style="1532" customWidth="1"/>
    <col min="9987" max="9987" width="50.3984375" style="1532" customWidth="1"/>
    <col min="9988" max="9989" width="26.19921875" style="1532" customWidth="1"/>
    <col min="9990" max="10240" width="22.8984375" style="1532"/>
    <col min="10241" max="10242" width="5.19921875" style="1532" customWidth="1"/>
    <col min="10243" max="10243" width="50.3984375" style="1532" customWidth="1"/>
    <col min="10244" max="10245" width="26.19921875" style="1532" customWidth="1"/>
    <col min="10246" max="10496" width="22.8984375" style="1532"/>
    <col min="10497" max="10498" width="5.19921875" style="1532" customWidth="1"/>
    <col min="10499" max="10499" width="50.3984375" style="1532" customWidth="1"/>
    <col min="10500" max="10501" width="26.19921875" style="1532" customWidth="1"/>
    <col min="10502" max="10752" width="22.8984375" style="1532"/>
    <col min="10753" max="10754" width="5.19921875" style="1532" customWidth="1"/>
    <col min="10755" max="10755" width="50.3984375" style="1532" customWidth="1"/>
    <col min="10756" max="10757" width="26.19921875" style="1532" customWidth="1"/>
    <col min="10758" max="11008" width="22.8984375" style="1532"/>
    <col min="11009" max="11010" width="5.19921875" style="1532" customWidth="1"/>
    <col min="11011" max="11011" width="50.3984375" style="1532" customWidth="1"/>
    <col min="11012" max="11013" width="26.19921875" style="1532" customWidth="1"/>
    <col min="11014" max="11264" width="22.8984375" style="1532"/>
    <col min="11265" max="11266" width="5.19921875" style="1532" customWidth="1"/>
    <col min="11267" max="11267" width="50.3984375" style="1532" customWidth="1"/>
    <col min="11268" max="11269" width="26.19921875" style="1532" customWidth="1"/>
    <col min="11270" max="11520" width="22.8984375" style="1532"/>
    <col min="11521" max="11522" width="5.19921875" style="1532" customWidth="1"/>
    <col min="11523" max="11523" width="50.3984375" style="1532" customWidth="1"/>
    <col min="11524" max="11525" width="26.19921875" style="1532" customWidth="1"/>
    <col min="11526" max="11776" width="22.8984375" style="1532"/>
    <col min="11777" max="11778" width="5.19921875" style="1532" customWidth="1"/>
    <col min="11779" max="11779" width="50.3984375" style="1532" customWidth="1"/>
    <col min="11780" max="11781" width="26.19921875" style="1532" customWidth="1"/>
    <col min="11782" max="12032" width="22.8984375" style="1532"/>
    <col min="12033" max="12034" width="5.19921875" style="1532" customWidth="1"/>
    <col min="12035" max="12035" width="50.3984375" style="1532" customWidth="1"/>
    <col min="12036" max="12037" width="26.19921875" style="1532" customWidth="1"/>
    <col min="12038" max="12288" width="22.8984375" style="1532"/>
    <col min="12289" max="12290" width="5.19921875" style="1532" customWidth="1"/>
    <col min="12291" max="12291" width="50.3984375" style="1532" customWidth="1"/>
    <col min="12292" max="12293" width="26.19921875" style="1532" customWidth="1"/>
    <col min="12294" max="12544" width="22.8984375" style="1532"/>
    <col min="12545" max="12546" width="5.19921875" style="1532" customWidth="1"/>
    <col min="12547" max="12547" width="50.3984375" style="1532" customWidth="1"/>
    <col min="12548" max="12549" width="26.19921875" style="1532" customWidth="1"/>
    <col min="12550" max="12800" width="22.8984375" style="1532"/>
    <col min="12801" max="12802" width="5.19921875" style="1532" customWidth="1"/>
    <col min="12803" max="12803" width="50.3984375" style="1532" customWidth="1"/>
    <col min="12804" max="12805" width="26.19921875" style="1532" customWidth="1"/>
    <col min="12806" max="13056" width="22.8984375" style="1532"/>
    <col min="13057" max="13058" width="5.19921875" style="1532" customWidth="1"/>
    <col min="13059" max="13059" width="50.3984375" style="1532" customWidth="1"/>
    <col min="13060" max="13061" width="26.19921875" style="1532" customWidth="1"/>
    <col min="13062" max="13312" width="22.8984375" style="1532"/>
    <col min="13313" max="13314" width="5.19921875" style="1532" customWidth="1"/>
    <col min="13315" max="13315" width="50.3984375" style="1532" customWidth="1"/>
    <col min="13316" max="13317" width="26.19921875" style="1532" customWidth="1"/>
    <col min="13318" max="13568" width="22.8984375" style="1532"/>
    <col min="13569" max="13570" width="5.19921875" style="1532" customWidth="1"/>
    <col min="13571" max="13571" width="50.3984375" style="1532" customWidth="1"/>
    <col min="13572" max="13573" width="26.19921875" style="1532" customWidth="1"/>
    <col min="13574" max="13824" width="22.8984375" style="1532"/>
    <col min="13825" max="13826" width="5.19921875" style="1532" customWidth="1"/>
    <col min="13827" max="13827" width="50.3984375" style="1532" customWidth="1"/>
    <col min="13828" max="13829" width="26.19921875" style="1532" customWidth="1"/>
    <col min="13830" max="14080" width="22.8984375" style="1532"/>
    <col min="14081" max="14082" width="5.19921875" style="1532" customWidth="1"/>
    <col min="14083" max="14083" width="50.3984375" style="1532" customWidth="1"/>
    <col min="14084" max="14085" width="26.19921875" style="1532" customWidth="1"/>
    <col min="14086" max="14336" width="22.8984375" style="1532"/>
    <col min="14337" max="14338" width="5.19921875" style="1532" customWidth="1"/>
    <col min="14339" max="14339" width="50.3984375" style="1532" customWidth="1"/>
    <col min="14340" max="14341" width="26.19921875" style="1532" customWidth="1"/>
    <col min="14342" max="14592" width="22.8984375" style="1532"/>
    <col min="14593" max="14594" width="5.19921875" style="1532" customWidth="1"/>
    <col min="14595" max="14595" width="50.3984375" style="1532" customWidth="1"/>
    <col min="14596" max="14597" width="26.19921875" style="1532" customWidth="1"/>
    <col min="14598" max="14848" width="22.8984375" style="1532"/>
    <col min="14849" max="14850" width="5.19921875" style="1532" customWidth="1"/>
    <col min="14851" max="14851" width="50.3984375" style="1532" customWidth="1"/>
    <col min="14852" max="14853" width="26.19921875" style="1532" customWidth="1"/>
    <col min="14854" max="15104" width="22.8984375" style="1532"/>
    <col min="15105" max="15106" width="5.19921875" style="1532" customWidth="1"/>
    <col min="15107" max="15107" width="50.3984375" style="1532" customWidth="1"/>
    <col min="15108" max="15109" width="26.19921875" style="1532" customWidth="1"/>
    <col min="15110" max="15360" width="22.8984375" style="1532"/>
    <col min="15361" max="15362" width="5.19921875" style="1532" customWidth="1"/>
    <col min="15363" max="15363" width="50.3984375" style="1532" customWidth="1"/>
    <col min="15364" max="15365" width="26.19921875" style="1532" customWidth="1"/>
    <col min="15366" max="15616" width="22.8984375" style="1532"/>
    <col min="15617" max="15618" width="5.19921875" style="1532" customWidth="1"/>
    <col min="15619" max="15619" width="50.3984375" style="1532" customWidth="1"/>
    <col min="15620" max="15621" width="26.19921875" style="1532" customWidth="1"/>
    <col min="15622" max="15872" width="22.8984375" style="1532"/>
    <col min="15873" max="15874" width="5.19921875" style="1532" customWidth="1"/>
    <col min="15875" max="15875" width="50.3984375" style="1532" customWidth="1"/>
    <col min="15876" max="15877" width="26.19921875" style="1532" customWidth="1"/>
    <col min="15878" max="16128" width="22.8984375" style="1532"/>
    <col min="16129" max="16130" width="5.19921875" style="1532" customWidth="1"/>
    <col min="16131" max="16131" width="50.3984375" style="1532" customWidth="1"/>
    <col min="16132" max="16133" width="26.19921875" style="1532" customWidth="1"/>
    <col min="16134" max="16384" width="22.8984375" style="1532"/>
  </cols>
  <sheetData>
    <row r="1" spans="1:9" ht="20.100000000000001" customHeight="1">
      <c r="A1" s="3463"/>
      <c r="B1" s="3463"/>
      <c r="C1" s="3463"/>
      <c r="D1" s="3463"/>
      <c r="E1" s="2165" t="str">
        <f>"索引号："&amp;档案索引!D14</f>
        <v>索引号：2B-9</v>
      </c>
    </row>
    <row r="2" spans="1:9" ht="25.5" customHeight="1">
      <c r="A2" s="3401" t="s">
        <v>5940</v>
      </c>
      <c r="B2" s="3401"/>
      <c r="C2" s="3401"/>
      <c r="D2" s="3401"/>
      <c r="E2" s="1854"/>
    </row>
    <row r="3" spans="1:9" ht="14.25" customHeight="1">
      <c r="A3" s="1829" t="s">
        <v>5671</v>
      </c>
      <c r="B3" s="3407" t="s">
        <v>5672</v>
      </c>
      <c r="C3" s="3407"/>
      <c r="D3" s="3407"/>
      <c r="E3" s="1852" t="s">
        <v>4899</v>
      </c>
      <c r="F3" s="1537"/>
      <c r="G3" s="1565"/>
      <c r="H3" s="1537"/>
      <c r="I3" s="1537"/>
    </row>
    <row r="4" spans="1:9" ht="15" customHeight="1">
      <c r="A4" s="1847">
        <v>1</v>
      </c>
      <c r="B4" s="3405" t="s">
        <v>5672</v>
      </c>
      <c r="C4" s="1882" t="s">
        <v>5673</v>
      </c>
      <c r="D4" s="1652"/>
      <c r="E4" s="1986"/>
    </row>
    <row r="5" spans="1:9" ht="19.5" customHeight="1">
      <c r="A5" s="1847">
        <v>2</v>
      </c>
      <c r="B5" s="3409"/>
      <c r="C5" s="1882" t="s">
        <v>5674</v>
      </c>
      <c r="D5" s="1652"/>
      <c r="E5" s="1853"/>
    </row>
    <row r="6" spans="1:9" ht="27" customHeight="1">
      <c r="A6" s="1847">
        <v>3</v>
      </c>
      <c r="B6" s="3409"/>
      <c r="C6" s="1883" t="s">
        <v>5675</v>
      </c>
      <c r="D6" s="1652"/>
      <c r="E6" s="1853"/>
    </row>
    <row r="7" spans="1:9" ht="18" customHeight="1">
      <c r="A7" s="1847">
        <v>4</v>
      </c>
      <c r="B7" s="3409"/>
      <c r="C7" s="1882" t="s">
        <v>5676</v>
      </c>
      <c r="D7" s="1652"/>
      <c r="E7" s="1853"/>
    </row>
    <row r="8" spans="1:9" ht="18.75" customHeight="1">
      <c r="A8" s="1847">
        <v>5</v>
      </c>
      <c r="B8" s="3409"/>
      <c r="C8" s="1882" t="s">
        <v>5677</v>
      </c>
      <c r="D8" s="1652"/>
      <c r="E8" s="1853"/>
    </row>
    <row r="9" spans="1:9" ht="18" customHeight="1">
      <c r="A9" s="1847">
        <v>6</v>
      </c>
      <c r="B9" s="3406"/>
      <c r="C9" s="1884" t="s">
        <v>5678</v>
      </c>
      <c r="D9" s="1652"/>
      <c r="E9" s="1853"/>
    </row>
    <row r="10" spans="1:9" ht="14.25" customHeight="1">
      <c r="A10" s="1847">
        <v>7</v>
      </c>
      <c r="B10" s="3407" t="s">
        <v>5679</v>
      </c>
      <c r="C10" s="1885" t="s">
        <v>5680</v>
      </c>
      <c r="D10" s="2075">
        <f>D11+D12</f>
        <v>0</v>
      </c>
      <c r="E10" s="1941"/>
    </row>
    <row r="11" spans="1:9" ht="14.25" customHeight="1">
      <c r="A11" s="1847">
        <v>8</v>
      </c>
      <c r="B11" s="3407"/>
      <c r="C11" s="1885" t="s">
        <v>5681</v>
      </c>
      <c r="D11" s="2077"/>
      <c r="E11" s="1941"/>
    </row>
    <row r="12" spans="1:9" ht="14.25" customHeight="1">
      <c r="A12" s="1847">
        <v>9</v>
      </c>
      <c r="B12" s="3407"/>
      <c r="C12" s="1885" t="s">
        <v>5682</v>
      </c>
      <c r="D12" s="2077"/>
      <c r="E12" s="1941"/>
    </row>
    <row r="13" spans="1:9" ht="14.25" customHeight="1">
      <c r="A13" s="1847">
        <v>10</v>
      </c>
      <c r="B13" s="3407"/>
      <c r="C13" s="1885" t="s">
        <v>5683</v>
      </c>
      <c r="D13" s="2077"/>
      <c r="E13" s="1941"/>
      <c r="F13" s="1675" t="s">
        <v>6470</v>
      </c>
    </row>
    <row r="14" spans="1:9" ht="23.25" customHeight="1">
      <c r="A14" s="1847">
        <v>11</v>
      </c>
      <c r="B14" s="3407"/>
      <c r="C14" s="1886" t="s">
        <v>5684</v>
      </c>
      <c r="D14" s="2078">
        <f>IFERROR(ROUND(D10/D13*100,2),0)</f>
        <v>0</v>
      </c>
      <c r="E14" s="1941"/>
    </row>
    <row r="15" spans="1:9" ht="14.25" customHeight="1">
      <c r="A15" s="1847">
        <v>12</v>
      </c>
      <c r="B15" s="3407" t="s">
        <v>5685</v>
      </c>
      <c r="C15" s="1887" t="s">
        <v>5686</v>
      </c>
      <c r="D15" s="2077"/>
      <c r="E15" s="1941"/>
    </row>
    <row r="16" spans="1:9" ht="14.25" customHeight="1">
      <c r="A16" s="1847">
        <v>13</v>
      </c>
      <c r="B16" s="3407"/>
      <c r="C16" s="1887" t="s">
        <v>5687</v>
      </c>
      <c r="D16" s="2077"/>
      <c r="E16" s="1941"/>
    </row>
    <row r="17" spans="1:5" ht="14.25" customHeight="1">
      <c r="A17" s="1847">
        <v>14</v>
      </c>
      <c r="B17" s="3407"/>
      <c r="C17" s="1885" t="s">
        <v>5688</v>
      </c>
      <c r="D17" s="2077"/>
      <c r="E17" s="1941"/>
    </row>
    <row r="18" spans="1:5" ht="24" customHeight="1">
      <c r="A18" s="1847">
        <v>15</v>
      </c>
      <c r="B18" s="3407"/>
      <c r="C18" s="1886" t="s">
        <v>5689</v>
      </c>
      <c r="D18" s="2078">
        <f>IFERROR(ROUND(D15/D17*100,2),0)</f>
        <v>0</v>
      </c>
      <c r="E18" s="1986"/>
    </row>
    <row r="19" spans="1:5" ht="14.25" customHeight="1">
      <c r="A19" s="1847">
        <v>16</v>
      </c>
      <c r="B19" s="3407"/>
      <c r="C19" s="1888" t="s">
        <v>5690</v>
      </c>
      <c r="D19" s="2075">
        <f>IFERROR(ROUND(D16/D17*100,2),0)</f>
        <v>0</v>
      </c>
      <c r="E19" s="1941"/>
    </row>
    <row r="20" spans="1:5" ht="14.25" customHeight="1">
      <c r="A20" s="1847">
        <v>17</v>
      </c>
      <c r="B20" s="3407" t="s">
        <v>5691</v>
      </c>
      <c r="C20" s="1887" t="s">
        <v>5692</v>
      </c>
      <c r="D20" s="2075">
        <f>D21+D30</f>
        <v>0</v>
      </c>
      <c r="E20" s="1941"/>
    </row>
    <row r="21" spans="1:5" ht="14.25" customHeight="1">
      <c r="A21" s="1847">
        <v>18</v>
      </c>
      <c r="B21" s="3407"/>
      <c r="C21" s="1889" t="s">
        <v>5693</v>
      </c>
      <c r="D21" s="2075">
        <f>SUM(D22:D27,D29)</f>
        <v>0</v>
      </c>
      <c r="E21" s="1941"/>
    </row>
    <row r="22" spans="1:5" ht="14.25" customHeight="1">
      <c r="A22" s="1847">
        <v>19</v>
      </c>
      <c r="B22" s="3407"/>
      <c r="C22" s="1889" t="s">
        <v>5694</v>
      </c>
      <c r="D22" s="2077"/>
      <c r="E22" s="1941"/>
    </row>
    <row r="23" spans="1:5" ht="14.25" customHeight="1">
      <c r="A23" s="1847">
        <v>20</v>
      </c>
      <c r="B23" s="3407"/>
      <c r="C23" s="1889" t="s">
        <v>5695</v>
      </c>
      <c r="D23" s="2077"/>
      <c r="E23" s="1941"/>
    </row>
    <row r="24" spans="1:5" ht="14.25" customHeight="1">
      <c r="A24" s="1847">
        <v>21</v>
      </c>
      <c r="B24" s="3407"/>
      <c r="C24" s="1889" t="s">
        <v>5696</v>
      </c>
      <c r="D24" s="2077"/>
      <c r="E24" s="1941"/>
    </row>
    <row r="25" spans="1:5" ht="14.25" customHeight="1">
      <c r="A25" s="1847">
        <v>22</v>
      </c>
      <c r="B25" s="3407"/>
      <c r="C25" s="1889" t="s">
        <v>5697</v>
      </c>
      <c r="D25" s="2077"/>
      <c r="E25" s="1941"/>
    </row>
    <row r="26" spans="1:5" ht="14.25" customHeight="1">
      <c r="A26" s="1847">
        <v>23</v>
      </c>
      <c r="B26" s="3407"/>
      <c r="C26" s="1889" t="s">
        <v>5698</v>
      </c>
      <c r="D26" s="2077"/>
      <c r="E26" s="1941"/>
    </row>
    <row r="27" spans="1:5" ht="14.25" customHeight="1">
      <c r="A27" s="1847">
        <v>24</v>
      </c>
      <c r="B27" s="3407"/>
      <c r="C27" s="1889" t="s">
        <v>5699</v>
      </c>
      <c r="D27" s="2077"/>
      <c r="E27" s="1941"/>
    </row>
    <row r="28" spans="1:5" ht="14.25" customHeight="1">
      <c r="A28" s="1847">
        <v>25</v>
      </c>
      <c r="B28" s="3407"/>
      <c r="C28" s="1889" t="s">
        <v>5700</v>
      </c>
      <c r="D28" s="2077"/>
      <c r="E28" s="1941"/>
    </row>
    <row r="29" spans="1:5" ht="14.25" customHeight="1">
      <c r="A29" s="1847">
        <v>26</v>
      </c>
      <c r="B29" s="3407"/>
      <c r="C29" s="1889" t="s">
        <v>5701</v>
      </c>
      <c r="D29" s="2077"/>
      <c r="E29" s="1941"/>
    </row>
    <row r="30" spans="1:5" ht="14.25" customHeight="1">
      <c r="A30" s="1847">
        <v>27</v>
      </c>
      <c r="B30" s="3407"/>
      <c r="C30" s="1889" t="s">
        <v>5702</v>
      </c>
      <c r="D30" s="2075">
        <f>D31+D32</f>
        <v>0</v>
      </c>
      <c r="E30" s="1941"/>
    </row>
    <row r="31" spans="1:5" ht="14.25" customHeight="1">
      <c r="A31" s="1847">
        <v>28</v>
      </c>
      <c r="B31" s="3407"/>
      <c r="C31" s="1889" t="s">
        <v>5703</v>
      </c>
      <c r="D31" s="2077"/>
      <c r="E31" s="1941"/>
    </row>
    <row r="32" spans="1:5" ht="14.25" customHeight="1">
      <c r="A32" s="1847">
        <v>29</v>
      </c>
      <c r="B32" s="3407"/>
      <c r="C32" s="1889" t="s">
        <v>5704</v>
      </c>
      <c r="D32" s="2077"/>
      <c r="E32" s="1941"/>
    </row>
    <row r="33" spans="1:5" ht="14.25" customHeight="1">
      <c r="A33" s="1847">
        <v>30</v>
      </c>
      <c r="B33" s="3407"/>
      <c r="C33" s="1889" t="s">
        <v>7693</v>
      </c>
      <c r="D33" s="2077"/>
      <c r="E33" s="1941"/>
    </row>
    <row r="34" spans="1:5">
      <c r="A34" s="1846">
        <v>31</v>
      </c>
      <c r="B34" s="3485" t="s">
        <v>5706</v>
      </c>
      <c r="C34" s="3486"/>
      <c r="D34" s="2075">
        <f>IF(D4="",0,'A100000中华人民共和国企业所得税年度纳税申报表（A类）'!D26*0.1)</f>
        <v>0</v>
      </c>
      <c r="E34" s="1829" t="s">
        <v>5707</v>
      </c>
    </row>
  </sheetData>
  <mergeCells count="8">
    <mergeCell ref="B20:B33"/>
    <mergeCell ref="B34:C34"/>
    <mergeCell ref="B15:B19"/>
    <mergeCell ref="A1:D1"/>
    <mergeCell ref="A2:D2"/>
    <mergeCell ref="B3:D3"/>
    <mergeCell ref="B4:B9"/>
    <mergeCell ref="B10:B14"/>
  </mergeCells>
  <phoneticPr fontId="51"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formula1>"是,否"</formula1>
    </dataValidation>
  </dataValidations>
  <hyperlinks>
    <hyperlink ref="F13" location="A107041高新技术企业优惠情况及明细表!A1" display="A107041高新技术企业优惠情况及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tabColor theme="9" tint="0.39997558519241921"/>
  </sheetPr>
  <dimension ref="A1:L45"/>
  <sheetViews>
    <sheetView topLeftCell="A23" workbookViewId="0">
      <selection activeCell="E33" sqref="E33"/>
    </sheetView>
  </sheetViews>
  <sheetFormatPr defaultRowHeight="15.6"/>
  <cols>
    <col min="1" max="1" width="4.69921875" style="1532" customWidth="1"/>
    <col min="2" max="2" width="5.19921875" style="1614" customWidth="1"/>
    <col min="3" max="3" width="5.69921875" style="1532" customWidth="1"/>
    <col min="4" max="4" width="79.8984375" style="1532" customWidth="1"/>
    <col min="5" max="5" width="16.19921875" style="1532" customWidth="1"/>
    <col min="6" max="6" width="13.3984375" style="1532" customWidth="1"/>
    <col min="7" max="256" width="9" style="1532"/>
    <col min="257" max="257" width="4.69921875" style="1532" customWidth="1"/>
    <col min="258" max="258" width="5.19921875" style="1532" customWidth="1"/>
    <col min="259" max="259" width="5.69921875" style="1532" customWidth="1"/>
    <col min="260" max="260" width="79.8984375" style="1532" customWidth="1"/>
    <col min="261" max="261" width="16.19921875" style="1532" customWidth="1"/>
    <col min="262" max="262" width="13.3984375" style="1532" customWidth="1"/>
    <col min="263" max="512" width="9" style="1532"/>
    <col min="513" max="513" width="4.69921875" style="1532" customWidth="1"/>
    <col min="514" max="514" width="5.19921875" style="1532" customWidth="1"/>
    <col min="515" max="515" width="5.69921875" style="1532" customWidth="1"/>
    <col min="516" max="516" width="79.8984375" style="1532" customWidth="1"/>
    <col min="517" max="517" width="16.19921875" style="1532" customWidth="1"/>
    <col min="518" max="518" width="13.3984375" style="1532" customWidth="1"/>
    <col min="519" max="768" width="9" style="1532"/>
    <col min="769" max="769" width="4.69921875" style="1532" customWidth="1"/>
    <col min="770" max="770" width="5.19921875" style="1532" customWidth="1"/>
    <col min="771" max="771" width="5.69921875" style="1532" customWidth="1"/>
    <col min="772" max="772" width="79.8984375" style="1532" customWidth="1"/>
    <col min="773" max="773" width="16.19921875" style="1532" customWidth="1"/>
    <col min="774" max="774" width="13.3984375" style="1532" customWidth="1"/>
    <col min="775" max="1024" width="9" style="1532"/>
    <col min="1025" max="1025" width="4.69921875" style="1532" customWidth="1"/>
    <col min="1026" max="1026" width="5.19921875" style="1532" customWidth="1"/>
    <col min="1027" max="1027" width="5.69921875" style="1532" customWidth="1"/>
    <col min="1028" max="1028" width="79.8984375" style="1532" customWidth="1"/>
    <col min="1029" max="1029" width="16.19921875" style="1532" customWidth="1"/>
    <col min="1030" max="1030" width="13.3984375" style="1532" customWidth="1"/>
    <col min="1031" max="1280" width="9" style="1532"/>
    <col min="1281" max="1281" width="4.69921875" style="1532" customWidth="1"/>
    <col min="1282" max="1282" width="5.19921875" style="1532" customWidth="1"/>
    <col min="1283" max="1283" width="5.69921875" style="1532" customWidth="1"/>
    <col min="1284" max="1284" width="79.8984375" style="1532" customWidth="1"/>
    <col min="1285" max="1285" width="16.19921875" style="1532" customWidth="1"/>
    <col min="1286" max="1286" width="13.3984375" style="1532" customWidth="1"/>
    <col min="1287" max="1536" width="9" style="1532"/>
    <col min="1537" max="1537" width="4.69921875" style="1532" customWidth="1"/>
    <col min="1538" max="1538" width="5.19921875" style="1532" customWidth="1"/>
    <col min="1539" max="1539" width="5.69921875" style="1532" customWidth="1"/>
    <col min="1540" max="1540" width="79.8984375" style="1532" customWidth="1"/>
    <col min="1541" max="1541" width="16.19921875" style="1532" customWidth="1"/>
    <col min="1542" max="1542" width="13.3984375" style="1532" customWidth="1"/>
    <col min="1543" max="1792" width="9" style="1532"/>
    <col min="1793" max="1793" width="4.69921875" style="1532" customWidth="1"/>
    <col min="1794" max="1794" width="5.19921875" style="1532" customWidth="1"/>
    <col min="1795" max="1795" width="5.69921875" style="1532" customWidth="1"/>
    <col min="1796" max="1796" width="79.8984375" style="1532" customWidth="1"/>
    <col min="1797" max="1797" width="16.19921875" style="1532" customWidth="1"/>
    <col min="1798" max="1798" width="13.3984375" style="1532" customWidth="1"/>
    <col min="1799" max="2048" width="9" style="1532"/>
    <col min="2049" max="2049" width="4.69921875" style="1532" customWidth="1"/>
    <col min="2050" max="2050" width="5.19921875" style="1532" customWidth="1"/>
    <col min="2051" max="2051" width="5.69921875" style="1532" customWidth="1"/>
    <col min="2052" max="2052" width="79.8984375" style="1532" customWidth="1"/>
    <col min="2053" max="2053" width="16.19921875" style="1532" customWidth="1"/>
    <col min="2054" max="2054" width="13.3984375" style="1532" customWidth="1"/>
    <col min="2055" max="2304" width="9" style="1532"/>
    <col min="2305" max="2305" width="4.69921875" style="1532" customWidth="1"/>
    <col min="2306" max="2306" width="5.19921875" style="1532" customWidth="1"/>
    <col min="2307" max="2307" width="5.69921875" style="1532" customWidth="1"/>
    <col min="2308" max="2308" width="79.8984375" style="1532" customWidth="1"/>
    <col min="2309" max="2309" width="16.19921875" style="1532" customWidth="1"/>
    <col min="2310" max="2310" width="13.3984375" style="1532" customWidth="1"/>
    <col min="2311" max="2560" width="9" style="1532"/>
    <col min="2561" max="2561" width="4.69921875" style="1532" customWidth="1"/>
    <col min="2562" max="2562" width="5.19921875" style="1532" customWidth="1"/>
    <col min="2563" max="2563" width="5.69921875" style="1532" customWidth="1"/>
    <col min="2564" max="2564" width="79.8984375" style="1532" customWidth="1"/>
    <col min="2565" max="2565" width="16.19921875" style="1532" customWidth="1"/>
    <col min="2566" max="2566" width="13.3984375" style="1532" customWidth="1"/>
    <col min="2567" max="2816" width="9" style="1532"/>
    <col min="2817" max="2817" width="4.69921875" style="1532" customWidth="1"/>
    <col min="2818" max="2818" width="5.19921875" style="1532" customWidth="1"/>
    <col min="2819" max="2819" width="5.69921875" style="1532" customWidth="1"/>
    <col min="2820" max="2820" width="79.8984375" style="1532" customWidth="1"/>
    <col min="2821" max="2821" width="16.19921875" style="1532" customWidth="1"/>
    <col min="2822" max="2822" width="13.3984375" style="1532" customWidth="1"/>
    <col min="2823" max="3072" width="9" style="1532"/>
    <col min="3073" max="3073" width="4.69921875" style="1532" customWidth="1"/>
    <col min="3074" max="3074" width="5.19921875" style="1532" customWidth="1"/>
    <col min="3075" max="3075" width="5.69921875" style="1532" customWidth="1"/>
    <col min="3076" max="3076" width="79.8984375" style="1532" customWidth="1"/>
    <col min="3077" max="3077" width="16.19921875" style="1532" customWidth="1"/>
    <col min="3078" max="3078" width="13.3984375" style="1532" customWidth="1"/>
    <col min="3079" max="3328" width="9" style="1532"/>
    <col min="3329" max="3329" width="4.69921875" style="1532" customWidth="1"/>
    <col min="3330" max="3330" width="5.19921875" style="1532" customWidth="1"/>
    <col min="3331" max="3331" width="5.69921875" style="1532" customWidth="1"/>
    <col min="3332" max="3332" width="79.8984375" style="1532" customWidth="1"/>
    <col min="3333" max="3333" width="16.19921875" style="1532" customWidth="1"/>
    <col min="3334" max="3334" width="13.3984375" style="1532" customWidth="1"/>
    <col min="3335" max="3584" width="9" style="1532"/>
    <col min="3585" max="3585" width="4.69921875" style="1532" customWidth="1"/>
    <col min="3586" max="3586" width="5.19921875" style="1532" customWidth="1"/>
    <col min="3587" max="3587" width="5.69921875" style="1532" customWidth="1"/>
    <col min="3588" max="3588" width="79.8984375" style="1532" customWidth="1"/>
    <col min="3589" max="3589" width="16.19921875" style="1532" customWidth="1"/>
    <col min="3590" max="3590" width="13.3984375" style="1532" customWidth="1"/>
    <col min="3591" max="3840" width="9" style="1532"/>
    <col min="3841" max="3841" width="4.69921875" style="1532" customWidth="1"/>
    <col min="3842" max="3842" width="5.19921875" style="1532" customWidth="1"/>
    <col min="3843" max="3843" width="5.69921875" style="1532" customWidth="1"/>
    <col min="3844" max="3844" width="79.8984375" style="1532" customWidth="1"/>
    <col min="3845" max="3845" width="16.19921875" style="1532" customWidth="1"/>
    <col min="3846" max="3846" width="13.3984375" style="1532" customWidth="1"/>
    <col min="3847" max="4096" width="9" style="1532"/>
    <col min="4097" max="4097" width="4.69921875" style="1532" customWidth="1"/>
    <col min="4098" max="4098" width="5.19921875" style="1532" customWidth="1"/>
    <col min="4099" max="4099" width="5.69921875" style="1532" customWidth="1"/>
    <col min="4100" max="4100" width="79.8984375" style="1532" customWidth="1"/>
    <col min="4101" max="4101" width="16.19921875" style="1532" customWidth="1"/>
    <col min="4102" max="4102" width="13.3984375" style="1532" customWidth="1"/>
    <col min="4103" max="4352" width="9" style="1532"/>
    <col min="4353" max="4353" width="4.69921875" style="1532" customWidth="1"/>
    <col min="4354" max="4354" width="5.19921875" style="1532" customWidth="1"/>
    <col min="4355" max="4355" width="5.69921875" style="1532" customWidth="1"/>
    <col min="4356" max="4356" width="79.8984375" style="1532" customWidth="1"/>
    <col min="4357" max="4357" width="16.19921875" style="1532" customWidth="1"/>
    <col min="4358" max="4358" width="13.3984375" style="1532" customWidth="1"/>
    <col min="4359" max="4608" width="9" style="1532"/>
    <col min="4609" max="4609" width="4.69921875" style="1532" customWidth="1"/>
    <col min="4610" max="4610" width="5.19921875" style="1532" customWidth="1"/>
    <col min="4611" max="4611" width="5.69921875" style="1532" customWidth="1"/>
    <col min="4612" max="4612" width="79.8984375" style="1532" customWidth="1"/>
    <col min="4613" max="4613" width="16.19921875" style="1532" customWidth="1"/>
    <col min="4614" max="4614" width="13.3984375" style="1532" customWidth="1"/>
    <col min="4615" max="4864" width="9" style="1532"/>
    <col min="4865" max="4865" width="4.69921875" style="1532" customWidth="1"/>
    <col min="4866" max="4866" width="5.19921875" style="1532" customWidth="1"/>
    <col min="4867" max="4867" width="5.69921875" style="1532" customWidth="1"/>
    <col min="4868" max="4868" width="79.8984375" style="1532" customWidth="1"/>
    <col min="4869" max="4869" width="16.19921875" style="1532" customWidth="1"/>
    <col min="4870" max="4870" width="13.3984375" style="1532" customWidth="1"/>
    <col min="4871" max="5120" width="9" style="1532"/>
    <col min="5121" max="5121" width="4.69921875" style="1532" customWidth="1"/>
    <col min="5122" max="5122" width="5.19921875" style="1532" customWidth="1"/>
    <col min="5123" max="5123" width="5.69921875" style="1532" customWidth="1"/>
    <col min="5124" max="5124" width="79.8984375" style="1532" customWidth="1"/>
    <col min="5125" max="5125" width="16.19921875" style="1532" customWidth="1"/>
    <col min="5126" max="5126" width="13.3984375" style="1532" customWidth="1"/>
    <col min="5127" max="5376" width="9" style="1532"/>
    <col min="5377" max="5377" width="4.69921875" style="1532" customWidth="1"/>
    <col min="5378" max="5378" width="5.19921875" style="1532" customWidth="1"/>
    <col min="5379" max="5379" width="5.69921875" style="1532" customWidth="1"/>
    <col min="5380" max="5380" width="79.8984375" style="1532" customWidth="1"/>
    <col min="5381" max="5381" width="16.19921875" style="1532" customWidth="1"/>
    <col min="5382" max="5382" width="13.3984375" style="1532" customWidth="1"/>
    <col min="5383" max="5632" width="9" style="1532"/>
    <col min="5633" max="5633" width="4.69921875" style="1532" customWidth="1"/>
    <col min="5634" max="5634" width="5.19921875" style="1532" customWidth="1"/>
    <col min="5635" max="5635" width="5.69921875" style="1532" customWidth="1"/>
    <col min="5636" max="5636" width="79.8984375" style="1532" customWidth="1"/>
    <col min="5637" max="5637" width="16.19921875" style="1532" customWidth="1"/>
    <col min="5638" max="5638" width="13.3984375" style="1532" customWidth="1"/>
    <col min="5639" max="5888" width="9" style="1532"/>
    <col min="5889" max="5889" width="4.69921875" style="1532" customWidth="1"/>
    <col min="5890" max="5890" width="5.19921875" style="1532" customWidth="1"/>
    <col min="5891" max="5891" width="5.69921875" style="1532" customWidth="1"/>
    <col min="5892" max="5892" width="79.8984375" style="1532" customWidth="1"/>
    <col min="5893" max="5893" width="16.19921875" style="1532" customWidth="1"/>
    <col min="5894" max="5894" width="13.3984375" style="1532" customWidth="1"/>
    <col min="5895" max="6144" width="9" style="1532"/>
    <col min="6145" max="6145" width="4.69921875" style="1532" customWidth="1"/>
    <col min="6146" max="6146" width="5.19921875" style="1532" customWidth="1"/>
    <col min="6147" max="6147" width="5.69921875" style="1532" customWidth="1"/>
    <col min="6148" max="6148" width="79.8984375" style="1532" customWidth="1"/>
    <col min="6149" max="6149" width="16.19921875" style="1532" customWidth="1"/>
    <col min="6150" max="6150" width="13.3984375" style="1532" customWidth="1"/>
    <col min="6151" max="6400" width="9" style="1532"/>
    <col min="6401" max="6401" width="4.69921875" style="1532" customWidth="1"/>
    <col min="6402" max="6402" width="5.19921875" style="1532" customWidth="1"/>
    <col min="6403" max="6403" width="5.69921875" style="1532" customWidth="1"/>
    <col min="6404" max="6404" width="79.8984375" style="1532" customWidth="1"/>
    <col min="6405" max="6405" width="16.19921875" style="1532" customWidth="1"/>
    <col min="6406" max="6406" width="13.3984375" style="1532" customWidth="1"/>
    <col min="6407" max="6656" width="9" style="1532"/>
    <col min="6657" max="6657" width="4.69921875" style="1532" customWidth="1"/>
    <col min="6658" max="6658" width="5.19921875" style="1532" customWidth="1"/>
    <col min="6659" max="6659" width="5.69921875" style="1532" customWidth="1"/>
    <col min="6660" max="6660" width="79.8984375" style="1532" customWidth="1"/>
    <col min="6661" max="6661" width="16.19921875" style="1532" customWidth="1"/>
    <col min="6662" max="6662" width="13.3984375" style="1532" customWidth="1"/>
    <col min="6663" max="6912" width="9" style="1532"/>
    <col min="6913" max="6913" width="4.69921875" style="1532" customWidth="1"/>
    <col min="6914" max="6914" width="5.19921875" style="1532" customWidth="1"/>
    <col min="6915" max="6915" width="5.69921875" style="1532" customWidth="1"/>
    <col min="6916" max="6916" width="79.8984375" style="1532" customWidth="1"/>
    <col min="6917" max="6917" width="16.19921875" style="1532" customWidth="1"/>
    <col min="6918" max="6918" width="13.3984375" style="1532" customWidth="1"/>
    <col min="6919" max="7168" width="9" style="1532"/>
    <col min="7169" max="7169" width="4.69921875" style="1532" customWidth="1"/>
    <col min="7170" max="7170" width="5.19921875" style="1532" customWidth="1"/>
    <col min="7171" max="7171" width="5.69921875" style="1532" customWidth="1"/>
    <col min="7172" max="7172" width="79.8984375" style="1532" customWidth="1"/>
    <col min="7173" max="7173" width="16.19921875" style="1532" customWidth="1"/>
    <col min="7174" max="7174" width="13.3984375" style="1532" customWidth="1"/>
    <col min="7175" max="7424" width="9" style="1532"/>
    <col min="7425" max="7425" width="4.69921875" style="1532" customWidth="1"/>
    <col min="7426" max="7426" width="5.19921875" style="1532" customWidth="1"/>
    <col min="7427" max="7427" width="5.69921875" style="1532" customWidth="1"/>
    <col min="7428" max="7428" width="79.8984375" style="1532" customWidth="1"/>
    <col min="7429" max="7429" width="16.19921875" style="1532" customWidth="1"/>
    <col min="7430" max="7430" width="13.3984375" style="1532" customWidth="1"/>
    <col min="7431" max="7680" width="9" style="1532"/>
    <col min="7681" max="7681" width="4.69921875" style="1532" customWidth="1"/>
    <col min="7682" max="7682" width="5.19921875" style="1532" customWidth="1"/>
    <col min="7683" max="7683" width="5.69921875" style="1532" customWidth="1"/>
    <col min="7684" max="7684" width="79.8984375" style="1532" customWidth="1"/>
    <col min="7685" max="7685" width="16.19921875" style="1532" customWidth="1"/>
    <col min="7686" max="7686" width="13.3984375" style="1532" customWidth="1"/>
    <col min="7687" max="7936" width="9" style="1532"/>
    <col min="7937" max="7937" width="4.69921875" style="1532" customWidth="1"/>
    <col min="7938" max="7938" width="5.19921875" style="1532" customWidth="1"/>
    <col min="7939" max="7939" width="5.69921875" style="1532" customWidth="1"/>
    <col min="7940" max="7940" width="79.8984375" style="1532" customWidth="1"/>
    <col min="7941" max="7941" width="16.19921875" style="1532" customWidth="1"/>
    <col min="7942" max="7942" width="13.3984375" style="1532" customWidth="1"/>
    <col min="7943" max="8192" width="9" style="1532"/>
    <col min="8193" max="8193" width="4.69921875" style="1532" customWidth="1"/>
    <col min="8194" max="8194" width="5.19921875" style="1532" customWidth="1"/>
    <col min="8195" max="8195" width="5.69921875" style="1532" customWidth="1"/>
    <col min="8196" max="8196" width="79.8984375" style="1532" customWidth="1"/>
    <col min="8197" max="8197" width="16.19921875" style="1532" customWidth="1"/>
    <col min="8198" max="8198" width="13.3984375" style="1532" customWidth="1"/>
    <col min="8199" max="8448" width="9" style="1532"/>
    <col min="8449" max="8449" width="4.69921875" style="1532" customWidth="1"/>
    <col min="8450" max="8450" width="5.19921875" style="1532" customWidth="1"/>
    <col min="8451" max="8451" width="5.69921875" style="1532" customWidth="1"/>
    <col min="8452" max="8452" width="79.8984375" style="1532" customWidth="1"/>
    <col min="8453" max="8453" width="16.19921875" style="1532" customWidth="1"/>
    <col min="8454" max="8454" width="13.3984375" style="1532" customWidth="1"/>
    <col min="8455" max="8704" width="9" style="1532"/>
    <col min="8705" max="8705" width="4.69921875" style="1532" customWidth="1"/>
    <col min="8706" max="8706" width="5.19921875" style="1532" customWidth="1"/>
    <col min="8707" max="8707" width="5.69921875" style="1532" customWidth="1"/>
    <col min="8708" max="8708" width="79.8984375" style="1532" customWidth="1"/>
    <col min="8709" max="8709" width="16.19921875" style="1532" customWidth="1"/>
    <col min="8710" max="8710" width="13.3984375" style="1532" customWidth="1"/>
    <col min="8711" max="8960" width="9" style="1532"/>
    <col min="8961" max="8961" width="4.69921875" style="1532" customWidth="1"/>
    <col min="8962" max="8962" width="5.19921875" style="1532" customWidth="1"/>
    <col min="8963" max="8963" width="5.69921875" style="1532" customWidth="1"/>
    <col min="8964" max="8964" width="79.8984375" style="1532" customWidth="1"/>
    <col min="8965" max="8965" width="16.19921875" style="1532" customWidth="1"/>
    <col min="8966" max="8966" width="13.3984375" style="1532" customWidth="1"/>
    <col min="8967" max="9216" width="9" style="1532"/>
    <col min="9217" max="9217" width="4.69921875" style="1532" customWidth="1"/>
    <col min="9218" max="9218" width="5.19921875" style="1532" customWidth="1"/>
    <col min="9219" max="9219" width="5.69921875" style="1532" customWidth="1"/>
    <col min="9220" max="9220" width="79.8984375" style="1532" customWidth="1"/>
    <col min="9221" max="9221" width="16.19921875" style="1532" customWidth="1"/>
    <col min="9222" max="9222" width="13.3984375" style="1532" customWidth="1"/>
    <col min="9223" max="9472" width="9" style="1532"/>
    <col min="9473" max="9473" width="4.69921875" style="1532" customWidth="1"/>
    <col min="9474" max="9474" width="5.19921875" style="1532" customWidth="1"/>
    <col min="9475" max="9475" width="5.69921875" style="1532" customWidth="1"/>
    <col min="9476" max="9476" width="79.8984375" style="1532" customWidth="1"/>
    <col min="9477" max="9477" width="16.19921875" style="1532" customWidth="1"/>
    <col min="9478" max="9478" width="13.3984375" style="1532" customWidth="1"/>
    <col min="9479" max="9728" width="9" style="1532"/>
    <col min="9729" max="9729" width="4.69921875" style="1532" customWidth="1"/>
    <col min="9730" max="9730" width="5.19921875" style="1532" customWidth="1"/>
    <col min="9731" max="9731" width="5.69921875" style="1532" customWidth="1"/>
    <col min="9732" max="9732" width="79.8984375" style="1532" customWidth="1"/>
    <col min="9733" max="9733" width="16.19921875" style="1532" customWidth="1"/>
    <col min="9734" max="9734" width="13.3984375" style="1532" customWidth="1"/>
    <col min="9735" max="9984" width="9" style="1532"/>
    <col min="9985" max="9985" width="4.69921875" style="1532" customWidth="1"/>
    <col min="9986" max="9986" width="5.19921875" style="1532" customWidth="1"/>
    <col min="9987" max="9987" width="5.69921875" style="1532" customWidth="1"/>
    <col min="9988" max="9988" width="79.8984375" style="1532" customWidth="1"/>
    <col min="9989" max="9989" width="16.19921875" style="1532" customWidth="1"/>
    <col min="9990" max="9990" width="13.3984375" style="1532" customWidth="1"/>
    <col min="9991" max="10240" width="9" style="1532"/>
    <col min="10241" max="10241" width="4.69921875" style="1532" customWidth="1"/>
    <col min="10242" max="10242" width="5.19921875" style="1532" customWidth="1"/>
    <col min="10243" max="10243" width="5.69921875" style="1532" customWidth="1"/>
    <col min="10244" max="10244" width="79.8984375" style="1532" customWidth="1"/>
    <col min="10245" max="10245" width="16.19921875" style="1532" customWidth="1"/>
    <col min="10246" max="10246" width="13.3984375" style="1532" customWidth="1"/>
    <col min="10247" max="10496" width="9" style="1532"/>
    <col min="10497" max="10497" width="4.69921875" style="1532" customWidth="1"/>
    <col min="10498" max="10498" width="5.19921875" style="1532" customWidth="1"/>
    <col min="10499" max="10499" width="5.69921875" style="1532" customWidth="1"/>
    <col min="10500" max="10500" width="79.8984375" style="1532" customWidth="1"/>
    <col min="10501" max="10501" width="16.19921875" style="1532" customWidth="1"/>
    <col min="10502" max="10502" width="13.3984375" style="1532" customWidth="1"/>
    <col min="10503" max="10752" width="9" style="1532"/>
    <col min="10753" max="10753" width="4.69921875" style="1532" customWidth="1"/>
    <col min="10754" max="10754" width="5.19921875" style="1532" customWidth="1"/>
    <col min="10755" max="10755" width="5.69921875" style="1532" customWidth="1"/>
    <col min="10756" max="10756" width="79.8984375" style="1532" customWidth="1"/>
    <col min="10757" max="10757" width="16.19921875" style="1532" customWidth="1"/>
    <col min="10758" max="10758" width="13.3984375" style="1532" customWidth="1"/>
    <col min="10759" max="11008" width="9" style="1532"/>
    <col min="11009" max="11009" width="4.69921875" style="1532" customWidth="1"/>
    <col min="11010" max="11010" width="5.19921875" style="1532" customWidth="1"/>
    <col min="11011" max="11011" width="5.69921875" style="1532" customWidth="1"/>
    <col min="11012" max="11012" width="79.8984375" style="1532" customWidth="1"/>
    <col min="11013" max="11013" width="16.19921875" style="1532" customWidth="1"/>
    <col min="11014" max="11014" width="13.3984375" style="1532" customWidth="1"/>
    <col min="11015" max="11264" width="9" style="1532"/>
    <col min="11265" max="11265" width="4.69921875" style="1532" customWidth="1"/>
    <col min="11266" max="11266" width="5.19921875" style="1532" customWidth="1"/>
    <col min="11267" max="11267" width="5.69921875" style="1532" customWidth="1"/>
    <col min="11268" max="11268" width="79.8984375" style="1532" customWidth="1"/>
    <col min="11269" max="11269" width="16.19921875" style="1532" customWidth="1"/>
    <col min="11270" max="11270" width="13.3984375" style="1532" customWidth="1"/>
    <col min="11271" max="11520" width="9" style="1532"/>
    <col min="11521" max="11521" width="4.69921875" style="1532" customWidth="1"/>
    <col min="11522" max="11522" width="5.19921875" style="1532" customWidth="1"/>
    <col min="11523" max="11523" width="5.69921875" style="1532" customWidth="1"/>
    <col min="11524" max="11524" width="79.8984375" style="1532" customWidth="1"/>
    <col min="11525" max="11525" width="16.19921875" style="1532" customWidth="1"/>
    <col min="11526" max="11526" width="13.3984375" style="1532" customWidth="1"/>
    <col min="11527" max="11776" width="9" style="1532"/>
    <col min="11777" max="11777" width="4.69921875" style="1532" customWidth="1"/>
    <col min="11778" max="11778" width="5.19921875" style="1532" customWidth="1"/>
    <col min="11779" max="11779" width="5.69921875" style="1532" customWidth="1"/>
    <col min="11780" max="11780" width="79.8984375" style="1532" customWidth="1"/>
    <col min="11781" max="11781" width="16.19921875" style="1532" customWidth="1"/>
    <col min="11782" max="11782" width="13.3984375" style="1532" customWidth="1"/>
    <col min="11783" max="12032" width="9" style="1532"/>
    <col min="12033" max="12033" width="4.69921875" style="1532" customWidth="1"/>
    <col min="12034" max="12034" width="5.19921875" style="1532" customWidth="1"/>
    <col min="12035" max="12035" width="5.69921875" style="1532" customWidth="1"/>
    <col min="12036" max="12036" width="79.8984375" style="1532" customWidth="1"/>
    <col min="12037" max="12037" width="16.19921875" style="1532" customWidth="1"/>
    <col min="12038" max="12038" width="13.3984375" style="1532" customWidth="1"/>
    <col min="12039" max="12288" width="9" style="1532"/>
    <col min="12289" max="12289" width="4.69921875" style="1532" customWidth="1"/>
    <col min="12290" max="12290" width="5.19921875" style="1532" customWidth="1"/>
    <col min="12291" max="12291" width="5.69921875" style="1532" customWidth="1"/>
    <col min="12292" max="12292" width="79.8984375" style="1532" customWidth="1"/>
    <col min="12293" max="12293" width="16.19921875" style="1532" customWidth="1"/>
    <col min="12294" max="12294" width="13.3984375" style="1532" customWidth="1"/>
    <col min="12295" max="12544" width="9" style="1532"/>
    <col min="12545" max="12545" width="4.69921875" style="1532" customWidth="1"/>
    <col min="12546" max="12546" width="5.19921875" style="1532" customWidth="1"/>
    <col min="12547" max="12547" width="5.69921875" style="1532" customWidth="1"/>
    <col min="12548" max="12548" width="79.8984375" style="1532" customWidth="1"/>
    <col min="12549" max="12549" width="16.19921875" style="1532" customWidth="1"/>
    <col min="12550" max="12550" width="13.3984375" style="1532" customWidth="1"/>
    <col min="12551" max="12800" width="9" style="1532"/>
    <col min="12801" max="12801" width="4.69921875" style="1532" customWidth="1"/>
    <col min="12802" max="12802" width="5.19921875" style="1532" customWidth="1"/>
    <col min="12803" max="12803" width="5.69921875" style="1532" customWidth="1"/>
    <col min="12804" max="12804" width="79.8984375" style="1532" customWidth="1"/>
    <col min="12805" max="12805" width="16.19921875" style="1532" customWidth="1"/>
    <col min="12806" max="12806" width="13.3984375" style="1532" customWidth="1"/>
    <col min="12807" max="13056" width="9" style="1532"/>
    <col min="13057" max="13057" width="4.69921875" style="1532" customWidth="1"/>
    <col min="13058" max="13058" width="5.19921875" style="1532" customWidth="1"/>
    <col min="13059" max="13059" width="5.69921875" style="1532" customWidth="1"/>
    <col min="13060" max="13060" width="79.8984375" style="1532" customWidth="1"/>
    <col min="13061" max="13061" width="16.19921875" style="1532" customWidth="1"/>
    <col min="13062" max="13062" width="13.3984375" style="1532" customWidth="1"/>
    <col min="13063" max="13312" width="9" style="1532"/>
    <col min="13313" max="13313" width="4.69921875" style="1532" customWidth="1"/>
    <col min="13314" max="13314" width="5.19921875" style="1532" customWidth="1"/>
    <col min="13315" max="13315" width="5.69921875" style="1532" customWidth="1"/>
    <col min="13316" max="13316" width="79.8984375" style="1532" customWidth="1"/>
    <col min="13317" max="13317" width="16.19921875" style="1532" customWidth="1"/>
    <col min="13318" max="13318" width="13.3984375" style="1532" customWidth="1"/>
    <col min="13319" max="13568" width="9" style="1532"/>
    <col min="13569" max="13569" width="4.69921875" style="1532" customWidth="1"/>
    <col min="13570" max="13570" width="5.19921875" style="1532" customWidth="1"/>
    <col min="13571" max="13571" width="5.69921875" style="1532" customWidth="1"/>
    <col min="13572" max="13572" width="79.8984375" style="1532" customWidth="1"/>
    <col min="13573" max="13573" width="16.19921875" style="1532" customWidth="1"/>
    <col min="13574" max="13574" width="13.3984375" style="1532" customWidth="1"/>
    <col min="13575" max="13824" width="9" style="1532"/>
    <col min="13825" max="13825" width="4.69921875" style="1532" customWidth="1"/>
    <col min="13826" max="13826" width="5.19921875" style="1532" customWidth="1"/>
    <col min="13827" max="13827" width="5.69921875" style="1532" customWidth="1"/>
    <col min="13828" max="13828" width="79.8984375" style="1532" customWidth="1"/>
    <col min="13829" max="13829" width="16.19921875" style="1532" customWidth="1"/>
    <col min="13830" max="13830" width="13.3984375" style="1532" customWidth="1"/>
    <col min="13831" max="14080" width="9" style="1532"/>
    <col min="14081" max="14081" width="4.69921875" style="1532" customWidth="1"/>
    <col min="14082" max="14082" width="5.19921875" style="1532" customWidth="1"/>
    <col min="14083" max="14083" width="5.69921875" style="1532" customWidth="1"/>
    <col min="14084" max="14084" width="79.8984375" style="1532" customWidth="1"/>
    <col min="14085" max="14085" width="16.19921875" style="1532" customWidth="1"/>
    <col min="14086" max="14086" width="13.3984375" style="1532" customWidth="1"/>
    <col min="14087" max="14336" width="9" style="1532"/>
    <col min="14337" max="14337" width="4.69921875" style="1532" customWidth="1"/>
    <col min="14338" max="14338" width="5.19921875" style="1532" customWidth="1"/>
    <col min="14339" max="14339" width="5.69921875" style="1532" customWidth="1"/>
    <col min="14340" max="14340" width="79.8984375" style="1532" customWidth="1"/>
    <col min="14341" max="14341" width="16.19921875" style="1532" customWidth="1"/>
    <col min="14342" max="14342" width="13.3984375" style="1532" customWidth="1"/>
    <col min="14343" max="14592" width="9" style="1532"/>
    <col min="14593" max="14593" width="4.69921875" style="1532" customWidth="1"/>
    <col min="14594" max="14594" width="5.19921875" style="1532" customWidth="1"/>
    <col min="14595" max="14595" width="5.69921875" style="1532" customWidth="1"/>
    <col min="14596" max="14596" width="79.8984375" style="1532" customWidth="1"/>
    <col min="14597" max="14597" width="16.19921875" style="1532" customWidth="1"/>
    <col min="14598" max="14598" width="13.3984375" style="1532" customWidth="1"/>
    <col min="14599" max="14848" width="9" style="1532"/>
    <col min="14849" max="14849" width="4.69921875" style="1532" customWidth="1"/>
    <col min="14850" max="14850" width="5.19921875" style="1532" customWidth="1"/>
    <col min="14851" max="14851" width="5.69921875" style="1532" customWidth="1"/>
    <col min="14852" max="14852" width="79.8984375" style="1532" customWidth="1"/>
    <col min="14853" max="14853" width="16.19921875" style="1532" customWidth="1"/>
    <col min="14854" max="14854" width="13.3984375" style="1532" customWidth="1"/>
    <col min="14855" max="15104" width="9" style="1532"/>
    <col min="15105" max="15105" width="4.69921875" style="1532" customWidth="1"/>
    <col min="15106" max="15106" width="5.19921875" style="1532" customWidth="1"/>
    <col min="15107" max="15107" width="5.69921875" style="1532" customWidth="1"/>
    <col min="15108" max="15108" width="79.8984375" style="1532" customWidth="1"/>
    <col min="15109" max="15109" width="16.19921875" style="1532" customWidth="1"/>
    <col min="15110" max="15110" width="13.3984375" style="1532" customWidth="1"/>
    <col min="15111" max="15360" width="9" style="1532"/>
    <col min="15361" max="15361" width="4.69921875" style="1532" customWidth="1"/>
    <col min="15362" max="15362" width="5.19921875" style="1532" customWidth="1"/>
    <col min="15363" max="15363" width="5.69921875" style="1532" customWidth="1"/>
    <col min="15364" max="15364" width="79.8984375" style="1532" customWidth="1"/>
    <col min="15365" max="15365" width="16.19921875" style="1532" customWidth="1"/>
    <col min="15366" max="15366" width="13.3984375" style="1532" customWidth="1"/>
    <col min="15367" max="15616" width="9" style="1532"/>
    <col min="15617" max="15617" width="4.69921875" style="1532" customWidth="1"/>
    <col min="15618" max="15618" width="5.19921875" style="1532" customWidth="1"/>
    <col min="15619" max="15619" width="5.69921875" style="1532" customWidth="1"/>
    <col min="15620" max="15620" width="79.8984375" style="1532" customWidth="1"/>
    <col min="15621" max="15621" width="16.19921875" style="1532" customWidth="1"/>
    <col min="15622" max="15622" width="13.3984375" style="1532" customWidth="1"/>
    <col min="15623" max="15872" width="9" style="1532"/>
    <col min="15873" max="15873" width="4.69921875" style="1532" customWidth="1"/>
    <col min="15874" max="15874" width="5.19921875" style="1532" customWidth="1"/>
    <col min="15875" max="15875" width="5.69921875" style="1532" customWidth="1"/>
    <col min="15876" max="15876" width="79.8984375" style="1532" customWidth="1"/>
    <col min="15877" max="15877" width="16.19921875" style="1532" customWidth="1"/>
    <col min="15878" max="15878" width="13.3984375" style="1532" customWidth="1"/>
    <col min="15879" max="16128" width="9" style="1532"/>
    <col min="16129" max="16129" width="4.69921875" style="1532" customWidth="1"/>
    <col min="16130" max="16130" width="5.19921875" style="1532" customWidth="1"/>
    <col min="16131" max="16131" width="5.69921875" style="1532" customWidth="1"/>
    <col min="16132" max="16132" width="79.8984375" style="1532" customWidth="1"/>
    <col min="16133" max="16133" width="16.19921875" style="1532" customWidth="1"/>
    <col min="16134" max="16134" width="13.3984375" style="1532" customWidth="1"/>
    <col min="16135" max="16384" width="9" style="1532"/>
  </cols>
  <sheetData>
    <row r="1" spans="1:12" ht="20.100000000000001" customHeight="1">
      <c r="A1" s="2170"/>
      <c r="B1" s="2170"/>
      <c r="C1" s="2170"/>
      <c r="D1" s="2170"/>
      <c r="E1" s="2170"/>
      <c r="F1" s="2069" t="str">
        <f>"索引号："&amp;档案索引!D15</f>
        <v>索引号：2B-10</v>
      </c>
    </row>
    <row r="2" spans="1:12" ht="25.5" customHeight="1">
      <c r="A2" s="2090"/>
      <c r="B2" s="3401" t="s">
        <v>5941</v>
      </c>
      <c r="C2" s="3401"/>
      <c r="D2" s="3401"/>
      <c r="E2" s="3401"/>
      <c r="F2" s="1854"/>
    </row>
    <row r="3" spans="1:12" ht="14.25" customHeight="1">
      <c r="A3" s="1941"/>
      <c r="B3" s="1846" t="s">
        <v>5710</v>
      </c>
      <c r="C3" s="3407" t="s">
        <v>5711</v>
      </c>
      <c r="D3" s="3407"/>
      <c r="E3" s="3407"/>
      <c r="F3" s="2066" t="s">
        <v>6632</v>
      </c>
      <c r="G3" s="1614"/>
    </row>
    <row r="4" spans="1:12" ht="14.25" customHeight="1">
      <c r="A4" s="3487" t="s">
        <v>5713</v>
      </c>
      <c r="B4" s="1846">
        <v>1</v>
      </c>
      <c r="C4" s="3492" t="s">
        <v>5714</v>
      </c>
      <c r="D4" s="1938" t="s">
        <v>5715</v>
      </c>
      <c r="E4" s="1523"/>
      <c r="F4" s="1941"/>
    </row>
    <row r="5" spans="1:12" ht="14.25" customHeight="1">
      <c r="A5" s="3488"/>
      <c r="B5" s="1846">
        <v>2</v>
      </c>
      <c r="C5" s="3493"/>
      <c r="D5" s="1940" t="s">
        <v>5716</v>
      </c>
      <c r="E5" s="1523"/>
      <c r="F5" s="1941"/>
    </row>
    <row r="6" spans="1:12" ht="14.25" customHeight="1">
      <c r="A6" s="3488"/>
      <c r="B6" s="1846">
        <v>3</v>
      </c>
      <c r="C6" s="3493"/>
      <c r="D6" s="1938" t="s">
        <v>5717</v>
      </c>
      <c r="E6" s="1523"/>
      <c r="F6" s="1941"/>
    </row>
    <row r="7" spans="1:12" ht="14.25" customHeight="1">
      <c r="A7" s="3488"/>
      <c r="B7" s="1846">
        <v>4</v>
      </c>
      <c r="C7" s="3493"/>
      <c r="D7" s="1938" t="s">
        <v>5718</v>
      </c>
      <c r="E7" s="1523"/>
      <c r="F7" s="1941"/>
    </row>
    <row r="8" spans="1:12" ht="14.25" customHeight="1">
      <c r="A8" s="3488"/>
      <c r="B8" s="1846">
        <v>5</v>
      </c>
      <c r="C8" s="3493"/>
      <c r="D8" s="1940" t="s">
        <v>5719</v>
      </c>
      <c r="E8" s="1523"/>
      <c r="F8" s="1939"/>
      <c r="L8" s="1615"/>
    </row>
    <row r="9" spans="1:12" ht="14.25" customHeight="1">
      <c r="A9" s="3488"/>
      <c r="B9" s="1846">
        <v>6</v>
      </c>
      <c r="C9" s="3493"/>
      <c r="D9" s="1938" t="s">
        <v>5720</v>
      </c>
      <c r="E9" s="1523"/>
      <c r="F9" s="1939"/>
      <c r="L9" s="1615"/>
    </row>
    <row r="10" spans="1:12" ht="14.25" customHeight="1">
      <c r="A10" s="3488"/>
      <c r="B10" s="1846">
        <v>7</v>
      </c>
      <c r="C10" s="3494"/>
      <c r="D10" s="1938" t="s">
        <v>5721</v>
      </c>
      <c r="E10" s="1523"/>
      <c r="F10" s="1941"/>
    </row>
    <row r="11" spans="1:12" ht="14.25" customHeight="1">
      <c r="A11" s="3487" t="s">
        <v>5722</v>
      </c>
      <c r="B11" s="1846">
        <v>8</v>
      </c>
      <c r="C11" s="3407" t="s">
        <v>5723</v>
      </c>
      <c r="D11" s="1942" t="s">
        <v>5724</v>
      </c>
      <c r="E11" s="2077"/>
      <c r="F11" s="1941"/>
    </row>
    <row r="12" spans="1:12" ht="14.25" customHeight="1">
      <c r="A12" s="3488"/>
      <c r="B12" s="1846">
        <v>9</v>
      </c>
      <c r="C12" s="3407"/>
      <c r="D12" s="1942" t="s">
        <v>5725</v>
      </c>
      <c r="E12" s="2077"/>
      <c r="F12" s="1941"/>
    </row>
    <row r="13" spans="1:12" ht="14.25" customHeight="1">
      <c r="A13" s="3488"/>
      <c r="B13" s="1846">
        <v>10</v>
      </c>
      <c r="C13" s="3407"/>
      <c r="D13" s="1942" t="s">
        <v>5726</v>
      </c>
      <c r="E13" s="2077"/>
      <c r="F13" s="1941"/>
    </row>
    <row r="14" spans="1:12" ht="22.5" customHeight="1">
      <c r="A14" s="3488"/>
      <c r="B14" s="1846">
        <v>11</v>
      </c>
      <c r="C14" s="3407"/>
      <c r="D14" s="1942" t="s">
        <v>5727</v>
      </c>
      <c r="E14" s="2075">
        <f>IFERROR(ROUND(E12/E11*100,2),0)</f>
        <v>0</v>
      </c>
      <c r="F14" s="1986"/>
    </row>
    <row r="15" spans="1:12" ht="14.25" customHeight="1">
      <c r="A15" s="3488"/>
      <c r="B15" s="1846">
        <v>12</v>
      </c>
      <c r="C15" s="3407"/>
      <c r="D15" s="1942" t="s">
        <v>5728</v>
      </c>
      <c r="E15" s="2075">
        <f>IFERROR(ROUND(E13/E11*100,2),0)</f>
        <v>0</v>
      </c>
      <c r="F15" s="1941"/>
    </row>
    <row r="16" spans="1:12" ht="14.25" customHeight="1">
      <c r="A16" s="3488"/>
      <c r="B16" s="1846">
        <v>13</v>
      </c>
      <c r="C16" s="3407" t="s">
        <v>5729</v>
      </c>
      <c r="D16" s="1942" t="s">
        <v>5730</v>
      </c>
      <c r="E16" s="2077"/>
      <c r="F16" s="1941"/>
      <c r="G16" s="1675" t="s">
        <v>6472</v>
      </c>
    </row>
    <row r="17" spans="1:6" ht="14.25" customHeight="1">
      <c r="A17" s="3488"/>
      <c r="B17" s="1846">
        <v>14</v>
      </c>
      <c r="C17" s="3407"/>
      <c r="D17" s="1942" t="s">
        <v>5731</v>
      </c>
      <c r="E17" s="2077"/>
      <c r="F17" s="1941"/>
    </row>
    <row r="18" spans="1:6" ht="14.25" customHeight="1">
      <c r="A18" s="3488"/>
      <c r="B18" s="1846">
        <v>15</v>
      </c>
      <c r="C18" s="3407"/>
      <c r="D18" s="1942" t="s">
        <v>5732</v>
      </c>
      <c r="E18" s="2075">
        <f>IFERROR(ROUND(E17/E16*100,2),0)</f>
        <v>0</v>
      </c>
      <c r="F18" s="1941"/>
    </row>
    <row r="19" spans="1:6" ht="14.25" customHeight="1">
      <c r="A19" s="3488"/>
      <c r="B19" s="1846">
        <v>16</v>
      </c>
      <c r="C19" s="3407"/>
      <c r="D19" s="1942" t="s">
        <v>5733</v>
      </c>
      <c r="E19" s="2077"/>
      <c r="F19" s="1941"/>
    </row>
    <row r="20" spans="1:6" ht="14.25" customHeight="1">
      <c r="A20" s="3488"/>
      <c r="B20" s="1846">
        <v>17</v>
      </c>
      <c r="C20" s="3407"/>
      <c r="D20" s="1942" t="s">
        <v>5734</v>
      </c>
      <c r="E20" s="2077"/>
      <c r="F20" s="1941"/>
    </row>
    <row r="21" spans="1:6" ht="15.75" customHeight="1">
      <c r="A21" s="3488"/>
      <c r="B21" s="1846">
        <v>18</v>
      </c>
      <c r="C21" s="3407"/>
      <c r="D21" s="1942" t="s">
        <v>5735</v>
      </c>
      <c r="E21" s="2075">
        <f>IFERROR(ROUND(E19/E16*100,2),0)</f>
        <v>0</v>
      </c>
      <c r="F21" s="1852"/>
    </row>
    <row r="22" spans="1:6" ht="14.25" customHeight="1">
      <c r="A22" s="3488"/>
      <c r="B22" s="1846">
        <v>19</v>
      </c>
      <c r="C22" s="3407"/>
      <c r="D22" s="1942" t="s">
        <v>5736</v>
      </c>
      <c r="E22" s="2075">
        <f>IFERROR(ROUND(E20/$E$16*100,2),0)</f>
        <v>0</v>
      </c>
      <c r="F22" s="1852"/>
    </row>
    <row r="23" spans="1:6" ht="14.25" customHeight="1">
      <c r="A23" s="3488"/>
      <c r="B23" s="1846">
        <v>20</v>
      </c>
      <c r="C23" s="3407"/>
      <c r="D23" s="1942" t="s">
        <v>5737</v>
      </c>
      <c r="E23" s="2077"/>
      <c r="F23" s="1941"/>
    </row>
    <row r="24" spans="1:6" ht="14.25" customHeight="1">
      <c r="A24" s="3488"/>
      <c r="B24" s="1846">
        <v>21</v>
      </c>
      <c r="C24" s="3407"/>
      <c r="D24" s="1942" t="s">
        <v>5738</v>
      </c>
      <c r="E24" s="2077"/>
      <c r="F24" s="1941"/>
    </row>
    <row r="25" spans="1:6" ht="14.25" customHeight="1">
      <c r="A25" s="3488"/>
      <c r="B25" s="1846">
        <v>22</v>
      </c>
      <c r="C25" s="3407"/>
      <c r="D25" s="1942" t="s">
        <v>5739</v>
      </c>
      <c r="E25" s="2077"/>
      <c r="F25" s="1941"/>
    </row>
    <row r="26" spans="1:6" ht="14.25" customHeight="1">
      <c r="A26" s="3488"/>
      <c r="B26" s="1846">
        <v>23</v>
      </c>
      <c r="C26" s="3407"/>
      <c r="D26" s="1942" t="s">
        <v>5740</v>
      </c>
      <c r="E26" s="2077"/>
      <c r="F26" s="1852"/>
    </row>
    <row r="27" spans="1:6" ht="18" customHeight="1">
      <c r="A27" s="3488"/>
      <c r="B27" s="1846">
        <v>24</v>
      </c>
      <c r="C27" s="3407"/>
      <c r="D27" s="1942" t="s">
        <v>5741</v>
      </c>
      <c r="E27" s="2075">
        <f>IFERROR(ROUND(E23/$E$16*100,2),0)</f>
        <v>0</v>
      </c>
      <c r="F27" s="1852"/>
    </row>
    <row r="28" spans="1:6" ht="14.25" customHeight="1">
      <c r="A28" s="3488"/>
      <c r="B28" s="1846">
        <v>25</v>
      </c>
      <c r="C28" s="3407"/>
      <c r="D28" s="1942" t="s">
        <v>5742</v>
      </c>
      <c r="E28" s="2075">
        <f>IFERROR(ROUND(E24/$E$16*100,2),0)</f>
        <v>0</v>
      </c>
      <c r="F28" s="1852"/>
    </row>
    <row r="29" spans="1:6" ht="19.5" customHeight="1">
      <c r="A29" s="3488"/>
      <c r="B29" s="1846">
        <v>26</v>
      </c>
      <c r="C29" s="3407"/>
      <c r="D29" s="1942" t="s">
        <v>5743</v>
      </c>
      <c r="E29" s="2075">
        <f>IFERROR(ROUND(E25/$E$16*100,2),0)</f>
        <v>0</v>
      </c>
      <c r="F29" s="1852"/>
    </row>
    <row r="30" spans="1:6" ht="14.25" customHeight="1">
      <c r="A30" s="3488"/>
      <c r="B30" s="1846">
        <v>27</v>
      </c>
      <c r="C30" s="3407"/>
      <c r="D30" s="1942" t="s">
        <v>5744</v>
      </c>
      <c r="E30" s="2075">
        <f>IFERROR(ROUND(E26/$E$16*100,2),0)</f>
        <v>0</v>
      </c>
      <c r="F30" s="1852"/>
    </row>
    <row r="31" spans="1:6" ht="14.25" customHeight="1">
      <c r="A31" s="3488"/>
      <c r="B31" s="1846">
        <v>28</v>
      </c>
      <c r="C31" s="3407" t="s">
        <v>5745</v>
      </c>
      <c r="D31" s="1942" t="s">
        <v>5746</v>
      </c>
      <c r="E31" s="2077"/>
      <c r="F31" s="1941"/>
    </row>
    <row r="32" spans="1:6" ht="14.25" customHeight="1">
      <c r="A32" s="3488"/>
      <c r="B32" s="1846">
        <v>29</v>
      </c>
      <c r="C32" s="3407"/>
      <c r="D32" s="1942" t="s">
        <v>5747</v>
      </c>
      <c r="E32" s="2077"/>
      <c r="F32" s="1941"/>
    </row>
    <row r="33" spans="1:6" ht="14.25" customHeight="1">
      <c r="A33" s="3488"/>
      <c r="B33" s="1846">
        <v>30</v>
      </c>
      <c r="C33" s="3407"/>
      <c r="D33" s="1942" t="s">
        <v>7694</v>
      </c>
      <c r="E33" s="2077"/>
      <c r="F33" s="1941"/>
    </row>
    <row r="34" spans="1:6" ht="14.25" customHeight="1">
      <c r="A34" s="3488"/>
      <c r="B34" s="1846">
        <v>31</v>
      </c>
      <c r="C34" s="3407"/>
      <c r="D34" s="1942" t="s">
        <v>5749</v>
      </c>
      <c r="E34" s="2075">
        <f>IFERROR(ROUND(E32/E31*100,2),0)</f>
        <v>0</v>
      </c>
      <c r="F34" s="1852"/>
    </row>
    <row r="35" spans="1:6">
      <c r="A35" s="3487" t="s">
        <v>5750</v>
      </c>
      <c r="B35" s="1846">
        <v>32</v>
      </c>
      <c r="C35" s="3489" t="s">
        <v>5723</v>
      </c>
      <c r="D35" s="1938" t="s">
        <v>5751</v>
      </c>
      <c r="E35" s="2077"/>
      <c r="F35" s="1941"/>
    </row>
    <row r="36" spans="1:6" ht="14.25" customHeight="1">
      <c r="A36" s="3488"/>
      <c r="B36" s="1846">
        <v>33</v>
      </c>
      <c r="C36" s="3489"/>
      <c r="D36" s="1938" t="s">
        <v>5752</v>
      </c>
      <c r="E36" s="2077"/>
      <c r="F36" s="1941"/>
    </row>
    <row r="37" spans="1:6" ht="14.25" customHeight="1">
      <c r="A37" s="3488"/>
      <c r="B37" s="1846">
        <v>34</v>
      </c>
      <c r="C37" s="3489"/>
      <c r="D37" s="1938" t="s">
        <v>5753</v>
      </c>
      <c r="E37" s="2075">
        <f>IFERROR(ROUND(E36/E35*100,2),0)</f>
        <v>0</v>
      </c>
      <c r="F37" s="1852"/>
    </row>
    <row r="38" spans="1:6">
      <c r="A38" s="3488"/>
      <c r="B38" s="1846">
        <v>35</v>
      </c>
      <c r="C38" s="3489" t="s">
        <v>5729</v>
      </c>
      <c r="D38" s="1938" t="s">
        <v>5754</v>
      </c>
      <c r="E38" s="2077"/>
      <c r="F38" s="1941"/>
    </row>
    <row r="39" spans="1:6" ht="16.5" customHeight="1">
      <c r="A39" s="3488"/>
      <c r="B39" s="1846">
        <v>36</v>
      </c>
      <c r="C39" s="3489"/>
      <c r="D39" s="1938" t="s">
        <v>5755</v>
      </c>
      <c r="E39" s="2077"/>
      <c r="F39" s="1941"/>
    </row>
    <row r="40" spans="1:6" ht="24" customHeight="1">
      <c r="A40" s="3488"/>
      <c r="B40" s="1846">
        <v>37</v>
      </c>
      <c r="C40" s="3489"/>
      <c r="D40" s="1938" t="s">
        <v>5756</v>
      </c>
      <c r="E40" s="2077"/>
      <c r="F40" s="1941"/>
    </row>
    <row r="41" spans="1:6" ht="18.75" customHeight="1">
      <c r="A41" s="3488"/>
      <c r="B41" s="1846">
        <v>38</v>
      </c>
      <c r="C41" s="3489"/>
      <c r="D41" s="1938" t="s">
        <v>5757</v>
      </c>
      <c r="E41" s="2075">
        <f>IFERROR(ROUND(E39/E38*100,2),0)</f>
        <v>0</v>
      </c>
      <c r="F41" s="1941"/>
    </row>
    <row r="42" spans="1:6" ht="20.25" customHeight="1">
      <c r="A42" s="3488"/>
      <c r="B42" s="1846">
        <v>39</v>
      </c>
      <c r="C42" s="3489"/>
      <c r="D42" s="1938" t="s">
        <v>5758</v>
      </c>
      <c r="E42" s="2075">
        <f>IFERROR(ROUND(E40/E39*100,2),0)</f>
        <v>0</v>
      </c>
      <c r="F42" s="1941"/>
    </row>
    <row r="43" spans="1:6" ht="24" customHeight="1">
      <c r="A43" s="3488"/>
      <c r="B43" s="1846">
        <v>40</v>
      </c>
      <c r="C43" s="3489" t="s">
        <v>5759</v>
      </c>
      <c r="D43" s="1938" t="s">
        <v>5760</v>
      </c>
      <c r="E43" s="2077"/>
      <c r="F43" s="1941"/>
    </row>
    <row r="44" spans="1:6" ht="40.5" customHeight="1">
      <c r="A44" s="3488"/>
      <c r="B44" s="1846">
        <v>41</v>
      </c>
      <c r="C44" s="3489"/>
      <c r="D44" s="1938" t="s">
        <v>5761</v>
      </c>
      <c r="E44" s="2075">
        <f>IFERROR(ROUND(E43/E39*100,2),0)</f>
        <v>0</v>
      </c>
      <c r="F44" s="1852"/>
    </row>
    <row r="45" spans="1:6" ht="27" customHeight="1">
      <c r="A45" s="1941"/>
      <c r="B45" s="1846">
        <v>42</v>
      </c>
      <c r="C45" s="3490" t="s">
        <v>5762</v>
      </c>
      <c r="D45" s="3491"/>
      <c r="E45" s="2077"/>
      <c r="F45" s="1970" t="s">
        <v>5763</v>
      </c>
    </row>
  </sheetData>
  <mergeCells count="13">
    <mergeCell ref="A11:A34"/>
    <mergeCell ref="C11:C15"/>
    <mergeCell ref="C16:C30"/>
    <mergeCell ref="C31:C34"/>
    <mergeCell ref="B2:E2"/>
    <mergeCell ref="C3:E3"/>
    <mergeCell ref="A4:A10"/>
    <mergeCell ref="C4:C10"/>
    <mergeCell ref="A35:A44"/>
    <mergeCell ref="C35:C37"/>
    <mergeCell ref="C38:C42"/>
    <mergeCell ref="C43:C44"/>
    <mergeCell ref="C45:D45"/>
  </mergeCells>
  <phoneticPr fontId="51" type="noConversion"/>
  <hyperlinks>
    <hyperlink ref="G16" location="A107042软件、集成电路企业优惠情况及明细表!A1" display="A107042软件、集成电路企业优惠情况及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tabColor rgb="FFFFFF00"/>
  </sheetPr>
  <dimension ref="A1:S22"/>
  <sheetViews>
    <sheetView workbookViewId="0">
      <selection activeCell="A11" sqref="A11"/>
    </sheetView>
  </sheetViews>
  <sheetFormatPr defaultRowHeight="15.6"/>
  <cols>
    <col min="1" max="1" width="3.3984375" style="1570" customWidth="1"/>
    <col min="2" max="2" width="7.59765625" style="1570" customWidth="1"/>
    <col min="3" max="3" width="4.69921875" style="1570" customWidth="1"/>
    <col min="4" max="14" width="11.5" style="1570" customWidth="1"/>
    <col min="15" max="18" width="9" style="1570"/>
    <col min="19" max="19" width="33.19921875" style="1570" customWidth="1"/>
    <col min="20" max="256" width="9" style="1570"/>
    <col min="257" max="257" width="5.19921875" style="1570" customWidth="1"/>
    <col min="258" max="258" width="8.8984375" style="1570" customWidth="1"/>
    <col min="259" max="259" width="7.09765625" style="1570" customWidth="1"/>
    <col min="260" max="260" width="7.69921875" style="1570" customWidth="1"/>
    <col min="261" max="261" width="8.8984375" style="1570" customWidth="1"/>
    <col min="262" max="262" width="8.09765625" style="1570" customWidth="1"/>
    <col min="263" max="263" width="7.8984375" style="1570" customWidth="1"/>
    <col min="264" max="264" width="8" style="1570" customWidth="1"/>
    <col min="265" max="265" width="8.09765625" style="1570" customWidth="1"/>
    <col min="266" max="266" width="8" style="1570" customWidth="1"/>
    <col min="267" max="267" width="7.19921875" style="1570" customWidth="1"/>
    <col min="268" max="268" width="8.3984375" style="1570" customWidth="1"/>
    <col min="269" max="269" width="17.3984375" style="1570" customWidth="1"/>
    <col min="270" max="270" width="8.8984375" style="1570" customWidth="1"/>
    <col min="271" max="274" width="9" style="1570"/>
    <col min="275" max="275" width="33.19921875" style="1570" customWidth="1"/>
    <col min="276" max="512" width="9" style="1570"/>
    <col min="513" max="513" width="5.19921875" style="1570" customWidth="1"/>
    <col min="514" max="514" width="8.8984375" style="1570" customWidth="1"/>
    <col min="515" max="515" width="7.09765625" style="1570" customWidth="1"/>
    <col min="516" max="516" width="7.69921875" style="1570" customWidth="1"/>
    <col min="517" max="517" width="8.8984375" style="1570" customWidth="1"/>
    <col min="518" max="518" width="8.09765625" style="1570" customWidth="1"/>
    <col min="519" max="519" width="7.8984375" style="1570" customWidth="1"/>
    <col min="520" max="520" width="8" style="1570" customWidth="1"/>
    <col min="521" max="521" width="8.09765625" style="1570" customWidth="1"/>
    <col min="522" max="522" width="8" style="1570" customWidth="1"/>
    <col min="523" max="523" width="7.19921875" style="1570" customWidth="1"/>
    <col min="524" max="524" width="8.3984375" style="1570" customWidth="1"/>
    <col min="525" max="525" width="17.3984375" style="1570" customWidth="1"/>
    <col min="526" max="526" width="8.8984375" style="1570" customWidth="1"/>
    <col min="527" max="530" width="9" style="1570"/>
    <col min="531" max="531" width="33.19921875" style="1570" customWidth="1"/>
    <col min="532" max="768" width="9" style="1570"/>
    <col min="769" max="769" width="5.19921875" style="1570" customWidth="1"/>
    <col min="770" max="770" width="8.8984375" style="1570" customWidth="1"/>
    <col min="771" max="771" width="7.09765625" style="1570" customWidth="1"/>
    <col min="772" max="772" width="7.69921875" style="1570" customWidth="1"/>
    <col min="773" max="773" width="8.8984375" style="1570" customWidth="1"/>
    <col min="774" max="774" width="8.09765625" style="1570" customWidth="1"/>
    <col min="775" max="775" width="7.8984375" style="1570" customWidth="1"/>
    <col min="776" max="776" width="8" style="1570" customWidth="1"/>
    <col min="777" max="777" width="8.09765625" style="1570" customWidth="1"/>
    <col min="778" max="778" width="8" style="1570" customWidth="1"/>
    <col min="779" max="779" width="7.19921875" style="1570" customWidth="1"/>
    <col min="780" max="780" width="8.3984375" style="1570" customWidth="1"/>
    <col min="781" max="781" width="17.3984375" style="1570" customWidth="1"/>
    <col min="782" max="782" width="8.8984375" style="1570" customWidth="1"/>
    <col min="783" max="786" width="9" style="1570"/>
    <col min="787" max="787" width="33.19921875" style="1570" customWidth="1"/>
    <col min="788" max="1024" width="9" style="1570"/>
    <col min="1025" max="1025" width="5.19921875" style="1570" customWidth="1"/>
    <col min="1026" max="1026" width="8.8984375" style="1570" customWidth="1"/>
    <col min="1027" max="1027" width="7.09765625" style="1570" customWidth="1"/>
    <col min="1028" max="1028" width="7.69921875" style="1570" customWidth="1"/>
    <col min="1029" max="1029" width="8.8984375" style="1570" customWidth="1"/>
    <col min="1030" max="1030" width="8.09765625" style="1570" customWidth="1"/>
    <col min="1031" max="1031" width="7.8984375" style="1570" customWidth="1"/>
    <col min="1032" max="1032" width="8" style="1570" customWidth="1"/>
    <col min="1033" max="1033" width="8.09765625" style="1570" customWidth="1"/>
    <col min="1034" max="1034" width="8" style="1570" customWidth="1"/>
    <col min="1035" max="1035" width="7.19921875" style="1570" customWidth="1"/>
    <col min="1036" max="1036" width="8.3984375" style="1570" customWidth="1"/>
    <col min="1037" max="1037" width="17.3984375" style="1570" customWidth="1"/>
    <col min="1038" max="1038" width="8.8984375" style="1570" customWidth="1"/>
    <col min="1039" max="1042" width="9" style="1570"/>
    <col min="1043" max="1043" width="33.19921875" style="1570" customWidth="1"/>
    <col min="1044" max="1280" width="9" style="1570"/>
    <col min="1281" max="1281" width="5.19921875" style="1570" customWidth="1"/>
    <col min="1282" max="1282" width="8.8984375" style="1570" customWidth="1"/>
    <col min="1283" max="1283" width="7.09765625" style="1570" customWidth="1"/>
    <col min="1284" max="1284" width="7.69921875" style="1570" customWidth="1"/>
    <col min="1285" max="1285" width="8.8984375" style="1570" customWidth="1"/>
    <col min="1286" max="1286" width="8.09765625" style="1570" customWidth="1"/>
    <col min="1287" max="1287" width="7.8984375" style="1570" customWidth="1"/>
    <col min="1288" max="1288" width="8" style="1570" customWidth="1"/>
    <col min="1289" max="1289" width="8.09765625" style="1570" customWidth="1"/>
    <col min="1290" max="1290" width="8" style="1570" customWidth="1"/>
    <col min="1291" max="1291" width="7.19921875" style="1570" customWidth="1"/>
    <col min="1292" max="1292" width="8.3984375" style="1570" customWidth="1"/>
    <col min="1293" max="1293" width="17.3984375" style="1570" customWidth="1"/>
    <col min="1294" max="1294" width="8.8984375" style="1570" customWidth="1"/>
    <col min="1295" max="1298" width="9" style="1570"/>
    <col min="1299" max="1299" width="33.19921875" style="1570" customWidth="1"/>
    <col min="1300" max="1536" width="9" style="1570"/>
    <col min="1537" max="1537" width="5.19921875" style="1570" customWidth="1"/>
    <col min="1538" max="1538" width="8.8984375" style="1570" customWidth="1"/>
    <col min="1539" max="1539" width="7.09765625" style="1570" customWidth="1"/>
    <col min="1540" max="1540" width="7.69921875" style="1570" customWidth="1"/>
    <col min="1541" max="1541" width="8.8984375" style="1570" customWidth="1"/>
    <col min="1542" max="1542" width="8.09765625" style="1570" customWidth="1"/>
    <col min="1543" max="1543" width="7.8984375" style="1570" customWidth="1"/>
    <col min="1544" max="1544" width="8" style="1570" customWidth="1"/>
    <col min="1545" max="1545" width="8.09765625" style="1570" customWidth="1"/>
    <col min="1546" max="1546" width="8" style="1570" customWidth="1"/>
    <col min="1547" max="1547" width="7.19921875" style="1570" customWidth="1"/>
    <col min="1548" max="1548" width="8.3984375" style="1570" customWidth="1"/>
    <col min="1549" max="1549" width="17.3984375" style="1570" customWidth="1"/>
    <col min="1550" max="1550" width="8.8984375" style="1570" customWidth="1"/>
    <col min="1551" max="1554" width="9" style="1570"/>
    <col min="1555" max="1555" width="33.19921875" style="1570" customWidth="1"/>
    <col min="1556" max="1792" width="9" style="1570"/>
    <col min="1793" max="1793" width="5.19921875" style="1570" customWidth="1"/>
    <col min="1794" max="1794" width="8.8984375" style="1570" customWidth="1"/>
    <col min="1795" max="1795" width="7.09765625" style="1570" customWidth="1"/>
    <col min="1796" max="1796" width="7.69921875" style="1570" customWidth="1"/>
    <col min="1797" max="1797" width="8.8984375" style="1570" customWidth="1"/>
    <col min="1798" max="1798" width="8.09765625" style="1570" customWidth="1"/>
    <col min="1799" max="1799" width="7.8984375" style="1570" customWidth="1"/>
    <col min="1800" max="1800" width="8" style="1570" customWidth="1"/>
    <col min="1801" max="1801" width="8.09765625" style="1570" customWidth="1"/>
    <col min="1802" max="1802" width="8" style="1570" customWidth="1"/>
    <col min="1803" max="1803" width="7.19921875" style="1570" customWidth="1"/>
    <col min="1804" max="1804" width="8.3984375" style="1570" customWidth="1"/>
    <col min="1805" max="1805" width="17.3984375" style="1570" customWidth="1"/>
    <col min="1806" max="1806" width="8.8984375" style="1570" customWidth="1"/>
    <col min="1807" max="1810" width="9" style="1570"/>
    <col min="1811" max="1811" width="33.19921875" style="1570" customWidth="1"/>
    <col min="1812" max="2048" width="9" style="1570"/>
    <col min="2049" max="2049" width="5.19921875" style="1570" customWidth="1"/>
    <col min="2050" max="2050" width="8.8984375" style="1570" customWidth="1"/>
    <col min="2051" max="2051" width="7.09765625" style="1570" customWidth="1"/>
    <col min="2052" max="2052" width="7.69921875" style="1570" customWidth="1"/>
    <col min="2053" max="2053" width="8.8984375" style="1570" customWidth="1"/>
    <col min="2054" max="2054" width="8.09765625" style="1570" customWidth="1"/>
    <col min="2055" max="2055" width="7.8984375" style="1570" customWidth="1"/>
    <col min="2056" max="2056" width="8" style="1570" customWidth="1"/>
    <col min="2057" max="2057" width="8.09765625" style="1570" customWidth="1"/>
    <col min="2058" max="2058" width="8" style="1570" customWidth="1"/>
    <col min="2059" max="2059" width="7.19921875" style="1570" customWidth="1"/>
    <col min="2060" max="2060" width="8.3984375" style="1570" customWidth="1"/>
    <col min="2061" max="2061" width="17.3984375" style="1570" customWidth="1"/>
    <col min="2062" max="2062" width="8.8984375" style="1570" customWidth="1"/>
    <col min="2063" max="2066" width="9" style="1570"/>
    <col min="2067" max="2067" width="33.19921875" style="1570" customWidth="1"/>
    <col min="2068" max="2304" width="9" style="1570"/>
    <col min="2305" max="2305" width="5.19921875" style="1570" customWidth="1"/>
    <col min="2306" max="2306" width="8.8984375" style="1570" customWidth="1"/>
    <col min="2307" max="2307" width="7.09765625" style="1570" customWidth="1"/>
    <col min="2308" max="2308" width="7.69921875" style="1570" customWidth="1"/>
    <col min="2309" max="2309" width="8.8984375" style="1570" customWidth="1"/>
    <col min="2310" max="2310" width="8.09765625" style="1570" customWidth="1"/>
    <col min="2311" max="2311" width="7.8984375" style="1570" customWidth="1"/>
    <col min="2312" max="2312" width="8" style="1570" customWidth="1"/>
    <col min="2313" max="2313" width="8.09765625" style="1570" customWidth="1"/>
    <col min="2314" max="2314" width="8" style="1570" customWidth="1"/>
    <col min="2315" max="2315" width="7.19921875" style="1570" customWidth="1"/>
    <col min="2316" max="2316" width="8.3984375" style="1570" customWidth="1"/>
    <col min="2317" max="2317" width="17.3984375" style="1570" customWidth="1"/>
    <col min="2318" max="2318" width="8.8984375" style="1570" customWidth="1"/>
    <col min="2319" max="2322" width="9" style="1570"/>
    <col min="2323" max="2323" width="33.19921875" style="1570" customWidth="1"/>
    <col min="2324" max="2560" width="9" style="1570"/>
    <col min="2561" max="2561" width="5.19921875" style="1570" customWidth="1"/>
    <col min="2562" max="2562" width="8.8984375" style="1570" customWidth="1"/>
    <col min="2563" max="2563" width="7.09765625" style="1570" customWidth="1"/>
    <col min="2564" max="2564" width="7.69921875" style="1570" customWidth="1"/>
    <col min="2565" max="2565" width="8.8984375" style="1570" customWidth="1"/>
    <col min="2566" max="2566" width="8.09765625" style="1570" customWidth="1"/>
    <col min="2567" max="2567" width="7.8984375" style="1570" customWidth="1"/>
    <col min="2568" max="2568" width="8" style="1570" customWidth="1"/>
    <col min="2569" max="2569" width="8.09765625" style="1570" customWidth="1"/>
    <col min="2570" max="2570" width="8" style="1570" customWidth="1"/>
    <col min="2571" max="2571" width="7.19921875" style="1570" customWidth="1"/>
    <col min="2572" max="2572" width="8.3984375" style="1570" customWidth="1"/>
    <col min="2573" max="2573" width="17.3984375" style="1570" customWidth="1"/>
    <col min="2574" max="2574" width="8.8984375" style="1570" customWidth="1"/>
    <col min="2575" max="2578" width="9" style="1570"/>
    <col min="2579" max="2579" width="33.19921875" style="1570" customWidth="1"/>
    <col min="2580" max="2816" width="9" style="1570"/>
    <col min="2817" max="2817" width="5.19921875" style="1570" customWidth="1"/>
    <col min="2818" max="2818" width="8.8984375" style="1570" customWidth="1"/>
    <col min="2819" max="2819" width="7.09765625" style="1570" customWidth="1"/>
    <col min="2820" max="2820" width="7.69921875" style="1570" customWidth="1"/>
    <col min="2821" max="2821" width="8.8984375" style="1570" customWidth="1"/>
    <col min="2822" max="2822" width="8.09765625" style="1570" customWidth="1"/>
    <col min="2823" max="2823" width="7.8984375" style="1570" customWidth="1"/>
    <col min="2824" max="2824" width="8" style="1570" customWidth="1"/>
    <col min="2825" max="2825" width="8.09765625" style="1570" customWidth="1"/>
    <col min="2826" max="2826" width="8" style="1570" customWidth="1"/>
    <col min="2827" max="2827" width="7.19921875" style="1570" customWidth="1"/>
    <col min="2828" max="2828" width="8.3984375" style="1570" customWidth="1"/>
    <col min="2829" max="2829" width="17.3984375" style="1570" customWidth="1"/>
    <col min="2830" max="2830" width="8.8984375" style="1570" customWidth="1"/>
    <col min="2831" max="2834" width="9" style="1570"/>
    <col min="2835" max="2835" width="33.19921875" style="1570" customWidth="1"/>
    <col min="2836" max="3072" width="9" style="1570"/>
    <col min="3073" max="3073" width="5.19921875" style="1570" customWidth="1"/>
    <col min="3074" max="3074" width="8.8984375" style="1570" customWidth="1"/>
    <col min="3075" max="3075" width="7.09765625" style="1570" customWidth="1"/>
    <col min="3076" max="3076" width="7.69921875" style="1570" customWidth="1"/>
    <col min="3077" max="3077" width="8.8984375" style="1570" customWidth="1"/>
    <col min="3078" max="3078" width="8.09765625" style="1570" customWidth="1"/>
    <col min="3079" max="3079" width="7.8984375" style="1570" customWidth="1"/>
    <col min="3080" max="3080" width="8" style="1570" customWidth="1"/>
    <col min="3081" max="3081" width="8.09765625" style="1570" customWidth="1"/>
    <col min="3082" max="3082" width="8" style="1570" customWidth="1"/>
    <col min="3083" max="3083" width="7.19921875" style="1570" customWidth="1"/>
    <col min="3084" max="3084" width="8.3984375" style="1570" customWidth="1"/>
    <col min="3085" max="3085" width="17.3984375" style="1570" customWidth="1"/>
    <col min="3086" max="3086" width="8.8984375" style="1570" customWidth="1"/>
    <col min="3087" max="3090" width="9" style="1570"/>
    <col min="3091" max="3091" width="33.19921875" style="1570" customWidth="1"/>
    <col min="3092" max="3328" width="9" style="1570"/>
    <col min="3329" max="3329" width="5.19921875" style="1570" customWidth="1"/>
    <col min="3330" max="3330" width="8.8984375" style="1570" customWidth="1"/>
    <col min="3331" max="3331" width="7.09765625" style="1570" customWidth="1"/>
    <col min="3332" max="3332" width="7.69921875" style="1570" customWidth="1"/>
    <col min="3333" max="3333" width="8.8984375" style="1570" customWidth="1"/>
    <col min="3334" max="3334" width="8.09765625" style="1570" customWidth="1"/>
    <col min="3335" max="3335" width="7.8984375" style="1570" customWidth="1"/>
    <col min="3336" max="3336" width="8" style="1570" customWidth="1"/>
    <col min="3337" max="3337" width="8.09765625" style="1570" customWidth="1"/>
    <col min="3338" max="3338" width="8" style="1570" customWidth="1"/>
    <col min="3339" max="3339" width="7.19921875" style="1570" customWidth="1"/>
    <col min="3340" max="3340" width="8.3984375" style="1570" customWidth="1"/>
    <col min="3341" max="3341" width="17.3984375" style="1570" customWidth="1"/>
    <col min="3342" max="3342" width="8.8984375" style="1570" customWidth="1"/>
    <col min="3343" max="3346" width="9" style="1570"/>
    <col min="3347" max="3347" width="33.19921875" style="1570" customWidth="1"/>
    <col min="3348" max="3584" width="9" style="1570"/>
    <col min="3585" max="3585" width="5.19921875" style="1570" customWidth="1"/>
    <col min="3586" max="3586" width="8.8984375" style="1570" customWidth="1"/>
    <col min="3587" max="3587" width="7.09765625" style="1570" customWidth="1"/>
    <col min="3588" max="3588" width="7.69921875" style="1570" customWidth="1"/>
    <col min="3589" max="3589" width="8.8984375" style="1570" customWidth="1"/>
    <col min="3590" max="3590" width="8.09765625" style="1570" customWidth="1"/>
    <col min="3591" max="3591" width="7.8984375" style="1570" customWidth="1"/>
    <col min="3592" max="3592" width="8" style="1570" customWidth="1"/>
    <col min="3593" max="3593" width="8.09765625" style="1570" customWidth="1"/>
    <col min="3594" max="3594" width="8" style="1570" customWidth="1"/>
    <col min="3595" max="3595" width="7.19921875" style="1570" customWidth="1"/>
    <col min="3596" max="3596" width="8.3984375" style="1570" customWidth="1"/>
    <col min="3597" max="3597" width="17.3984375" style="1570" customWidth="1"/>
    <col min="3598" max="3598" width="8.8984375" style="1570" customWidth="1"/>
    <col min="3599" max="3602" width="9" style="1570"/>
    <col min="3603" max="3603" width="33.19921875" style="1570" customWidth="1"/>
    <col min="3604" max="3840" width="9" style="1570"/>
    <col min="3841" max="3841" width="5.19921875" style="1570" customWidth="1"/>
    <col min="3842" max="3842" width="8.8984375" style="1570" customWidth="1"/>
    <col min="3843" max="3843" width="7.09765625" style="1570" customWidth="1"/>
    <col min="3844" max="3844" width="7.69921875" style="1570" customWidth="1"/>
    <col min="3845" max="3845" width="8.8984375" style="1570" customWidth="1"/>
    <col min="3846" max="3846" width="8.09765625" style="1570" customWidth="1"/>
    <col min="3847" max="3847" width="7.8984375" style="1570" customWidth="1"/>
    <col min="3848" max="3848" width="8" style="1570" customWidth="1"/>
    <col min="3849" max="3849" width="8.09765625" style="1570" customWidth="1"/>
    <col min="3850" max="3850" width="8" style="1570" customWidth="1"/>
    <col min="3851" max="3851" width="7.19921875" style="1570" customWidth="1"/>
    <col min="3852" max="3852" width="8.3984375" style="1570" customWidth="1"/>
    <col min="3853" max="3853" width="17.3984375" style="1570" customWidth="1"/>
    <col min="3854" max="3854" width="8.8984375" style="1570" customWidth="1"/>
    <col min="3855" max="3858" width="9" style="1570"/>
    <col min="3859" max="3859" width="33.19921875" style="1570" customWidth="1"/>
    <col min="3860" max="4096" width="9" style="1570"/>
    <col min="4097" max="4097" width="5.19921875" style="1570" customWidth="1"/>
    <col min="4098" max="4098" width="8.8984375" style="1570" customWidth="1"/>
    <col min="4099" max="4099" width="7.09765625" style="1570" customWidth="1"/>
    <col min="4100" max="4100" width="7.69921875" style="1570" customWidth="1"/>
    <col min="4101" max="4101" width="8.8984375" style="1570" customWidth="1"/>
    <col min="4102" max="4102" width="8.09765625" style="1570" customWidth="1"/>
    <col min="4103" max="4103" width="7.8984375" style="1570" customWidth="1"/>
    <col min="4104" max="4104" width="8" style="1570" customWidth="1"/>
    <col min="4105" max="4105" width="8.09765625" style="1570" customWidth="1"/>
    <col min="4106" max="4106" width="8" style="1570" customWidth="1"/>
    <col min="4107" max="4107" width="7.19921875" style="1570" customWidth="1"/>
    <col min="4108" max="4108" width="8.3984375" style="1570" customWidth="1"/>
    <col min="4109" max="4109" width="17.3984375" style="1570" customWidth="1"/>
    <col min="4110" max="4110" width="8.8984375" style="1570" customWidth="1"/>
    <col min="4111" max="4114" width="9" style="1570"/>
    <col min="4115" max="4115" width="33.19921875" style="1570" customWidth="1"/>
    <col min="4116" max="4352" width="9" style="1570"/>
    <col min="4353" max="4353" width="5.19921875" style="1570" customWidth="1"/>
    <col min="4354" max="4354" width="8.8984375" style="1570" customWidth="1"/>
    <col min="4355" max="4355" width="7.09765625" style="1570" customWidth="1"/>
    <col min="4356" max="4356" width="7.69921875" style="1570" customWidth="1"/>
    <col min="4357" max="4357" width="8.8984375" style="1570" customWidth="1"/>
    <col min="4358" max="4358" width="8.09765625" style="1570" customWidth="1"/>
    <col min="4359" max="4359" width="7.8984375" style="1570" customWidth="1"/>
    <col min="4360" max="4360" width="8" style="1570" customWidth="1"/>
    <col min="4361" max="4361" width="8.09765625" style="1570" customWidth="1"/>
    <col min="4362" max="4362" width="8" style="1570" customWidth="1"/>
    <col min="4363" max="4363" width="7.19921875" style="1570" customWidth="1"/>
    <col min="4364" max="4364" width="8.3984375" style="1570" customWidth="1"/>
    <col min="4365" max="4365" width="17.3984375" style="1570" customWidth="1"/>
    <col min="4366" max="4366" width="8.8984375" style="1570" customWidth="1"/>
    <col min="4367" max="4370" width="9" style="1570"/>
    <col min="4371" max="4371" width="33.19921875" style="1570" customWidth="1"/>
    <col min="4372" max="4608" width="9" style="1570"/>
    <col min="4609" max="4609" width="5.19921875" style="1570" customWidth="1"/>
    <col min="4610" max="4610" width="8.8984375" style="1570" customWidth="1"/>
    <col min="4611" max="4611" width="7.09765625" style="1570" customWidth="1"/>
    <col min="4612" max="4612" width="7.69921875" style="1570" customWidth="1"/>
    <col min="4613" max="4613" width="8.8984375" style="1570" customWidth="1"/>
    <col min="4614" max="4614" width="8.09765625" style="1570" customWidth="1"/>
    <col min="4615" max="4615" width="7.8984375" style="1570" customWidth="1"/>
    <col min="4616" max="4616" width="8" style="1570" customWidth="1"/>
    <col min="4617" max="4617" width="8.09765625" style="1570" customWidth="1"/>
    <col min="4618" max="4618" width="8" style="1570" customWidth="1"/>
    <col min="4619" max="4619" width="7.19921875" style="1570" customWidth="1"/>
    <col min="4620" max="4620" width="8.3984375" style="1570" customWidth="1"/>
    <col min="4621" max="4621" width="17.3984375" style="1570" customWidth="1"/>
    <col min="4622" max="4622" width="8.8984375" style="1570" customWidth="1"/>
    <col min="4623" max="4626" width="9" style="1570"/>
    <col min="4627" max="4627" width="33.19921875" style="1570" customWidth="1"/>
    <col min="4628" max="4864" width="9" style="1570"/>
    <col min="4865" max="4865" width="5.19921875" style="1570" customWidth="1"/>
    <col min="4866" max="4866" width="8.8984375" style="1570" customWidth="1"/>
    <col min="4867" max="4867" width="7.09765625" style="1570" customWidth="1"/>
    <col min="4868" max="4868" width="7.69921875" style="1570" customWidth="1"/>
    <col min="4869" max="4869" width="8.8984375" style="1570" customWidth="1"/>
    <col min="4870" max="4870" width="8.09765625" style="1570" customWidth="1"/>
    <col min="4871" max="4871" width="7.8984375" style="1570" customWidth="1"/>
    <col min="4872" max="4872" width="8" style="1570" customWidth="1"/>
    <col min="4873" max="4873" width="8.09765625" style="1570" customWidth="1"/>
    <col min="4874" max="4874" width="8" style="1570" customWidth="1"/>
    <col min="4875" max="4875" width="7.19921875" style="1570" customWidth="1"/>
    <col min="4876" max="4876" width="8.3984375" style="1570" customWidth="1"/>
    <col min="4877" max="4877" width="17.3984375" style="1570" customWidth="1"/>
    <col min="4878" max="4878" width="8.8984375" style="1570" customWidth="1"/>
    <col min="4879" max="4882" width="9" style="1570"/>
    <col min="4883" max="4883" width="33.19921875" style="1570" customWidth="1"/>
    <col min="4884" max="5120" width="9" style="1570"/>
    <col min="5121" max="5121" width="5.19921875" style="1570" customWidth="1"/>
    <col min="5122" max="5122" width="8.8984375" style="1570" customWidth="1"/>
    <col min="5123" max="5123" width="7.09765625" style="1570" customWidth="1"/>
    <col min="5124" max="5124" width="7.69921875" style="1570" customWidth="1"/>
    <col min="5125" max="5125" width="8.8984375" style="1570" customWidth="1"/>
    <col min="5126" max="5126" width="8.09765625" style="1570" customWidth="1"/>
    <col min="5127" max="5127" width="7.8984375" style="1570" customWidth="1"/>
    <col min="5128" max="5128" width="8" style="1570" customWidth="1"/>
    <col min="5129" max="5129" width="8.09765625" style="1570" customWidth="1"/>
    <col min="5130" max="5130" width="8" style="1570" customWidth="1"/>
    <col min="5131" max="5131" width="7.19921875" style="1570" customWidth="1"/>
    <col min="5132" max="5132" width="8.3984375" style="1570" customWidth="1"/>
    <col min="5133" max="5133" width="17.3984375" style="1570" customWidth="1"/>
    <col min="5134" max="5134" width="8.8984375" style="1570" customWidth="1"/>
    <col min="5135" max="5138" width="9" style="1570"/>
    <col min="5139" max="5139" width="33.19921875" style="1570" customWidth="1"/>
    <col min="5140" max="5376" width="9" style="1570"/>
    <col min="5377" max="5377" width="5.19921875" style="1570" customWidth="1"/>
    <col min="5378" max="5378" width="8.8984375" style="1570" customWidth="1"/>
    <col min="5379" max="5379" width="7.09765625" style="1570" customWidth="1"/>
    <col min="5380" max="5380" width="7.69921875" style="1570" customWidth="1"/>
    <col min="5381" max="5381" width="8.8984375" style="1570" customWidth="1"/>
    <col min="5382" max="5382" width="8.09765625" style="1570" customWidth="1"/>
    <col min="5383" max="5383" width="7.8984375" style="1570" customWidth="1"/>
    <col min="5384" max="5384" width="8" style="1570" customWidth="1"/>
    <col min="5385" max="5385" width="8.09765625" style="1570" customWidth="1"/>
    <col min="5386" max="5386" width="8" style="1570" customWidth="1"/>
    <col min="5387" max="5387" width="7.19921875" style="1570" customWidth="1"/>
    <col min="5388" max="5388" width="8.3984375" style="1570" customWidth="1"/>
    <col min="5389" max="5389" width="17.3984375" style="1570" customWidth="1"/>
    <col min="5390" max="5390" width="8.8984375" style="1570" customWidth="1"/>
    <col min="5391" max="5394" width="9" style="1570"/>
    <col min="5395" max="5395" width="33.19921875" style="1570" customWidth="1"/>
    <col min="5396" max="5632" width="9" style="1570"/>
    <col min="5633" max="5633" width="5.19921875" style="1570" customWidth="1"/>
    <col min="5634" max="5634" width="8.8984375" style="1570" customWidth="1"/>
    <col min="5635" max="5635" width="7.09765625" style="1570" customWidth="1"/>
    <col min="5636" max="5636" width="7.69921875" style="1570" customWidth="1"/>
    <col min="5637" max="5637" width="8.8984375" style="1570" customWidth="1"/>
    <col min="5638" max="5638" width="8.09765625" style="1570" customWidth="1"/>
    <col min="5639" max="5639" width="7.8984375" style="1570" customWidth="1"/>
    <col min="5640" max="5640" width="8" style="1570" customWidth="1"/>
    <col min="5641" max="5641" width="8.09765625" style="1570" customWidth="1"/>
    <col min="5642" max="5642" width="8" style="1570" customWidth="1"/>
    <col min="5643" max="5643" width="7.19921875" style="1570" customWidth="1"/>
    <col min="5644" max="5644" width="8.3984375" style="1570" customWidth="1"/>
    <col min="5645" max="5645" width="17.3984375" style="1570" customWidth="1"/>
    <col min="5646" max="5646" width="8.8984375" style="1570" customWidth="1"/>
    <col min="5647" max="5650" width="9" style="1570"/>
    <col min="5651" max="5651" width="33.19921875" style="1570" customWidth="1"/>
    <col min="5652" max="5888" width="9" style="1570"/>
    <col min="5889" max="5889" width="5.19921875" style="1570" customWidth="1"/>
    <col min="5890" max="5890" width="8.8984375" style="1570" customWidth="1"/>
    <col min="5891" max="5891" width="7.09765625" style="1570" customWidth="1"/>
    <col min="5892" max="5892" width="7.69921875" style="1570" customWidth="1"/>
    <col min="5893" max="5893" width="8.8984375" style="1570" customWidth="1"/>
    <col min="5894" max="5894" width="8.09765625" style="1570" customWidth="1"/>
    <col min="5895" max="5895" width="7.8984375" style="1570" customWidth="1"/>
    <col min="5896" max="5896" width="8" style="1570" customWidth="1"/>
    <col min="5897" max="5897" width="8.09765625" style="1570" customWidth="1"/>
    <col min="5898" max="5898" width="8" style="1570" customWidth="1"/>
    <col min="5899" max="5899" width="7.19921875" style="1570" customWidth="1"/>
    <col min="5900" max="5900" width="8.3984375" style="1570" customWidth="1"/>
    <col min="5901" max="5901" width="17.3984375" style="1570" customWidth="1"/>
    <col min="5902" max="5902" width="8.8984375" style="1570" customWidth="1"/>
    <col min="5903" max="5906" width="9" style="1570"/>
    <col min="5907" max="5907" width="33.19921875" style="1570" customWidth="1"/>
    <col min="5908" max="6144" width="9" style="1570"/>
    <col min="6145" max="6145" width="5.19921875" style="1570" customWidth="1"/>
    <col min="6146" max="6146" width="8.8984375" style="1570" customWidth="1"/>
    <col min="6147" max="6147" width="7.09765625" style="1570" customWidth="1"/>
    <col min="6148" max="6148" width="7.69921875" style="1570" customWidth="1"/>
    <col min="6149" max="6149" width="8.8984375" style="1570" customWidth="1"/>
    <col min="6150" max="6150" width="8.09765625" style="1570" customWidth="1"/>
    <col min="6151" max="6151" width="7.8984375" style="1570" customWidth="1"/>
    <col min="6152" max="6152" width="8" style="1570" customWidth="1"/>
    <col min="6153" max="6153" width="8.09765625" style="1570" customWidth="1"/>
    <col min="6154" max="6154" width="8" style="1570" customWidth="1"/>
    <col min="6155" max="6155" width="7.19921875" style="1570" customWidth="1"/>
    <col min="6156" max="6156" width="8.3984375" style="1570" customWidth="1"/>
    <col min="6157" max="6157" width="17.3984375" style="1570" customWidth="1"/>
    <col min="6158" max="6158" width="8.8984375" style="1570" customWidth="1"/>
    <col min="6159" max="6162" width="9" style="1570"/>
    <col min="6163" max="6163" width="33.19921875" style="1570" customWidth="1"/>
    <col min="6164" max="6400" width="9" style="1570"/>
    <col min="6401" max="6401" width="5.19921875" style="1570" customWidth="1"/>
    <col min="6402" max="6402" width="8.8984375" style="1570" customWidth="1"/>
    <col min="6403" max="6403" width="7.09765625" style="1570" customWidth="1"/>
    <col min="6404" max="6404" width="7.69921875" style="1570" customWidth="1"/>
    <col min="6405" max="6405" width="8.8984375" style="1570" customWidth="1"/>
    <col min="6406" max="6406" width="8.09765625" style="1570" customWidth="1"/>
    <col min="6407" max="6407" width="7.8984375" style="1570" customWidth="1"/>
    <col min="6408" max="6408" width="8" style="1570" customWidth="1"/>
    <col min="6409" max="6409" width="8.09765625" style="1570" customWidth="1"/>
    <col min="6410" max="6410" width="8" style="1570" customWidth="1"/>
    <col min="6411" max="6411" width="7.19921875" style="1570" customWidth="1"/>
    <col min="6412" max="6412" width="8.3984375" style="1570" customWidth="1"/>
    <col min="6413" max="6413" width="17.3984375" style="1570" customWidth="1"/>
    <col min="6414" max="6414" width="8.8984375" style="1570" customWidth="1"/>
    <col min="6415" max="6418" width="9" style="1570"/>
    <col min="6419" max="6419" width="33.19921875" style="1570" customWidth="1"/>
    <col min="6420" max="6656" width="9" style="1570"/>
    <col min="6657" max="6657" width="5.19921875" style="1570" customWidth="1"/>
    <col min="6658" max="6658" width="8.8984375" style="1570" customWidth="1"/>
    <col min="6659" max="6659" width="7.09765625" style="1570" customWidth="1"/>
    <col min="6660" max="6660" width="7.69921875" style="1570" customWidth="1"/>
    <col min="6661" max="6661" width="8.8984375" style="1570" customWidth="1"/>
    <col min="6662" max="6662" width="8.09765625" style="1570" customWidth="1"/>
    <col min="6663" max="6663" width="7.8984375" style="1570" customWidth="1"/>
    <col min="6664" max="6664" width="8" style="1570" customWidth="1"/>
    <col min="6665" max="6665" width="8.09765625" style="1570" customWidth="1"/>
    <col min="6666" max="6666" width="8" style="1570" customWidth="1"/>
    <col min="6667" max="6667" width="7.19921875" style="1570" customWidth="1"/>
    <col min="6668" max="6668" width="8.3984375" style="1570" customWidth="1"/>
    <col min="6669" max="6669" width="17.3984375" style="1570" customWidth="1"/>
    <col min="6670" max="6670" width="8.8984375" style="1570" customWidth="1"/>
    <col min="6671" max="6674" width="9" style="1570"/>
    <col min="6675" max="6675" width="33.19921875" style="1570" customWidth="1"/>
    <col min="6676" max="6912" width="9" style="1570"/>
    <col min="6913" max="6913" width="5.19921875" style="1570" customWidth="1"/>
    <col min="6914" max="6914" width="8.8984375" style="1570" customWidth="1"/>
    <col min="6915" max="6915" width="7.09765625" style="1570" customWidth="1"/>
    <col min="6916" max="6916" width="7.69921875" style="1570" customWidth="1"/>
    <col min="6917" max="6917" width="8.8984375" style="1570" customWidth="1"/>
    <col min="6918" max="6918" width="8.09765625" style="1570" customWidth="1"/>
    <col min="6919" max="6919" width="7.8984375" style="1570" customWidth="1"/>
    <col min="6920" max="6920" width="8" style="1570" customWidth="1"/>
    <col min="6921" max="6921" width="8.09765625" style="1570" customWidth="1"/>
    <col min="6922" max="6922" width="8" style="1570" customWidth="1"/>
    <col min="6923" max="6923" width="7.19921875" style="1570" customWidth="1"/>
    <col min="6924" max="6924" width="8.3984375" style="1570" customWidth="1"/>
    <col min="6925" max="6925" width="17.3984375" style="1570" customWidth="1"/>
    <col min="6926" max="6926" width="8.8984375" style="1570" customWidth="1"/>
    <col min="6927" max="6930" width="9" style="1570"/>
    <col min="6931" max="6931" width="33.19921875" style="1570" customWidth="1"/>
    <col min="6932" max="7168" width="9" style="1570"/>
    <col min="7169" max="7169" width="5.19921875" style="1570" customWidth="1"/>
    <col min="7170" max="7170" width="8.8984375" style="1570" customWidth="1"/>
    <col min="7171" max="7171" width="7.09765625" style="1570" customWidth="1"/>
    <col min="7172" max="7172" width="7.69921875" style="1570" customWidth="1"/>
    <col min="7173" max="7173" width="8.8984375" style="1570" customWidth="1"/>
    <col min="7174" max="7174" width="8.09765625" style="1570" customWidth="1"/>
    <col min="7175" max="7175" width="7.8984375" style="1570" customWidth="1"/>
    <col min="7176" max="7176" width="8" style="1570" customWidth="1"/>
    <col min="7177" max="7177" width="8.09765625" style="1570" customWidth="1"/>
    <col min="7178" max="7178" width="8" style="1570" customWidth="1"/>
    <col min="7179" max="7179" width="7.19921875" style="1570" customWidth="1"/>
    <col min="7180" max="7180" width="8.3984375" style="1570" customWidth="1"/>
    <col min="7181" max="7181" width="17.3984375" style="1570" customWidth="1"/>
    <col min="7182" max="7182" width="8.8984375" style="1570" customWidth="1"/>
    <col min="7183" max="7186" width="9" style="1570"/>
    <col min="7187" max="7187" width="33.19921875" style="1570" customWidth="1"/>
    <col min="7188" max="7424" width="9" style="1570"/>
    <col min="7425" max="7425" width="5.19921875" style="1570" customWidth="1"/>
    <col min="7426" max="7426" width="8.8984375" style="1570" customWidth="1"/>
    <col min="7427" max="7427" width="7.09765625" style="1570" customWidth="1"/>
    <col min="7428" max="7428" width="7.69921875" style="1570" customWidth="1"/>
    <col min="7429" max="7429" width="8.8984375" style="1570" customWidth="1"/>
    <col min="7430" max="7430" width="8.09765625" style="1570" customWidth="1"/>
    <col min="7431" max="7431" width="7.8984375" style="1570" customWidth="1"/>
    <col min="7432" max="7432" width="8" style="1570" customWidth="1"/>
    <col min="7433" max="7433" width="8.09765625" style="1570" customWidth="1"/>
    <col min="7434" max="7434" width="8" style="1570" customWidth="1"/>
    <col min="7435" max="7435" width="7.19921875" style="1570" customWidth="1"/>
    <col min="7436" max="7436" width="8.3984375" style="1570" customWidth="1"/>
    <col min="7437" max="7437" width="17.3984375" style="1570" customWidth="1"/>
    <col min="7438" max="7438" width="8.8984375" style="1570" customWidth="1"/>
    <col min="7439" max="7442" width="9" style="1570"/>
    <col min="7443" max="7443" width="33.19921875" style="1570" customWidth="1"/>
    <col min="7444" max="7680" width="9" style="1570"/>
    <col min="7681" max="7681" width="5.19921875" style="1570" customWidth="1"/>
    <col min="7682" max="7682" width="8.8984375" style="1570" customWidth="1"/>
    <col min="7683" max="7683" width="7.09765625" style="1570" customWidth="1"/>
    <col min="7684" max="7684" width="7.69921875" style="1570" customWidth="1"/>
    <col min="7685" max="7685" width="8.8984375" style="1570" customWidth="1"/>
    <col min="7686" max="7686" width="8.09765625" style="1570" customWidth="1"/>
    <col min="7687" max="7687" width="7.8984375" style="1570" customWidth="1"/>
    <col min="7688" max="7688" width="8" style="1570" customWidth="1"/>
    <col min="7689" max="7689" width="8.09765625" style="1570" customWidth="1"/>
    <col min="7690" max="7690" width="8" style="1570" customWidth="1"/>
    <col min="7691" max="7691" width="7.19921875" style="1570" customWidth="1"/>
    <col min="7692" max="7692" width="8.3984375" style="1570" customWidth="1"/>
    <col min="7693" max="7693" width="17.3984375" style="1570" customWidth="1"/>
    <col min="7694" max="7694" width="8.8984375" style="1570" customWidth="1"/>
    <col min="7695" max="7698" width="9" style="1570"/>
    <col min="7699" max="7699" width="33.19921875" style="1570" customWidth="1"/>
    <col min="7700" max="7936" width="9" style="1570"/>
    <col min="7937" max="7937" width="5.19921875" style="1570" customWidth="1"/>
    <col min="7938" max="7938" width="8.8984375" style="1570" customWidth="1"/>
    <col min="7939" max="7939" width="7.09765625" style="1570" customWidth="1"/>
    <col min="7940" max="7940" width="7.69921875" style="1570" customWidth="1"/>
    <col min="7941" max="7941" width="8.8984375" style="1570" customWidth="1"/>
    <col min="7942" max="7942" width="8.09765625" style="1570" customWidth="1"/>
    <col min="7943" max="7943" width="7.8984375" style="1570" customWidth="1"/>
    <col min="7944" max="7944" width="8" style="1570" customWidth="1"/>
    <col min="7945" max="7945" width="8.09765625" style="1570" customWidth="1"/>
    <col min="7946" max="7946" width="8" style="1570" customWidth="1"/>
    <col min="7947" max="7947" width="7.19921875" style="1570" customWidth="1"/>
    <col min="7948" max="7948" width="8.3984375" style="1570" customWidth="1"/>
    <col min="7949" max="7949" width="17.3984375" style="1570" customWidth="1"/>
    <col min="7950" max="7950" width="8.8984375" style="1570" customWidth="1"/>
    <col min="7951" max="7954" width="9" style="1570"/>
    <col min="7955" max="7955" width="33.19921875" style="1570" customWidth="1"/>
    <col min="7956" max="8192" width="9" style="1570"/>
    <col min="8193" max="8193" width="5.19921875" style="1570" customWidth="1"/>
    <col min="8194" max="8194" width="8.8984375" style="1570" customWidth="1"/>
    <col min="8195" max="8195" width="7.09765625" style="1570" customWidth="1"/>
    <col min="8196" max="8196" width="7.69921875" style="1570" customWidth="1"/>
    <col min="8197" max="8197" width="8.8984375" style="1570" customWidth="1"/>
    <col min="8198" max="8198" width="8.09765625" style="1570" customWidth="1"/>
    <col min="8199" max="8199" width="7.8984375" style="1570" customWidth="1"/>
    <col min="8200" max="8200" width="8" style="1570" customWidth="1"/>
    <col min="8201" max="8201" width="8.09765625" style="1570" customWidth="1"/>
    <col min="8202" max="8202" width="8" style="1570" customWidth="1"/>
    <col min="8203" max="8203" width="7.19921875" style="1570" customWidth="1"/>
    <col min="8204" max="8204" width="8.3984375" style="1570" customWidth="1"/>
    <col min="8205" max="8205" width="17.3984375" style="1570" customWidth="1"/>
    <col min="8206" max="8206" width="8.8984375" style="1570" customWidth="1"/>
    <col min="8207" max="8210" width="9" style="1570"/>
    <col min="8211" max="8211" width="33.19921875" style="1570" customWidth="1"/>
    <col min="8212" max="8448" width="9" style="1570"/>
    <col min="8449" max="8449" width="5.19921875" style="1570" customWidth="1"/>
    <col min="8450" max="8450" width="8.8984375" style="1570" customWidth="1"/>
    <col min="8451" max="8451" width="7.09765625" style="1570" customWidth="1"/>
    <col min="8452" max="8452" width="7.69921875" style="1570" customWidth="1"/>
    <col min="8453" max="8453" width="8.8984375" style="1570" customWidth="1"/>
    <col min="8454" max="8454" width="8.09765625" style="1570" customWidth="1"/>
    <col min="8455" max="8455" width="7.8984375" style="1570" customWidth="1"/>
    <col min="8456" max="8456" width="8" style="1570" customWidth="1"/>
    <col min="8457" max="8457" width="8.09765625" style="1570" customWidth="1"/>
    <col min="8458" max="8458" width="8" style="1570" customWidth="1"/>
    <col min="8459" max="8459" width="7.19921875" style="1570" customWidth="1"/>
    <col min="8460" max="8460" width="8.3984375" style="1570" customWidth="1"/>
    <col min="8461" max="8461" width="17.3984375" style="1570" customWidth="1"/>
    <col min="8462" max="8462" width="8.8984375" style="1570" customWidth="1"/>
    <col min="8463" max="8466" width="9" style="1570"/>
    <col min="8467" max="8467" width="33.19921875" style="1570" customWidth="1"/>
    <col min="8468" max="8704" width="9" style="1570"/>
    <col min="8705" max="8705" width="5.19921875" style="1570" customWidth="1"/>
    <col min="8706" max="8706" width="8.8984375" style="1570" customWidth="1"/>
    <col min="8707" max="8707" width="7.09765625" style="1570" customWidth="1"/>
    <col min="8708" max="8708" width="7.69921875" style="1570" customWidth="1"/>
    <col min="8709" max="8709" width="8.8984375" style="1570" customWidth="1"/>
    <col min="8710" max="8710" width="8.09765625" style="1570" customWidth="1"/>
    <col min="8711" max="8711" width="7.8984375" style="1570" customWidth="1"/>
    <col min="8712" max="8712" width="8" style="1570" customWidth="1"/>
    <col min="8713" max="8713" width="8.09765625" style="1570" customWidth="1"/>
    <col min="8714" max="8714" width="8" style="1570" customWidth="1"/>
    <col min="8715" max="8715" width="7.19921875" style="1570" customWidth="1"/>
    <col min="8716" max="8716" width="8.3984375" style="1570" customWidth="1"/>
    <col min="8717" max="8717" width="17.3984375" style="1570" customWidth="1"/>
    <col min="8718" max="8718" width="8.8984375" style="1570" customWidth="1"/>
    <col min="8719" max="8722" width="9" style="1570"/>
    <col min="8723" max="8723" width="33.19921875" style="1570" customWidth="1"/>
    <col min="8724" max="8960" width="9" style="1570"/>
    <col min="8961" max="8961" width="5.19921875" style="1570" customWidth="1"/>
    <col min="8962" max="8962" width="8.8984375" style="1570" customWidth="1"/>
    <col min="8963" max="8963" width="7.09765625" style="1570" customWidth="1"/>
    <col min="8964" max="8964" width="7.69921875" style="1570" customWidth="1"/>
    <col min="8965" max="8965" width="8.8984375" style="1570" customWidth="1"/>
    <col min="8966" max="8966" width="8.09765625" style="1570" customWidth="1"/>
    <col min="8967" max="8967" width="7.8984375" style="1570" customWidth="1"/>
    <col min="8968" max="8968" width="8" style="1570" customWidth="1"/>
    <col min="8969" max="8969" width="8.09765625" style="1570" customWidth="1"/>
    <col min="8970" max="8970" width="8" style="1570" customWidth="1"/>
    <col min="8971" max="8971" width="7.19921875" style="1570" customWidth="1"/>
    <col min="8972" max="8972" width="8.3984375" style="1570" customWidth="1"/>
    <col min="8973" max="8973" width="17.3984375" style="1570" customWidth="1"/>
    <col min="8974" max="8974" width="8.8984375" style="1570" customWidth="1"/>
    <col min="8975" max="8978" width="9" style="1570"/>
    <col min="8979" max="8979" width="33.19921875" style="1570" customWidth="1"/>
    <col min="8980" max="9216" width="9" style="1570"/>
    <col min="9217" max="9217" width="5.19921875" style="1570" customWidth="1"/>
    <col min="9218" max="9218" width="8.8984375" style="1570" customWidth="1"/>
    <col min="9219" max="9219" width="7.09765625" style="1570" customWidth="1"/>
    <col min="9220" max="9220" width="7.69921875" style="1570" customWidth="1"/>
    <col min="9221" max="9221" width="8.8984375" style="1570" customWidth="1"/>
    <col min="9222" max="9222" width="8.09765625" style="1570" customWidth="1"/>
    <col min="9223" max="9223" width="7.8984375" style="1570" customWidth="1"/>
    <col min="9224" max="9224" width="8" style="1570" customWidth="1"/>
    <col min="9225" max="9225" width="8.09765625" style="1570" customWidth="1"/>
    <col min="9226" max="9226" width="8" style="1570" customWidth="1"/>
    <col min="9227" max="9227" width="7.19921875" style="1570" customWidth="1"/>
    <col min="9228" max="9228" width="8.3984375" style="1570" customWidth="1"/>
    <col min="9229" max="9229" width="17.3984375" style="1570" customWidth="1"/>
    <col min="9230" max="9230" width="8.8984375" style="1570" customWidth="1"/>
    <col min="9231" max="9234" width="9" style="1570"/>
    <col min="9235" max="9235" width="33.19921875" style="1570" customWidth="1"/>
    <col min="9236" max="9472" width="9" style="1570"/>
    <col min="9473" max="9473" width="5.19921875" style="1570" customWidth="1"/>
    <col min="9474" max="9474" width="8.8984375" style="1570" customWidth="1"/>
    <col min="9475" max="9475" width="7.09765625" style="1570" customWidth="1"/>
    <col min="9476" max="9476" width="7.69921875" style="1570" customWidth="1"/>
    <col min="9477" max="9477" width="8.8984375" style="1570" customWidth="1"/>
    <col min="9478" max="9478" width="8.09765625" style="1570" customWidth="1"/>
    <col min="9479" max="9479" width="7.8984375" style="1570" customWidth="1"/>
    <col min="9480" max="9480" width="8" style="1570" customWidth="1"/>
    <col min="9481" max="9481" width="8.09765625" style="1570" customWidth="1"/>
    <col min="9482" max="9482" width="8" style="1570" customWidth="1"/>
    <col min="9483" max="9483" width="7.19921875" style="1570" customWidth="1"/>
    <col min="9484" max="9484" width="8.3984375" style="1570" customWidth="1"/>
    <col min="9485" max="9485" width="17.3984375" style="1570" customWidth="1"/>
    <col min="9486" max="9486" width="8.8984375" style="1570" customWidth="1"/>
    <col min="9487" max="9490" width="9" style="1570"/>
    <col min="9491" max="9491" width="33.19921875" style="1570" customWidth="1"/>
    <col min="9492" max="9728" width="9" style="1570"/>
    <col min="9729" max="9729" width="5.19921875" style="1570" customWidth="1"/>
    <col min="9730" max="9730" width="8.8984375" style="1570" customWidth="1"/>
    <col min="9731" max="9731" width="7.09765625" style="1570" customWidth="1"/>
    <col min="9732" max="9732" width="7.69921875" style="1570" customWidth="1"/>
    <col min="9733" max="9733" width="8.8984375" style="1570" customWidth="1"/>
    <col min="9734" max="9734" width="8.09765625" style="1570" customWidth="1"/>
    <col min="9735" max="9735" width="7.8984375" style="1570" customWidth="1"/>
    <col min="9736" max="9736" width="8" style="1570" customWidth="1"/>
    <col min="9737" max="9737" width="8.09765625" style="1570" customWidth="1"/>
    <col min="9738" max="9738" width="8" style="1570" customWidth="1"/>
    <col min="9739" max="9739" width="7.19921875" style="1570" customWidth="1"/>
    <col min="9740" max="9740" width="8.3984375" style="1570" customWidth="1"/>
    <col min="9741" max="9741" width="17.3984375" style="1570" customWidth="1"/>
    <col min="9742" max="9742" width="8.8984375" style="1570" customWidth="1"/>
    <col min="9743" max="9746" width="9" style="1570"/>
    <col min="9747" max="9747" width="33.19921875" style="1570" customWidth="1"/>
    <col min="9748" max="9984" width="9" style="1570"/>
    <col min="9985" max="9985" width="5.19921875" style="1570" customWidth="1"/>
    <col min="9986" max="9986" width="8.8984375" style="1570" customWidth="1"/>
    <col min="9987" max="9987" width="7.09765625" style="1570" customWidth="1"/>
    <col min="9988" max="9988" width="7.69921875" style="1570" customWidth="1"/>
    <col min="9989" max="9989" width="8.8984375" style="1570" customWidth="1"/>
    <col min="9990" max="9990" width="8.09765625" style="1570" customWidth="1"/>
    <col min="9991" max="9991" width="7.8984375" style="1570" customWidth="1"/>
    <col min="9992" max="9992" width="8" style="1570" customWidth="1"/>
    <col min="9993" max="9993" width="8.09765625" style="1570" customWidth="1"/>
    <col min="9994" max="9994" width="8" style="1570" customWidth="1"/>
    <col min="9995" max="9995" width="7.19921875" style="1570" customWidth="1"/>
    <col min="9996" max="9996" width="8.3984375" style="1570" customWidth="1"/>
    <col min="9997" max="9997" width="17.3984375" style="1570" customWidth="1"/>
    <col min="9998" max="9998" width="8.8984375" style="1570" customWidth="1"/>
    <col min="9999" max="10002" width="9" style="1570"/>
    <col min="10003" max="10003" width="33.19921875" style="1570" customWidth="1"/>
    <col min="10004" max="10240" width="9" style="1570"/>
    <col min="10241" max="10241" width="5.19921875" style="1570" customWidth="1"/>
    <col min="10242" max="10242" width="8.8984375" style="1570" customWidth="1"/>
    <col min="10243" max="10243" width="7.09765625" style="1570" customWidth="1"/>
    <col min="10244" max="10244" width="7.69921875" style="1570" customWidth="1"/>
    <col min="10245" max="10245" width="8.8984375" style="1570" customWidth="1"/>
    <col min="10246" max="10246" width="8.09765625" style="1570" customWidth="1"/>
    <col min="10247" max="10247" width="7.8984375" style="1570" customWidth="1"/>
    <col min="10248" max="10248" width="8" style="1570" customWidth="1"/>
    <col min="10249" max="10249" width="8.09765625" style="1570" customWidth="1"/>
    <col min="10250" max="10250" width="8" style="1570" customWidth="1"/>
    <col min="10251" max="10251" width="7.19921875" style="1570" customWidth="1"/>
    <col min="10252" max="10252" width="8.3984375" style="1570" customWidth="1"/>
    <col min="10253" max="10253" width="17.3984375" style="1570" customWidth="1"/>
    <col min="10254" max="10254" width="8.8984375" style="1570" customWidth="1"/>
    <col min="10255" max="10258" width="9" style="1570"/>
    <col min="10259" max="10259" width="33.19921875" style="1570" customWidth="1"/>
    <col min="10260" max="10496" width="9" style="1570"/>
    <col min="10497" max="10497" width="5.19921875" style="1570" customWidth="1"/>
    <col min="10498" max="10498" width="8.8984375" style="1570" customWidth="1"/>
    <col min="10499" max="10499" width="7.09765625" style="1570" customWidth="1"/>
    <col min="10500" max="10500" width="7.69921875" style="1570" customWidth="1"/>
    <col min="10501" max="10501" width="8.8984375" style="1570" customWidth="1"/>
    <col min="10502" max="10502" width="8.09765625" style="1570" customWidth="1"/>
    <col min="10503" max="10503" width="7.8984375" style="1570" customWidth="1"/>
    <col min="10504" max="10504" width="8" style="1570" customWidth="1"/>
    <col min="10505" max="10505" width="8.09765625" style="1570" customWidth="1"/>
    <col min="10506" max="10506" width="8" style="1570" customWidth="1"/>
    <col min="10507" max="10507" width="7.19921875" style="1570" customWidth="1"/>
    <col min="10508" max="10508" width="8.3984375" style="1570" customWidth="1"/>
    <col min="10509" max="10509" width="17.3984375" style="1570" customWidth="1"/>
    <col min="10510" max="10510" width="8.8984375" style="1570" customWidth="1"/>
    <col min="10511" max="10514" width="9" style="1570"/>
    <col min="10515" max="10515" width="33.19921875" style="1570" customWidth="1"/>
    <col min="10516" max="10752" width="9" style="1570"/>
    <col min="10753" max="10753" width="5.19921875" style="1570" customWidth="1"/>
    <col min="10754" max="10754" width="8.8984375" style="1570" customWidth="1"/>
    <col min="10755" max="10755" width="7.09765625" style="1570" customWidth="1"/>
    <col min="10756" max="10756" width="7.69921875" style="1570" customWidth="1"/>
    <col min="10757" max="10757" width="8.8984375" style="1570" customWidth="1"/>
    <col min="10758" max="10758" width="8.09765625" style="1570" customWidth="1"/>
    <col min="10759" max="10759" width="7.8984375" style="1570" customWidth="1"/>
    <col min="10760" max="10760" width="8" style="1570" customWidth="1"/>
    <col min="10761" max="10761" width="8.09765625" style="1570" customWidth="1"/>
    <col min="10762" max="10762" width="8" style="1570" customWidth="1"/>
    <col min="10763" max="10763" width="7.19921875" style="1570" customWidth="1"/>
    <col min="10764" max="10764" width="8.3984375" style="1570" customWidth="1"/>
    <col min="10765" max="10765" width="17.3984375" style="1570" customWidth="1"/>
    <col min="10766" max="10766" width="8.8984375" style="1570" customWidth="1"/>
    <col min="10767" max="10770" width="9" style="1570"/>
    <col min="10771" max="10771" width="33.19921875" style="1570" customWidth="1"/>
    <col min="10772" max="11008" width="9" style="1570"/>
    <col min="11009" max="11009" width="5.19921875" style="1570" customWidth="1"/>
    <col min="11010" max="11010" width="8.8984375" style="1570" customWidth="1"/>
    <col min="11011" max="11011" width="7.09765625" style="1570" customWidth="1"/>
    <col min="11012" max="11012" width="7.69921875" style="1570" customWidth="1"/>
    <col min="11013" max="11013" width="8.8984375" style="1570" customWidth="1"/>
    <col min="11014" max="11014" width="8.09765625" style="1570" customWidth="1"/>
    <col min="11015" max="11015" width="7.8984375" style="1570" customWidth="1"/>
    <col min="11016" max="11016" width="8" style="1570" customWidth="1"/>
    <col min="11017" max="11017" width="8.09765625" style="1570" customWidth="1"/>
    <col min="11018" max="11018" width="8" style="1570" customWidth="1"/>
    <col min="11019" max="11019" width="7.19921875" style="1570" customWidth="1"/>
    <col min="11020" max="11020" width="8.3984375" style="1570" customWidth="1"/>
    <col min="11021" max="11021" width="17.3984375" style="1570" customWidth="1"/>
    <col min="11022" max="11022" width="8.8984375" style="1570" customWidth="1"/>
    <col min="11023" max="11026" width="9" style="1570"/>
    <col min="11027" max="11027" width="33.19921875" style="1570" customWidth="1"/>
    <col min="11028" max="11264" width="9" style="1570"/>
    <col min="11265" max="11265" width="5.19921875" style="1570" customWidth="1"/>
    <col min="11266" max="11266" width="8.8984375" style="1570" customWidth="1"/>
    <col min="11267" max="11267" width="7.09765625" style="1570" customWidth="1"/>
    <col min="11268" max="11268" width="7.69921875" style="1570" customWidth="1"/>
    <col min="11269" max="11269" width="8.8984375" style="1570" customWidth="1"/>
    <col min="11270" max="11270" width="8.09765625" style="1570" customWidth="1"/>
    <col min="11271" max="11271" width="7.8984375" style="1570" customWidth="1"/>
    <col min="11272" max="11272" width="8" style="1570" customWidth="1"/>
    <col min="11273" max="11273" width="8.09765625" style="1570" customWidth="1"/>
    <col min="11274" max="11274" width="8" style="1570" customWidth="1"/>
    <col min="11275" max="11275" width="7.19921875" style="1570" customWidth="1"/>
    <col min="11276" max="11276" width="8.3984375" style="1570" customWidth="1"/>
    <col min="11277" max="11277" width="17.3984375" style="1570" customWidth="1"/>
    <col min="11278" max="11278" width="8.8984375" style="1570" customWidth="1"/>
    <col min="11279" max="11282" width="9" style="1570"/>
    <col min="11283" max="11283" width="33.19921875" style="1570" customWidth="1"/>
    <col min="11284" max="11520" width="9" style="1570"/>
    <col min="11521" max="11521" width="5.19921875" style="1570" customWidth="1"/>
    <col min="11522" max="11522" width="8.8984375" style="1570" customWidth="1"/>
    <col min="11523" max="11523" width="7.09765625" style="1570" customWidth="1"/>
    <col min="11524" max="11524" width="7.69921875" style="1570" customWidth="1"/>
    <col min="11525" max="11525" width="8.8984375" style="1570" customWidth="1"/>
    <col min="11526" max="11526" width="8.09765625" style="1570" customWidth="1"/>
    <col min="11527" max="11527" width="7.8984375" style="1570" customWidth="1"/>
    <col min="11528" max="11528" width="8" style="1570" customWidth="1"/>
    <col min="11529" max="11529" width="8.09765625" style="1570" customWidth="1"/>
    <col min="11530" max="11530" width="8" style="1570" customWidth="1"/>
    <col min="11531" max="11531" width="7.19921875" style="1570" customWidth="1"/>
    <col min="11532" max="11532" width="8.3984375" style="1570" customWidth="1"/>
    <col min="11533" max="11533" width="17.3984375" style="1570" customWidth="1"/>
    <col min="11534" max="11534" width="8.8984375" style="1570" customWidth="1"/>
    <col min="11535" max="11538" width="9" style="1570"/>
    <col min="11539" max="11539" width="33.19921875" style="1570" customWidth="1"/>
    <col min="11540" max="11776" width="9" style="1570"/>
    <col min="11777" max="11777" width="5.19921875" style="1570" customWidth="1"/>
    <col min="11778" max="11778" width="8.8984375" style="1570" customWidth="1"/>
    <col min="11779" max="11779" width="7.09765625" style="1570" customWidth="1"/>
    <col min="11780" max="11780" width="7.69921875" style="1570" customWidth="1"/>
    <col min="11781" max="11781" width="8.8984375" style="1570" customWidth="1"/>
    <col min="11782" max="11782" width="8.09765625" style="1570" customWidth="1"/>
    <col min="11783" max="11783" width="7.8984375" style="1570" customWidth="1"/>
    <col min="11784" max="11784" width="8" style="1570" customWidth="1"/>
    <col min="11785" max="11785" width="8.09765625" style="1570" customWidth="1"/>
    <col min="11786" max="11786" width="8" style="1570" customWidth="1"/>
    <col min="11787" max="11787" width="7.19921875" style="1570" customWidth="1"/>
    <col min="11788" max="11788" width="8.3984375" style="1570" customWidth="1"/>
    <col min="11789" max="11789" width="17.3984375" style="1570" customWidth="1"/>
    <col min="11790" max="11790" width="8.8984375" style="1570" customWidth="1"/>
    <col min="11791" max="11794" width="9" style="1570"/>
    <col min="11795" max="11795" width="33.19921875" style="1570" customWidth="1"/>
    <col min="11796" max="12032" width="9" style="1570"/>
    <col min="12033" max="12033" width="5.19921875" style="1570" customWidth="1"/>
    <col min="12034" max="12034" width="8.8984375" style="1570" customWidth="1"/>
    <col min="12035" max="12035" width="7.09765625" style="1570" customWidth="1"/>
    <col min="12036" max="12036" width="7.69921875" style="1570" customWidth="1"/>
    <col min="12037" max="12037" width="8.8984375" style="1570" customWidth="1"/>
    <col min="12038" max="12038" width="8.09765625" style="1570" customWidth="1"/>
    <col min="12039" max="12039" width="7.8984375" style="1570" customWidth="1"/>
    <col min="12040" max="12040" width="8" style="1570" customWidth="1"/>
    <col min="12041" max="12041" width="8.09765625" style="1570" customWidth="1"/>
    <col min="12042" max="12042" width="8" style="1570" customWidth="1"/>
    <col min="12043" max="12043" width="7.19921875" style="1570" customWidth="1"/>
    <col min="12044" max="12044" width="8.3984375" style="1570" customWidth="1"/>
    <col min="12045" max="12045" width="17.3984375" style="1570" customWidth="1"/>
    <col min="12046" max="12046" width="8.8984375" style="1570" customWidth="1"/>
    <col min="12047" max="12050" width="9" style="1570"/>
    <col min="12051" max="12051" width="33.19921875" style="1570" customWidth="1"/>
    <col min="12052" max="12288" width="9" style="1570"/>
    <col min="12289" max="12289" width="5.19921875" style="1570" customWidth="1"/>
    <col min="12290" max="12290" width="8.8984375" style="1570" customWidth="1"/>
    <col min="12291" max="12291" width="7.09765625" style="1570" customWidth="1"/>
    <col min="12292" max="12292" width="7.69921875" style="1570" customWidth="1"/>
    <col min="12293" max="12293" width="8.8984375" style="1570" customWidth="1"/>
    <col min="12294" max="12294" width="8.09765625" style="1570" customWidth="1"/>
    <col min="12295" max="12295" width="7.8984375" style="1570" customWidth="1"/>
    <col min="12296" max="12296" width="8" style="1570" customWidth="1"/>
    <col min="12297" max="12297" width="8.09765625" style="1570" customWidth="1"/>
    <col min="12298" max="12298" width="8" style="1570" customWidth="1"/>
    <col min="12299" max="12299" width="7.19921875" style="1570" customWidth="1"/>
    <col min="12300" max="12300" width="8.3984375" style="1570" customWidth="1"/>
    <col min="12301" max="12301" width="17.3984375" style="1570" customWidth="1"/>
    <col min="12302" max="12302" width="8.8984375" style="1570" customWidth="1"/>
    <col min="12303" max="12306" width="9" style="1570"/>
    <col min="12307" max="12307" width="33.19921875" style="1570" customWidth="1"/>
    <col min="12308" max="12544" width="9" style="1570"/>
    <col min="12545" max="12545" width="5.19921875" style="1570" customWidth="1"/>
    <col min="12546" max="12546" width="8.8984375" style="1570" customWidth="1"/>
    <col min="12547" max="12547" width="7.09765625" style="1570" customWidth="1"/>
    <col min="12548" max="12548" width="7.69921875" style="1570" customWidth="1"/>
    <col min="12549" max="12549" width="8.8984375" style="1570" customWidth="1"/>
    <col min="12550" max="12550" width="8.09765625" style="1570" customWidth="1"/>
    <col min="12551" max="12551" width="7.8984375" style="1570" customWidth="1"/>
    <col min="12552" max="12552" width="8" style="1570" customWidth="1"/>
    <col min="12553" max="12553" width="8.09765625" style="1570" customWidth="1"/>
    <col min="12554" max="12554" width="8" style="1570" customWidth="1"/>
    <col min="12555" max="12555" width="7.19921875" style="1570" customWidth="1"/>
    <col min="12556" max="12556" width="8.3984375" style="1570" customWidth="1"/>
    <col min="12557" max="12557" width="17.3984375" style="1570" customWidth="1"/>
    <col min="12558" max="12558" width="8.8984375" style="1570" customWidth="1"/>
    <col min="12559" max="12562" width="9" style="1570"/>
    <col min="12563" max="12563" width="33.19921875" style="1570" customWidth="1"/>
    <col min="12564" max="12800" width="9" style="1570"/>
    <col min="12801" max="12801" width="5.19921875" style="1570" customWidth="1"/>
    <col min="12802" max="12802" width="8.8984375" style="1570" customWidth="1"/>
    <col min="12803" max="12803" width="7.09765625" style="1570" customWidth="1"/>
    <col min="12804" max="12804" width="7.69921875" style="1570" customWidth="1"/>
    <col min="12805" max="12805" width="8.8984375" style="1570" customWidth="1"/>
    <col min="12806" max="12806" width="8.09765625" style="1570" customWidth="1"/>
    <col min="12807" max="12807" width="7.8984375" style="1570" customWidth="1"/>
    <col min="12808" max="12808" width="8" style="1570" customWidth="1"/>
    <col min="12809" max="12809" width="8.09765625" style="1570" customWidth="1"/>
    <col min="12810" max="12810" width="8" style="1570" customWidth="1"/>
    <col min="12811" max="12811" width="7.19921875" style="1570" customWidth="1"/>
    <col min="12812" max="12812" width="8.3984375" style="1570" customWidth="1"/>
    <col min="12813" max="12813" width="17.3984375" style="1570" customWidth="1"/>
    <col min="12814" max="12814" width="8.8984375" style="1570" customWidth="1"/>
    <col min="12815" max="12818" width="9" style="1570"/>
    <col min="12819" max="12819" width="33.19921875" style="1570" customWidth="1"/>
    <col min="12820" max="13056" width="9" style="1570"/>
    <col min="13057" max="13057" width="5.19921875" style="1570" customWidth="1"/>
    <col min="13058" max="13058" width="8.8984375" style="1570" customWidth="1"/>
    <col min="13059" max="13059" width="7.09765625" style="1570" customWidth="1"/>
    <col min="13060" max="13060" width="7.69921875" style="1570" customWidth="1"/>
    <col min="13061" max="13061" width="8.8984375" style="1570" customWidth="1"/>
    <col min="13062" max="13062" width="8.09765625" style="1570" customWidth="1"/>
    <col min="13063" max="13063" width="7.8984375" style="1570" customWidth="1"/>
    <col min="13064" max="13064" width="8" style="1570" customWidth="1"/>
    <col min="13065" max="13065" width="8.09765625" style="1570" customWidth="1"/>
    <col min="13066" max="13066" width="8" style="1570" customWidth="1"/>
    <col min="13067" max="13067" width="7.19921875" style="1570" customWidth="1"/>
    <col min="13068" max="13068" width="8.3984375" style="1570" customWidth="1"/>
    <col min="13069" max="13069" width="17.3984375" style="1570" customWidth="1"/>
    <col min="13070" max="13070" width="8.8984375" style="1570" customWidth="1"/>
    <col min="13071" max="13074" width="9" style="1570"/>
    <col min="13075" max="13075" width="33.19921875" style="1570" customWidth="1"/>
    <col min="13076" max="13312" width="9" style="1570"/>
    <col min="13313" max="13313" width="5.19921875" style="1570" customWidth="1"/>
    <col min="13314" max="13314" width="8.8984375" style="1570" customWidth="1"/>
    <col min="13315" max="13315" width="7.09765625" style="1570" customWidth="1"/>
    <col min="13316" max="13316" width="7.69921875" style="1570" customWidth="1"/>
    <col min="13317" max="13317" width="8.8984375" style="1570" customWidth="1"/>
    <col min="13318" max="13318" width="8.09765625" style="1570" customWidth="1"/>
    <col min="13319" max="13319" width="7.8984375" style="1570" customWidth="1"/>
    <col min="13320" max="13320" width="8" style="1570" customWidth="1"/>
    <col min="13321" max="13321" width="8.09765625" style="1570" customWidth="1"/>
    <col min="13322" max="13322" width="8" style="1570" customWidth="1"/>
    <col min="13323" max="13323" width="7.19921875" style="1570" customWidth="1"/>
    <col min="13324" max="13324" width="8.3984375" style="1570" customWidth="1"/>
    <col min="13325" max="13325" width="17.3984375" style="1570" customWidth="1"/>
    <col min="13326" max="13326" width="8.8984375" style="1570" customWidth="1"/>
    <col min="13327" max="13330" width="9" style="1570"/>
    <col min="13331" max="13331" width="33.19921875" style="1570" customWidth="1"/>
    <col min="13332" max="13568" width="9" style="1570"/>
    <col min="13569" max="13569" width="5.19921875" style="1570" customWidth="1"/>
    <col min="13570" max="13570" width="8.8984375" style="1570" customWidth="1"/>
    <col min="13571" max="13571" width="7.09765625" style="1570" customWidth="1"/>
    <col min="13572" max="13572" width="7.69921875" style="1570" customWidth="1"/>
    <col min="13573" max="13573" width="8.8984375" style="1570" customWidth="1"/>
    <col min="13574" max="13574" width="8.09765625" style="1570" customWidth="1"/>
    <col min="13575" max="13575" width="7.8984375" style="1570" customWidth="1"/>
    <col min="13576" max="13576" width="8" style="1570" customWidth="1"/>
    <col min="13577" max="13577" width="8.09765625" style="1570" customWidth="1"/>
    <col min="13578" max="13578" width="8" style="1570" customWidth="1"/>
    <col min="13579" max="13579" width="7.19921875" style="1570" customWidth="1"/>
    <col min="13580" max="13580" width="8.3984375" style="1570" customWidth="1"/>
    <col min="13581" max="13581" width="17.3984375" style="1570" customWidth="1"/>
    <col min="13582" max="13582" width="8.8984375" style="1570" customWidth="1"/>
    <col min="13583" max="13586" width="9" style="1570"/>
    <col min="13587" max="13587" width="33.19921875" style="1570" customWidth="1"/>
    <col min="13588" max="13824" width="9" style="1570"/>
    <col min="13825" max="13825" width="5.19921875" style="1570" customWidth="1"/>
    <col min="13826" max="13826" width="8.8984375" style="1570" customWidth="1"/>
    <col min="13827" max="13827" width="7.09765625" style="1570" customWidth="1"/>
    <col min="13828" max="13828" width="7.69921875" style="1570" customWidth="1"/>
    <col min="13829" max="13829" width="8.8984375" style="1570" customWidth="1"/>
    <col min="13830" max="13830" width="8.09765625" style="1570" customWidth="1"/>
    <col min="13831" max="13831" width="7.8984375" style="1570" customWidth="1"/>
    <col min="13832" max="13832" width="8" style="1570" customWidth="1"/>
    <col min="13833" max="13833" width="8.09765625" style="1570" customWidth="1"/>
    <col min="13834" max="13834" width="8" style="1570" customWidth="1"/>
    <col min="13835" max="13835" width="7.19921875" style="1570" customWidth="1"/>
    <col min="13836" max="13836" width="8.3984375" style="1570" customWidth="1"/>
    <col min="13837" max="13837" width="17.3984375" style="1570" customWidth="1"/>
    <col min="13838" max="13838" width="8.8984375" style="1570" customWidth="1"/>
    <col min="13839" max="13842" width="9" style="1570"/>
    <col min="13843" max="13843" width="33.19921875" style="1570" customWidth="1"/>
    <col min="13844" max="14080" width="9" style="1570"/>
    <col min="14081" max="14081" width="5.19921875" style="1570" customWidth="1"/>
    <col min="14082" max="14082" width="8.8984375" style="1570" customWidth="1"/>
    <col min="14083" max="14083" width="7.09765625" style="1570" customWidth="1"/>
    <col min="14084" max="14084" width="7.69921875" style="1570" customWidth="1"/>
    <col min="14085" max="14085" width="8.8984375" style="1570" customWidth="1"/>
    <col min="14086" max="14086" width="8.09765625" style="1570" customWidth="1"/>
    <col min="14087" max="14087" width="7.8984375" style="1570" customWidth="1"/>
    <col min="14088" max="14088" width="8" style="1570" customWidth="1"/>
    <col min="14089" max="14089" width="8.09765625" style="1570" customWidth="1"/>
    <col min="14090" max="14090" width="8" style="1570" customWidth="1"/>
    <col min="14091" max="14091" width="7.19921875" style="1570" customWidth="1"/>
    <col min="14092" max="14092" width="8.3984375" style="1570" customWidth="1"/>
    <col min="14093" max="14093" width="17.3984375" style="1570" customWidth="1"/>
    <col min="14094" max="14094" width="8.8984375" style="1570" customWidth="1"/>
    <col min="14095" max="14098" width="9" style="1570"/>
    <col min="14099" max="14099" width="33.19921875" style="1570" customWidth="1"/>
    <col min="14100" max="14336" width="9" style="1570"/>
    <col min="14337" max="14337" width="5.19921875" style="1570" customWidth="1"/>
    <col min="14338" max="14338" width="8.8984375" style="1570" customWidth="1"/>
    <col min="14339" max="14339" width="7.09765625" style="1570" customWidth="1"/>
    <col min="14340" max="14340" width="7.69921875" style="1570" customWidth="1"/>
    <col min="14341" max="14341" width="8.8984375" style="1570" customWidth="1"/>
    <col min="14342" max="14342" width="8.09765625" style="1570" customWidth="1"/>
    <col min="14343" max="14343" width="7.8984375" style="1570" customWidth="1"/>
    <col min="14344" max="14344" width="8" style="1570" customWidth="1"/>
    <col min="14345" max="14345" width="8.09765625" style="1570" customWidth="1"/>
    <col min="14346" max="14346" width="8" style="1570" customWidth="1"/>
    <col min="14347" max="14347" width="7.19921875" style="1570" customWidth="1"/>
    <col min="14348" max="14348" width="8.3984375" style="1570" customWidth="1"/>
    <col min="14349" max="14349" width="17.3984375" style="1570" customWidth="1"/>
    <col min="14350" max="14350" width="8.8984375" style="1570" customWidth="1"/>
    <col min="14351" max="14354" width="9" style="1570"/>
    <col min="14355" max="14355" width="33.19921875" style="1570" customWidth="1"/>
    <col min="14356" max="14592" width="9" style="1570"/>
    <col min="14593" max="14593" width="5.19921875" style="1570" customWidth="1"/>
    <col min="14594" max="14594" width="8.8984375" style="1570" customWidth="1"/>
    <col min="14595" max="14595" width="7.09765625" style="1570" customWidth="1"/>
    <col min="14596" max="14596" width="7.69921875" style="1570" customWidth="1"/>
    <col min="14597" max="14597" width="8.8984375" style="1570" customWidth="1"/>
    <col min="14598" max="14598" width="8.09765625" style="1570" customWidth="1"/>
    <col min="14599" max="14599" width="7.8984375" style="1570" customWidth="1"/>
    <col min="14600" max="14600" width="8" style="1570" customWidth="1"/>
    <col min="14601" max="14601" width="8.09765625" style="1570" customWidth="1"/>
    <col min="14602" max="14602" width="8" style="1570" customWidth="1"/>
    <col min="14603" max="14603" width="7.19921875" style="1570" customWidth="1"/>
    <col min="14604" max="14604" width="8.3984375" style="1570" customWidth="1"/>
    <col min="14605" max="14605" width="17.3984375" style="1570" customWidth="1"/>
    <col min="14606" max="14606" width="8.8984375" style="1570" customWidth="1"/>
    <col min="14607" max="14610" width="9" style="1570"/>
    <col min="14611" max="14611" width="33.19921875" style="1570" customWidth="1"/>
    <col min="14612" max="14848" width="9" style="1570"/>
    <col min="14849" max="14849" width="5.19921875" style="1570" customWidth="1"/>
    <col min="14850" max="14850" width="8.8984375" style="1570" customWidth="1"/>
    <col min="14851" max="14851" width="7.09765625" style="1570" customWidth="1"/>
    <col min="14852" max="14852" width="7.69921875" style="1570" customWidth="1"/>
    <col min="14853" max="14853" width="8.8984375" style="1570" customWidth="1"/>
    <col min="14854" max="14854" width="8.09765625" style="1570" customWidth="1"/>
    <col min="14855" max="14855" width="7.8984375" style="1570" customWidth="1"/>
    <col min="14856" max="14856" width="8" style="1570" customWidth="1"/>
    <col min="14857" max="14857" width="8.09765625" style="1570" customWidth="1"/>
    <col min="14858" max="14858" width="8" style="1570" customWidth="1"/>
    <col min="14859" max="14859" width="7.19921875" style="1570" customWidth="1"/>
    <col min="14860" max="14860" width="8.3984375" style="1570" customWidth="1"/>
    <col min="14861" max="14861" width="17.3984375" style="1570" customWidth="1"/>
    <col min="14862" max="14862" width="8.8984375" style="1570" customWidth="1"/>
    <col min="14863" max="14866" width="9" style="1570"/>
    <col min="14867" max="14867" width="33.19921875" style="1570" customWidth="1"/>
    <col min="14868" max="15104" width="9" style="1570"/>
    <col min="15105" max="15105" width="5.19921875" style="1570" customWidth="1"/>
    <col min="15106" max="15106" width="8.8984375" style="1570" customWidth="1"/>
    <col min="15107" max="15107" width="7.09765625" style="1570" customWidth="1"/>
    <col min="15108" max="15108" width="7.69921875" style="1570" customWidth="1"/>
    <col min="15109" max="15109" width="8.8984375" style="1570" customWidth="1"/>
    <col min="15110" max="15110" width="8.09765625" style="1570" customWidth="1"/>
    <col min="15111" max="15111" width="7.8984375" style="1570" customWidth="1"/>
    <col min="15112" max="15112" width="8" style="1570" customWidth="1"/>
    <col min="15113" max="15113" width="8.09765625" style="1570" customWidth="1"/>
    <col min="15114" max="15114" width="8" style="1570" customWidth="1"/>
    <col min="15115" max="15115" width="7.19921875" style="1570" customWidth="1"/>
    <col min="15116" max="15116" width="8.3984375" style="1570" customWidth="1"/>
    <col min="15117" max="15117" width="17.3984375" style="1570" customWidth="1"/>
    <col min="15118" max="15118" width="8.8984375" style="1570" customWidth="1"/>
    <col min="15119" max="15122" width="9" style="1570"/>
    <col min="15123" max="15123" width="33.19921875" style="1570" customWidth="1"/>
    <col min="15124" max="15360" width="9" style="1570"/>
    <col min="15361" max="15361" width="5.19921875" style="1570" customWidth="1"/>
    <col min="15362" max="15362" width="8.8984375" style="1570" customWidth="1"/>
    <col min="15363" max="15363" width="7.09765625" style="1570" customWidth="1"/>
    <col min="15364" max="15364" width="7.69921875" style="1570" customWidth="1"/>
    <col min="15365" max="15365" width="8.8984375" style="1570" customWidth="1"/>
    <col min="15366" max="15366" width="8.09765625" style="1570" customWidth="1"/>
    <col min="15367" max="15367" width="7.8984375" style="1570" customWidth="1"/>
    <col min="15368" max="15368" width="8" style="1570" customWidth="1"/>
    <col min="15369" max="15369" width="8.09765625" style="1570" customWidth="1"/>
    <col min="15370" max="15370" width="8" style="1570" customWidth="1"/>
    <col min="15371" max="15371" width="7.19921875" style="1570" customWidth="1"/>
    <col min="15372" max="15372" width="8.3984375" style="1570" customWidth="1"/>
    <col min="15373" max="15373" width="17.3984375" style="1570" customWidth="1"/>
    <col min="15374" max="15374" width="8.8984375" style="1570" customWidth="1"/>
    <col min="15375" max="15378" width="9" style="1570"/>
    <col min="15379" max="15379" width="33.19921875" style="1570" customWidth="1"/>
    <col min="15380" max="15616" width="9" style="1570"/>
    <col min="15617" max="15617" width="5.19921875" style="1570" customWidth="1"/>
    <col min="15618" max="15618" width="8.8984375" style="1570" customWidth="1"/>
    <col min="15619" max="15619" width="7.09765625" style="1570" customWidth="1"/>
    <col min="15620" max="15620" width="7.69921875" style="1570" customWidth="1"/>
    <col min="15621" max="15621" width="8.8984375" style="1570" customWidth="1"/>
    <col min="15622" max="15622" width="8.09765625" style="1570" customWidth="1"/>
    <col min="15623" max="15623" width="7.8984375" style="1570" customWidth="1"/>
    <col min="15624" max="15624" width="8" style="1570" customWidth="1"/>
    <col min="15625" max="15625" width="8.09765625" style="1570" customWidth="1"/>
    <col min="15626" max="15626" width="8" style="1570" customWidth="1"/>
    <col min="15627" max="15627" width="7.19921875" style="1570" customWidth="1"/>
    <col min="15628" max="15628" width="8.3984375" style="1570" customWidth="1"/>
    <col min="15629" max="15629" width="17.3984375" style="1570" customWidth="1"/>
    <col min="15630" max="15630" width="8.8984375" style="1570" customWidth="1"/>
    <col min="15631" max="15634" width="9" style="1570"/>
    <col min="15635" max="15635" width="33.19921875" style="1570" customWidth="1"/>
    <col min="15636" max="15872" width="9" style="1570"/>
    <col min="15873" max="15873" width="5.19921875" style="1570" customWidth="1"/>
    <col min="15874" max="15874" width="8.8984375" style="1570" customWidth="1"/>
    <col min="15875" max="15875" width="7.09765625" style="1570" customWidth="1"/>
    <col min="15876" max="15876" width="7.69921875" style="1570" customWidth="1"/>
    <col min="15877" max="15877" width="8.8984375" style="1570" customWidth="1"/>
    <col min="15878" max="15878" width="8.09765625" style="1570" customWidth="1"/>
    <col min="15879" max="15879" width="7.8984375" style="1570" customWidth="1"/>
    <col min="15880" max="15880" width="8" style="1570" customWidth="1"/>
    <col min="15881" max="15881" width="8.09765625" style="1570" customWidth="1"/>
    <col min="15882" max="15882" width="8" style="1570" customWidth="1"/>
    <col min="15883" max="15883" width="7.19921875" style="1570" customWidth="1"/>
    <col min="15884" max="15884" width="8.3984375" style="1570" customWidth="1"/>
    <col min="15885" max="15885" width="17.3984375" style="1570" customWidth="1"/>
    <col min="15886" max="15886" width="8.8984375" style="1570" customWidth="1"/>
    <col min="15887" max="15890" width="9" style="1570"/>
    <col min="15891" max="15891" width="33.19921875" style="1570" customWidth="1"/>
    <col min="15892" max="16128" width="9" style="1570"/>
    <col min="16129" max="16129" width="5.19921875" style="1570" customWidth="1"/>
    <col min="16130" max="16130" width="8.8984375" style="1570" customWidth="1"/>
    <col min="16131" max="16131" width="7.09765625" style="1570" customWidth="1"/>
    <col min="16132" max="16132" width="7.69921875" style="1570" customWidth="1"/>
    <col min="16133" max="16133" width="8.8984375" style="1570" customWidth="1"/>
    <col min="16134" max="16134" width="8.09765625" style="1570" customWidth="1"/>
    <col min="16135" max="16135" width="7.8984375" style="1570" customWidth="1"/>
    <col min="16136" max="16136" width="8" style="1570" customWidth="1"/>
    <col min="16137" max="16137" width="8.09765625" style="1570" customWidth="1"/>
    <col min="16138" max="16138" width="8" style="1570" customWidth="1"/>
    <col min="16139" max="16139" width="7.19921875" style="1570" customWidth="1"/>
    <col min="16140" max="16140" width="8.3984375" style="1570" customWidth="1"/>
    <col min="16141" max="16141" width="17.3984375" style="1570" customWidth="1"/>
    <col min="16142" max="16142" width="8.8984375" style="1570" customWidth="1"/>
    <col min="16143" max="16146" width="9" style="1570"/>
    <col min="16147" max="16147" width="33.19921875" style="1570" customWidth="1"/>
    <col min="16148" max="16384" width="9" style="1570"/>
  </cols>
  <sheetData>
    <row r="1" spans="1:19" ht="20.100000000000001" customHeight="1">
      <c r="A1" s="2171"/>
      <c r="B1" s="2171"/>
      <c r="C1" s="2171"/>
      <c r="D1" s="2171"/>
      <c r="E1" s="2171"/>
      <c r="F1" s="2171"/>
      <c r="G1" s="2171"/>
      <c r="H1" s="2171"/>
      <c r="I1" s="2171"/>
      <c r="J1" s="2171"/>
      <c r="K1" s="2171"/>
      <c r="L1" s="2171"/>
      <c r="M1" s="2171"/>
      <c r="N1" s="2171"/>
      <c r="O1" s="2172" t="str">
        <f>"索引号："&amp;档案索引!D16</f>
        <v>索引号：2B-11</v>
      </c>
    </row>
    <row r="2" spans="1:19" ht="25.5" customHeight="1">
      <c r="A2" s="3401" t="s">
        <v>5947</v>
      </c>
      <c r="B2" s="3401"/>
      <c r="C2" s="3401"/>
      <c r="D2" s="3401"/>
      <c r="E2" s="3401"/>
      <c r="F2" s="3401"/>
      <c r="G2" s="3401"/>
      <c r="H2" s="3401"/>
      <c r="I2" s="3401"/>
      <c r="J2" s="3401"/>
      <c r="K2" s="3401"/>
      <c r="L2" s="3401"/>
      <c r="M2" s="3401"/>
      <c r="N2" s="3401"/>
      <c r="O2" s="1834"/>
    </row>
    <row r="3" spans="1:19" ht="33.75" customHeight="1">
      <c r="A3" s="3399" t="s">
        <v>6631</v>
      </c>
      <c r="B3" s="3399" t="s">
        <v>665</v>
      </c>
      <c r="C3" s="3399" t="s">
        <v>16</v>
      </c>
      <c r="D3" s="3407" t="s">
        <v>5766</v>
      </c>
      <c r="E3" s="3407" t="s">
        <v>5767</v>
      </c>
      <c r="F3" s="3407" t="s">
        <v>5768</v>
      </c>
      <c r="G3" s="3399" t="s">
        <v>5769</v>
      </c>
      <c r="H3" s="3399"/>
      <c r="I3" s="3399"/>
      <c r="J3" s="3399"/>
      <c r="K3" s="3399"/>
      <c r="L3" s="3399"/>
      <c r="M3" s="3407" t="s">
        <v>5770</v>
      </c>
      <c r="N3" s="3407" t="s">
        <v>5771</v>
      </c>
      <c r="O3" s="3407" t="s">
        <v>4899</v>
      </c>
    </row>
    <row r="4" spans="1:19">
      <c r="A4" s="3399"/>
      <c r="B4" s="3399"/>
      <c r="C4" s="3399"/>
      <c r="D4" s="3407"/>
      <c r="E4" s="3407"/>
      <c r="F4" s="3407"/>
      <c r="G4" s="1890" t="s">
        <v>5772</v>
      </c>
      <c r="H4" s="1891" t="s">
        <v>1348</v>
      </c>
      <c r="I4" s="1891" t="s">
        <v>1349</v>
      </c>
      <c r="J4" s="1891" t="s">
        <v>1350</v>
      </c>
      <c r="K4" s="1891" t="s">
        <v>1351</v>
      </c>
      <c r="L4" s="1891" t="s">
        <v>1280</v>
      </c>
      <c r="M4" s="3496"/>
      <c r="N4" s="3496"/>
      <c r="O4" s="3496"/>
    </row>
    <row r="5" spans="1:19" ht="63" customHeight="1">
      <c r="A5" s="3399"/>
      <c r="B5" s="3399"/>
      <c r="C5" s="1892">
        <v>1</v>
      </c>
      <c r="D5" s="1892">
        <v>2</v>
      </c>
      <c r="E5" s="1892">
        <v>3</v>
      </c>
      <c r="F5" s="1892" t="s">
        <v>5773</v>
      </c>
      <c r="G5" s="1892">
        <v>5</v>
      </c>
      <c r="H5" s="1892">
        <v>6</v>
      </c>
      <c r="I5" s="1892">
        <v>7</v>
      </c>
      <c r="J5" s="1892">
        <v>8</v>
      </c>
      <c r="K5" s="1892">
        <v>9</v>
      </c>
      <c r="L5" s="1893" t="s">
        <v>5774</v>
      </c>
      <c r="M5" s="1894" t="s">
        <v>5775</v>
      </c>
      <c r="N5" s="1893" t="s">
        <v>5776</v>
      </c>
      <c r="O5" s="1936"/>
    </row>
    <row r="6" spans="1:19" ht="54.75" customHeight="1">
      <c r="A6" s="1891">
        <v>1</v>
      </c>
      <c r="B6" s="1891" t="s">
        <v>6629</v>
      </c>
      <c r="C6" s="1891">
        <f t="shared" ref="C6:C9" si="0">C7-1</f>
        <v>2011</v>
      </c>
      <c r="D6" s="2076"/>
      <c r="E6" s="2076"/>
      <c r="F6" s="2075">
        <f>ROUND(E6*0.1,2)</f>
        <v>0</v>
      </c>
      <c r="G6" s="2076"/>
      <c r="H6" s="2076"/>
      <c r="I6" s="2076"/>
      <c r="J6" s="2076"/>
      <c r="K6" s="2076"/>
      <c r="L6" s="2075">
        <f>G6+H6+I6+J6+K6</f>
        <v>0</v>
      </c>
      <c r="M6" s="2075">
        <f>MIN(F6-L6,D6)</f>
        <v>0</v>
      </c>
      <c r="N6" s="1891" t="s">
        <v>1859</v>
      </c>
      <c r="O6" s="1978" t="s">
        <v>5777</v>
      </c>
      <c r="S6" s="1575"/>
    </row>
    <row r="7" spans="1:19">
      <c r="A7" s="1891">
        <v>2</v>
      </c>
      <c r="B7" s="1891" t="s">
        <v>1348</v>
      </c>
      <c r="C7" s="1891">
        <f t="shared" si="0"/>
        <v>2012</v>
      </c>
      <c r="D7" s="2076"/>
      <c r="E7" s="2076"/>
      <c r="F7" s="2075">
        <f t="shared" ref="F7:F11" si="1">ROUND(E7*0.1,2)</f>
        <v>0</v>
      </c>
      <c r="G7" s="1891" t="s">
        <v>1859</v>
      </c>
      <c r="H7" s="2076"/>
      <c r="I7" s="2076"/>
      <c r="J7" s="2076"/>
      <c r="K7" s="2076"/>
      <c r="L7" s="2075">
        <f>H7+I7+J7+K7</f>
        <v>0</v>
      </c>
      <c r="M7" s="2075">
        <f t="shared" ref="M7:M10" si="2">MIN(F7-L7,D7)</f>
        <v>0</v>
      </c>
      <c r="N7" s="2075">
        <f>F7-L7-M7</f>
        <v>0</v>
      </c>
      <c r="O7" s="1974"/>
      <c r="P7" s="1675" t="s">
        <v>6474</v>
      </c>
    </row>
    <row r="8" spans="1:19">
      <c r="A8" s="1891">
        <v>3</v>
      </c>
      <c r="B8" s="1891" t="s">
        <v>1349</v>
      </c>
      <c r="C8" s="1891">
        <f t="shared" si="0"/>
        <v>2013</v>
      </c>
      <c r="D8" s="2076"/>
      <c r="E8" s="2076"/>
      <c r="F8" s="2075">
        <f t="shared" si="1"/>
        <v>0</v>
      </c>
      <c r="G8" s="1891" t="s">
        <v>1859</v>
      </c>
      <c r="H8" s="1891" t="s">
        <v>1859</v>
      </c>
      <c r="I8" s="2076"/>
      <c r="J8" s="2076"/>
      <c r="K8" s="2076"/>
      <c r="L8" s="2075">
        <f>I8+J8+K8</f>
        <v>0</v>
      </c>
      <c r="M8" s="2075">
        <f t="shared" si="2"/>
        <v>0</v>
      </c>
      <c r="N8" s="2075">
        <f t="shared" ref="N8:N10" si="3">F8-L8-M8</f>
        <v>0</v>
      </c>
      <c r="O8" s="1974"/>
    </row>
    <row r="9" spans="1:19">
      <c r="A9" s="1891">
        <v>4</v>
      </c>
      <c r="B9" s="1891" t="s">
        <v>1350</v>
      </c>
      <c r="C9" s="1891">
        <f t="shared" si="0"/>
        <v>2014</v>
      </c>
      <c r="D9" s="2076"/>
      <c r="E9" s="2076"/>
      <c r="F9" s="2075">
        <f t="shared" si="1"/>
        <v>0</v>
      </c>
      <c r="G9" s="1891" t="s">
        <v>1859</v>
      </c>
      <c r="H9" s="1891" t="s">
        <v>1859</v>
      </c>
      <c r="I9" s="1891" t="s">
        <v>1859</v>
      </c>
      <c r="J9" s="2076"/>
      <c r="K9" s="2076"/>
      <c r="L9" s="2075">
        <f>J9+K9</f>
        <v>0</v>
      </c>
      <c r="M9" s="2075">
        <f t="shared" si="2"/>
        <v>0</v>
      </c>
      <c r="N9" s="2075">
        <f t="shared" si="3"/>
        <v>0</v>
      </c>
      <c r="O9" s="1974"/>
    </row>
    <row r="10" spans="1:19">
      <c r="A10" s="1891">
        <v>5</v>
      </c>
      <c r="B10" s="1891" t="s">
        <v>1351</v>
      </c>
      <c r="C10" s="1891">
        <f>C11-1</f>
        <v>2015</v>
      </c>
      <c r="D10" s="2076"/>
      <c r="E10" s="2076"/>
      <c r="F10" s="2075">
        <f t="shared" si="1"/>
        <v>0</v>
      </c>
      <c r="G10" s="1891" t="s">
        <v>1859</v>
      </c>
      <c r="H10" s="1891" t="s">
        <v>1859</v>
      </c>
      <c r="I10" s="1891" t="s">
        <v>1859</v>
      </c>
      <c r="J10" s="1891" t="s">
        <v>1859</v>
      </c>
      <c r="K10" s="2076"/>
      <c r="L10" s="2075">
        <f>K10</f>
        <v>0</v>
      </c>
      <c r="M10" s="2075">
        <f t="shared" si="2"/>
        <v>0</v>
      </c>
      <c r="N10" s="2075">
        <f t="shared" si="3"/>
        <v>0</v>
      </c>
      <c r="O10" s="1974"/>
    </row>
    <row r="11" spans="1:19">
      <c r="A11" s="1891">
        <v>6</v>
      </c>
      <c r="B11" s="1891" t="s">
        <v>5483</v>
      </c>
      <c r="C11" s="1891">
        <f>基本情况!B4</f>
        <v>2016</v>
      </c>
      <c r="D11" s="2075">
        <f ca="1">'A100000中华人民共和国企业所得税年度纳税申报表（A类）'!D28-'A100000中华人民共和国企业所得税年度纳税申报表（A类）'!D29</f>
        <v>0</v>
      </c>
      <c r="E11" s="2076"/>
      <c r="F11" s="2075">
        <f t="shared" si="1"/>
        <v>0</v>
      </c>
      <c r="G11" s="1891" t="s">
        <v>1859</v>
      </c>
      <c r="H11" s="1891" t="s">
        <v>1859</v>
      </c>
      <c r="I11" s="1891" t="s">
        <v>1859</v>
      </c>
      <c r="J11" s="1891" t="s">
        <v>1859</v>
      </c>
      <c r="K11" s="1891" t="s">
        <v>1859</v>
      </c>
      <c r="L11" s="1891" t="s">
        <v>1866</v>
      </c>
      <c r="M11" s="2075">
        <f ca="1">MIN(F11,D11)</f>
        <v>0</v>
      </c>
      <c r="N11" s="2075">
        <f ca="1">F11-M11</f>
        <v>0</v>
      </c>
      <c r="O11" s="1974"/>
    </row>
    <row r="12" spans="1:19" ht="108">
      <c r="A12" s="1891">
        <v>7</v>
      </c>
      <c r="B12" s="3497" t="s">
        <v>5778</v>
      </c>
      <c r="C12" s="3497"/>
      <c r="D12" s="3497"/>
      <c r="E12" s="3497"/>
      <c r="F12" s="3497"/>
      <c r="G12" s="3497"/>
      <c r="H12" s="3497"/>
      <c r="I12" s="3497"/>
      <c r="J12" s="3497"/>
      <c r="K12" s="3497"/>
      <c r="L12" s="3497"/>
      <c r="M12" s="2075">
        <f ca="1">SUM(M6:M11)</f>
        <v>0</v>
      </c>
      <c r="N12" s="1891" t="s">
        <v>1859</v>
      </c>
      <c r="O12" s="1978" t="s">
        <v>5779</v>
      </c>
    </row>
    <row r="13" spans="1:19">
      <c r="A13" s="1891">
        <v>8</v>
      </c>
      <c r="B13" s="3497" t="s">
        <v>5780</v>
      </c>
      <c r="C13" s="3497"/>
      <c r="D13" s="3497"/>
      <c r="E13" s="3497"/>
      <c r="F13" s="3497"/>
      <c r="G13" s="3497"/>
      <c r="H13" s="3497"/>
      <c r="I13" s="3497"/>
      <c r="J13" s="3497"/>
      <c r="K13" s="3497"/>
      <c r="L13" s="3497"/>
      <c r="M13" s="3497"/>
      <c r="N13" s="2075">
        <f ca="1">SUM(N7:N11)</f>
        <v>0</v>
      </c>
      <c r="O13" s="1974"/>
    </row>
    <row r="14" spans="1:19">
      <c r="A14" s="1891">
        <v>9</v>
      </c>
      <c r="B14" s="3407" t="s">
        <v>5781</v>
      </c>
      <c r="C14" s="3498" t="s">
        <v>5782</v>
      </c>
      <c r="D14" s="3498"/>
      <c r="E14" s="3498"/>
      <c r="F14" s="3498"/>
      <c r="G14" s="3498"/>
      <c r="H14" s="3498"/>
      <c r="I14" s="3498"/>
      <c r="J14" s="3498"/>
      <c r="K14" s="3495"/>
      <c r="L14" s="3495"/>
      <c r="M14" s="3495"/>
      <c r="N14" s="3495"/>
      <c r="O14" s="1974"/>
    </row>
    <row r="15" spans="1:19">
      <c r="A15" s="1891">
        <v>10</v>
      </c>
      <c r="B15" s="3399"/>
      <c r="C15" s="3498" t="s">
        <v>5783</v>
      </c>
      <c r="D15" s="3498"/>
      <c r="E15" s="3498"/>
      <c r="F15" s="3498"/>
      <c r="G15" s="3498"/>
      <c r="H15" s="3498"/>
      <c r="I15" s="3498"/>
      <c r="J15" s="3498"/>
      <c r="K15" s="3495"/>
      <c r="L15" s="3495"/>
      <c r="M15" s="3495"/>
      <c r="N15" s="3495"/>
      <c r="O15" s="1974"/>
    </row>
    <row r="16" spans="1:19">
      <c r="A16" s="1891">
        <v>11</v>
      </c>
      <c r="B16" s="3399"/>
      <c r="C16" s="3498" t="s">
        <v>5784</v>
      </c>
      <c r="D16" s="3498"/>
      <c r="E16" s="3498"/>
      <c r="F16" s="3498"/>
      <c r="G16" s="3498"/>
      <c r="H16" s="3498"/>
      <c r="I16" s="3498"/>
      <c r="J16" s="3498"/>
      <c r="K16" s="3495"/>
      <c r="L16" s="3495"/>
      <c r="M16" s="3495"/>
      <c r="N16" s="3495"/>
      <c r="O16" s="1974"/>
    </row>
    <row r="17" spans="1:15">
      <c r="A17" s="3462"/>
      <c r="B17" s="3462"/>
      <c r="C17" s="3462"/>
      <c r="D17" s="3462"/>
      <c r="E17" s="3462"/>
      <c r="F17" s="3462"/>
      <c r="G17" s="3462"/>
      <c r="H17" s="3462"/>
      <c r="I17" s="3462"/>
      <c r="J17" s="3462"/>
      <c r="K17" s="3462"/>
      <c r="L17" s="3462"/>
      <c r="M17" s="3462"/>
      <c r="N17" s="3462"/>
      <c r="O17" s="3462"/>
    </row>
    <row r="18" spans="1:15">
      <c r="A18" s="3462"/>
      <c r="B18" s="3462"/>
      <c r="C18" s="3462"/>
      <c r="D18" s="3462"/>
      <c r="E18" s="3462"/>
      <c r="F18" s="3462"/>
      <c r="G18" s="3462"/>
      <c r="H18" s="3462"/>
      <c r="I18" s="3462"/>
      <c r="J18" s="3462"/>
      <c r="K18" s="3462"/>
      <c r="L18" s="3462"/>
      <c r="M18" s="3462"/>
      <c r="N18" s="3462"/>
      <c r="O18" s="3462"/>
    </row>
    <row r="19" spans="1:15">
      <c r="A19" s="3462"/>
      <c r="B19" s="3462"/>
      <c r="C19" s="3462"/>
      <c r="D19" s="3462"/>
      <c r="E19" s="3462"/>
      <c r="F19" s="3462"/>
      <c r="G19" s="3462"/>
      <c r="H19" s="3462"/>
      <c r="I19" s="3462"/>
      <c r="J19" s="3462"/>
      <c r="K19" s="3462"/>
      <c r="L19" s="3462"/>
      <c r="M19" s="3462"/>
      <c r="N19" s="3462"/>
      <c r="O19" s="3462"/>
    </row>
    <row r="20" spans="1:15">
      <c r="A20" s="3462"/>
      <c r="B20" s="3462"/>
      <c r="C20" s="3462"/>
      <c r="D20" s="3462"/>
      <c r="E20" s="3462"/>
      <c r="F20" s="3462"/>
      <c r="G20" s="3462"/>
      <c r="H20" s="3462"/>
      <c r="I20" s="3462"/>
      <c r="J20" s="3462"/>
      <c r="K20" s="3462"/>
      <c r="L20" s="3462"/>
      <c r="M20" s="3462"/>
      <c r="N20" s="3462"/>
      <c r="O20" s="3462"/>
    </row>
    <row r="21" spans="1:15">
      <c r="A21" s="3462"/>
      <c r="B21" s="3462"/>
      <c r="C21" s="3462"/>
      <c r="D21" s="3462"/>
      <c r="E21" s="3462"/>
      <c r="F21" s="3462"/>
      <c r="G21" s="3462"/>
      <c r="H21" s="3462"/>
      <c r="I21" s="3462"/>
      <c r="J21" s="3462"/>
      <c r="K21" s="3462"/>
      <c r="L21" s="3462"/>
      <c r="M21" s="3462"/>
      <c r="N21" s="3462"/>
      <c r="O21" s="3462"/>
    </row>
    <row r="22" spans="1:15">
      <c r="A22" s="3462"/>
      <c r="B22" s="3462"/>
      <c r="C22" s="3462"/>
      <c r="D22" s="3462"/>
      <c r="E22" s="3462"/>
      <c r="F22" s="3462"/>
      <c r="G22" s="3462"/>
      <c r="H22" s="3462"/>
      <c r="I22" s="3462"/>
      <c r="J22" s="3462"/>
      <c r="K22" s="3462"/>
      <c r="L22" s="3462"/>
      <c r="M22" s="3462"/>
      <c r="N22" s="3462"/>
      <c r="O22" s="3462"/>
    </row>
  </sheetData>
  <mergeCells count="26">
    <mergeCell ref="A2:N2"/>
    <mergeCell ref="A3:A5"/>
    <mergeCell ref="B3:B5"/>
    <mergeCell ref="C3:C4"/>
    <mergeCell ref="D3:D4"/>
    <mergeCell ref="E3:E4"/>
    <mergeCell ref="F3:F4"/>
    <mergeCell ref="G3:L3"/>
    <mergeCell ref="M3:M4"/>
    <mergeCell ref="K16:N16"/>
    <mergeCell ref="N3:N4"/>
    <mergeCell ref="O3:O4"/>
    <mergeCell ref="B12:L12"/>
    <mergeCell ref="B13:M13"/>
    <mergeCell ref="B14:B16"/>
    <mergeCell ref="C14:J14"/>
    <mergeCell ref="K14:N14"/>
    <mergeCell ref="C15:J15"/>
    <mergeCell ref="K15:N15"/>
    <mergeCell ref="C16:J16"/>
    <mergeCell ref="A20:O20"/>
    <mergeCell ref="A21:O21"/>
    <mergeCell ref="A22:O22"/>
    <mergeCell ref="A17:O17"/>
    <mergeCell ref="A18:O18"/>
    <mergeCell ref="A19:O19"/>
  </mergeCells>
  <phoneticPr fontId="51" type="noConversion"/>
  <hyperlinks>
    <hyperlink ref="P7" location="A107050税额抵免优惠明细表!A1" display="A107050税额抵免优惠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tabColor rgb="FFFFFF00"/>
  </sheetPr>
  <dimension ref="A1:U63"/>
  <sheetViews>
    <sheetView workbookViewId="0">
      <selection activeCell="A6" sqref="A6"/>
    </sheetView>
  </sheetViews>
  <sheetFormatPr defaultColWidth="8.69921875" defaultRowHeight="13.2"/>
  <cols>
    <col min="1" max="1" width="5.19921875" style="1617" customWidth="1"/>
    <col min="2" max="2" width="9.3984375" style="1617" customWidth="1"/>
    <col min="3" max="20" width="10.19921875" style="1617" customWidth="1"/>
    <col min="21" max="256" width="8.69921875" style="1617"/>
    <col min="257" max="257" width="5.19921875" style="1617" customWidth="1"/>
    <col min="258" max="258" width="11.8984375" style="1617" customWidth="1"/>
    <col min="259" max="259" width="5.19921875" style="1617" customWidth="1"/>
    <col min="260" max="260" width="5.8984375" style="1617" customWidth="1"/>
    <col min="261" max="261" width="6.19921875" style="1617" customWidth="1"/>
    <col min="262" max="263" width="5.19921875" style="1617" customWidth="1"/>
    <col min="264" max="264" width="6.09765625" style="1617" customWidth="1"/>
    <col min="265" max="268" width="5.19921875" style="1617" customWidth="1"/>
    <col min="269" max="269" width="8.09765625" style="1617" customWidth="1"/>
    <col min="270" max="272" width="6.09765625" style="1617" customWidth="1"/>
    <col min="273" max="274" width="5.19921875" style="1617" customWidth="1"/>
    <col min="275" max="275" width="6.59765625" style="1617" customWidth="1"/>
    <col min="276" max="276" width="6.09765625" style="1617" customWidth="1"/>
    <col min="277" max="512" width="8.69921875" style="1617"/>
    <col min="513" max="513" width="5.19921875" style="1617" customWidth="1"/>
    <col min="514" max="514" width="11.8984375" style="1617" customWidth="1"/>
    <col min="515" max="515" width="5.19921875" style="1617" customWidth="1"/>
    <col min="516" max="516" width="5.8984375" style="1617" customWidth="1"/>
    <col min="517" max="517" width="6.19921875" style="1617" customWidth="1"/>
    <col min="518" max="519" width="5.19921875" style="1617" customWidth="1"/>
    <col min="520" max="520" width="6.09765625" style="1617" customWidth="1"/>
    <col min="521" max="524" width="5.19921875" style="1617" customWidth="1"/>
    <col min="525" max="525" width="8.09765625" style="1617" customWidth="1"/>
    <col min="526" max="528" width="6.09765625" style="1617" customWidth="1"/>
    <col min="529" max="530" width="5.19921875" style="1617" customWidth="1"/>
    <col min="531" max="531" width="6.59765625" style="1617" customWidth="1"/>
    <col min="532" max="532" width="6.09765625" style="1617" customWidth="1"/>
    <col min="533" max="768" width="8.69921875" style="1617"/>
    <col min="769" max="769" width="5.19921875" style="1617" customWidth="1"/>
    <col min="770" max="770" width="11.8984375" style="1617" customWidth="1"/>
    <col min="771" max="771" width="5.19921875" style="1617" customWidth="1"/>
    <col min="772" max="772" width="5.8984375" style="1617" customWidth="1"/>
    <col min="773" max="773" width="6.19921875" style="1617" customWidth="1"/>
    <col min="774" max="775" width="5.19921875" style="1617" customWidth="1"/>
    <col min="776" max="776" width="6.09765625" style="1617" customWidth="1"/>
    <col min="777" max="780" width="5.19921875" style="1617" customWidth="1"/>
    <col min="781" max="781" width="8.09765625" style="1617" customWidth="1"/>
    <col min="782" max="784" width="6.09765625" style="1617" customWidth="1"/>
    <col min="785" max="786" width="5.19921875" style="1617" customWidth="1"/>
    <col min="787" max="787" width="6.59765625" style="1617" customWidth="1"/>
    <col min="788" max="788" width="6.09765625" style="1617" customWidth="1"/>
    <col min="789" max="1024" width="8.69921875" style="1617"/>
    <col min="1025" max="1025" width="5.19921875" style="1617" customWidth="1"/>
    <col min="1026" max="1026" width="11.8984375" style="1617" customWidth="1"/>
    <col min="1027" max="1027" width="5.19921875" style="1617" customWidth="1"/>
    <col min="1028" max="1028" width="5.8984375" style="1617" customWidth="1"/>
    <col min="1029" max="1029" width="6.19921875" style="1617" customWidth="1"/>
    <col min="1030" max="1031" width="5.19921875" style="1617" customWidth="1"/>
    <col min="1032" max="1032" width="6.09765625" style="1617" customWidth="1"/>
    <col min="1033" max="1036" width="5.19921875" style="1617" customWidth="1"/>
    <col min="1037" max="1037" width="8.09765625" style="1617" customWidth="1"/>
    <col min="1038" max="1040" width="6.09765625" style="1617" customWidth="1"/>
    <col min="1041" max="1042" width="5.19921875" style="1617" customWidth="1"/>
    <col min="1043" max="1043" width="6.59765625" style="1617" customWidth="1"/>
    <col min="1044" max="1044" width="6.09765625" style="1617" customWidth="1"/>
    <col min="1045" max="1280" width="8.69921875" style="1617"/>
    <col min="1281" max="1281" width="5.19921875" style="1617" customWidth="1"/>
    <col min="1282" max="1282" width="11.8984375" style="1617" customWidth="1"/>
    <col min="1283" max="1283" width="5.19921875" style="1617" customWidth="1"/>
    <col min="1284" max="1284" width="5.8984375" style="1617" customWidth="1"/>
    <col min="1285" max="1285" width="6.19921875" style="1617" customWidth="1"/>
    <col min="1286" max="1287" width="5.19921875" style="1617" customWidth="1"/>
    <col min="1288" max="1288" width="6.09765625" style="1617" customWidth="1"/>
    <col min="1289" max="1292" width="5.19921875" style="1617" customWidth="1"/>
    <col min="1293" max="1293" width="8.09765625" style="1617" customWidth="1"/>
    <col min="1294" max="1296" width="6.09765625" style="1617" customWidth="1"/>
    <col min="1297" max="1298" width="5.19921875" style="1617" customWidth="1"/>
    <col min="1299" max="1299" width="6.59765625" style="1617" customWidth="1"/>
    <col min="1300" max="1300" width="6.09765625" style="1617" customWidth="1"/>
    <col min="1301" max="1536" width="8.69921875" style="1617"/>
    <col min="1537" max="1537" width="5.19921875" style="1617" customWidth="1"/>
    <col min="1538" max="1538" width="11.8984375" style="1617" customWidth="1"/>
    <col min="1539" max="1539" width="5.19921875" style="1617" customWidth="1"/>
    <col min="1540" max="1540" width="5.8984375" style="1617" customWidth="1"/>
    <col min="1541" max="1541" width="6.19921875" style="1617" customWidth="1"/>
    <col min="1542" max="1543" width="5.19921875" style="1617" customWidth="1"/>
    <col min="1544" max="1544" width="6.09765625" style="1617" customWidth="1"/>
    <col min="1545" max="1548" width="5.19921875" style="1617" customWidth="1"/>
    <col min="1549" max="1549" width="8.09765625" style="1617" customWidth="1"/>
    <col min="1550" max="1552" width="6.09765625" style="1617" customWidth="1"/>
    <col min="1553" max="1554" width="5.19921875" style="1617" customWidth="1"/>
    <col min="1555" max="1555" width="6.59765625" style="1617" customWidth="1"/>
    <col min="1556" max="1556" width="6.09765625" style="1617" customWidth="1"/>
    <col min="1557" max="1792" width="8.69921875" style="1617"/>
    <col min="1793" max="1793" width="5.19921875" style="1617" customWidth="1"/>
    <col min="1794" max="1794" width="11.8984375" style="1617" customWidth="1"/>
    <col min="1795" max="1795" width="5.19921875" style="1617" customWidth="1"/>
    <col min="1796" max="1796" width="5.8984375" style="1617" customWidth="1"/>
    <col min="1797" max="1797" width="6.19921875" style="1617" customWidth="1"/>
    <col min="1798" max="1799" width="5.19921875" style="1617" customWidth="1"/>
    <col min="1800" max="1800" width="6.09765625" style="1617" customWidth="1"/>
    <col min="1801" max="1804" width="5.19921875" style="1617" customWidth="1"/>
    <col min="1805" max="1805" width="8.09765625" style="1617" customWidth="1"/>
    <col min="1806" max="1808" width="6.09765625" style="1617" customWidth="1"/>
    <col min="1809" max="1810" width="5.19921875" style="1617" customWidth="1"/>
    <col min="1811" max="1811" width="6.59765625" style="1617" customWidth="1"/>
    <col min="1812" max="1812" width="6.09765625" style="1617" customWidth="1"/>
    <col min="1813" max="2048" width="8.69921875" style="1617"/>
    <col min="2049" max="2049" width="5.19921875" style="1617" customWidth="1"/>
    <col min="2050" max="2050" width="11.8984375" style="1617" customWidth="1"/>
    <col min="2051" max="2051" width="5.19921875" style="1617" customWidth="1"/>
    <col min="2052" max="2052" width="5.8984375" style="1617" customWidth="1"/>
    <col min="2053" max="2053" width="6.19921875" style="1617" customWidth="1"/>
    <col min="2054" max="2055" width="5.19921875" style="1617" customWidth="1"/>
    <col min="2056" max="2056" width="6.09765625" style="1617" customWidth="1"/>
    <col min="2057" max="2060" width="5.19921875" style="1617" customWidth="1"/>
    <col min="2061" max="2061" width="8.09765625" style="1617" customWidth="1"/>
    <col min="2062" max="2064" width="6.09765625" style="1617" customWidth="1"/>
    <col min="2065" max="2066" width="5.19921875" style="1617" customWidth="1"/>
    <col min="2067" max="2067" width="6.59765625" style="1617" customWidth="1"/>
    <col min="2068" max="2068" width="6.09765625" style="1617" customWidth="1"/>
    <col min="2069" max="2304" width="8.69921875" style="1617"/>
    <col min="2305" max="2305" width="5.19921875" style="1617" customWidth="1"/>
    <col min="2306" max="2306" width="11.8984375" style="1617" customWidth="1"/>
    <col min="2307" max="2307" width="5.19921875" style="1617" customWidth="1"/>
    <col min="2308" max="2308" width="5.8984375" style="1617" customWidth="1"/>
    <col min="2309" max="2309" width="6.19921875" style="1617" customWidth="1"/>
    <col min="2310" max="2311" width="5.19921875" style="1617" customWidth="1"/>
    <col min="2312" max="2312" width="6.09765625" style="1617" customWidth="1"/>
    <col min="2313" max="2316" width="5.19921875" style="1617" customWidth="1"/>
    <col min="2317" max="2317" width="8.09765625" style="1617" customWidth="1"/>
    <col min="2318" max="2320" width="6.09765625" style="1617" customWidth="1"/>
    <col min="2321" max="2322" width="5.19921875" style="1617" customWidth="1"/>
    <col min="2323" max="2323" width="6.59765625" style="1617" customWidth="1"/>
    <col min="2324" max="2324" width="6.09765625" style="1617" customWidth="1"/>
    <col min="2325" max="2560" width="8.69921875" style="1617"/>
    <col min="2561" max="2561" width="5.19921875" style="1617" customWidth="1"/>
    <col min="2562" max="2562" width="11.8984375" style="1617" customWidth="1"/>
    <col min="2563" max="2563" width="5.19921875" style="1617" customWidth="1"/>
    <col min="2564" max="2564" width="5.8984375" style="1617" customWidth="1"/>
    <col min="2565" max="2565" width="6.19921875" style="1617" customWidth="1"/>
    <col min="2566" max="2567" width="5.19921875" style="1617" customWidth="1"/>
    <col min="2568" max="2568" width="6.09765625" style="1617" customWidth="1"/>
    <col min="2569" max="2572" width="5.19921875" style="1617" customWidth="1"/>
    <col min="2573" max="2573" width="8.09765625" style="1617" customWidth="1"/>
    <col min="2574" max="2576" width="6.09765625" style="1617" customWidth="1"/>
    <col min="2577" max="2578" width="5.19921875" style="1617" customWidth="1"/>
    <col min="2579" max="2579" width="6.59765625" style="1617" customWidth="1"/>
    <col min="2580" max="2580" width="6.09765625" style="1617" customWidth="1"/>
    <col min="2581" max="2816" width="8.69921875" style="1617"/>
    <col min="2817" max="2817" width="5.19921875" style="1617" customWidth="1"/>
    <col min="2818" max="2818" width="11.8984375" style="1617" customWidth="1"/>
    <col min="2819" max="2819" width="5.19921875" style="1617" customWidth="1"/>
    <col min="2820" max="2820" width="5.8984375" style="1617" customWidth="1"/>
    <col min="2821" max="2821" width="6.19921875" style="1617" customWidth="1"/>
    <col min="2822" max="2823" width="5.19921875" style="1617" customWidth="1"/>
    <col min="2824" max="2824" width="6.09765625" style="1617" customWidth="1"/>
    <col min="2825" max="2828" width="5.19921875" style="1617" customWidth="1"/>
    <col min="2829" max="2829" width="8.09765625" style="1617" customWidth="1"/>
    <col min="2830" max="2832" width="6.09765625" style="1617" customWidth="1"/>
    <col min="2833" max="2834" width="5.19921875" style="1617" customWidth="1"/>
    <col min="2835" max="2835" width="6.59765625" style="1617" customWidth="1"/>
    <col min="2836" max="2836" width="6.09765625" style="1617" customWidth="1"/>
    <col min="2837" max="3072" width="8.69921875" style="1617"/>
    <col min="3073" max="3073" width="5.19921875" style="1617" customWidth="1"/>
    <col min="3074" max="3074" width="11.8984375" style="1617" customWidth="1"/>
    <col min="3075" max="3075" width="5.19921875" style="1617" customWidth="1"/>
    <col min="3076" max="3076" width="5.8984375" style="1617" customWidth="1"/>
    <col min="3077" max="3077" width="6.19921875" style="1617" customWidth="1"/>
    <col min="3078" max="3079" width="5.19921875" style="1617" customWidth="1"/>
    <col min="3080" max="3080" width="6.09765625" style="1617" customWidth="1"/>
    <col min="3081" max="3084" width="5.19921875" style="1617" customWidth="1"/>
    <col min="3085" max="3085" width="8.09765625" style="1617" customWidth="1"/>
    <col min="3086" max="3088" width="6.09765625" style="1617" customWidth="1"/>
    <col min="3089" max="3090" width="5.19921875" style="1617" customWidth="1"/>
    <col min="3091" max="3091" width="6.59765625" style="1617" customWidth="1"/>
    <col min="3092" max="3092" width="6.09765625" style="1617" customWidth="1"/>
    <col min="3093" max="3328" width="8.69921875" style="1617"/>
    <col min="3329" max="3329" width="5.19921875" style="1617" customWidth="1"/>
    <col min="3330" max="3330" width="11.8984375" style="1617" customWidth="1"/>
    <col min="3331" max="3331" width="5.19921875" style="1617" customWidth="1"/>
    <col min="3332" max="3332" width="5.8984375" style="1617" customWidth="1"/>
    <col min="3333" max="3333" width="6.19921875" style="1617" customWidth="1"/>
    <col min="3334" max="3335" width="5.19921875" style="1617" customWidth="1"/>
    <col min="3336" max="3336" width="6.09765625" style="1617" customWidth="1"/>
    <col min="3337" max="3340" width="5.19921875" style="1617" customWidth="1"/>
    <col min="3341" max="3341" width="8.09765625" style="1617" customWidth="1"/>
    <col min="3342" max="3344" width="6.09765625" style="1617" customWidth="1"/>
    <col min="3345" max="3346" width="5.19921875" style="1617" customWidth="1"/>
    <col min="3347" max="3347" width="6.59765625" style="1617" customWidth="1"/>
    <col min="3348" max="3348" width="6.09765625" style="1617" customWidth="1"/>
    <col min="3349" max="3584" width="8.69921875" style="1617"/>
    <col min="3585" max="3585" width="5.19921875" style="1617" customWidth="1"/>
    <col min="3586" max="3586" width="11.8984375" style="1617" customWidth="1"/>
    <col min="3587" max="3587" width="5.19921875" style="1617" customWidth="1"/>
    <col min="3588" max="3588" width="5.8984375" style="1617" customWidth="1"/>
    <col min="3589" max="3589" width="6.19921875" style="1617" customWidth="1"/>
    <col min="3590" max="3591" width="5.19921875" style="1617" customWidth="1"/>
    <col min="3592" max="3592" width="6.09765625" style="1617" customWidth="1"/>
    <col min="3593" max="3596" width="5.19921875" style="1617" customWidth="1"/>
    <col min="3597" max="3597" width="8.09765625" style="1617" customWidth="1"/>
    <col min="3598" max="3600" width="6.09765625" style="1617" customWidth="1"/>
    <col min="3601" max="3602" width="5.19921875" style="1617" customWidth="1"/>
    <col min="3603" max="3603" width="6.59765625" style="1617" customWidth="1"/>
    <col min="3604" max="3604" width="6.09765625" style="1617" customWidth="1"/>
    <col min="3605" max="3840" width="8.69921875" style="1617"/>
    <col min="3841" max="3841" width="5.19921875" style="1617" customWidth="1"/>
    <col min="3842" max="3842" width="11.8984375" style="1617" customWidth="1"/>
    <col min="3843" max="3843" width="5.19921875" style="1617" customWidth="1"/>
    <col min="3844" max="3844" width="5.8984375" style="1617" customWidth="1"/>
    <col min="3845" max="3845" width="6.19921875" style="1617" customWidth="1"/>
    <col min="3846" max="3847" width="5.19921875" style="1617" customWidth="1"/>
    <col min="3848" max="3848" width="6.09765625" style="1617" customWidth="1"/>
    <col min="3849" max="3852" width="5.19921875" style="1617" customWidth="1"/>
    <col min="3853" max="3853" width="8.09765625" style="1617" customWidth="1"/>
    <col min="3854" max="3856" width="6.09765625" style="1617" customWidth="1"/>
    <col min="3857" max="3858" width="5.19921875" style="1617" customWidth="1"/>
    <col min="3859" max="3859" width="6.59765625" style="1617" customWidth="1"/>
    <col min="3860" max="3860" width="6.09765625" style="1617" customWidth="1"/>
    <col min="3861" max="4096" width="8.69921875" style="1617"/>
    <col min="4097" max="4097" width="5.19921875" style="1617" customWidth="1"/>
    <col min="4098" max="4098" width="11.8984375" style="1617" customWidth="1"/>
    <col min="4099" max="4099" width="5.19921875" style="1617" customWidth="1"/>
    <col min="4100" max="4100" width="5.8984375" style="1617" customWidth="1"/>
    <col min="4101" max="4101" width="6.19921875" style="1617" customWidth="1"/>
    <col min="4102" max="4103" width="5.19921875" style="1617" customWidth="1"/>
    <col min="4104" max="4104" width="6.09765625" style="1617" customWidth="1"/>
    <col min="4105" max="4108" width="5.19921875" style="1617" customWidth="1"/>
    <col min="4109" max="4109" width="8.09765625" style="1617" customWidth="1"/>
    <col min="4110" max="4112" width="6.09765625" style="1617" customWidth="1"/>
    <col min="4113" max="4114" width="5.19921875" style="1617" customWidth="1"/>
    <col min="4115" max="4115" width="6.59765625" style="1617" customWidth="1"/>
    <col min="4116" max="4116" width="6.09765625" style="1617" customWidth="1"/>
    <col min="4117" max="4352" width="8.69921875" style="1617"/>
    <col min="4353" max="4353" width="5.19921875" style="1617" customWidth="1"/>
    <col min="4354" max="4354" width="11.8984375" style="1617" customWidth="1"/>
    <col min="4355" max="4355" width="5.19921875" style="1617" customWidth="1"/>
    <col min="4356" max="4356" width="5.8984375" style="1617" customWidth="1"/>
    <col min="4357" max="4357" width="6.19921875" style="1617" customWidth="1"/>
    <col min="4358" max="4359" width="5.19921875" style="1617" customWidth="1"/>
    <col min="4360" max="4360" width="6.09765625" style="1617" customWidth="1"/>
    <col min="4361" max="4364" width="5.19921875" style="1617" customWidth="1"/>
    <col min="4365" max="4365" width="8.09765625" style="1617" customWidth="1"/>
    <col min="4366" max="4368" width="6.09765625" style="1617" customWidth="1"/>
    <col min="4369" max="4370" width="5.19921875" style="1617" customWidth="1"/>
    <col min="4371" max="4371" width="6.59765625" style="1617" customWidth="1"/>
    <col min="4372" max="4372" width="6.09765625" style="1617" customWidth="1"/>
    <col min="4373" max="4608" width="8.69921875" style="1617"/>
    <col min="4609" max="4609" width="5.19921875" style="1617" customWidth="1"/>
    <col min="4610" max="4610" width="11.8984375" style="1617" customWidth="1"/>
    <col min="4611" max="4611" width="5.19921875" style="1617" customWidth="1"/>
    <col min="4612" max="4612" width="5.8984375" style="1617" customWidth="1"/>
    <col min="4613" max="4613" width="6.19921875" style="1617" customWidth="1"/>
    <col min="4614" max="4615" width="5.19921875" style="1617" customWidth="1"/>
    <col min="4616" max="4616" width="6.09765625" style="1617" customWidth="1"/>
    <col min="4617" max="4620" width="5.19921875" style="1617" customWidth="1"/>
    <col min="4621" max="4621" width="8.09765625" style="1617" customWidth="1"/>
    <col min="4622" max="4624" width="6.09765625" style="1617" customWidth="1"/>
    <col min="4625" max="4626" width="5.19921875" style="1617" customWidth="1"/>
    <col min="4627" max="4627" width="6.59765625" style="1617" customWidth="1"/>
    <col min="4628" max="4628" width="6.09765625" style="1617" customWidth="1"/>
    <col min="4629" max="4864" width="8.69921875" style="1617"/>
    <col min="4865" max="4865" width="5.19921875" style="1617" customWidth="1"/>
    <col min="4866" max="4866" width="11.8984375" style="1617" customWidth="1"/>
    <col min="4867" max="4867" width="5.19921875" style="1617" customWidth="1"/>
    <col min="4868" max="4868" width="5.8984375" style="1617" customWidth="1"/>
    <col min="4869" max="4869" width="6.19921875" style="1617" customWidth="1"/>
    <col min="4870" max="4871" width="5.19921875" style="1617" customWidth="1"/>
    <col min="4872" max="4872" width="6.09765625" style="1617" customWidth="1"/>
    <col min="4873" max="4876" width="5.19921875" style="1617" customWidth="1"/>
    <col min="4877" max="4877" width="8.09765625" style="1617" customWidth="1"/>
    <col min="4878" max="4880" width="6.09765625" style="1617" customWidth="1"/>
    <col min="4881" max="4882" width="5.19921875" style="1617" customWidth="1"/>
    <col min="4883" max="4883" width="6.59765625" style="1617" customWidth="1"/>
    <col min="4884" max="4884" width="6.09765625" style="1617" customWidth="1"/>
    <col min="4885" max="5120" width="8.69921875" style="1617"/>
    <col min="5121" max="5121" width="5.19921875" style="1617" customWidth="1"/>
    <col min="5122" max="5122" width="11.8984375" style="1617" customWidth="1"/>
    <col min="5123" max="5123" width="5.19921875" style="1617" customWidth="1"/>
    <col min="5124" max="5124" width="5.8984375" style="1617" customWidth="1"/>
    <col min="5125" max="5125" width="6.19921875" style="1617" customWidth="1"/>
    <col min="5126" max="5127" width="5.19921875" style="1617" customWidth="1"/>
    <col min="5128" max="5128" width="6.09765625" style="1617" customWidth="1"/>
    <col min="5129" max="5132" width="5.19921875" style="1617" customWidth="1"/>
    <col min="5133" max="5133" width="8.09765625" style="1617" customWidth="1"/>
    <col min="5134" max="5136" width="6.09765625" style="1617" customWidth="1"/>
    <col min="5137" max="5138" width="5.19921875" style="1617" customWidth="1"/>
    <col min="5139" max="5139" width="6.59765625" style="1617" customWidth="1"/>
    <col min="5140" max="5140" width="6.09765625" style="1617" customWidth="1"/>
    <col min="5141" max="5376" width="8.69921875" style="1617"/>
    <col min="5377" max="5377" width="5.19921875" style="1617" customWidth="1"/>
    <col min="5378" max="5378" width="11.8984375" style="1617" customWidth="1"/>
    <col min="5379" max="5379" width="5.19921875" style="1617" customWidth="1"/>
    <col min="5380" max="5380" width="5.8984375" style="1617" customWidth="1"/>
    <col min="5381" max="5381" width="6.19921875" style="1617" customWidth="1"/>
    <col min="5382" max="5383" width="5.19921875" style="1617" customWidth="1"/>
    <col min="5384" max="5384" width="6.09765625" style="1617" customWidth="1"/>
    <col min="5385" max="5388" width="5.19921875" style="1617" customWidth="1"/>
    <col min="5389" max="5389" width="8.09765625" style="1617" customWidth="1"/>
    <col min="5390" max="5392" width="6.09765625" style="1617" customWidth="1"/>
    <col min="5393" max="5394" width="5.19921875" style="1617" customWidth="1"/>
    <col min="5395" max="5395" width="6.59765625" style="1617" customWidth="1"/>
    <col min="5396" max="5396" width="6.09765625" style="1617" customWidth="1"/>
    <col min="5397" max="5632" width="8.69921875" style="1617"/>
    <col min="5633" max="5633" width="5.19921875" style="1617" customWidth="1"/>
    <col min="5634" max="5634" width="11.8984375" style="1617" customWidth="1"/>
    <col min="5635" max="5635" width="5.19921875" style="1617" customWidth="1"/>
    <col min="5636" max="5636" width="5.8984375" style="1617" customWidth="1"/>
    <col min="5637" max="5637" width="6.19921875" style="1617" customWidth="1"/>
    <col min="5638" max="5639" width="5.19921875" style="1617" customWidth="1"/>
    <col min="5640" max="5640" width="6.09765625" style="1617" customWidth="1"/>
    <col min="5641" max="5644" width="5.19921875" style="1617" customWidth="1"/>
    <col min="5645" max="5645" width="8.09765625" style="1617" customWidth="1"/>
    <col min="5646" max="5648" width="6.09765625" style="1617" customWidth="1"/>
    <col min="5649" max="5650" width="5.19921875" style="1617" customWidth="1"/>
    <col min="5651" max="5651" width="6.59765625" style="1617" customWidth="1"/>
    <col min="5652" max="5652" width="6.09765625" style="1617" customWidth="1"/>
    <col min="5653" max="5888" width="8.69921875" style="1617"/>
    <col min="5889" max="5889" width="5.19921875" style="1617" customWidth="1"/>
    <col min="5890" max="5890" width="11.8984375" style="1617" customWidth="1"/>
    <col min="5891" max="5891" width="5.19921875" style="1617" customWidth="1"/>
    <col min="5892" max="5892" width="5.8984375" style="1617" customWidth="1"/>
    <col min="5893" max="5893" width="6.19921875" style="1617" customWidth="1"/>
    <col min="5894" max="5895" width="5.19921875" style="1617" customWidth="1"/>
    <col min="5896" max="5896" width="6.09765625" style="1617" customWidth="1"/>
    <col min="5897" max="5900" width="5.19921875" style="1617" customWidth="1"/>
    <col min="5901" max="5901" width="8.09765625" style="1617" customWidth="1"/>
    <col min="5902" max="5904" width="6.09765625" style="1617" customWidth="1"/>
    <col min="5905" max="5906" width="5.19921875" style="1617" customWidth="1"/>
    <col min="5907" max="5907" width="6.59765625" style="1617" customWidth="1"/>
    <col min="5908" max="5908" width="6.09765625" style="1617" customWidth="1"/>
    <col min="5909" max="6144" width="8.69921875" style="1617"/>
    <col min="6145" max="6145" width="5.19921875" style="1617" customWidth="1"/>
    <col min="6146" max="6146" width="11.8984375" style="1617" customWidth="1"/>
    <col min="6147" max="6147" width="5.19921875" style="1617" customWidth="1"/>
    <col min="6148" max="6148" width="5.8984375" style="1617" customWidth="1"/>
    <col min="6149" max="6149" width="6.19921875" style="1617" customWidth="1"/>
    <col min="6150" max="6151" width="5.19921875" style="1617" customWidth="1"/>
    <col min="6152" max="6152" width="6.09765625" style="1617" customWidth="1"/>
    <col min="6153" max="6156" width="5.19921875" style="1617" customWidth="1"/>
    <col min="6157" max="6157" width="8.09765625" style="1617" customWidth="1"/>
    <col min="6158" max="6160" width="6.09765625" style="1617" customWidth="1"/>
    <col min="6161" max="6162" width="5.19921875" style="1617" customWidth="1"/>
    <col min="6163" max="6163" width="6.59765625" style="1617" customWidth="1"/>
    <col min="6164" max="6164" width="6.09765625" style="1617" customWidth="1"/>
    <col min="6165" max="6400" width="8.69921875" style="1617"/>
    <col min="6401" max="6401" width="5.19921875" style="1617" customWidth="1"/>
    <col min="6402" max="6402" width="11.8984375" style="1617" customWidth="1"/>
    <col min="6403" max="6403" width="5.19921875" style="1617" customWidth="1"/>
    <col min="6404" max="6404" width="5.8984375" style="1617" customWidth="1"/>
    <col min="6405" max="6405" width="6.19921875" style="1617" customWidth="1"/>
    <col min="6406" max="6407" width="5.19921875" style="1617" customWidth="1"/>
    <col min="6408" max="6408" width="6.09765625" style="1617" customWidth="1"/>
    <col min="6409" max="6412" width="5.19921875" style="1617" customWidth="1"/>
    <col min="6413" max="6413" width="8.09765625" style="1617" customWidth="1"/>
    <col min="6414" max="6416" width="6.09765625" style="1617" customWidth="1"/>
    <col min="6417" max="6418" width="5.19921875" style="1617" customWidth="1"/>
    <col min="6419" max="6419" width="6.59765625" style="1617" customWidth="1"/>
    <col min="6420" max="6420" width="6.09765625" style="1617" customWidth="1"/>
    <col min="6421" max="6656" width="8.69921875" style="1617"/>
    <col min="6657" max="6657" width="5.19921875" style="1617" customWidth="1"/>
    <col min="6658" max="6658" width="11.8984375" style="1617" customWidth="1"/>
    <col min="6659" max="6659" width="5.19921875" style="1617" customWidth="1"/>
    <col min="6660" max="6660" width="5.8984375" style="1617" customWidth="1"/>
    <col min="6661" max="6661" width="6.19921875" style="1617" customWidth="1"/>
    <col min="6662" max="6663" width="5.19921875" style="1617" customWidth="1"/>
    <col min="6664" max="6664" width="6.09765625" style="1617" customWidth="1"/>
    <col min="6665" max="6668" width="5.19921875" style="1617" customWidth="1"/>
    <col min="6669" max="6669" width="8.09765625" style="1617" customWidth="1"/>
    <col min="6670" max="6672" width="6.09765625" style="1617" customWidth="1"/>
    <col min="6673" max="6674" width="5.19921875" style="1617" customWidth="1"/>
    <col min="6675" max="6675" width="6.59765625" style="1617" customWidth="1"/>
    <col min="6676" max="6676" width="6.09765625" style="1617" customWidth="1"/>
    <col min="6677" max="6912" width="8.69921875" style="1617"/>
    <col min="6913" max="6913" width="5.19921875" style="1617" customWidth="1"/>
    <col min="6914" max="6914" width="11.8984375" style="1617" customWidth="1"/>
    <col min="6915" max="6915" width="5.19921875" style="1617" customWidth="1"/>
    <col min="6916" max="6916" width="5.8984375" style="1617" customWidth="1"/>
    <col min="6917" max="6917" width="6.19921875" style="1617" customWidth="1"/>
    <col min="6918" max="6919" width="5.19921875" style="1617" customWidth="1"/>
    <col min="6920" max="6920" width="6.09765625" style="1617" customWidth="1"/>
    <col min="6921" max="6924" width="5.19921875" style="1617" customWidth="1"/>
    <col min="6925" max="6925" width="8.09765625" style="1617" customWidth="1"/>
    <col min="6926" max="6928" width="6.09765625" style="1617" customWidth="1"/>
    <col min="6929" max="6930" width="5.19921875" style="1617" customWidth="1"/>
    <col min="6931" max="6931" width="6.59765625" style="1617" customWidth="1"/>
    <col min="6932" max="6932" width="6.09765625" style="1617" customWidth="1"/>
    <col min="6933" max="7168" width="8.69921875" style="1617"/>
    <col min="7169" max="7169" width="5.19921875" style="1617" customWidth="1"/>
    <col min="7170" max="7170" width="11.8984375" style="1617" customWidth="1"/>
    <col min="7171" max="7171" width="5.19921875" style="1617" customWidth="1"/>
    <col min="7172" max="7172" width="5.8984375" style="1617" customWidth="1"/>
    <col min="7173" max="7173" width="6.19921875" style="1617" customWidth="1"/>
    <col min="7174" max="7175" width="5.19921875" style="1617" customWidth="1"/>
    <col min="7176" max="7176" width="6.09765625" style="1617" customWidth="1"/>
    <col min="7177" max="7180" width="5.19921875" style="1617" customWidth="1"/>
    <col min="7181" max="7181" width="8.09765625" style="1617" customWidth="1"/>
    <col min="7182" max="7184" width="6.09765625" style="1617" customWidth="1"/>
    <col min="7185" max="7186" width="5.19921875" style="1617" customWidth="1"/>
    <col min="7187" max="7187" width="6.59765625" style="1617" customWidth="1"/>
    <col min="7188" max="7188" width="6.09765625" style="1617" customWidth="1"/>
    <col min="7189" max="7424" width="8.69921875" style="1617"/>
    <col min="7425" max="7425" width="5.19921875" style="1617" customWidth="1"/>
    <col min="7426" max="7426" width="11.8984375" style="1617" customWidth="1"/>
    <col min="7427" max="7427" width="5.19921875" style="1617" customWidth="1"/>
    <col min="7428" max="7428" width="5.8984375" style="1617" customWidth="1"/>
    <col min="7429" max="7429" width="6.19921875" style="1617" customWidth="1"/>
    <col min="7430" max="7431" width="5.19921875" style="1617" customWidth="1"/>
    <col min="7432" max="7432" width="6.09765625" style="1617" customWidth="1"/>
    <col min="7433" max="7436" width="5.19921875" style="1617" customWidth="1"/>
    <col min="7437" max="7437" width="8.09765625" style="1617" customWidth="1"/>
    <col min="7438" max="7440" width="6.09765625" style="1617" customWidth="1"/>
    <col min="7441" max="7442" width="5.19921875" style="1617" customWidth="1"/>
    <col min="7443" max="7443" width="6.59765625" style="1617" customWidth="1"/>
    <col min="7444" max="7444" width="6.09765625" style="1617" customWidth="1"/>
    <col min="7445" max="7680" width="8.69921875" style="1617"/>
    <col min="7681" max="7681" width="5.19921875" style="1617" customWidth="1"/>
    <col min="7682" max="7682" width="11.8984375" style="1617" customWidth="1"/>
    <col min="7683" max="7683" width="5.19921875" style="1617" customWidth="1"/>
    <col min="7684" max="7684" width="5.8984375" style="1617" customWidth="1"/>
    <col min="7685" max="7685" width="6.19921875" style="1617" customWidth="1"/>
    <col min="7686" max="7687" width="5.19921875" style="1617" customWidth="1"/>
    <col min="7688" max="7688" width="6.09765625" style="1617" customWidth="1"/>
    <col min="7689" max="7692" width="5.19921875" style="1617" customWidth="1"/>
    <col min="7693" max="7693" width="8.09765625" style="1617" customWidth="1"/>
    <col min="7694" max="7696" width="6.09765625" style="1617" customWidth="1"/>
    <col min="7697" max="7698" width="5.19921875" style="1617" customWidth="1"/>
    <col min="7699" max="7699" width="6.59765625" style="1617" customWidth="1"/>
    <col min="7700" max="7700" width="6.09765625" style="1617" customWidth="1"/>
    <col min="7701" max="7936" width="8.69921875" style="1617"/>
    <col min="7937" max="7937" width="5.19921875" style="1617" customWidth="1"/>
    <col min="7938" max="7938" width="11.8984375" style="1617" customWidth="1"/>
    <col min="7939" max="7939" width="5.19921875" style="1617" customWidth="1"/>
    <col min="7940" max="7940" width="5.8984375" style="1617" customWidth="1"/>
    <col min="7941" max="7941" width="6.19921875" style="1617" customWidth="1"/>
    <col min="7942" max="7943" width="5.19921875" style="1617" customWidth="1"/>
    <col min="7944" max="7944" width="6.09765625" style="1617" customWidth="1"/>
    <col min="7945" max="7948" width="5.19921875" style="1617" customWidth="1"/>
    <col min="7949" max="7949" width="8.09765625" style="1617" customWidth="1"/>
    <col min="7950" max="7952" width="6.09765625" style="1617" customWidth="1"/>
    <col min="7953" max="7954" width="5.19921875" style="1617" customWidth="1"/>
    <col min="7955" max="7955" width="6.59765625" style="1617" customWidth="1"/>
    <col min="7956" max="7956" width="6.09765625" style="1617" customWidth="1"/>
    <col min="7957" max="8192" width="8.69921875" style="1617"/>
    <col min="8193" max="8193" width="5.19921875" style="1617" customWidth="1"/>
    <col min="8194" max="8194" width="11.8984375" style="1617" customWidth="1"/>
    <col min="8195" max="8195" width="5.19921875" style="1617" customWidth="1"/>
    <col min="8196" max="8196" width="5.8984375" style="1617" customWidth="1"/>
    <col min="8197" max="8197" width="6.19921875" style="1617" customWidth="1"/>
    <col min="8198" max="8199" width="5.19921875" style="1617" customWidth="1"/>
    <col min="8200" max="8200" width="6.09765625" style="1617" customWidth="1"/>
    <col min="8201" max="8204" width="5.19921875" style="1617" customWidth="1"/>
    <col min="8205" max="8205" width="8.09765625" style="1617" customWidth="1"/>
    <col min="8206" max="8208" width="6.09765625" style="1617" customWidth="1"/>
    <col min="8209" max="8210" width="5.19921875" style="1617" customWidth="1"/>
    <col min="8211" max="8211" width="6.59765625" style="1617" customWidth="1"/>
    <col min="8212" max="8212" width="6.09765625" style="1617" customWidth="1"/>
    <col min="8213" max="8448" width="8.69921875" style="1617"/>
    <col min="8449" max="8449" width="5.19921875" style="1617" customWidth="1"/>
    <col min="8450" max="8450" width="11.8984375" style="1617" customWidth="1"/>
    <col min="8451" max="8451" width="5.19921875" style="1617" customWidth="1"/>
    <col min="8452" max="8452" width="5.8984375" style="1617" customWidth="1"/>
    <col min="8453" max="8453" width="6.19921875" style="1617" customWidth="1"/>
    <col min="8454" max="8455" width="5.19921875" style="1617" customWidth="1"/>
    <col min="8456" max="8456" width="6.09765625" style="1617" customWidth="1"/>
    <col min="8457" max="8460" width="5.19921875" style="1617" customWidth="1"/>
    <col min="8461" max="8461" width="8.09765625" style="1617" customWidth="1"/>
    <col min="8462" max="8464" width="6.09765625" style="1617" customWidth="1"/>
    <col min="8465" max="8466" width="5.19921875" style="1617" customWidth="1"/>
    <col min="8467" max="8467" width="6.59765625" style="1617" customWidth="1"/>
    <col min="8468" max="8468" width="6.09765625" style="1617" customWidth="1"/>
    <col min="8469" max="8704" width="8.69921875" style="1617"/>
    <col min="8705" max="8705" width="5.19921875" style="1617" customWidth="1"/>
    <col min="8706" max="8706" width="11.8984375" style="1617" customWidth="1"/>
    <col min="8707" max="8707" width="5.19921875" style="1617" customWidth="1"/>
    <col min="8708" max="8708" width="5.8984375" style="1617" customWidth="1"/>
    <col min="8709" max="8709" width="6.19921875" style="1617" customWidth="1"/>
    <col min="8710" max="8711" width="5.19921875" style="1617" customWidth="1"/>
    <col min="8712" max="8712" width="6.09765625" style="1617" customWidth="1"/>
    <col min="8713" max="8716" width="5.19921875" style="1617" customWidth="1"/>
    <col min="8717" max="8717" width="8.09765625" style="1617" customWidth="1"/>
    <col min="8718" max="8720" width="6.09765625" style="1617" customWidth="1"/>
    <col min="8721" max="8722" width="5.19921875" style="1617" customWidth="1"/>
    <col min="8723" max="8723" width="6.59765625" style="1617" customWidth="1"/>
    <col min="8724" max="8724" width="6.09765625" style="1617" customWidth="1"/>
    <col min="8725" max="8960" width="8.69921875" style="1617"/>
    <col min="8961" max="8961" width="5.19921875" style="1617" customWidth="1"/>
    <col min="8962" max="8962" width="11.8984375" style="1617" customWidth="1"/>
    <col min="8963" max="8963" width="5.19921875" style="1617" customWidth="1"/>
    <col min="8964" max="8964" width="5.8984375" style="1617" customWidth="1"/>
    <col min="8965" max="8965" width="6.19921875" style="1617" customWidth="1"/>
    <col min="8966" max="8967" width="5.19921875" style="1617" customWidth="1"/>
    <col min="8968" max="8968" width="6.09765625" style="1617" customWidth="1"/>
    <col min="8969" max="8972" width="5.19921875" style="1617" customWidth="1"/>
    <col min="8973" max="8973" width="8.09765625" style="1617" customWidth="1"/>
    <col min="8974" max="8976" width="6.09765625" style="1617" customWidth="1"/>
    <col min="8977" max="8978" width="5.19921875" style="1617" customWidth="1"/>
    <col min="8979" max="8979" width="6.59765625" style="1617" customWidth="1"/>
    <col min="8980" max="8980" width="6.09765625" style="1617" customWidth="1"/>
    <col min="8981" max="9216" width="8.69921875" style="1617"/>
    <col min="9217" max="9217" width="5.19921875" style="1617" customWidth="1"/>
    <col min="9218" max="9218" width="11.8984375" style="1617" customWidth="1"/>
    <col min="9219" max="9219" width="5.19921875" style="1617" customWidth="1"/>
    <col min="9220" max="9220" width="5.8984375" style="1617" customWidth="1"/>
    <col min="9221" max="9221" width="6.19921875" style="1617" customWidth="1"/>
    <col min="9222" max="9223" width="5.19921875" style="1617" customWidth="1"/>
    <col min="9224" max="9224" width="6.09765625" style="1617" customWidth="1"/>
    <col min="9225" max="9228" width="5.19921875" style="1617" customWidth="1"/>
    <col min="9229" max="9229" width="8.09765625" style="1617" customWidth="1"/>
    <col min="9230" max="9232" width="6.09765625" style="1617" customWidth="1"/>
    <col min="9233" max="9234" width="5.19921875" style="1617" customWidth="1"/>
    <col min="9235" max="9235" width="6.59765625" style="1617" customWidth="1"/>
    <col min="9236" max="9236" width="6.09765625" style="1617" customWidth="1"/>
    <col min="9237" max="9472" width="8.69921875" style="1617"/>
    <col min="9473" max="9473" width="5.19921875" style="1617" customWidth="1"/>
    <col min="9474" max="9474" width="11.8984375" style="1617" customWidth="1"/>
    <col min="9475" max="9475" width="5.19921875" style="1617" customWidth="1"/>
    <col min="9476" max="9476" width="5.8984375" style="1617" customWidth="1"/>
    <col min="9477" max="9477" width="6.19921875" style="1617" customWidth="1"/>
    <col min="9478" max="9479" width="5.19921875" style="1617" customWidth="1"/>
    <col min="9480" max="9480" width="6.09765625" style="1617" customWidth="1"/>
    <col min="9481" max="9484" width="5.19921875" style="1617" customWidth="1"/>
    <col min="9485" max="9485" width="8.09765625" style="1617" customWidth="1"/>
    <col min="9486" max="9488" width="6.09765625" style="1617" customWidth="1"/>
    <col min="9489" max="9490" width="5.19921875" style="1617" customWidth="1"/>
    <col min="9491" max="9491" width="6.59765625" style="1617" customWidth="1"/>
    <col min="9492" max="9492" width="6.09765625" style="1617" customWidth="1"/>
    <col min="9493" max="9728" width="8.69921875" style="1617"/>
    <col min="9729" max="9729" width="5.19921875" style="1617" customWidth="1"/>
    <col min="9730" max="9730" width="11.8984375" style="1617" customWidth="1"/>
    <col min="9731" max="9731" width="5.19921875" style="1617" customWidth="1"/>
    <col min="9732" max="9732" width="5.8984375" style="1617" customWidth="1"/>
    <col min="9733" max="9733" width="6.19921875" style="1617" customWidth="1"/>
    <col min="9734" max="9735" width="5.19921875" style="1617" customWidth="1"/>
    <col min="9736" max="9736" width="6.09765625" style="1617" customWidth="1"/>
    <col min="9737" max="9740" width="5.19921875" style="1617" customWidth="1"/>
    <col min="9741" max="9741" width="8.09765625" style="1617" customWidth="1"/>
    <col min="9742" max="9744" width="6.09765625" style="1617" customWidth="1"/>
    <col min="9745" max="9746" width="5.19921875" style="1617" customWidth="1"/>
    <col min="9747" max="9747" width="6.59765625" style="1617" customWidth="1"/>
    <col min="9748" max="9748" width="6.09765625" style="1617" customWidth="1"/>
    <col min="9749" max="9984" width="8.69921875" style="1617"/>
    <col min="9985" max="9985" width="5.19921875" style="1617" customWidth="1"/>
    <col min="9986" max="9986" width="11.8984375" style="1617" customWidth="1"/>
    <col min="9987" max="9987" width="5.19921875" style="1617" customWidth="1"/>
    <col min="9988" max="9988" width="5.8984375" style="1617" customWidth="1"/>
    <col min="9989" max="9989" width="6.19921875" style="1617" customWidth="1"/>
    <col min="9990" max="9991" width="5.19921875" style="1617" customWidth="1"/>
    <col min="9992" max="9992" width="6.09765625" style="1617" customWidth="1"/>
    <col min="9993" max="9996" width="5.19921875" style="1617" customWidth="1"/>
    <col min="9997" max="9997" width="8.09765625" style="1617" customWidth="1"/>
    <col min="9998" max="10000" width="6.09765625" style="1617" customWidth="1"/>
    <col min="10001" max="10002" width="5.19921875" style="1617" customWidth="1"/>
    <col min="10003" max="10003" width="6.59765625" style="1617" customWidth="1"/>
    <col min="10004" max="10004" width="6.09765625" style="1617" customWidth="1"/>
    <col min="10005" max="10240" width="8.69921875" style="1617"/>
    <col min="10241" max="10241" width="5.19921875" style="1617" customWidth="1"/>
    <col min="10242" max="10242" width="11.8984375" style="1617" customWidth="1"/>
    <col min="10243" max="10243" width="5.19921875" style="1617" customWidth="1"/>
    <col min="10244" max="10244" width="5.8984375" style="1617" customWidth="1"/>
    <col min="10245" max="10245" width="6.19921875" style="1617" customWidth="1"/>
    <col min="10246" max="10247" width="5.19921875" style="1617" customWidth="1"/>
    <col min="10248" max="10248" width="6.09765625" style="1617" customWidth="1"/>
    <col min="10249" max="10252" width="5.19921875" style="1617" customWidth="1"/>
    <col min="10253" max="10253" width="8.09765625" style="1617" customWidth="1"/>
    <col min="10254" max="10256" width="6.09765625" style="1617" customWidth="1"/>
    <col min="10257" max="10258" width="5.19921875" style="1617" customWidth="1"/>
    <col min="10259" max="10259" width="6.59765625" style="1617" customWidth="1"/>
    <col min="10260" max="10260" width="6.09765625" style="1617" customWidth="1"/>
    <col min="10261" max="10496" width="8.69921875" style="1617"/>
    <col min="10497" max="10497" width="5.19921875" style="1617" customWidth="1"/>
    <col min="10498" max="10498" width="11.8984375" style="1617" customWidth="1"/>
    <col min="10499" max="10499" width="5.19921875" style="1617" customWidth="1"/>
    <col min="10500" max="10500" width="5.8984375" style="1617" customWidth="1"/>
    <col min="10501" max="10501" width="6.19921875" style="1617" customWidth="1"/>
    <col min="10502" max="10503" width="5.19921875" style="1617" customWidth="1"/>
    <col min="10504" max="10504" width="6.09765625" style="1617" customWidth="1"/>
    <col min="10505" max="10508" width="5.19921875" style="1617" customWidth="1"/>
    <col min="10509" max="10509" width="8.09765625" style="1617" customWidth="1"/>
    <col min="10510" max="10512" width="6.09765625" style="1617" customWidth="1"/>
    <col min="10513" max="10514" width="5.19921875" style="1617" customWidth="1"/>
    <col min="10515" max="10515" width="6.59765625" style="1617" customWidth="1"/>
    <col min="10516" max="10516" width="6.09765625" style="1617" customWidth="1"/>
    <col min="10517" max="10752" width="8.69921875" style="1617"/>
    <col min="10753" max="10753" width="5.19921875" style="1617" customWidth="1"/>
    <col min="10754" max="10754" width="11.8984375" style="1617" customWidth="1"/>
    <col min="10755" max="10755" width="5.19921875" style="1617" customWidth="1"/>
    <col min="10756" max="10756" width="5.8984375" style="1617" customWidth="1"/>
    <col min="10757" max="10757" width="6.19921875" style="1617" customWidth="1"/>
    <col min="10758" max="10759" width="5.19921875" style="1617" customWidth="1"/>
    <col min="10760" max="10760" width="6.09765625" style="1617" customWidth="1"/>
    <col min="10761" max="10764" width="5.19921875" style="1617" customWidth="1"/>
    <col min="10765" max="10765" width="8.09765625" style="1617" customWidth="1"/>
    <col min="10766" max="10768" width="6.09765625" style="1617" customWidth="1"/>
    <col min="10769" max="10770" width="5.19921875" style="1617" customWidth="1"/>
    <col min="10771" max="10771" width="6.59765625" style="1617" customWidth="1"/>
    <col min="10772" max="10772" width="6.09765625" style="1617" customWidth="1"/>
    <col min="10773" max="11008" width="8.69921875" style="1617"/>
    <col min="11009" max="11009" width="5.19921875" style="1617" customWidth="1"/>
    <col min="11010" max="11010" width="11.8984375" style="1617" customWidth="1"/>
    <col min="11011" max="11011" width="5.19921875" style="1617" customWidth="1"/>
    <col min="11012" max="11012" width="5.8984375" style="1617" customWidth="1"/>
    <col min="11013" max="11013" width="6.19921875" style="1617" customWidth="1"/>
    <col min="11014" max="11015" width="5.19921875" style="1617" customWidth="1"/>
    <col min="11016" max="11016" width="6.09765625" style="1617" customWidth="1"/>
    <col min="11017" max="11020" width="5.19921875" style="1617" customWidth="1"/>
    <col min="11021" max="11021" width="8.09765625" style="1617" customWidth="1"/>
    <col min="11022" max="11024" width="6.09765625" style="1617" customWidth="1"/>
    <col min="11025" max="11026" width="5.19921875" style="1617" customWidth="1"/>
    <col min="11027" max="11027" width="6.59765625" style="1617" customWidth="1"/>
    <col min="11028" max="11028" width="6.09765625" style="1617" customWidth="1"/>
    <col min="11029" max="11264" width="8.69921875" style="1617"/>
    <col min="11265" max="11265" width="5.19921875" style="1617" customWidth="1"/>
    <col min="11266" max="11266" width="11.8984375" style="1617" customWidth="1"/>
    <col min="11267" max="11267" width="5.19921875" style="1617" customWidth="1"/>
    <col min="11268" max="11268" width="5.8984375" style="1617" customWidth="1"/>
    <col min="11269" max="11269" width="6.19921875" style="1617" customWidth="1"/>
    <col min="11270" max="11271" width="5.19921875" style="1617" customWidth="1"/>
    <col min="11272" max="11272" width="6.09765625" style="1617" customWidth="1"/>
    <col min="11273" max="11276" width="5.19921875" style="1617" customWidth="1"/>
    <col min="11277" max="11277" width="8.09765625" style="1617" customWidth="1"/>
    <col min="11278" max="11280" width="6.09765625" style="1617" customWidth="1"/>
    <col min="11281" max="11282" width="5.19921875" style="1617" customWidth="1"/>
    <col min="11283" max="11283" width="6.59765625" style="1617" customWidth="1"/>
    <col min="11284" max="11284" width="6.09765625" style="1617" customWidth="1"/>
    <col min="11285" max="11520" width="8.69921875" style="1617"/>
    <col min="11521" max="11521" width="5.19921875" style="1617" customWidth="1"/>
    <col min="11522" max="11522" width="11.8984375" style="1617" customWidth="1"/>
    <col min="11523" max="11523" width="5.19921875" style="1617" customWidth="1"/>
    <col min="11524" max="11524" width="5.8984375" style="1617" customWidth="1"/>
    <col min="11525" max="11525" width="6.19921875" style="1617" customWidth="1"/>
    <col min="11526" max="11527" width="5.19921875" style="1617" customWidth="1"/>
    <col min="11528" max="11528" width="6.09765625" style="1617" customWidth="1"/>
    <col min="11529" max="11532" width="5.19921875" style="1617" customWidth="1"/>
    <col min="11533" max="11533" width="8.09765625" style="1617" customWidth="1"/>
    <col min="11534" max="11536" width="6.09765625" style="1617" customWidth="1"/>
    <col min="11537" max="11538" width="5.19921875" style="1617" customWidth="1"/>
    <col min="11539" max="11539" width="6.59765625" style="1617" customWidth="1"/>
    <col min="11540" max="11540" width="6.09765625" style="1617" customWidth="1"/>
    <col min="11541" max="11776" width="8.69921875" style="1617"/>
    <col min="11777" max="11777" width="5.19921875" style="1617" customWidth="1"/>
    <col min="11778" max="11778" width="11.8984375" style="1617" customWidth="1"/>
    <col min="11779" max="11779" width="5.19921875" style="1617" customWidth="1"/>
    <col min="11780" max="11780" width="5.8984375" style="1617" customWidth="1"/>
    <col min="11781" max="11781" width="6.19921875" style="1617" customWidth="1"/>
    <col min="11782" max="11783" width="5.19921875" style="1617" customWidth="1"/>
    <col min="11784" max="11784" width="6.09765625" style="1617" customWidth="1"/>
    <col min="11785" max="11788" width="5.19921875" style="1617" customWidth="1"/>
    <col min="11789" max="11789" width="8.09765625" style="1617" customWidth="1"/>
    <col min="11790" max="11792" width="6.09765625" style="1617" customWidth="1"/>
    <col min="11793" max="11794" width="5.19921875" style="1617" customWidth="1"/>
    <col min="11795" max="11795" width="6.59765625" style="1617" customWidth="1"/>
    <col min="11796" max="11796" width="6.09765625" style="1617" customWidth="1"/>
    <col min="11797" max="12032" width="8.69921875" style="1617"/>
    <col min="12033" max="12033" width="5.19921875" style="1617" customWidth="1"/>
    <col min="12034" max="12034" width="11.8984375" style="1617" customWidth="1"/>
    <col min="12035" max="12035" width="5.19921875" style="1617" customWidth="1"/>
    <col min="12036" max="12036" width="5.8984375" style="1617" customWidth="1"/>
    <col min="12037" max="12037" width="6.19921875" style="1617" customWidth="1"/>
    <col min="12038" max="12039" width="5.19921875" style="1617" customWidth="1"/>
    <col min="12040" max="12040" width="6.09765625" style="1617" customWidth="1"/>
    <col min="12041" max="12044" width="5.19921875" style="1617" customWidth="1"/>
    <col min="12045" max="12045" width="8.09765625" style="1617" customWidth="1"/>
    <col min="12046" max="12048" width="6.09765625" style="1617" customWidth="1"/>
    <col min="12049" max="12050" width="5.19921875" style="1617" customWidth="1"/>
    <col min="12051" max="12051" width="6.59765625" style="1617" customWidth="1"/>
    <col min="12052" max="12052" width="6.09765625" style="1617" customWidth="1"/>
    <col min="12053" max="12288" width="8.69921875" style="1617"/>
    <col min="12289" max="12289" width="5.19921875" style="1617" customWidth="1"/>
    <col min="12290" max="12290" width="11.8984375" style="1617" customWidth="1"/>
    <col min="12291" max="12291" width="5.19921875" style="1617" customWidth="1"/>
    <col min="12292" max="12292" width="5.8984375" style="1617" customWidth="1"/>
    <col min="12293" max="12293" width="6.19921875" style="1617" customWidth="1"/>
    <col min="12294" max="12295" width="5.19921875" style="1617" customWidth="1"/>
    <col min="12296" max="12296" width="6.09765625" style="1617" customWidth="1"/>
    <col min="12297" max="12300" width="5.19921875" style="1617" customWidth="1"/>
    <col min="12301" max="12301" width="8.09765625" style="1617" customWidth="1"/>
    <col min="12302" max="12304" width="6.09765625" style="1617" customWidth="1"/>
    <col min="12305" max="12306" width="5.19921875" style="1617" customWidth="1"/>
    <col min="12307" max="12307" width="6.59765625" style="1617" customWidth="1"/>
    <col min="12308" max="12308" width="6.09765625" style="1617" customWidth="1"/>
    <col min="12309" max="12544" width="8.69921875" style="1617"/>
    <col min="12545" max="12545" width="5.19921875" style="1617" customWidth="1"/>
    <col min="12546" max="12546" width="11.8984375" style="1617" customWidth="1"/>
    <col min="12547" max="12547" width="5.19921875" style="1617" customWidth="1"/>
    <col min="12548" max="12548" width="5.8984375" style="1617" customWidth="1"/>
    <col min="12549" max="12549" width="6.19921875" style="1617" customWidth="1"/>
    <col min="12550" max="12551" width="5.19921875" style="1617" customWidth="1"/>
    <col min="12552" max="12552" width="6.09765625" style="1617" customWidth="1"/>
    <col min="12553" max="12556" width="5.19921875" style="1617" customWidth="1"/>
    <col min="12557" max="12557" width="8.09765625" style="1617" customWidth="1"/>
    <col min="12558" max="12560" width="6.09765625" style="1617" customWidth="1"/>
    <col min="12561" max="12562" width="5.19921875" style="1617" customWidth="1"/>
    <col min="12563" max="12563" width="6.59765625" style="1617" customWidth="1"/>
    <col min="12564" max="12564" width="6.09765625" style="1617" customWidth="1"/>
    <col min="12565" max="12800" width="8.69921875" style="1617"/>
    <col min="12801" max="12801" width="5.19921875" style="1617" customWidth="1"/>
    <col min="12802" max="12802" width="11.8984375" style="1617" customWidth="1"/>
    <col min="12803" max="12803" width="5.19921875" style="1617" customWidth="1"/>
    <col min="12804" max="12804" width="5.8984375" style="1617" customWidth="1"/>
    <col min="12805" max="12805" width="6.19921875" style="1617" customWidth="1"/>
    <col min="12806" max="12807" width="5.19921875" style="1617" customWidth="1"/>
    <col min="12808" max="12808" width="6.09765625" style="1617" customWidth="1"/>
    <col min="12809" max="12812" width="5.19921875" style="1617" customWidth="1"/>
    <col min="12813" max="12813" width="8.09765625" style="1617" customWidth="1"/>
    <col min="12814" max="12816" width="6.09765625" style="1617" customWidth="1"/>
    <col min="12817" max="12818" width="5.19921875" style="1617" customWidth="1"/>
    <col min="12819" max="12819" width="6.59765625" style="1617" customWidth="1"/>
    <col min="12820" max="12820" width="6.09765625" style="1617" customWidth="1"/>
    <col min="12821" max="13056" width="8.69921875" style="1617"/>
    <col min="13057" max="13057" width="5.19921875" style="1617" customWidth="1"/>
    <col min="13058" max="13058" width="11.8984375" style="1617" customWidth="1"/>
    <col min="13059" max="13059" width="5.19921875" style="1617" customWidth="1"/>
    <col min="13060" max="13060" width="5.8984375" style="1617" customWidth="1"/>
    <col min="13061" max="13061" width="6.19921875" style="1617" customWidth="1"/>
    <col min="13062" max="13063" width="5.19921875" style="1617" customWidth="1"/>
    <col min="13064" max="13064" width="6.09765625" style="1617" customWidth="1"/>
    <col min="13065" max="13068" width="5.19921875" style="1617" customWidth="1"/>
    <col min="13069" max="13069" width="8.09765625" style="1617" customWidth="1"/>
    <col min="13070" max="13072" width="6.09765625" style="1617" customWidth="1"/>
    <col min="13073" max="13074" width="5.19921875" style="1617" customWidth="1"/>
    <col min="13075" max="13075" width="6.59765625" style="1617" customWidth="1"/>
    <col min="13076" max="13076" width="6.09765625" style="1617" customWidth="1"/>
    <col min="13077" max="13312" width="8.69921875" style="1617"/>
    <col min="13313" max="13313" width="5.19921875" style="1617" customWidth="1"/>
    <col min="13314" max="13314" width="11.8984375" style="1617" customWidth="1"/>
    <col min="13315" max="13315" width="5.19921875" style="1617" customWidth="1"/>
    <col min="13316" max="13316" width="5.8984375" style="1617" customWidth="1"/>
    <col min="13317" max="13317" width="6.19921875" style="1617" customWidth="1"/>
    <col min="13318" max="13319" width="5.19921875" style="1617" customWidth="1"/>
    <col min="13320" max="13320" width="6.09765625" style="1617" customWidth="1"/>
    <col min="13321" max="13324" width="5.19921875" style="1617" customWidth="1"/>
    <col min="13325" max="13325" width="8.09765625" style="1617" customWidth="1"/>
    <col min="13326" max="13328" width="6.09765625" style="1617" customWidth="1"/>
    <col min="13329" max="13330" width="5.19921875" style="1617" customWidth="1"/>
    <col min="13331" max="13331" width="6.59765625" style="1617" customWidth="1"/>
    <col min="13332" max="13332" width="6.09765625" style="1617" customWidth="1"/>
    <col min="13333" max="13568" width="8.69921875" style="1617"/>
    <col min="13569" max="13569" width="5.19921875" style="1617" customWidth="1"/>
    <col min="13570" max="13570" width="11.8984375" style="1617" customWidth="1"/>
    <col min="13571" max="13571" width="5.19921875" style="1617" customWidth="1"/>
    <col min="13572" max="13572" width="5.8984375" style="1617" customWidth="1"/>
    <col min="13573" max="13573" width="6.19921875" style="1617" customWidth="1"/>
    <col min="13574" max="13575" width="5.19921875" style="1617" customWidth="1"/>
    <col min="13576" max="13576" width="6.09765625" style="1617" customWidth="1"/>
    <col min="13577" max="13580" width="5.19921875" style="1617" customWidth="1"/>
    <col min="13581" max="13581" width="8.09765625" style="1617" customWidth="1"/>
    <col min="13582" max="13584" width="6.09765625" style="1617" customWidth="1"/>
    <col min="13585" max="13586" width="5.19921875" style="1617" customWidth="1"/>
    <col min="13587" max="13587" width="6.59765625" style="1617" customWidth="1"/>
    <col min="13588" max="13588" width="6.09765625" style="1617" customWidth="1"/>
    <col min="13589" max="13824" width="8.69921875" style="1617"/>
    <col min="13825" max="13825" width="5.19921875" style="1617" customWidth="1"/>
    <col min="13826" max="13826" width="11.8984375" style="1617" customWidth="1"/>
    <col min="13827" max="13827" width="5.19921875" style="1617" customWidth="1"/>
    <col min="13828" max="13828" width="5.8984375" style="1617" customWidth="1"/>
    <col min="13829" max="13829" width="6.19921875" style="1617" customWidth="1"/>
    <col min="13830" max="13831" width="5.19921875" style="1617" customWidth="1"/>
    <col min="13832" max="13832" width="6.09765625" style="1617" customWidth="1"/>
    <col min="13833" max="13836" width="5.19921875" style="1617" customWidth="1"/>
    <col min="13837" max="13837" width="8.09765625" style="1617" customWidth="1"/>
    <col min="13838" max="13840" width="6.09765625" style="1617" customWidth="1"/>
    <col min="13841" max="13842" width="5.19921875" style="1617" customWidth="1"/>
    <col min="13843" max="13843" width="6.59765625" style="1617" customWidth="1"/>
    <col min="13844" max="13844" width="6.09765625" style="1617" customWidth="1"/>
    <col min="13845" max="14080" width="8.69921875" style="1617"/>
    <col min="14081" max="14081" width="5.19921875" style="1617" customWidth="1"/>
    <col min="14082" max="14082" width="11.8984375" style="1617" customWidth="1"/>
    <col min="14083" max="14083" width="5.19921875" style="1617" customWidth="1"/>
    <col min="14084" max="14084" width="5.8984375" style="1617" customWidth="1"/>
    <col min="14085" max="14085" width="6.19921875" style="1617" customWidth="1"/>
    <col min="14086" max="14087" width="5.19921875" style="1617" customWidth="1"/>
    <col min="14088" max="14088" width="6.09765625" style="1617" customWidth="1"/>
    <col min="14089" max="14092" width="5.19921875" style="1617" customWidth="1"/>
    <col min="14093" max="14093" width="8.09765625" style="1617" customWidth="1"/>
    <col min="14094" max="14096" width="6.09765625" style="1617" customWidth="1"/>
    <col min="14097" max="14098" width="5.19921875" style="1617" customWidth="1"/>
    <col min="14099" max="14099" width="6.59765625" style="1617" customWidth="1"/>
    <col min="14100" max="14100" width="6.09765625" style="1617" customWidth="1"/>
    <col min="14101" max="14336" width="8.69921875" style="1617"/>
    <col min="14337" max="14337" width="5.19921875" style="1617" customWidth="1"/>
    <col min="14338" max="14338" width="11.8984375" style="1617" customWidth="1"/>
    <col min="14339" max="14339" width="5.19921875" style="1617" customWidth="1"/>
    <col min="14340" max="14340" width="5.8984375" style="1617" customWidth="1"/>
    <col min="14341" max="14341" width="6.19921875" style="1617" customWidth="1"/>
    <col min="14342" max="14343" width="5.19921875" style="1617" customWidth="1"/>
    <col min="14344" max="14344" width="6.09765625" style="1617" customWidth="1"/>
    <col min="14345" max="14348" width="5.19921875" style="1617" customWidth="1"/>
    <col min="14349" max="14349" width="8.09765625" style="1617" customWidth="1"/>
    <col min="14350" max="14352" width="6.09765625" style="1617" customWidth="1"/>
    <col min="14353" max="14354" width="5.19921875" style="1617" customWidth="1"/>
    <col min="14355" max="14355" width="6.59765625" style="1617" customWidth="1"/>
    <col min="14356" max="14356" width="6.09765625" style="1617" customWidth="1"/>
    <col min="14357" max="14592" width="8.69921875" style="1617"/>
    <col min="14593" max="14593" width="5.19921875" style="1617" customWidth="1"/>
    <col min="14594" max="14594" width="11.8984375" style="1617" customWidth="1"/>
    <col min="14595" max="14595" width="5.19921875" style="1617" customWidth="1"/>
    <col min="14596" max="14596" width="5.8984375" style="1617" customWidth="1"/>
    <col min="14597" max="14597" width="6.19921875" style="1617" customWidth="1"/>
    <col min="14598" max="14599" width="5.19921875" style="1617" customWidth="1"/>
    <col min="14600" max="14600" width="6.09765625" style="1617" customWidth="1"/>
    <col min="14601" max="14604" width="5.19921875" style="1617" customWidth="1"/>
    <col min="14605" max="14605" width="8.09765625" style="1617" customWidth="1"/>
    <col min="14606" max="14608" width="6.09765625" style="1617" customWidth="1"/>
    <col min="14609" max="14610" width="5.19921875" style="1617" customWidth="1"/>
    <col min="14611" max="14611" width="6.59765625" style="1617" customWidth="1"/>
    <col min="14612" max="14612" width="6.09765625" style="1617" customWidth="1"/>
    <col min="14613" max="14848" width="8.69921875" style="1617"/>
    <col min="14849" max="14849" width="5.19921875" style="1617" customWidth="1"/>
    <col min="14850" max="14850" width="11.8984375" style="1617" customWidth="1"/>
    <col min="14851" max="14851" width="5.19921875" style="1617" customWidth="1"/>
    <col min="14852" max="14852" width="5.8984375" style="1617" customWidth="1"/>
    <col min="14853" max="14853" width="6.19921875" style="1617" customWidth="1"/>
    <col min="14854" max="14855" width="5.19921875" style="1617" customWidth="1"/>
    <col min="14856" max="14856" width="6.09765625" style="1617" customWidth="1"/>
    <col min="14857" max="14860" width="5.19921875" style="1617" customWidth="1"/>
    <col min="14861" max="14861" width="8.09765625" style="1617" customWidth="1"/>
    <col min="14862" max="14864" width="6.09765625" style="1617" customWidth="1"/>
    <col min="14865" max="14866" width="5.19921875" style="1617" customWidth="1"/>
    <col min="14867" max="14867" width="6.59765625" style="1617" customWidth="1"/>
    <col min="14868" max="14868" width="6.09765625" style="1617" customWidth="1"/>
    <col min="14869" max="15104" width="8.69921875" style="1617"/>
    <col min="15105" max="15105" width="5.19921875" style="1617" customWidth="1"/>
    <col min="15106" max="15106" width="11.8984375" style="1617" customWidth="1"/>
    <col min="15107" max="15107" width="5.19921875" style="1617" customWidth="1"/>
    <col min="15108" max="15108" width="5.8984375" style="1617" customWidth="1"/>
    <col min="15109" max="15109" width="6.19921875" style="1617" customWidth="1"/>
    <col min="15110" max="15111" width="5.19921875" style="1617" customWidth="1"/>
    <col min="15112" max="15112" width="6.09765625" style="1617" customWidth="1"/>
    <col min="15113" max="15116" width="5.19921875" style="1617" customWidth="1"/>
    <col min="15117" max="15117" width="8.09765625" style="1617" customWidth="1"/>
    <col min="15118" max="15120" width="6.09765625" style="1617" customWidth="1"/>
    <col min="15121" max="15122" width="5.19921875" style="1617" customWidth="1"/>
    <col min="15123" max="15123" width="6.59765625" style="1617" customWidth="1"/>
    <col min="15124" max="15124" width="6.09765625" style="1617" customWidth="1"/>
    <col min="15125" max="15360" width="8.69921875" style="1617"/>
    <col min="15361" max="15361" width="5.19921875" style="1617" customWidth="1"/>
    <col min="15362" max="15362" width="11.8984375" style="1617" customWidth="1"/>
    <col min="15363" max="15363" width="5.19921875" style="1617" customWidth="1"/>
    <col min="15364" max="15364" width="5.8984375" style="1617" customWidth="1"/>
    <col min="15365" max="15365" width="6.19921875" style="1617" customWidth="1"/>
    <col min="15366" max="15367" width="5.19921875" style="1617" customWidth="1"/>
    <col min="15368" max="15368" width="6.09765625" style="1617" customWidth="1"/>
    <col min="15369" max="15372" width="5.19921875" style="1617" customWidth="1"/>
    <col min="15373" max="15373" width="8.09765625" style="1617" customWidth="1"/>
    <col min="15374" max="15376" width="6.09765625" style="1617" customWidth="1"/>
    <col min="15377" max="15378" width="5.19921875" style="1617" customWidth="1"/>
    <col min="15379" max="15379" width="6.59765625" style="1617" customWidth="1"/>
    <col min="15380" max="15380" width="6.09765625" style="1617" customWidth="1"/>
    <col min="15381" max="15616" width="8.69921875" style="1617"/>
    <col min="15617" max="15617" width="5.19921875" style="1617" customWidth="1"/>
    <col min="15618" max="15618" width="11.8984375" style="1617" customWidth="1"/>
    <col min="15619" max="15619" width="5.19921875" style="1617" customWidth="1"/>
    <col min="15620" max="15620" width="5.8984375" style="1617" customWidth="1"/>
    <col min="15621" max="15621" width="6.19921875" style="1617" customWidth="1"/>
    <col min="15622" max="15623" width="5.19921875" style="1617" customWidth="1"/>
    <col min="15624" max="15624" width="6.09765625" style="1617" customWidth="1"/>
    <col min="15625" max="15628" width="5.19921875" style="1617" customWidth="1"/>
    <col min="15629" max="15629" width="8.09765625" style="1617" customWidth="1"/>
    <col min="15630" max="15632" width="6.09765625" style="1617" customWidth="1"/>
    <col min="15633" max="15634" width="5.19921875" style="1617" customWidth="1"/>
    <col min="15635" max="15635" width="6.59765625" style="1617" customWidth="1"/>
    <col min="15636" max="15636" width="6.09765625" style="1617" customWidth="1"/>
    <col min="15637" max="15872" width="8.69921875" style="1617"/>
    <col min="15873" max="15873" width="5.19921875" style="1617" customWidth="1"/>
    <col min="15874" max="15874" width="11.8984375" style="1617" customWidth="1"/>
    <col min="15875" max="15875" width="5.19921875" style="1617" customWidth="1"/>
    <col min="15876" max="15876" width="5.8984375" style="1617" customWidth="1"/>
    <col min="15877" max="15877" width="6.19921875" style="1617" customWidth="1"/>
    <col min="15878" max="15879" width="5.19921875" style="1617" customWidth="1"/>
    <col min="15880" max="15880" width="6.09765625" style="1617" customWidth="1"/>
    <col min="15881" max="15884" width="5.19921875" style="1617" customWidth="1"/>
    <col min="15885" max="15885" width="8.09765625" style="1617" customWidth="1"/>
    <col min="15886" max="15888" width="6.09765625" style="1617" customWidth="1"/>
    <col min="15889" max="15890" width="5.19921875" style="1617" customWidth="1"/>
    <col min="15891" max="15891" width="6.59765625" style="1617" customWidth="1"/>
    <col min="15892" max="15892" width="6.09765625" style="1617" customWidth="1"/>
    <col min="15893" max="16128" width="8.69921875" style="1617"/>
    <col min="16129" max="16129" width="5.19921875" style="1617" customWidth="1"/>
    <col min="16130" max="16130" width="11.8984375" style="1617" customWidth="1"/>
    <col min="16131" max="16131" width="5.19921875" style="1617" customWidth="1"/>
    <col min="16132" max="16132" width="5.8984375" style="1617" customWidth="1"/>
    <col min="16133" max="16133" width="6.19921875" style="1617" customWidth="1"/>
    <col min="16134" max="16135" width="5.19921875" style="1617" customWidth="1"/>
    <col min="16136" max="16136" width="6.09765625" style="1617" customWidth="1"/>
    <col min="16137" max="16140" width="5.19921875" style="1617" customWidth="1"/>
    <col min="16141" max="16141" width="8.09765625" style="1617" customWidth="1"/>
    <col min="16142" max="16144" width="6.09765625" style="1617" customWidth="1"/>
    <col min="16145" max="16146" width="5.19921875" style="1617" customWidth="1"/>
    <col min="16147" max="16147" width="6.59765625" style="1617" customWidth="1"/>
    <col min="16148" max="16148" width="6.09765625" style="1617" customWidth="1"/>
    <col min="16149" max="16384" width="8.69921875" style="1617"/>
  </cols>
  <sheetData>
    <row r="1" spans="1:21" s="1616" customFormat="1" ht="20.100000000000001" customHeight="1">
      <c r="A1" s="2173"/>
      <c r="B1" s="2174"/>
      <c r="C1" s="2174"/>
      <c r="D1" s="2174"/>
      <c r="E1" s="2174"/>
      <c r="F1" s="2174"/>
      <c r="G1" s="2174"/>
      <c r="H1" s="2174"/>
      <c r="I1" s="2174"/>
      <c r="J1" s="2174"/>
      <c r="K1" s="2174"/>
      <c r="L1" s="2174"/>
      <c r="M1" s="2174"/>
      <c r="N1" s="2174"/>
      <c r="O1" s="2174"/>
      <c r="P1" s="2174"/>
      <c r="Q1" s="2174"/>
      <c r="R1" s="2174"/>
      <c r="S1" s="2174"/>
      <c r="T1" s="2175" t="str">
        <f>"索引号："&amp;档案索引!D17</f>
        <v>索引号：2B-12</v>
      </c>
    </row>
    <row r="2" spans="1:21" ht="25.5" customHeight="1">
      <c r="A2" s="3500" t="s">
        <v>5943</v>
      </c>
      <c r="B2" s="3500"/>
      <c r="C2" s="3500"/>
      <c r="D2" s="3500"/>
      <c r="E2" s="3500"/>
      <c r="F2" s="3500"/>
      <c r="G2" s="3500"/>
      <c r="H2" s="3500"/>
      <c r="I2" s="3500"/>
      <c r="J2" s="3500"/>
      <c r="K2" s="3500"/>
      <c r="L2" s="3500"/>
      <c r="M2" s="3500"/>
      <c r="N2" s="3500"/>
      <c r="O2" s="3500"/>
      <c r="P2" s="3500"/>
      <c r="Q2" s="3500"/>
      <c r="R2" s="3500"/>
      <c r="S2" s="3500"/>
      <c r="T2" s="3501"/>
    </row>
    <row r="3" spans="1:21" s="1618" customFormat="1" ht="14.25" customHeight="1">
      <c r="A3" s="3407" t="s">
        <v>5671</v>
      </c>
      <c r="B3" s="3405" t="s">
        <v>5787</v>
      </c>
      <c r="C3" s="3405" t="s">
        <v>5788</v>
      </c>
      <c r="D3" s="3405" t="s">
        <v>5789</v>
      </c>
      <c r="E3" s="3405" t="s">
        <v>1865</v>
      </c>
      <c r="F3" s="3405" t="s">
        <v>847</v>
      </c>
      <c r="G3" s="3405" t="s">
        <v>5790</v>
      </c>
      <c r="H3" s="3405" t="s">
        <v>5791</v>
      </c>
      <c r="I3" s="3405" t="s">
        <v>187</v>
      </c>
      <c r="J3" s="3405" t="s">
        <v>848</v>
      </c>
      <c r="K3" s="3405" t="s">
        <v>849</v>
      </c>
      <c r="L3" s="3405" t="s">
        <v>5792</v>
      </c>
      <c r="M3" s="3405" t="s">
        <v>5793</v>
      </c>
      <c r="N3" s="3405" t="s">
        <v>5794</v>
      </c>
      <c r="O3" s="3405" t="s">
        <v>5795</v>
      </c>
      <c r="P3" s="3502" t="s">
        <v>5796</v>
      </c>
      <c r="Q3" s="3503"/>
      <c r="R3" s="3503"/>
      <c r="S3" s="3503"/>
      <c r="T3" s="3407" t="s">
        <v>5797</v>
      </c>
    </row>
    <row r="4" spans="1:21" s="1618" customFormat="1" ht="77.25" customHeight="1">
      <c r="A4" s="3407"/>
      <c r="B4" s="3409"/>
      <c r="C4" s="3409"/>
      <c r="D4" s="3409"/>
      <c r="E4" s="3409"/>
      <c r="F4" s="3409"/>
      <c r="G4" s="3409"/>
      <c r="H4" s="3409"/>
      <c r="I4" s="3409"/>
      <c r="J4" s="3409"/>
      <c r="K4" s="3409"/>
      <c r="L4" s="3409"/>
      <c r="M4" s="3409"/>
      <c r="N4" s="3409"/>
      <c r="O4" s="3409"/>
      <c r="P4" s="1897" t="s">
        <v>5798</v>
      </c>
      <c r="Q4" s="1897" t="s">
        <v>5799</v>
      </c>
      <c r="R4" s="1897" t="s">
        <v>5800</v>
      </c>
      <c r="S4" s="1897" t="s">
        <v>1280</v>
      </c>
      <c r="T4" s="3407"/>
    </row>
    <row r="5" spans="1:21" s="1618" customFormat="1" ht="27" customHeight="1">
      <c r="A5" s="3407"/>
      <c r="B5" s="1898">
        <v>1</v>
      </c>
      <c r="C5" s="1898">
        <v>2</v>
      </c>
      <c r="D5" s="1898">
        <v>3</v>
      </c>
      <c r="E5" s="1898">
        <v>4</v>
      </c>
      <c r="F5" s="1898" t="s">
        <v>5801</v>
      </c>
      <c r="G5" s="1898">
        <v>6</v>
      </c>
      <c r="H5" s="1898" t="s">
        <v>2341</v>
      </c>
      <c r="I5" s="1898">
        <v>8</v>
      </c>
      <c r="J5" s="1898" t="s">
        <v>5802</v>
      </c>
      <c r="K5" s="1898">
        <v>10</v>
      </c>
      <c r="L5" s="1898">
        <v>11</v>
      </c>
      <c r="M5" s="1899" t="s">
        <v>5803</v>
      </c>
      <c r="N5" s="1898" t="s">
        <v>5804</v>
      </c>
      <c r="O5" s="1899" t="s">
        <v>5805</v>
      </c>
      <c r="P5" s="1898">
        <v>15</v>
      </c>
      <c r="Q5" s="1898">
        <v>16</v>
      </c>
      <c r="R5" s="1898">
        <v>17</v>
      </c>
      <c r="S5" s="1898" t="s">
        <v>5806</v>
      </c>
      <c r="T5" s="1897" t="s">
        <v>5807</v>
      </c>
    </row>
    <row r="6" spans="1:21" s="1616" customFormat="1" ht="14.25" customHeight="1">
      <c r="A6" s="1897">
        <v>1</v>
      </c>
      <c r="B6" s="1901">
        <f>境外所得纳税调整后所得审核表!B6</f>
        <v>0</v>
      </c>
      <c r="C6" s="2075">
        <f>境外所得纳税调整后所得审核表!O6</f>
        <v>0</v>
      </c>
      <c r="D6" s="2075">
        <f>境外所得纳税调整后所得审核表!S6</f>
        <v>0</v>
      </c>
      <c r="E6" s="2075">
        <f>境外分支机构弥补亏损审核表!E9+境外分支机构弥补亏损审核表!N9</f>
        <v>0</v>
      </c>
      <c r="F6" s="2075">
        <f>D6-E6</f>
        <v>0</v>
      </c>
      <c r="G6" s="2076"/>
      <c r="H6" s="2075">
        <f>F6-G6</f>
        <v>0</v>
      </c>
      <c r="I6" s="2076"/>
      <c r="J6" s="2075">
        <f>ROUND(H6*I6,2)</f>
        <v>0</v>
      </c>
      <c r="K6" s="2075">
        <f>境外所得纳税调整后所得审核表!N6</f>
        <v>0</v>
      </c>
      <c r="L6" s="2076"/>
      <c r="M6" s="2075">
        <f>MIN(K6,L6)</f>
        <v>0</v>
      </c>
      <c r="N6" s="2075">
        <f>L6-M6</f>
        <v>0</v>
      </c>
      <c r="O6" s="2075">
        <f>MIN(N6,跨年度结转抵免境外所得税审核表!N6)</f>
        <v>0</v>
      </c>
      <c r="P6" s="2076"/>
      <c r="Q6" s="2076"/>
      <c r="R6" s="2076"/>
      <c r="S6" s="2075">
        <f>P6+Q6+R6</f>
        <v>0</v>
      </c>
      <c r="T6" s="2075">
        <f>M6+O6+S6</f>
        <v>0</v>
      </c>
    </row>
    <row r="7" spans="1:21" s="1616" customFormat="1" ht="14.25" customHeight="1">
      <c r="A7" s="1897">
        <v>2</v>
      </c>
      <c r="B7" s="1901">
        <f>境外所得纳税调整后所得审核表!B7</f>
        <v>0</v>
      </c>
      <c r="C7" s="2075">
        <f>境外所得纳税调整后所得审核表!O7</f>
        <v>0</v>
      </c>
      <c r="D7" s="2075">
        <f>境外所得纳税调整后所得审核表!S7</f>
        <v>0</v>
      </c>
      <c r="E7" s="2075">
        <f>境外分支机构弥补亏损审核表!E10+境外分支机构弥补亏损审核表!N10</f>
        <v>0</v>
      </c>
      <c r="F7" s="2075">
        <f t="shared" ref="F7:F14" si="0">D7-E7</f>
        <v>0</v>
      </c>
      <c r="G7" s="2076"/>
      <c r="H7" s="2075">
        <f t="shared" ref="H7:H14" si="1">F7-G7</f>
        <v>0</v>
      </c>
      <c r="I7" s="2076"/>
      <c r="J7" s="2075">
        <f t="shared" ref="J7:J14" si="2">ROUND(H7*I7,2)</f>
        <v>0</v>
      </c>
      <c r="K7" s="2075">
        <f>境外所得纳税调整后所得审核表!N7</f>
        <v>0</v>
      </c>
      <c r="L7" s="2076"/>
      <c r="M7" s="2075">
        <f t="shared" ref="M7:M14" si="3">MIN(K7,L7)</f>
        <v>0</v>
      </c>
      <c r="N7" s="2075">
        <f t="shared" ref="N7:N14" si="4">L7-M7</f>
        <v>0</v>
      </c>
      <c r="O7" s="2075">
        <f>MIN(N7,跨年度结转抵免境外所得税审核表!N7)</f>
        <v>0</v>
      </c>
      <c r="P7" s="2076"/>
      <c r="Q7" s="2076"/>
      <c r="R7" s="2076"/>
      <c r="S7" s="2075">
        <f t="shared" ref="S7:S14" si="5">P7+Q7+R7</f>
        <v>0</v>
      </c>
      <c r="T7" s="2075">
        <f t="shared" ref="T7:T14" si="6">M7+O7+S7</f>
        <v>0</v>
      </c>
    </row>
    <row r="8" spans="1:21" s="1616" customFormat="1" ht="14.25" customHeight="1">
      <c r="A8" s="1897">
        <v>3</v>
      </c>
      <c r="B8" s="1901">
        <f>境外所得纳税调整后所得审核表!B8</f>
        <v>0</v>
      </c>
      <c r="C8" s="2075">
        <f>境外所得纳税调整后所得审核表!O8</f>
        <v>0</v>
      </c>
      <c r="D8" s="2075">
        <f>境外所得纳税调整后所得审核表!S8</f>
        <v>0</v>
      </c>
      <c r="E8" s="2075">
        <f>境外分支机构弥补亏损审核表!E11+境外分支机构弥补亏损审核表!N11</f>
        <v>0</v>
      </c>
      <c r="F8" s="2075">
        <f t="shared" si="0"/>
        <v>0</v>
      </c>
      <c r="G8" s="2076"/>
      <c r="H8" s="2075">
        <f t="shared" si="1"/>
        <v>0</v>
      </c>
      <c r="I8" s="2076"/>
      <c r="J8" s="2075">
        <f t="shared" si="2"/>
        <v>0</v>
      </c>
      <c r="K8" s="2075">
        <f>境外所得纳税调整后所得审核表!N8</f>
        <v>0</v>
      </c>
      <c r="L8" s="2076"/>
      <c r="M8" s="2075">
        <f t="shared" si="3"/>
        <v>0</v>
      </c>
      <c r="N8" s="2075">
        <f t="shared" si="4"/>
        <v>0</v>
      </c>
      <c r="O8" s="2075">
        <f>MIN(N8,跨年度结转抵免境外所得税审核表!N8)</f>
        <v>0</v>
      </c>
      <c r="P8" s="2076"/>
      <c r="Q8" s="2076"/>
      <c r="R8" s="2076"/>
      <c r="S8" s="2075">
        <f t="shared" si="5"/>
        <v>0</v>
      </c>
      <c r="T8" s="2075">
        <f t="shared" si="6"/>
        <v>0</v>
      </c>
    </row>
    <row r="9" spans="1:21" s="1616" customFormat="1" ht="14.25" customHeight="1">
      <c r="A9" s="1897">
        <v>4</v>
      </c>
      <c r="B9" s="1901">
        <f>境外所得纳税调整后所得审核表!B9</f>
        <v>0</v>
      </c>
      <c r="C9" s="2075">
        <f>境外所得纳税调整后所得审核表!O9</f>
        <v>0</v>
      </c>
      <c r="D9" s="2075">
        <f>境外所得纳税调整后所得审核表!S9</f>
        <v>0</v>
      </c>
      <c r="E9" s="2075">
        <f>境外分支机构弥补亏损审核表!E12+境外分支机构弥补亏损审核表!N12</f>
        <v>0</v>
      </c>
      <c r="F9" s="2075">
        <f t="shared" si="0"/>
        <v>0</v>
      </c>
      <c r="G9" s="2076"/>
      <c r="H9" s="2075">
        <f t="shared" si="1"/>
        <v>0</v>
      </c>
      <c r="I9" s="2076"/>
      <c r="J9" s="2075">
        <f t="shared" si="2"/>
        <v>0</v>
      </c>
      <c r="K9" s="2075">
        <f>境外所得纳税调整后所得审核表!N9</f>
        <v>0</v>
      </c>
      <c r="L9" s="2076"/>
      <c r="M9" s="2075">
        <f t="shared" si="3"/>
        <v>0</v>
      </c>
      <c r="N9" s="2075">
        <f t="shared" si="4"/>
        <v>0</v>
      </c>
      <c r="O9" s="2075">
        <f>MIN(N9,跨年度结转抵免境外所得税审核表!N9)</f>
        <v>0</v>
      </c>
      <c r="P9" s="2076"/>
      <c r="Q9" s="2076"/>
      <c r="R9" s="2076"/>
      <c r="S9" s="2075">
        <f t="shared" si="5"/>
        <v>0</v>
      </c>
      <c r="T9" s="2075">
        <f t="shared" si="6"/>
        <v>0</v>
      </c>
    </row>
    <row r="10" spans="1:21" s="1616" customFormat="1" ht="14.25" customHeight="1">
      <c r="A10" s="1897">
        <v>5</v>
      </c>
      <c r="B10" s="1901">
        <f>境外所得纳税调整后所得审核表!B10</f>
        <v>0</v>
      </c>
      <c r="C10" s="2075">
        <f>境外所得纳税调整后所得审核表!O10</f>
        <v>0</v>
      </c>
      <c r="D10" s="2075">
        <f>境外所得纳税调整后所得审核表!S10</f>
        <v>0</v>
      </c>
      <c r="E10" s="2075">
        <f>境外分支机构弥补亏损审核表!E13+境外分支机构弥补亏损审核表!N13</f>
        <v>0</v>
      </c>
      <c r="F10" s="2075">
        <f t="shared" si="0"/>
        <v>0</v>
      </c>
      <c r="G10" s="2076"/>
      <c r="H10" s="2075">
        <f t="shared" si="1"/>
        <v>0</v>
      </c>
      <c r="I10" s="2076"/>
      <c r="J10" s="2075">
        <f t="shared" si="2"/>
        <v>0</v>
      </c>
      <c r="K10" s="2075">
        <f>境外所得纳税调整后所得审核表!N10</f>
        <v>0</v>
      </c>
      <c r="L10" s="2076"/>
      <c r="M10" s="2075">
        <f t="shared" si="3"/>
        <v>0</v>
      </c>
      <c r="N10" s="2075">
        <f t="shared" si="4"/>
        <v>0</v>
      </c>
      <c r="O10" s="2075">
        <f>MIN(N10,跨年度结转抵免境外所得税审核表!N10)</f>
        <v>0</v>
      </c>
      <c r="P10" s="2076"/>
      <c r="Q10" s="2076"/>
      <c r="R10" s="2076"/>
      <c r="S10" s="2075">
        <f t="shared" si="5"/>
        <v>0</v>
      </c>
      <c r="T10" s="2075">
        <f t="shared" si="6"/>
        <v>0</v>
      </c>
    </row>
    <row r="11" spans="1:21" s="1616" customFormat="1" ht="14.25" customHeight="1">
      <c r="A11" s="1897">
        <v>6</v>
      </c>
      <c r="B11" s="1901">
        <f>境外所得纳税调整后所得审核表!B11</f>
        <v>0</v>
      </c>
      <c r="C11" s="2075">
        <f>境外所得纳税调整后所得审核表!O11</f>
        <v>0</v>
      </c>
      <c r="D11" s="2075">
        <f>境外所得纳税调整后所得审核表!S11</f>
        <v>0</v>
      </c>
      <c r="E11" s="2075">
        <f>境外分支机构弥补亏损审核表!E14+境外分支机构弥补亏损审核表!N14</f>
        <v>0</v>
      </c>
      <c r="F11" s="2075">
        <f t="shared" si="0"/>
        <v>0</v>
      </c>
      <c r="G11" s="2076"/>
      <c r="H11" s="2075">
        <f t="shared" si="1"/>
        <v>0</v>
      </c>
      <c r="I11" s="2076"/>
      <c r="J11" s="2075">
        <f t="shared" si="2"/>
        <v>0</v>
      </c>
      <c r="K11" s="2075">
        <f>境外所得纳税调整后所得审核表!N11</f>
        <v>0</v>
      </c>
      <c r="L11" s="2076"/>
      <c r="M11" s="2075">
        <f t="shared" si="3"/>
        <v>0</v>
      </c>
      <c r="N11" s="2075">
        <f t="shared" si="4"/>
        <v>0</v>
      </c>
      <c r="O11" s="2075">
        <f>MIN(N11,跨年度结转抵免境外所得税审核表!N11)</f>
        <v>0</v>
      </c>
      <c r="P11" s="2076"/>
      <c r="Q11" s="2076"/>
      <c r="R11" s="2076"/>
      <c r="S11" s="2075">
        <f t="shared" si="5"/>
        <v>0</v>
      </c>
      <c r="T11" s="2075">
        <f t="shared" si="6"/>
        <v>0</v>
      </c>
    </row>
    <row r="12" spans="1:21" s="1616" customFormat="1" ht="14.25" customHeight="1">
      <c r="A12" s="1897">
        <v>7</v>
      </c>
      <c r="B12" s="1901">
        <f>境外所得纳税调整后所得审核表!B12</f>
        <v>0</v>
      </c>
      <c r="C12" s="2075">
        <f>境外所得纳税调整后所得审核表!O12</f>
        <v>0</v>
      </c>
      <c r="D12" s="2075">
        <f>境外所得纳税调整后所得审核表!S12</f>
        <v>0</v>
      </c>
      <c r="E12" s="2075">
        <f>境外分支机构弥补亏损审核表!E15+境外分支机构弥补亏损审核表!N15</f>
        <v>0</v>
      </c>
      <c r="F12" s="2075">
        <f t="shared" si="0"/>
        <v>0</v>
      </c>
      <c r="G12" s="2076"/>
      <c r="H12" s="2075">
        <f t="shared" si="1"/>
        <v>0</v>
      </c>
      <c r="I12" s="2076"/>
      <c r="J12" s="2075">
        <f t="shared" si="2"/>
        <v>0</v>
      </c>
      <c r="K12" s="2075">
        <f>境外所得纳税调整后所得审核表!N12</f>
        <v>0</v>
      </c>
      <c r="L12" s="2076"/>
      <c r="M12" s="2075">
        <f t="shared" si="3"/>
        <v>0</v>
      </c>
      <c r="N12" s="2075">
        <f t="shared" si="4"/>
        <v>0</v>
      </c>
      <c r="O12" s="2075">
        <f>MIN(N12,跨年度结转抵免境外所得税审核表!N12)</f>
        <v>0</v>
      </c>
      <c r="P12" s="2076"/>
      <c r="Q12" s="2076"/>
      <c r="R12" s="2076"/>
      <c r="S12" s="2075">
        <f t="shared" si="5"/>
        <v>0</v>
      </c>
      <c r="T12" s="2075">
        <f t="shared" si="6"/>
        <v>0</v>
      </c>
    </row>
    <row r="13" spans="1:21" s="1616" customFormat="1" ht="14.25" customHeight="1">
      <c r="A13" s="1897">
        <v>8</v>
      </c>
      <c r="B13" s="1901">
        <f>境外所得纳税调整后所得审核表!B13</f>
        <v>0</v>
      </c>
      <c r="C13" s="2075">
        <f>境外所得纳税调整后所得审核表!O13</f>
        <v>0</v>
      </c>
      <c r="D13" s="2075">
        <f>境外所得纳税调整后所得审核表!S13</f>
        <v>0</v>
      </c>
      <c r="E13" s="2075">
        <f>境外分支机构弥补亏损审核表!E16+境外分支机构弥补亏损审核表!N16</f>
        <v>0</v>
      </c>
      <c r="F13" s="2075">
        <f t="shared" si="0"/>
        <v>0</v>
      </c>
      <c r="G13" s="2076"/>
      <c r="H13" s="2075">
        <f t="shared" si="1"/>
        <v>0</v>
      </c>
      <c r="I13" s="2076"/>
      <c r="J13" s="2075">
        <f t="shared" si="2"/>
        <v>0</v>
      </c>
      <c r="K13" s="2075">
        <f>境外所得纳税调整后所得审核表!N13</f>
        <v>0</v>
      </c>
      <c r="L13" s="2076"/>
      <c r="M13" s="2075">
        <f t="shared" si="3"/>
        <v>0</v>
      </c>
      <c r="N13" s="2075">
        <f t="shared" si="4"/>
        <v>0</v>
      </c>
      <c r="O13" s="2075">
        <f>MIN(N13,跨年度结转抵免境外所得税审核表!N13)</f>
        <v>0</v>
      </c>
      <c r="P13" s="2076"/>
      <c r="Q13" s="2076"/>
      <c r="R13" s="2076"/>
      <c r="S13" s="2075">
        <f t="shared" si="5"/>
        <v>0</v>
      </c>
      <c r="T13" s="2075">
        <f t="shared" si="6"/>
        <v>0</v>
      </c>
    </row>
    <row r="14" spans="1:21" s="1616" customFormat="1" ht="14.25" customHeight="1">
      <c r="A14" s="1897">
        <v>9</v>
      </c>
      <c r="B14" s="1901">
        <f>境外所得纳税调整后所得审核表!B14</f>
        <v>0</v>
      </c>
      <c r="C14" s="2075">
        <f>境外所得纳税调整后所得审核表!O14</f>
        <v>0</v>
      </c>
      <c r="D14" s="2075">
        <f>境外所得纳税调整后所得审核表!S14</f>
        <v>0</v>
      </c>
      <c r="E14" s="2075">
        <f>境外分支机构弥补亏损审核表!E17+境外分支机构弥补亏损审核表!N17</f>
        <v>0</v>
      </c>
      <c r="F14" s="2075">
        <f t="shared" si="0"/>
        <v>0</v>
      </c>
      <c r="G14" s="2076"/>
      <c r="H14" s="2075">
        <f t="shared" si="1"/>
        <v>0</v>
      </c>
      <c r="I14" s="2076"/>
      <c r="J14" s="2075">
        <f t="shared" si="2"/>
        <v>0</v>
      </c>
      <c r="K14" s="2075">
        <f>境外所得纳税调整后所得审核表!N14</f>
        <v>0</v>
      </c>
      <c r="L14" s="2076"/>
      <c r="M14" s="2075">
        <f t="shared" si="3"/>
        <v>0</v>
      </c>
      <c r="N14" s="2075">
        <f t="shared" si="4"/>
        <v>0</v>
      </c>
      <c r="O14" s="2075">
        <f>MIN(N14,跨年度结转抵免境外所得税审核表!N14)</f>
        <v>0</v>
      </c>
      <c r="P14" s="2076"/>
      <c r="Q14" s="2076"/>
      <c r="R14" s="2076"/>
      <c r="S14" s="2075">
        <f t="shared" si="5"/>
        <v>0</v>
      </c>
      <c r="T14" s="2075">
        <f t="shared" si="6"/>
        <v>0</v>
      </c>
    </row>
    <row r="15" spans="1:21" s="1616" customFormat="1" ht="14.25" customHeight="1">
      <c r="A15" s="1897">
        <v>10</v>
      </c>
      <c r="B15" s="1897" t="s">
        <v>5558</v>
      </c>
      <c r="C15" s="2075">
        <f>SUM(C6:C14)</f>
        <v>0</v>
      </c>
      <c r="D15" s="2075">
        <f t="shared" ref="D15:H15" si="7">SUM(D6:D14)</f>
        <v>0</v>
      </c>
      <c r="E15" s="2075">
        <f t="shared" si="7"/>
        <v>0</v>
      </c>
      <c r="F15" s="2075">
        <f t="shared" si="7"/>
        <v>0</v>
      </c>
      <c r="G15" s="2076"/>
      <c r="H15" s="2075">
        <f t="shared" si="7"/>
        <v>0</v>
      </c>
      <c r="I15" s="2076"/>
      <c r="J15" s="2075">
        <f t="shared" ref="J15:K15" si="8">SUM(J6:J14)</f>
        <v>0</v>
      </c>
      <c r="K15" s="2075">
        <f t="shared" si="8"/>
        <v>0</v>
      </c>
      <c r="L15" s="2076"/>
      <c r="M15" s="2075">
        <f t="shared" ref="M15" si="9">SUM(M6:M14)</f>
        <v>0</v>
      </c>
      <c r="N15" s="2075">
        <f t="shared" ref="N15" si="10">SUM(N6:N14)</f>
        <v>0</v>
      </c>
      <c r="O15" s="2075">
        <f t="shared" ref="O15" si="11">SUM(O6:O14)</f>
        <v>0</v>
      </c>
      <c r="P15" s="2075">
        <f t="shared" ref="P15" si="12">SUM(P6:P14)</f>
        <v>0</v>
      </c>
      <c r="Q15" s="2075">
        <f t="shared" ref="Q15" si="13">SUM(Q6:Q14)</f>
        <v>0</v>
      </c>
      <c r="R15" s="2075">
        <f t="shared" ref="R15" si="14">SUM(R6:R14)</f>
        <v>0</v>
      </c>
      <c r="S15" s="2075">
        <f t="shared" ref="S15" si="15">SUM(S6:S14)</f>
        <v>0</v>
      </c>
      <c r="T15" s="2075">
        <f t="shared" ref="T15" si="16">SUM(T6:T14)</f>
        <v>0</v>
      </c>
      <c r="U15" s="1770" t="s">
        <v>6476</v>
      </c>
    </row>
    <row r="16" spans="1:21" ht="100.5" customHeight="1">
      <c r="A16" s="1900"/>
      <c r="B16" s="1897" t="s">
        <v>4899</v>
      </c>
      <c r="C16" s="1900" t="s">
        <v>5808</v>
      </c>
      <c r="D16" s="1902" t="s">
        <v>5809</v>
      </c>
      <c r="E16" s="1902" t="s">
        <v>5810</v>
      </c>
      <c r="F16" s="1900"/>
      <c r="G16" s="1902" t="s">
        <v>5811</v>
      </c>
      <c r="H16" s="1900"/>
      <c r="I16" s="1900"/>
      <c r="J16" s="1902" t="s">
        <v>5812</v>
      </c>
      <c r="K16" s="1902" t="s">
        <v>5813</v>
      </c>
      <c r="L16" s="1900"/>
      <c r="M16" s="1900"/>
      <c r="N16" s="1900"/>
      <c r="O16" s="1902" t="s">
        <v>5814</v>
      </c>
      <c r="P16" s="1902"/>
      <c r="Q16" s="1900"/>
      <c r="R16" s="1900"/>
      <c r="S16" s="1900"/>
      <c r="T16" s="1902" t="s">
        <v>5815</v>
      </c>
    </row>
    <row r="17" spans="1:20">
      <c r="A17" s="3499"/>
      <c r="B17" s="3499"/>
      <c r="C17" s="3499"/>
      <c r="D17" s="3499"/>
      <c r="E17" s="3499"/>
      <c r="F17" s="3499"/>
      <c r="G17" s="3499"/>
      <c r="H17" s="3499"/>
      <c r="I17" s="3499"/>
      <c r="J17" s="3499"/>
      <c r="K17" s="3499"/>
      <c r="L17" s="3499"/>
      <c r="M17" s="3499"/>
      <c r="N17" s="3499"/>
      <c r="O17" s="3499"/>
      <c r="P17" s="3499"/>
      <c r="Q17" s="3499"/>
      <c r="R17" s="3499"/>
      <c r="S17" s="3499"/>
      <c r="T17" s="3499"/>
    </row>
    <row r="18" spans="1:20">
      <c r="A18" s="3499"/>
      <c r="B18" s="3499"/>
      <c r="C18" s="3499"/>
      <c r="D18" s="3499"/>
      <c r="E18" s="3499"/>
      <c r="F18" s="3499"/>
      <c r="G18" s="3499"/>
      <c r="H18" s="3499"/>
      <c r="I18" s="3499"/>
      <c r="J18" s="3499"/>
      <c r="K18" s="3499"/>
      <c r="L18" s="3499"/>
      <c r="M18" s="3499"/>
      <c r="N18" s="3499"/>
      <c r="O18" s="3499"/>
      <c r="P18" s="3499"/>
      <c r="Q18" s="3499"/>
      <c r="R18" s="3499"/>
      <c r="S18" s="3499"/>
      <c r="T18" s="3499"/>
    </row>
    <row r="19" spans="1:20">
      <c r="A19" s="3499"/>
      <c r="B19" s="3499"/>
      <c r="C19" s="3499"/>
      <c r="D19" s="3499"/>
      <c r="E19" s="3499"/>
      <c r="F19" s="3499"/>
      <c r="G19" s="3499"/>
      <c r="H19" s="3499"/>
      <c r="I19" s="3499"/>
      <c r="J19" s="3499"/>
      <c r="K19" s="3499"/>
      <c r="L19" s="3499"/>
      <c r="M19" s="3499"/>
      <c r="N19" s="3499"/>
      <c r="O19" s="3499"/>
      <c r="P19" s="3499"/>
      <c r="Q19" s="3499"/>
      <c r="R19" s="3499"/>
      <c r="S19" s="3499"/>
      <c r="T19" s="3499"/>
    </row>
    <row r="20" spans="1:20">
      <c r="A20" s="3499"/>
      <c r="B20" s="3499"/>
      <c r="C20" s="3499"/>
      <c r="D20" s="3499"/>
      <c r="E20" s="3499"/>
      <c r="F20" s="3499"/>
      <c r="G20" s="3499"/>
      <c r="H20" s="3499"/>
      <c r="I20" s="3499"/>
      <c r="J20" s="3499"/>
      <c r="K20" s="3499"/>
      <c r="L20" s="3499"/>
      <c r="M20" s="3499"/>
      <c r="N20" s="3499"/>
      <c r="O20" s="3499"/>
      <c r="P20" s="3499"/>
      <c r="Q20" s="3499"/>
      <c r="R20" s="3499"/>
      <c r="S20" s="3499"/>
      <c r="T20" s="3499"/>
    </row>
    <row r="21" spans="1:20">
      <c r="A21" s="3499"/>
      <c r="B21" s="3499"/>
      <c r="C21" s="3499"/>
      <c r="D21" s="3499"/>
      <c r="E21" s="3499"/>
      <c r="F21" s="3499"/>
      <c r="G21" s="3499"/>
      <c r="H21" s="3499"/>
      <c r="I21" s="3499"/>
      <c r="J21" s="3499"/>
      <c r="K21" s="3499"/>
      <c r="L21" s="3499"/>
      <c r="M21" s="3499"/>
      <c r="N21" s="3499"/>
      <c r="O21" s="3499"/>
      <c r="P21" s="3499"/>
      <c r="Q21" s="3499"/>
      <c r="R21" s="3499"/>
      <c r="S21" s="3499"/>
      <c r="T21" s="3499"/>
    </row>
    <row r="22" spans="1:20">
      <c r="A22" s="3499"/>
      <c r="B22" s="3499"/>
      <c r="C22" s="3499"/>
      <c r="D22" s="3499"/>
      <c r="E22" s="3499"/>
      <c r="F22" s="3499"/>
      <c r="G22" s="3499"/>
      <c r="H22" s="3499"/>
      <c r="I22" s="3499"/>
      <c r="J22" s="3499"/>
      <c r="K22" s="3499"/>
      <c r="L22" s="3499"/>
      <c r="M22" s="3499"/>
      <c r="N22" s="3499"/>
      <c r="O22" s="3499"/>
      <c r="P22" s="3499"/>
      <c r="Q22" s="3499"/>
      <c r="R22" s="3499"/>
      <c r="S22" s="3499"/>
      <c r="T22" s="3499"/>
    </row>
    <row r="23" spans="1:20">
      <c r="A23" s="3499"/>
      <c r="B23" s="3499"/>
      <c r="C23" s="3499"/>
      <c r="D23" s="3499"/>
      <c r="E23" s="3499"/>
      <c r="F23" s="3499"/>
      <c r="G23" s="3499"/>
      <c r="H23" s="3499"/>
      <c r="I23" s="3499"/>
      <c r="J23" s="3499"/>
      <c r="K23" s="3499"/>
      <c r="L23" s="3499"/>
      <c r="M23" s="3499"/>
      <c r="N23" s="3499"/>
      <c r="O23" s="3499"/>
      <c r="P23" s="3499"/>
      <c r="Q23" s="3499"/>
      <c r="R23" s="3499"/>
      <c r="S23" s="3499"/>
      <c r="T23" s="3499"/>
    </row>
    <row r="24" spans="1:20">
      <c r="A24" s="3499"/>
      <c r="B24" s="3499"/>
      <c r="C24" s="3499"/>
      <c r="D24" s="3499"/>
      <c r="E24" s="3499"/>
      <c r="F24" s="3499"/>
      <c r="G24" s="3499"/>
      <c r="H24" s="3499"/>
      <c r="I24" s="3499"/>
      <c r="J24" s="3499"/>
      <c r="K24" s="3499"/>
      <c r="L24" s="3499"/>
      <c r="M24" s="3499"/>
      <c r="N24" s="3499"/>
      <c r="O24" s="3499"/>
      <c r="P24" s="3499"/>
      <c r="Q24" s="3499"/>
      <c r="R24" s="3499"/>
      <c r="S24" s="3499"/>
      <c r="T24" s="3499"/>
    </row>
    <row r="25" spans="1:20">
      <c r="A25" s="3499"/>
      <c r="B25" s="3499"/>
      <c r="C25" s="3499"/>
      <c r="D25" s="3499"/>
      <c r="E25" s="3499"/>
      <c r="F25" s="3499"/>
      <c r="G25" s="3499"/>
      <c r="H25" s="3499"/>
      <c r="I25" s="3499"/>
      <c r="J25" s="3499"/>
      <c r="K25" s="3499"/>
      <c r="L25" s="3499"/>
      <c r="M25" s="3499"/>
      <c r="N25" s="3499"/>
      <c r="O25" s="3499"/>
      <c r="P25" s="3499"/>
      <c r="Q25" s="3499"/>
      <c r="R25" s="3499"/>
      <c r="S25" s="3499"/>
      <c r="T25" s="3499"/>
    </row>
    <row r="26" spans="1:20">
      <c r="A26" s="3499"/>
      <c r="B26" s="3499"/>
      <c r="C26" s="3499"/>
      <c r="D26" s="3499"/>
      <c r="E26" s="3499"/>
      <c r="F26" s="3499"/>
      <c r="G26" s="3499"/>
      <c r="H26" s="3499"/>
      <c r="I26" s="3499"/>
      <c r="J26" s="3499"/>
      <c r="K26" s="3499"/>
      <c r="L26" s="3499"/>
      <c r="M26" s="3499"/>
      <c r="N26" s="3499"/>
      <c r="O26" s="3499"/>
      <c r="P26" s="3499"/>
      <c r="Q26" s="3499"/>
      <c r="R26" s="3499"/>
      <c r="S26" s="3499"/>
      <c r="T26" s="3499"/>
    </row>
    <row r="27" spans="1:20">
      <c r="A27" s="3499"/>
      <c r="B27" s="3499"/>
      <c r="C27" s="3499"/>
      <c r="D27" s="3499"/>
      <c r="E27" s="3499"/>
      <c r="F27" s="3499"/>
      <c r="G27" s="3499"/>
      <c r="H27" s="3499"/>
      <c r="I27" s="3499"/>
      <c r="J27" s="3499"/>
      <c r="K27" s="3499"/>
      <c r="L27" s="3499"/>
      <c r="M27" s="3499"/>
      <c r="N27" s="3499"/>
      <c r="O27" s="3499"/>
      <c r="P27" s="3499"/>
      <c r="Q27" s="3499"/>
      <c r="R27" s="3499"/>
      <c r="S27" s="3499"/>
      <c r="T27" s="3499"/>
    </row>
    <row r="28" spans="1:20">
      <c r="A28" s="3499"/>
      <c r="B28" s="3499"/>
      <c r="C28" s="3499"/>
      <c r="D28" s="3499"/>
      <c r="E28" s="3499"/>
      <c r="F28" s="3499"/>
      <c r="G28" s="3499"/>
      <c r="H28" s="3499"/>
      <c r="I28" s="3499"/>
      <c r="J28" s="3499"/>
      <c r="K28" s="3499"/>
      <c r="L28" s="3499"/>
      <c r="M28" s="3499"/>
      <c r="N28" s="3499"/>
      <c r="O28" s="3499"/>
      <c r="P28" s="3499"/>
      <c r="Q28" s="3499"/>
      <c r="R28" s="3499"/>
      <c r="S28" s="3499"/>
      <c r="T28" s="3499"/>
    </row>
    <row r="29" spans="1:20">
      <c r="A29" s="3499"/>
      <c r="B29" s="3499"/>
      <c r="C29" s="3499"/>
      <c r="D29" s="3499"/>
      <c r="E29" s="3499"/>
      <c r="F29" s="3499"/>
      <c r="G29" s="3499"/>
      <c r="H29" s="3499"/>
      <c r="I29" s="3499"/>
      <c r="J29" s="3499"/>
      <c r="K29" s="3499"/>
      <c r="L29" s="3499"/>
      <c r="M29" s="3499"/>
      <c r="N29" s="3499"/>
      <c r="O29" s="3499"/>
      <c r="P29" s="3499"/>
      <c r="Q29" s="3499"/>
      <c r="R29" s="3499"/>
      <c r="S29" s="3499"/>
      <c r="T29" s="3499"/>
    </row>
    <row r="30" spans="1:20">
      <c r="A30" s="3499"/>
      <c r="B30" s="3499"/>
      <c r="C30" s="3499"/>
      <c r="D30" s="3499"/>
      <c r="E30" s="3499"/>
      <c r="F30" s="3499"/>
      <c r="G30" s="3499"/>
      <c r="H30" s="3499"/>
      <c r="I30" s="3499"/>
      <c r="J30" s="3499"/>
      <c r="K30" s="3499"/>
      <c r="L30" s="3499"/>
      <c r="M30" s="3499"/>
      <c r="N30" s="3499"/>
      <c r="O30" s="3499"/>
      <c r="P30" s="3499"/>
      <c r="Q30" s="3499"/>
      <c r="R30" s="3499"/>
      <c r="S30" s="3499"/>
      <c r="T30" s="3499"/>
    </row>
    <row r="31" spans="1:20">
      <c r="A31" s="3499"/>
      <c r="B31" s="3499"/>
      <c r="C31" s="3499"/>
      <c r="D31" s="3499"/>
      <c r="E31" s="3499"/>
      <c r="F31" s="3499"/>
      <c r="G31" s="3499"/>
      <c r="H31" s="3499"/>
      <c r="I31" s="3499"/>
      <c r="J31" s="3499"/>
      <c r="K31" s="3499"/>
      <c r="L31" s="3499"/>
      <c r="M31" s="3499"/>
      <c r="N31" s="3499"/>
      <c r="O31" s="3499"/>
      <c r="P31" s="3499"/>
      <c r="Q31" s="3499"/>
      <c r="R31" s="3499"/>
      <c r="S31" s="3499"/>
      <c r="T31" s="3499"/>
    </row>
    <row r="32" spans="1:20">
      <c r="A32" s="3499"/>
      <c r="B32" s="3499"/>
      <c r="C32" s="3499"/>
      <c r="D32" s="3499"/>
      <c r="E32" s="3499"/>
      <c r="F32" s="3499"/>
      <c r="G32" s="3499"/>
      <c r="H32" s="3499"/>
      <c r="I32" s="3499"/>
      <c r="J32" s="3499"/>
      <c r="K32" s="3499"/>
      <c r="L32" s="3499"/>
      <c r="M32" s="3499"/>
      <c r="N32" s="3499"/>
      <c r="O32" s="3499"/>
      <c r="P32" s="3499"/>
      <c r="Q32" s="3499"/>
      <c r="R32" s="3499"/>
      <c r="S32" s="3499"/>
      <c r="T32" s="3499"/>
    </row>
    <row r="33" spans="1:20">
      <c r="A33" s="3499"/>
      <c r="B33" s="3499"/>
      <c r="C33" s="3499"/>
      <c r="D33" s="3499"/>
      <c r="E33" s="3499"/>
      <c r="F33" s="3499"/>
      <c r="G33" s="3499"/>
      <c r="H33" s="3499"/>
      <c r="I33" s="3499"/>
      <c r="J33" s="3499"/>
      <c r="K33" s="3499"/>
      <c r="L33" s="3499"/>
      <c r="M33" s="3499"/>
      <c r="N33" s="3499"/>
      <c r="O33" s="3499"/>
      <c r="P33" s="3499"/>
      <c r="Q33" s="3499"/>
      <c r="R33" s="3499"/>
      <c r="S33" s="3499"/>
      <c r="T33" s="3499"/>
    </row>
    <row r="34" spans="1:20">
      <c r="A34" s="3499"/>
      <c r="B34" s="3499"/>
      <c r="C34" s="3499"/>
      <c r="D34" s="3499"/>
      <c r="E34" s="3499"/>
      <c r="F34" s="3499"/>
      <c r="G34" s="3499"/>
      <c r="H34" s="3499"/>
      <c r="I34" s="3499"/>
      <c r="J34" s="3499"/>
      <c r="K34" s="3499"/>
      <c r="L34" s="3499"/>
      <c r="M34" s="3499"/>
      <c r="N34" s="3499"/>
      <c r="O34" s="3499"/>
      <c r="P34" s="3499"/>
      <c r="Q34" s="3499"/>
      <c r="R34" s="3499"/>
      <c r="S34" s="3499"/>
      <c r="T34" s="3499"/>
    </row>
    <row r="35" spans="1:20">
      <c r="A35" s="3499"/>
      <c r="B35" s="3499"/>
      <c r="C35" s="3499"/>
      <c r="D35" s="3499"/>
      <c r="E35" s="3499"/>
      <c r="F35" s="3499"/>
      <c r="G35" s="3499"/>
      <c r="H35" s="3499"/>
      <c r="I35" s="3499"/>
      <c r="J35" s="3499"/>
      <c r="K35" s="3499"/>
      <c r="L35" s="3499"/>
      <c r="M35" s="3499"/>
      <c r="N35" s="3499"/>
      <c r="O35" s="3499"/>
      <c r="P35" s="3499"/>
      <c r="Q35" s="3499"/>
      <c r="R35" s="3499"/>
      <c r="S35" s="3499"/>
      <c r="T35" s="3499"/>
    </row>
    <row r="36" spans="1:20">
      <c r="A36" s="3499"/>
      <c r="B36" s="3499"/>
      <c r="C36" s="3499"/>
      <c r="D36" s="3499"/>
      <c r="E36" s="3499"/>
      <c r="F36" s="3499"/>
      <c r="G36" s="3499"/>
      <c r="H36" s="3499"/>
      <c r="I36" s="3499"/>
      <c r="J36" s="3499"/>
      <c r="K36" s="3499"/>
      <c r="L36" s="3499"/>
      <c r="M36" s="3499"/>
      <c r="N36" s="3499"/>
      <c r="O36" s="3499"/>
      <c r="P36" s="3499"/>
      <c r="Q36" s="3499"/>
      <c r="R36" s="3499"/>
      <c r="S36" s="3499"/>
      <c r="T36" s="3499"/>
    </row>
    <row r="37" spans="1:20">
      <c r="A37" s="3499"/>
      <c r="B37" s="3499"/>
      <c r="C37" s="3499"/>
      <c r="D37" s="3499"/>
      <c r="E37" s="3499"/>
      <c r="F37" s="3499"/>
      <c r="G37" s="3499"/>
      <c r="H37" s="3499"/>
      <c r="I37" s="3499"/>
      <c r="J37" s="3499"/>
      <c r="K37" s="3499"/>
      <c r="L37" s="3499"/>
      <c r="M37" s="3499"/>
      <c r="N37" s="3499"/>
      <c r="O37" s="3499"/>
      <c r="P37" s="3499"/>
      <c r="Q37" s="3499"/>
      <c r="R37" s="3499"/>
      <c r="S37" s="3499"/>
      <c r="T37" s="3499"/>
    </row>
    <row r="38" spans="1:20">
      <c r="A38" s="3499"/>
      <c r="B38" s="3499"/>
      <c r="C38" s="3499"/>
      <c r="D38" s="3499"/>
      <c r="E38" s="3499"/>
      <c r="F38" s="3499"/>
      <c r="G38" s="3499"/>
      <c r="H38" s="3499"/>
      <c r="I38" s="3499"/>
      <c r="J38" s="3499"/>
      <c r="K38" s="3499"/>
      <c r="L38" s="3499"/>
      <c r="M38" s="3499"/>
      <c r="N38" s="3499"/>
      <c r="O38" s="3499"/>
      <c r="P38" s="3499"/>
      <c r="Q38" s="3499"/>
      <c r="R38" s="3499"/>
      <c r="S38" s="3499"/>
      <c r="T38" s="3499"/>
    </row>
    <row r="39" spans="1:20">
      <c r="A39" s="3499"/>
      <c r="B39" s="3499"/>
      <c r="C39" s="3499"/>
      <c r="D39" s="3499"/>
      <c r="E39" s="3499"/>
      <c r="F39" s="3499"/>
      <c r="G39" s="3499"/>
      <c r="H39" s="3499"/>
      <c r="I39" s="3499"/>
      <c r="J39" s="3499"/>
      <c r="K39" s="3499"/>
      <c r="L39" s="3499"/>
      <c r="M39" s="3499"/>
      <c r="N39" s="3499"/>
      <c r="O39" s="3499"/>
      <c r="P39" s="3499"/>
      <c r="Q39" s="3499"/>
      <c r="R39" s="3499"/>
      <c r="S39" s="3499"/>
      <c r="T39" s="3499"/>
    </row>
    <row r="40" spans="1:20">
      <c r="A40" s="3499"/>
      <c r="B40" s="3499"/>
      <c r="C40" s="3499"/>
      <c r="D40" s="3499"/>
      <c r="E40" s="3499"/>
      <c r="F40" s="3499"/>
      <c r="G40" s="3499"/>
      <c r="H40" s="3499"/>
      <c r="I40" s="3499"/>
      <c r="J40" s="3499"/>
      <c r="K40" s="3499"/>
      <c r="L40" s="3499"/>
      <c r="M40" s="3499"/>
      <c r="N40" s="3499"/>
      <c r="O40" s="3499"/>
      <c r="P40" s="3499"/>
      <c r="Q40" s="3499"/>
      <c r="R40" s="3499"/>
      <c r="S40" s="3499"/>
      <c r="T40" s="3499"/>
    </row>
    <row r="41" spans="1:20">
      <c r="A41" s="3499"/>
      <c r="B41" s="3499"/>
      <c r="C41" s="3499"/>
      <c r="D41" s="3499"/>
      <c r="E41" s="3499"/>
      <c r="F41" s="3499"/>
      <c r="G41" s="3499"/>
      <c r="H41" s="3499"/>
      <c r="I41" s="3499"/>
      <c r="J41" s="3499"/>
      <c r="K41" s="3499"/>
      <c r="L41" s="3499"/>
      <c r="M41" s="3499"/>
      <c r="N41" s="3499"/>
      <c r="O41" s="3499"/>
      <c r="P41" s="3499"/>
      <c r="Q41" s="3499"/>
      <c r="R41" s="3499"/>
      <c r="S41" s="3499"/>
      <c r="T41" s="3499"/>
    </row>
    <row r="42" spans="1:20">
      <c r="A42" s="3499"/>
      <c r="B42" s="3499"/>
      <c r="C42" s="3499"/>
      <c r="D42" s="3499"/>
      <c r="E42" s="3499"/>
      <c r="F42" s="3499"/>
      <c r="G42" s="3499"/>
      <c r="H42" s="3499"/>
      <c r="I42" s="3499"/>
      <c r="J42" s="3499"/>
      <c r="K42" s="3499"/>
      <c r="L42" s="3499"/>
      <c r="M42" s="3499"/>
      <c r="N42" s="3499"/>
      <c r="O42" s="3499"/>
      <c r="P42" s="3499"/>
      <c r="Q42" s="3499"/>
      <c r="R42" s="3499"/>
      <c r="S42" s="3499"/>
      <c r="T42" s="3499"/>
    </row>
    <row r="43" spans="1:20">
      <c r="A43" s="3499"/>
      <c r="B43" s="3499"/>
      <c r="C43" s="3499"/>
      <c r="D43" s="3499"/>
      <c r="E43" s="3499"/>
      <c r="F43" s="3499"/>
      <c r="G43" s="3499"/>
      <c r="H43" s="3499"/>
      <c r="I43" s="3499"/>
      <c r="J43" s="3499"/>
      <c r="K43" s="3499"/>
      <c r="L43" s="3499"/>
      <c r="M43" s="3499"/>
      <c r="N43" s="3499"/>
      <c r="O43" s="3499"/>
      <c r="P43" s="3499"/>
      <c r="Q43" s="3499"/>
      <c r="R43" s="3499"/>
      <c r="S43" s="3499"/>
      <c r="T43" s="3499"/>
    </row>
    <row r="44" spans="1:20">
      <c r="A44" s="3499"/>
      <c r="B44" s="3499"/>
      <c r="C44" s="3499"/>
      <c r="D44" s="3499"/>
      <c r="E44" s="3499"/>
      <c r="F44" s="3499"/>
      <c r="G44" s="3499"/>
      <c r="H44" s="3499"/>
      <c r="I44" s="3499"/>
      <c r="J44" s="3499"/>
      <c r="K44" s="3499"/>
      <c r="L44" s="3499"/>
      <c r="M44" s="3499"/>
      <c r="N44" s="3499"/>
      <c r="O44" s="3499"/>
      <c r="P44" s="3499"/>
      <c r="Q44" s="3499"/>
      <c r="R44" s="3499"/>
      <c r="S44" s="3499"/>
      <c r="T44" s="3499"/>
    </row>
    <row r="45" spans="1:20">
      <c r="A45" s="3499"/>
      <c r="B45" s="3499"/>
      <c r="C45" s="3499"/>
      <c r="D45" s="3499"/>
      <c r="E45" s="3499"/>
      <c r="F45" s="3499"/>
      <c r="G45" s="3499"/>
      <c r="H45" s="3499"/>
      <c r="I45" s="3499"/>
      <c r="J45" s="3499"/>
      <c r="K45" s="3499"/>
      <c r="L45" s="3499"/>
      <c r="M45" s="3499"/>
      <c r="N45" s="3499"/>
      <c r="O45" s="3499"/>
      <c r="P45" s="3499"/>
      <c r="Q45" s="3499"/>
      <c r="R45" s="3499"/>
      <c r="S45" s="3499"/>
      <c r="T45" s="3499"/>
    </row>
    <row r="46" spans="1:20">
      <c r="A46" s="3499"/>
      <c r="B46" s="3499"/>
      <c r="C46" s="3499"/>
      <c r="D46" s="3499"/>
      <c r="E46" s="3499"/>
      <c r="F46" s="3499"/>
      <c r="G46" s="3499"/>
      <c r="H46" s="3499"/>
      <c r="I46" s="3499"/>
      <c r="J46" s="3499"/>
      <c r="K46" s="3499"/>
      <c r="L46" s="3499"/>
      <c r="M46" s="3499"/>
      <c r="N46" s="3499"/>
      <c r="O46" s="3499"/>
      <c r="P46" s="3499"/>
      <c r="Q46" s="3499"/>
      <c r="R46" s="3499"/>
      <c r="S46" s="3499"/>
      <c r="T46" s="3499"/>
    </row>
    <row r="47" spans="1:20">
      <c r="A47" s="3499"/>
      <c r="B47" s="3499"/>
      <c r="C47" s="3499"/>
      <c r="D47" s="3499"/>
      <c r="E47" s="3499"/>
      <c r="F47" s="3499"/>
      <c r="G47" s="3499"/>
      <c r="H47" s="3499"/>
      <c r="I47" s="3499"/>
      <c r="J47" s="3499"/>
      <c r="K47" s="3499"/>
      <c r="L47" s="3499"/>
      <c r="M47" s="3499"/>
      <c r="N47" s="3499"/>
      <c r="O47" s="3499"/>
      <c r="P47" s="3499"/>
      <c r="Q47" s="3499"/>
      <c r="R47" s="3499"/>
      <c r="S47" s="3499"/>
      <c r="T47" s="3499"/>
    </row>
    <row r="48" spans="1:20">
      <c r="A48" s="3499"/>
      <c r="B48" s="3499"/>
      <c r="C48" s="3499"/>
      <c r="D48" s="3499"/>
      <c r="E48" s="3499"/>
      <c r="F48" s="3499"/>
      <c r="G48" s="3499"/>
      <c r="H48" s="3499"/>
      <c r="I48" s="3499"/>
      <c r="J48" s="3499"/>
      <c r="K48" s="3499"/>
      <c r="L48" s="3499"/>
      <c r="M48" s="3499"/>
      <c r="N48" s="3499"/>
      <c r="O48" s="3499"/>
      <c r="P48" s="3499"/>
      <c r="Q48" s="3499"/>
      <c r="R48" s="3499"/>
      <c r="S48" s="3499"/>
      <c r="T48" s="3499"/>
    </row>
    <row r="49" spans="1:20">
      <c r="A49" s="3499"/>
      <c r="B49" s="3499"/>
      <c r="C49" s="3499"/>
      <c r="D49" s="3499"/>
      <c r="E49" s="3499"/>
      <c r="F49" s="3499"/>
      <c r="G49" s="3499"/>
      <c r="H49" s="3499"/>
      <c r="I49" s="3499"/>
      <c r="J49" s="3499"/>
      <c r="K49" s="3499"/>
      <c r="L49" s="3499"/>
      <c r="M49" s="3499"/>
      <c r="N49" s="3499"/>
      <c r="O49" s="3499"/>
      <c r="P49" s="3499"/>
      <c r="Q49" s="3499"/>
      <c r="R49" s="3499"/>
      <c r="S49" s="3499"/>
      <c r="T49" s="3499"/>
    </row>
    <row r="50" spans="1:20">
      <c r="A50" s="3499"/>
      <c r="B50" s="3499"/>
      <c r="C50" s="3499"/>
      <c r="D50" s="3499"/>
      <c r="E50" s="3499"/>
      <c r="F50" s="3499"/>
      <c r="G50" s="3499"/>
      <c r="H50" s="3499"/>
      <c r="I50" s="3499"/>
      <c r="J50" s="3499"/>
      <c r="K50" s="3499"/>
      <c r="L50" s="3499"/>
      <c r="M50" s="3499"/>
      <c r="N50" s="3499"/>
      <c r="O50" s="3499"/>
      <c r="P50" s="3499"/>
      <c r="Q50" s="3499"/>
      <c r="R50" s="3499"/>
      <c r="S50" s="3499"/>
      <c r="T50" s="3499"/>
    </row>
    <row r="51" spans="1:20">
      <c r="A51" s="3499"/>
      <c r="B51" s="3499"/>
      <c r="C51" s="3499"/>
      <c r="D51" s="3499"/>
      <c r="E51" s="3499"/>
      <c r="F51" s="3499"/>
      <c r="G51" s="3499"/>
      <c r="H51" s="3499"/>
      <c r="I51" s="3499"/>
      <c r="J51" s="3499"/>
      <c r="K51" s="3499"/>
      <c r="L51" s="3499"/>
      <c r="M51" s="3499"/>
      <c r="N51" s="3499"/>
      <c r="O51" s="3499"/>
      <c r="P51" s="3499"/>
      <c r="Q51" s="3499"/>
      <c r="R51" s="3499"/>
      <c r="S51" s="3499"/>
      <c r="T51" s="3499"/>
    </row>
    <row r="52" spans="1:20">
      <c r="A52" s="3499"/>
      <c r="B52" s="3499"/>
      <c r="C52" s="3499"/>
      <c r="D52" s="3499"/>
      <c r="E52" s="3499"/>
      <c r="F52" s="3499"/>
      <c r="G52" s="3499"/>
      <c r="H52" s="3499"/>
      <c r="I52" s="3499"/>
      <c r="J52" s="3499"/>
      <c r="K52" s="3499"/>
      <c r="L52" s="3499"/>
      <c r="M52" s="3499"/>
      <c r="N52" s="3499"/>
      <c r="O52" s="3499"/>
      <c r="P52" s="3499"/>
      <c r="Q52" s="3499"/>
      <c r="R52" s="3499"/>
      <c r="S52" s="3499"/>
      <c r="T52" s="3499"/>
    </row>
    <row r="53" spans="1:20">
      <c r="A53" s="3499"/>
      <c r="B53" s="3499"/>
      <c r="C53" s="3499"/>
      <c r="D53" s="3499"/>
      <c r="E53" s="3499"/>
      <c r="F53" s="3499"/>
      <c r="G53" s="3499"/>
      <c r="H53" s="3499"/>
      <c r="I53" s="3499"/>
      <c r="J53" s="3499"/>
      <c r="K53" s="3499"/>
      <c r="L53" s="3499"/>
      <c r="M53" s="3499"/>
      <c r="N53" s="3499"/>
      <c r="O53" s="3499"/>
      <c r="P53" s="3499"/>
      <c r="Q53" s="3499"/>
      <c r="R53" s="3499"/>
      <c r="S53" s="3499"/>
      <c r="T53" s="3499"/>
    </row>
    <row r="54" spans="1:20">
      <c r="A54" s="3499"/>
      <c r="B54" s="3499"/>
      <c r="C54" s="3499"/>
      <c r="D54" s="3499"/>
      <c r="E54" s="3499"/>
      <c r="F54" s="3499"/>
      <c r="G54" s="3499"/>
      <c r="H54" s="3499"/>
      <c r="I54" s="3499"/>
      <c r="J54" s="3499"/>
      <c r="K54" s="3499"/>
      <c r="L54" s="3499"/>
      <c r="M54" s="3499"/>
      <c r="N54" s="3499"/>
      <c r="O54" s="3499"/>
      <c r="P54" s="3499"/>
      <c r="Q54" s="3499"/>
      <c r="R54" s="3499"/>
      <c r="S54" s="3499"/>
      <c r="T54" s="3499"/>
    </row>
    <row r="55" spans="1:20">
      <c r="A55" s="3499"/>
      <c r="B55" s="3499"/>
      <c r="C55" s="3499"/>
      <c r="D55" s="3499"/>
      <c r="E55" s="3499"/>
      <c r="F55" s="3499"/>
      <c r="G55" s="3499"/>
      <c r="H55" s="3499"/>
      <c r="I55" s="3499"/>
      <c r="J55" s="3499"/>
      <c r="K55" s="3499"/>
      <c r="L55" s="3499"/>
      <c r="M55" s="3499"/>
      <c r="N55" s="3499"/>
      <c r="O55" s="3499"/>
      <c r="P55" s="3499"/>
      <c r="Q55" s="3499"/>
      <c r="R55" s="3499"/>
      <c r="S55" s="3499"/>
      <c r="T55" s="3499"/>
    </row>
    <row r="56" spans="1:20">
      <c r="A56" s="3499"/>
      <c r="B56" s="3499"/>
      <c r="C56" s="3499"/>
      <c r="D56" s="3499"/>
      <c r="E56" s="3499"/>
      <c r="F56" s="3499"/>
      <c r="G56" s="3499"/>
      <c r="H56" s="3499"/>
      <c r="I56" s="3499"/>
      <c r="J56" s="3499"/>
      <c r="K56" s="3499"/>
      <c r="L56" s="3499"/>
      <c r="M56" s="3499"/>
      <c r="N56" s="3499"/>
      <c r="O56" s="3499"/>
      <c r="P56" s="3499"/>
      <c r="Q56" s="3499"/>
      <c r="R56" s="3499"/>
      <c r="S56" s="3499"/>
      <c r="T56" s="3499"/>
    </row>
    <row r="57" spans="1:20">
      <c r="A57" s="3499"/>
      <c r="B57" s="3499"/>
      <c r="C57" s="3499"/>
      <c r="D57" s="3499"/>
      <c r="E57" s="3499"/>
      <c r="F57" s="3499"/>
      <c r="G57" s="3499"/>
      <c r="H57" s="3499"/>
      <c r="I57" s="3499"/>
      <c r="J57" s="3499"/>
      <c r="K57" s="3499"/>
      <c r="L57" s="3499"/>
      <c r="M57" s="3499"/>
      <c r="N57" s="3499"/>
      <c r="O57" s="3499"/>
      <c r="P57" s="3499"/>
      <c r="Q57" s="3499"/>
      <c r="R57" s="3499"/>
      <c r="S57" s="3499"/>
      <c r="T57" s="3499"/>
    </row>
    <row r="58" spans="1:20">
      <c r="A58" s="3499"/>
      <c r="B58" s="3499"/>
      <c r="C58" s="3499"/>
      <c r="D58" s="3499"/>
      <c r="E58" s="3499"/>
      <c r="F58" s="3499"/>
      <c r="G58" s="3499"/>
      <c r="H58" s="3499"/>
      <c r="I58" s="3499"/>
      <c r="J58" s="3499"/>
      <c r="K58" s="3499"/>
      <c r="L58" s="3499"/>
      <c r="M58" s="3499"/>
      <c r="N58" s="3499"/>
      <c r="O58" s="3499"/>
      <c r="P58" s="3499"/>
      <c r="Q58" s="3499"/>
      <c r="R58" s="3499"/>
      <c r="S58" s="3499"/>
      <c r="T58" s="3499"/>
    </row>
    <row r="59" spans="1:20">
      <c r="A59" s="3499"/>
      <c r="B59" s="3499"/>
      <c r="C59" s="3499"/>
      <c r="D59" s="3499"/>
      <c r="E59" s="3499"/>
      <c r="F59" s="3499"/>
      <c r="G59" s="3499"/>
      <c r="H59" s="3499"/>
      <c r="I59" s="3499"/>
      <c r="J59" s="3499"/>
      <c r="K59" s="3499"/>
      <c r="L59" s="3499"/>
      <c r="M59" s="3499"/>
      <c r="N59" s="3499"/>
      <c r="O59" s="3499"/>
      <c r="P59" s="3499"/>
      <c r="Q59" s="3499"/>
      <c r="R59" s="3499"/>
      <c r="S59" s="3499"/>
      <c r="T59" s="3499"/>
    </row>
    <row r="60" spans="1:20">
      <c r="A60" s="3499"/>
      <c r="B60" s="3499"/>
      <c r="C60" s="3499"/>
      <c r="D60" s="3499"/>
      <c r="E60" s="3499"/>
      <c r="F60" s="3499"/>
      <c r="G60" s="3499"/>
      <c r="H60" s="3499"/>
      <c r="I60" s="3499"/>
      <c r="J60" s="3499"/>
      <c r="K60" s="3499"/>
      <c r="L60" s="3499"/>
      <c r="M60" s="3499"/>
      <c r="N60" s="3499"/>
      <c r="O60" s="3499"/>
      <c r="P60" s="3499"/>
      <c r="Q60" s="3499"/>
      <c r="R60" s="3499"/>
      <c r="S60" s="3499"/>
      <c r="T60" s="3499"/>
    </row>
    <row r="61" spans="1:20">
      <c r="A61" s="3499"/>
      <c r="B61" s="3499"/>
      <c r="C61" s="3499"/>
      <c r="D61" s="3499"/>
      <c r="E61" s="3499"/>
      <c r="F61" s="3499"/>
      <c r="G61" s="3499"/>
      <c r="H61" s="3499"/>
      <c r="I61" s="3499"/>
      <c r="J61" s="3499"/>
      <c r="K61" s="3499"/>
      <c r="L61" s="3499"/>
      <c r="M61" s="3499"/>
      <c r="N61" s="3499"/>
      <c r="O61" s="3499"/>
      <c r="P61" s="3499"/>
      <c r="Q61" s="3499"/>
      <c r="R61" s="3499"/>
      <c r="S61" s="3499"/>
      <c r="T61" s="3499"/>
    </row>
    <row r="62" spans="1:20">
      <c r="A62" s="3499"/>
      <c r="B62" s="3499"/>
      <c r="C62" s="3499"/>
      <c r="D62" s="3499"/>
      <c r="E62" s="3499"/>
      <c r="F62" s="3499"/>
      <c r="G62" s="3499"/>
      <c r="H62" s="3499"/>
      <c r="I62" s="3499"/>
      <c r="J62" s="3499"/>
      <c r="K62" s="3499"/>
      <c r="L62" s="3499"/>
      <c r="M62" s="3499"/>
      <c r="N62" s="3499"/>
      <c r="O62" s="3499"/>
      <c r="P62" s="3499"/>
      <c r="Q62" s="3499"/>
      <c r="R62" s="3499"/>
      <c r="S62" s="3499"/>
      <c r="T62" s="3499"/>
    </row>
    <row r="63" spans="1:20">
      <c r="A63" s="3499"/>
      <c r="B63" s="3499"/>
      <c r="C63" s="3499"/>
      <c r="D63" s="3499"/>
      <c r="E63" s="3499"/>
      <c r="F63" s="3499"/>
      <c r="G63" s="3499"/>
      <c r="H63" s="3499"/>
      <c r="I63" s="3499"/>
      <c r="J63" s="3499"/>
      <c r="K63" s="3499"/>
      <c r="L63" s="3499"/>
      <c r="M63" s="3499"/>
      <c r="N63" s="3499"/>
      <c r="O63" s="3499"/>
      <c r="P63" s="3499"/>
      <c r="Q63" s="3499"/>
      <c r="R63" s="3499"/>
      <c r="S63" s="3499"/>
      <c r="T63" s="3499"/>
    </row>
  </sheetData>
  <mergeCells count="65">
    <mergeCell ref="A2:T2"/>
    <mergeCell ref="A3:A5"/>
    <mergeCell ref="B3:B4"/>
    <mergeCell ref="C3:C4"/>
    <mergeCell ref="D3:D4"/>
    <mergeCell ref="E3:E4"/>
    <mergeCell ref="F3:F4"/>
    <mergeCell ref="G3:G4"/>
    <mergeCell ref="H3:H4"/>
    <mergeCell ref="O3:O4"/>
    <mergeCell ref="P3:S3"/>
    <mergeCell ref="T3:T4"/>
    <mergeCell ref="I3:I4"/>
    <mergeCell ref="J3:J4"/>
    <mergeCell ref="K3:K4"/>
    <mergeCell ref="L3:L4"/>
    <mergeCell ref="M3:M4"/>
    <mergeCell ref="N3:N4"/>
    <mergeCell ref="A17:T17"/>
    <mergeCell ref="A24:T24"/>
    <mergeCell ref="A25:T25"/>
    <mergeCell ref="A26:T26"/>
    <mergeCell ref="A27:T27"/>
    <mergeCell ref="A28:T28"/>
    <mergeCell ref="A29:T29"/>
    <mergeCell ref="A18:T18"/>
    <mergeCell ref="A19:T19"/>
    <mergeCell ref="A20:T20"/>
    <mergeCell ref="A21:T21"/>
    <mergeCell ref="A22:T22"/>
    <mergeCell ref="A23:T23"/>
    <mergeCell ref="A41:T41"/>
    <mergeCell ref="A30:T30"/>
    <mergeCell ref="A31:T31"/>
    <mergeCell ref="A32:T32"/>
    <mergeCell ref="A33:T33"/>
    <mergeCell ref="A34:T34"/>
    <mergeCell ref="A35:T35"/>
    <mergeCell ref="A36:T36"/>
    <mergeCell ref="A37:T37"/>
    <mergeCell ref="A38:T38"/>
    <mergeCell ref="A39:T39"/>
    <mergeCell ref="A40:T40"/>
    <mergeCell ref="A53:T53"/>
    <mergeCell ref="A42:T42"/>
    <mergeCell ref="A43:T43"/>
    <mergeCell ref="A44:T44"/>
    <mergeCell ref="A45:T45"/>
    <mergeCell ref="A46:T46"/>
    <mergeCell ref="A47:T47"/>
    <mergeCell ref="A48:T48"/>
    <mergeCell ref="A49:T49"/>
    <mergeCell ref="A50:T50"/>
    <mergeCell ref="A51:T51"/>
    <mergeCell ref="A52:T52"/>
    <mergeCell ref="A60:T60"/>
    <mergeCell ref="A61:T61"/>
    <mergeCell ref="A62:T62"/>
    <mergeCell ref="A63:T63"/>
    <mergeCell ref="A54:T54"/>
    <mergeCell ref="A55:T55"/>
    <mergeCell ref="A56:T56"/>
    <mergeCell ref="A57:T57"/>
    <mergeCell ref="A58:T58"/>
    <mergeCell ref="A59:T59"/>
  </mergeCells>
  <phoneticPr fontId="51" type="noConversion"/>
  <hyperlinks>
    <hyperlink ref="U15" location="A108000境外所得税收抵免明细表!A1" display="A108000境外所得税收抵免明细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tabColor rgb="FFFFFF00"/>
  </sheetPr>
  <dimension ref="A1:T16"/>
  <sheetViews>
    <sheetView workbookViewId="0">
      <selection activeCell="K5" sqref="K5"/>
    </sheetView>
  </sheetViews>
  <sheetFormatPr defaultColWidth="8.69921875" defaultRowHeight="13.2"/>
  <cols>
    <col min="1" max="1" width="5.19921875" style="1617" customWidth="1"/>
    <col min="2" max="2" width="9.3984375" style="1617" customWidth="1"/>
    <col min="3" max="19" width="10.19921875" style="1617" customWidth="1"/>
    <col min="20" max="256" width="8.69921875" style="1617"/>
    <col min="257" max="257" width="5.19921875" style="1617" customWidth="1"/>
    <col min="258" max="258" width="10.19921875" style="1617" customWidth="1"/>
    <col min="259" max="275" width="6.5" style="1617" customWidth="1"/>
    <col min="276" max="512" width="8.69921875" style="1617"/>
    <col min="513" max="513" width="5.19921875" style="1617" customWidth="1"/>
    <col min="514" max="514" width="10.19921875" style="1617" customWidth="1"/>
    <col min="515" max="531" width="6.5" style="1617" customWidth="1"/>
    <col min="532" max="768" width="8.69921875" style="1617"/>
    <col min="769" max="769" width="5.19921875" style="1617" customWidth="1"/>
    <col min="770" max="770" width="10.19921875" style="1617" customWidth="1"/>
    <col min="771" max="787" width="6.5" style="1617" customWidth="1"/>
    <col min="788" max="1024" width="8.69921875" style="1617"/>
    <col min="1025" max="1025" width="5.19921875" style="1617" customWidth="1"/>
    <col min="1026" max="1026" width="10.19921875" style="1617" customWidth="1"/>
    <col min="1027" max="1043" width="6.5" style="1617" customWidth="1"/>
    <col min="1044" max="1280" width="8.69921875" style="1617"/>
    <col min="1281" max="1281" width="5.19921875" style="1617" customWidth="1"/>
    <col min="1282" max="1282" width="10.19921875" style="1617" customWidth="1"/>
    <col min="1283" max="1299" width="6.5" style="1617" customWidth="1"/>
    <col min="1300" max="1536" width="8.69921875" style="1617"/>
    <col min="1537" max="1537" width="5.19921875" style="1617" customWidth="1"/>
    <col min="1538" max="1538" width="10.19921875" style="1617" customWidth="1"/>
    <col min="1539" max="1555" width="6.5" style="1617" customWidth="1"/>
    <col min="1556" max="1792" width="8.69921875" style="1617"/>
    <col min="1793" max="1793" width="5.19921875" style="1617" customWidth="1"/>
    <col min="1794" max="1794" width="10.19921875" style="1617" customWidth="1"/>
    <col min="1795" max="1811" width="6.5" style="1617" customWidth="1"/>
    <col min="1812" max="2048" width="8.69921875" style="1617"/>
    <col min="2049" max="2049" width="5.19921875" style="1617" customWidth="1"/>
    <col min="2050" max="2050" width="10.19921875" style="1617" customWidth="1"/>
    <col min="2051" max="2067" width="6.5" style="1617" customWidth="1"/>
    <col min="2068" max="2304" width="8.69921875" style="1617"/>
    <col min="2305" max="2305" width="5.19921875" style="1617" customWidth="1"/>
    <col min="2306" max="2306" width="10.19921875" style="1617" customWidth="1"/>
    <col min="2307" max="2323" width="6.5" style="1617" customWidth="1"/>
    <col min="2324" max="2560" width="8.69921875" style="1617"/>
    <col min="2561" max="2561" width="5.19921875" style="1617" customWidth="1"/>
    <col min="2562" max="2562" width="10.19921875" style="1617" customWidth="1"/>
    <col min="2563" max="2579" width="6.5" style="1617" customWidth="1"/>
    <col min="2580" max="2816" width="8.69921875" style="1617"/>
    <col min="2817" max="2817" width="5.19921875" style="1617" customWidth="1"/>
    <col min="2818" max="2818" width="10.19921875" style="1617" customWidth="1"/>
    <col min="2819" max="2835" width="6.5" style="1617" customWidth="1"/>
    <col min="2836" max="3072" width="8.69921875" style="1617"/>
    <col min="3073" max="3073" width="5.19921875" style="1617" customWidth="1"/>
    <col min="3074" max="3074" width="10.19921875" style="1617" customWidth="1"/>
    <col min="3075" max="3091" width="6.5" style="1617" customWidth="1"/>
    <col min="3092" max="3328" width="8.69921875" style="1617"/>
    <col min="3329" max="3329" width="5.19921875" style="1617" customWidth="1"/>
    <col min="3330" max="3330" width="10.19921875" style="1617" customWidth="1"/>
    <col min="3331" max="3347" width="6.5" style="1617" customWidth="1"/>
    <col min="3348" max="3584" width="8.69921875" style="1617"/>
    <col min="3585" max="3585" width="5.19921875" style="1617" customWidth="1"/>
    <col min="3586" max="3586" width="10.19921875" style="1617" customWidth="1"/>
    <col min="3587" max="3603" width="6.5" style="1617" customWidth="1"/>
    <col min="3604" max="3840" width="8.69921875" style="1617"/>
    <col min="3841" max="3841" width="5.19921875" style="1617" customWidth="1"/>
    <col min="3842" max="3842" width="10.19921875" style="1617" customWidth="1"/>
    <col min="3843" max="3859" width="6.5" style="1617" customWidth="1"/>
    <col min="3860" max="4096" width="8.69921875" style="1617"/>
    <col min="4097" max="4097" width="5.19921875" style="1617" customWidth="1"/>
    <col min="4098" max="4098" width="10.19921875" style="1617" customWidth="1"/>
    <col min="4099" max="4115" width="6.5" style="1617" customWidth="1"/>
    <col min="4116" max="4352" width="8.69921875" style="1617"/>
    <col min="4353" max="4353" width="5.19921875" style="1617" customWidth="1"/>
    <col min="4354" max="4354" width="10.19921875" style="1617" customWidth="1"/>
    <col min="4355" max="4371" width="6.5" style="1617" customWidth="1"/>
    <col min="4372" max="4608" width="8.69921875" style="1617"/>
    <col min="4609" max="4609" width="5.19921875" style="1617" customWidth="1"/>
    <col min="4610" max="4610" width="10.19921875" style="1617" customWidth="1"/>
    <col min="4611" max="4627" width="6.5" style="1617" customWidth="1"/>
    <col min="4628" max="4864" width="8.69921875" style="1617"/>
    <col min="4865" max="4865" width="5.19921875" style="1617" customWidth="1"/>
    <col min="4866" max="4866" width="10.19921875" style="1617" customWidth="1"/>
    <col min="4867" max="4883" width="6.5" style="1617" customWidth="1"/>
    <col min="4884" max="5120" width="8.69921875" style="1617"/>
    <col min="5121" max="5121" width="5.19921875" style="1617" customWidth="1"/>
    <col min="5122" max="5122" width="10.19921875" style="1617" customWidth="1"/>
    <col min="5123" max="5139" width="6.5" style="1617" customWidth="1"/>
    <col min="5140" max="5376" width="8.69921875" style="1617"/>
    <col min="5377" max="5377" width="5.19921875" style="1617" customWidth="1"/>
    <col min="5378" max="5378" width="10.19921875" style="1617" customWidth="1"/>
    <col min="5379" max="5395" width="6.5" style="1617" customWidth="1"/>
    <col min="5396" max="5632" width="8.69921875" style="1617"/>
    <col min="5633" max="5633" width="5.19921875" style="1617" customWidth="1"/>
    <col min="5634" max="5634" width="10.19921875" style="1617" customWidth="1"/>
    <col min="5635" max="5651" width="6.5" style="1617" customWidth="1"/>
    <col min="5652" max="5888" width="8.69921875" style="1617"/>
    <col min="5889" max="5889" width="5.19921875" style="1617" customWidth="1"/>
    <col min="5890" max="5890" width="10.19921875" style="1617" customWidth="1"/>
    <col min="5891" max="5907" width="6.5" style="1617" customWidth="1"/>
    <col min="5908" max="6144" width="8.69921875" style="1617"/>
    <col min="6145" max="6145" width="5.19921875" style="1617" customWidth="1"/>
    <col min="6146" max="6146" width="10.19921875" style="1617" customWidth="1"/>
    <col min="6147" max="6163" width="6.5" style="1617" customWidth="1"/>
    <col min="6164" max="6400" width="8.69921875" style="1617"/>
    <col min="6401" max="6401" width="5.19921875" style="1617" customWidth="1"/>
    <col min="6402" max="6402" width="10.19921875" style="1617" customWidth="1"/>
    <col min="6403" max="6419" width="6.5" style="1617" customWidth="1"/>
    <col min="6420" max="6656" width="8.69921875" style="1617"/>
    <col min="6657" max="6657" width="5.19921875" style="1617" customWidth="1"/>
    <col min="6658" max="6658" width="10.19921875" style="1617" customWidth="1"/>
    <col min="6659" max="6675" width="6.5" style="1617" customWidth="1"/>
    <col min="6676" max="6912" width="8.69921875" style="1617"/>
    <col min="6913" max="6913" width="5.19921875" style="1617" customWidth="1"/>
    <col min="6914" max="6914" width="10.19921875" style="1617" customWidth="1"/>
    <col min="6915" max="6931" width="6.5" style="1617" customWidth="1"/>
    <col min="6932" max="7168" width="8.69921875" style="1617"/>
    <col min="7169" max="7169" width="5.19921875" style="1617" customWidth="1"/>
    <col min="7170" max="7170" width="10.19921875" style="1617" customWidth="1"/>
    <col min="7171" max="7187" width="6.5" style="1617" customWidth="1"/>
    <col min="7188" max="7424" width="8.69921875" style="1617"/>
    <col min="7425" max="7425" width="5.19921875" style="1617" customWidth="1"/>
    <col min="7426" max="7426" width="10.19921875" style="1617" customWidth="1"/>
    <col min="7427" max="7443" width="6.5" style="1617" customWidth="1"/>
    <col min="7444" max="7680" width="8.69921875" style="1617"/>
    <col min="7681" max="7681" width="5.19921875" style="1617" customWidth="1"/>
    <col min="7682" max="7682" width="10.19921875" style="1617" customWidth="1"/>
    <col min="7683" max="7699" width="6.5" style="1617" customWidth="1"/>
    <col min="7700" max="7936" width="8.69921875" style="1617"/>
    <col min="7937" max="7937" width="5.19921875" style="1617" customWidth="1"/>
    <col min="7938" max="7938" width="10.19921875" style="1617" customWidth="1"/>
    <col min="7939" max="7955" width="6.5" style="1617" customWidth="1"/>
    <col min="7956" max="8192" width="8.69921875" style="1617"/>
    <col min="8193" max="8193" width="5.19921875" style="1617" customWidth="1"/>
    <col min="8194" max="8194" width="10.19921875" style="1617" customWidth="1"/>
    <col min="8195" max="8211" width="6.5" style="1617" customWidth="1"/>
    <col min="8212" max="8448" width="8.69921875" style="1617"/>
    <col min="8449" max="8449" width="5.19921875" style="1617" customWidth="1"/>
    <col min="8450" max="8450" width="10.19921875" style="1617" customWidth="1"/>
    <col min="8451" max="8467" width="6.5" style="1617" customWidth="1"/>
    <col min="8468" max="8704" width="8.69921875" style="1617"/>
    <col min="8705" max="8705" width="5.19921875" style="1617" customWidth="1"/>
    <col min="8706" max="8706" width="10.19921875" style="1617" customWidth="1"/>
    <col min="8707" max="8723" width="6.5" style="1617" customWidth="1"/>
    <col min="8724" max="8960" width="8.69921875" style="1617"/>
    <col min="8961" max="8961" width="5.19921875" style="1617" customWidth="1"/>
    <col min="8962" max="8962" width="10.19921875" style="1617" customWidth="1"/>
    <col min="8963" max="8979" width="6.5" style="1617" customWidth="1"/>
    <col min="8980" max="9216" width="8.69921875" style="1617"/>
    <col min="9217" max="9217" width="5.19921875" style="1617" customWidth="1"/>
    <col min="9218" max="9218" width="10.19921875" style="1617" customWidth="1"/>
    <col min="9219" max="9235" width="6.5" style="1617" customWidth="1"/>
    <col min="9236" max="9472" width="8.69921875" style="1617"/>
    <col min="9473" max="9473" width="5.19921875" style="1617" customWidth="1"/>
    <col min="9474" max="9474" width="10.19921875" style="1617" customWidth="1"/>
    <col min="9475" max="9491" width="6.5" style="1617" customWidth="1"/>
    <col min="9492" max="9728" width="8.69921875" style="1617"/>
    <col min="9729" max="9729" width="5.19921875" style="1617" customWidth="1"/>
    <col min="9730" max="9730" width="10.19921875" style="1617" customWidth="1"/>
    <col min="9731" max="9747" width="6.5" style="1617" customWidth="1"/>
    <col min="9748" max="9984" width="8.69921875" style="1617"/>
    <col min="9985" max="9985" width="5.19921875" style="1617" customWidth="1"/>
    <col min="9986" max="9986" width="10.19921875" style="1617" customWidth="1"/>
    <col min="9987" max="10003" width="6.5" style="1617" customWidth="1"/>
    <col min="10004" max="10240" width="8.69921875" style="1617"/>
    <col min="10241" max="10241" width="5.19921875" style="1617" customWidth="1"/>
    <col min="10242" max="10242" width="10.19921875" style="1617" customWidth="1"/>
    <col min="10243" max="10259" width="6.5" style="1617" customWidth="1"/>
    <col min="10260" max="10496" width="8.69921875" style="1617"/>
    <col min="10497" max="10497" width="5.19921875" style="1617" customWidth="1"/>
    <col min="10498" max="10498" width="10.19921875" style="1617" customWidth="1"/>
    <col min="10499" max="10515" width="6.5" style="1617" customWidth="1"/>
    <col min="10516" max="10752" width="8.69921875" style="1617"/>
    <col min="10753" max="10753" width="5.19921875" style="1617" customWidth="1"/>
    <col min="10754" max="10754" width="10.19921875" style="1617" customWidth="1"/>
    <col min="10755" max="10771" width="6.5" style="1617" customWidth="1"/>
    <col min="10772" max="11008" width="8.69921875" style="1617"/>
    <col min="11009" max="11009" width="5.19921875" style="1617" customWidth="1"/>
    <col min="11010" max="11010" width="10.19921875" style="1617" customWidth="1"/>
    <col min="11011" max="11027" width="6.5" style="1617" customWidth="1"/>
    <col min="11028" max="11264" width="8.69921875" style="1617"/>
    <col min="11265" max="11265" width="5.19921875" style="1617" customWidth="1"/>
    <col min="11266" max="11266" width="10.19921875" style="1617" customWidth="1"/>
    <col min="11267" max="11283" width="6.5" style="1617" customWidth="1"/>
    <col min="11284" max="11520" width="8.69921875" style="1617"/>
    <col min="11521" max="11521" width="5.19921875" style="1617" customWidth="1"/>
    <col min="11522" max="11522" width="10.19921875" style="1617" customWidth="1"/>
    <col min="11523" max="11539" width="6.5" style="1617" customWidth="1"/>
    <col min="11540" max="11776" width="8.69921875" style="1617"/>
    <col min="11777" max="11777" width="5.19921875" style="1617" customWidth="1"/>
    <col min="11778" max="11778" width="10.19921875" style="1617" customWidth="1"/>
    <col min="11779" max="11795" width="6.5" style="1617" customWidth="1"/>
    <col min="11796" max="12032" width="8.69921875" style="1617"/>
    <col min="12033" max="12033" width="5.19921875" style="1617" customWidth="1"/>
    <col min="12034" max="12034" width="10.19921875" style="1617" customWidth="1"/>
    <col min="12035" max="12051" width="6.5" style="1617" customWidth="1"/>
    <col min="12052" max="12288" width="8.69921875" style="1617"/>
    <col min="12289" max="12289" width="5.19921875" style="1617" customWidth="1"/>
    <col min="12290" max="12290" width="10.19921875" style="1617" customWidth="1"/>
    <col min="12291" max="12307" width="6.5" style="1617" customWidth="1"/>
    <col min="12308" max="12544" width="8.69921875" style="1617"/>
    <col min="12545" max="12545" width="5.19921875" style="1617" customWidth="1"/>
    <col min="12546" max="12546" width="10.19921875" style="1617" customWidth="1"/>
    <col min="12547" max="12563" width="6.5" style="1617" customWidth="1"/>
    <col min="12564" max="12800" width="8.69921875" style="1617"/>
    <col min="12801" max="12801" width="5.19921875" style="1617" customWidth="1"/>
    <col min="12802" max="12802" width="10.19921875" style="1617" customWidth="1"/>
    <col min="12803" max="12819" width="6.5" style="1617" customWidth="1"/>
    <col min="12820" max="13056" width="8.69921875" style="1617"/>
    <col min="13057" max="13057" width="5.19921875" style="1617" customWidth="1"/>
    <col min="13058" max="13058" width="10.19921875" style="1617" customWidth="1"/>
    <col min="13059" max="13075" width="6.5" style="1617" customWidth="1"/>
    <col min="13076" max="13312" width="8.69921875" style="1617"/>
    <col min="13313" max="13313" width="5.19921875" style="1617" customWidth="1"/>
    <col min="13314" max="13314" width="10.19921875" style="1617" customWidth="1"/>
    <col min="13315" max="13331" width="6.5" style="1617" customWidth="1"/>
    <col min="13332" max="13568" width="8.69921875" style="1617"/>
    <col min="13569" max="13569" width="5.19921875" style="1617" customWidth="1"/>
    <col min="13570" max="13570" width="10.19921875" style="1617" customWidth="1"/>
    <col min="13571" max="13587" width="6.5" style="1617" customWidth="1"/>
    <col min="13588" max="13824" width="8.69921875" style="1617"/>
    <col min="13825" max="13825" width="5.19921875" style="1617" customWidth="1"/>
    <col min="13826" max="13826" width="10.19921875" style="1617" customWidth="1"/>
    <col min="13827" max="13843" width="6.5" style="1617" customWidth="1"/>
    <col min="13844" max="14080" width="8.69921875" style="1617"/>
    <col min="14081" max="14081" width="5.19921875" style="1617" customWidth="1"/>
    <col min="14082" max="14082" width="10.19921875" style="1617" customWidth="1"/>
    <col min="14083" max="14099" width="6.5" style="1617" customWidth="1"/>
    <col min="14100" max="14336" width="8.69921875" style="1617"/>
    <col min="14337" max="14337" width="5.19921875" style="1617" customWidth="1"/>
    <col min="14338" max="14338" width="10.19921875" style="1617" customWidth="1"/>
    <col min="14339" max="14355" width="6.5" style="1617" customWidth="1"/>
    <col min="14356" max="14592" width="8.69921875" style="1617"/>
    <col min="14593" max="14593" width="5.19921875" style="1617" customWidth="1"/>
    <col min="14594" max="14594" width="10.19921875" style="1617" customWidth="1"/>
    <col min="14595" max="14611" width="6.5" style="1617" customWidth="1"/>
    <col min="14612" max="14848" width="8.69921875" style="1617"/>
    <col min="14849" max="14849" width="5.19921875" style="1617" customWidth="1"/>
    <col min="14850" max="14850" width="10.19921875" style="1617" customWidth="1"/>
    <col min="14851" max="14867" width="6.5" style="1617" customWidth="1"/>
    <col min="14868" max="15104" width="8.69921875" style="1617"/>
    <col min="15105" max="15105" width="5.19921875" style="1617" customWidth="1"/>
    <col min="15106" max="15106" width="10.19921875" style="1617" customWidth="1"/>
    <col min="15107" max="15123" width="6.5" style="1617" customWidth="1"/>
    <col min="15124" max="15360" width="8.69921875" style="1617"/>
    <col min="15361" max="15361" width="5.19921875" style="1617" customWidth="1"/>
    <col min="15362" max="15362" width="10.19921875" style="1617" customWidth="1"/>
    <col min="15363" max="15379" width="6.5" style="1617" customWidth="1"/>
    <col min="15380" max="15616" width="8.69921875" style="1617"/>
    <col min="15617" max="15617" width="5.19921875" style="1617" customWidth="1"/>
    <col min="15618" max="15618" width="10.19921875" style="1617" customWidth="1"/>
    <col min="15619" max="15635" width="6.5" style="1617" customWidth="1"/>
    <col min="15636" max="15872" width="8.69921875" style="1617"/>
    <col min="15873" max="15873" width="5.19921875" style="1617" customWidth="1"/>
    <col min="15874" max="15874" width="10.19921875" style="1617" customWidth="1"/>
    <col min="15875" max="15891" width="6.5" style="1617" customWidth="1"/>
    <col min="15892" max="16128" width="8.69921875" style="1617"/>
    <col min="16129" max="16129" width="5.19921875" style="1617" customWidth="1"/>
    <col min="16130" max="16130" width="10.19921875" style="1617" customWidth="1"/>
    <col min="16131" max="16147" width="6.5" style="1617" customWidth="1"/>
    <col min="16148" max="16384" width="8.69921875" style="1617"/>
  </cols>
  <sheetData>
    <row r="1" spans="1:20" s="1616" customFormat="1" ht="20.100000000000001" customHeight="1">
      <c r="A1" s="3468" t="str">
        <f>"索引号："&amp;档案索引!D18</f>
        <v>索引号：2B-13</v>
      </c>
      <c r="B1" s="3468"/>
      <c r="C1" s="3468"/>
      <c r="D1" s="3468"/>
      <c r="E1" s="3468"/>
      <c r="F1" s="3468"/>
      <c r="G1" s="3468"/>
      <c r="H1" s="3468"/>
      <c r="I1" s="3468"/>
      <c r="J1" s="3468"/>
      <c r="K1" s="3468"/>
      <c r="L1" s="3468"/>
      <c r="M1" s="3468"/>
      <c r="N1" s="3468"/>
      <c r="O1" s="3468"/>
      <c r="P1" s="3468"/>
      <c r="Q1" s="3468"/>
      <c r="R1" s="3468"/>
      <c r="S1" s="3468"/>
    </row>
    <row r="2" spans="1:20" s="1620" customFormat="1" ht="25.5" customHeight="1">
      <c r="A2" s="3500" t="s">
        <v>5944</v>
      </c>
      <c r="B2" s="3500"/>
      <c r="C2" s="3500"/>
      <c r="D2" s="3500"/>
      <c r="E2" s="3500"/>
      <c r="F2" s="3500"/>
      <c r="G2" s="3500"/>
      <c r="H2" s="3500"/>
      <c r="I2" s="3500"/>
      <c r="J2" s="3500"/>
      <c r="K2" s="3500"/>
      <c r="L2" s="3500"/>
      <c r="M2" s="3500"/>
      <c r="N2" s="3500"/>
      <c r="O2" s="3500"/>
      <c r="P2" s="3500"/>
      <c r="Q2" s="3500"/>
      <c r="R2" s="3500"/>
      <c r="S2" s="3501"/>
    </row>
    <row r="3" spans="1:20" s="1618" customFormat="1" ht="24" customHeight="1">
      <c r="A3" s="3407" t="s">
        <v>5671</v>
      </c>
      <c r="B3" s="3407" t="s">
        <v>5787</v>
      </c>
      <c r="C3" s="3502" t="s">
        <v>5817</v>
      </c>
      <c r="D3" s="3503"/>
      <c r="E3" s="3503"/>
      <c r="F3" s="3503"/>
      <c r="G3" s="3503"/>
      <c r="H3" s="3503"/>
      <c r="I3" s="3503"/>
      <c r="J3" s="3504"/>
      <c r="K3" s="3502" t="s">
        <v>5818</v>
      </c>
      <c r="L3" s="3503"/>
      <c r="M3" s="3503"/>
      <c r="N3" s="3504"/>
      <c r="O3" s="3407" t="s">
        <v>5788</v>
      </c>
      <c r="P3" s="3407" t="s">
        <v>5819</v>
      </c>
      <c r="Q3" s="3407" t="s">
        <v>5820</v>
      </c>
      <c r="R3" s="3407" t="s">
        <v>5821</v>
      </c>
      <c r="S3" s="3407" t="s">
        <v>5789</v>
      </c>
    </row>
    <row r="4" spans="1:20" s="1618" customFormat="1" ht="68.25" customHeight="1">
      <c r="A4" s="3407"/>
      <c r="B4" s="3407"/>
      <c r="C4" s="1898" t="s">
        <v>5822</v>
      </c>
      <c r="D4" s="1898" t="s">
        <v>5823</v>
      </c>
      <c r="E4" s="1898" t="s">
        <v>5824</v>
      </c>
      <c r="F4" s="1898" t="s">
        <v>5825</v>
      </c>
      <c r="G4" s="1898" t="s">
        <v>5826</v>
      </c>
      <c r="H4" s="1898" t="s">
        <v>5827</v>
      </c>
      <c r="I4" s="1898" t="s">
        <v>5828</v>
      </c>
      <c r="J4" s="1898" t="s">
        <v>1280</v>
      </c>
      <c r="K4" s="1898" t="s">
        <v>5829</v>
      </c>
      <c r="L4" s="1898" t="s">
        <v>5830</v>
      </c>
      <c r="M4" s="1898" t="s">
        <v>5831</v>
      </c>
      <c r="N4" s="1898" t="s">
        <v>1280</v>
      </c>
      <c r="O4" s="3407"/>
      <c r="P4" s="3407"/>
      <c r="Q4" s="3407"/>
      <c r="R4" s="3407"/>
      <c r="S4" s="3407"/>
    </row>
    <row r="5" spans="1:20" s="1618" customFormat="1" ht="49.5" customHeight="1">
      <c r="A5" s="3407"/>
      <c r="B5" s="1898">
        <v>1</v>
      </c>
      <c r="C5" s="1898">
        <v>2</v>
      </c>
      <c r="D5" s="1898">
        <v>3</v>
      </c>
      <c r="E5" s="1898">
        <v>4</v>
      </c>
      <c r="F5" s="1898">
        <v>5</v>
      </c>
      <c r="G5" s="1898">
        <v>6</v>
      </c>
      <c r="H5" s="1898">
        <v>7</v>
      </c>
      <c r="I5" s="1898">
        <v>8</v>
      </c>
      <c r="J5" s="1898" t="s">
        <v>5832</v>
      </c>
      <c r="K5" s="1898">
        <v>10</v>
      </c>
      <c r="L5" s="1898">
        <v>11</v>
      </c>
      <c r="M5" s="1898">
        <v>12</v>
      </c>
      <c r="N5" s="1898" t="s">
        <v>5833</v>
      </c>
      <c r="O5" s="1898" t="s">
        <v>5834</v>
      </c>
      <c r="P5" s="1898">
        <v>15</v>
      </c>
      <c r="Q5" s="1898">
        <v>16</v>
      </c>
      <c r="R5" s="1898">
        <v>17</v>
      </c>
      <c r="S5" s="1898" t="s">
        <v>5835</v>
      </c>
    </row>
    <row r="6" spans="1:20" s="1616" customFormat="1" ht="14.25" customHeight="1">
      <c r="A6" s="1897">
        <v>1</v>
      </c>
      <c r="B6" s="1619"/>
      <c r="C6" s="2076"/>
      <c r="D6" s="2076"/>
      <c r="E6" s="2076"/>
      <c r="F6" s="2076"/>
      <c r="G6" s="2076"/>
      <c r="H6" s="2076"/>
      <c r="I6" s="2076"/>
      <c r="J6" s="2075">
        <f>SUM(B6:I6)</f>
        <v>0</v>
      </c>
      <c r="K6" s="2076"/>
      <c r="L6" s="2076"/>
      <c r="M6" s="2076"/>
      <c r="N6" s="2075">
        <f>SUM(K6:M6)</f>
        <v>0</v>
      </c>
      <c r="O6" s="2075">
        <f>SUM(J6:L6)</f>
        <v>0</v>
      </c>
      <c r="P6" s="2076"/>
      <c r="Q6" s="2076"/>
      <c r="R6" s="2076"/>
      <c r="S6" s="2075">
        <f>O6+T8</f>
        <v>0</v>
      </c>
    </row>
    <row r="7" spans="1:20" s="1616" customFormat="1" ht="14.25" customHeight="1">
      <c r="A7" s="1897">
        <v>2</v>
      </c>
      <c r="B7" s="1619"/>
      <c r="C7" s="2076"/>
      <c r="D7" s="2076"/>
      <c r="E7" s="2076"/>
      <c r="F7" s="2076"/>
      <c r="G7" s="2076"/>
      <c r="H7" s="2076"/>
      <c r="I7" s="2076"/>
      <c r="J7" s="2075">
        <f t="shared" ref="J7:J14" si="0">SUM(B7:I7)</f>
        <v>0</v>
      </c>
      <c r="K7" s="2076"/>
      <c r="L7" s="2076"/>
      <c r="M7" s="2076"/>
      <c r="N7" s="2075">
        <f t="shared" ref="N7:N14" si="1">SUM(K7:M7)</f>
        <v>0</v>
      </c>
      <c r="O7" s="2075">
        <f t="shared" ref="O7:O14" si="2">SUM(J7:L7)</f>
        <v>0</v>
      </c>
      <c r="P7" s="2076"/>
      <c r="Q7" s="2076"/>
      <c r="R7" s="2076"/>
      <c r="S7" s="2075">
        <f t="shared" ref="S7:S14" si="3">O7+P7-Q7-R7</f>
        <v>0</v>
      </c>
    </row>
    <row r="8" spans="1:20" s="1616" customFormat="1" ht="14.25" customHeight="1">
      <c r="A8" s="1897">
        <v>3</v>
      </c>
      <c r="B8" s="1619"/>
      <c r="C8" s="2076"/>
      <c r="D8" s="2076"/>
      <c r="E8" s="2076"/>
      <c r="F8" s="2076"/>
      <c r="G8" s="2076"/>
      <c r="H8" s="2076"/>
      <c r="I8" s="2076"/>
      <c r="J8" s="2075">
        <f t="shared" si="0"/>
        <v>0</v>
      </c>
      <c r="K8" s="2076"/>
      <c r="L8" s="2076"/>
      <c r="M8" s="2076"/>
      <c r="N8" s="2075">
        <f t="shared" si="1"/>
        <v>0</v>
      </c>
      <c r="O8" s="2075">
        <f t="shared" si="2"/>
        <v>0</v>
      </c>
      <c r="P8" s="2076"/>
      <c r="Q8" s="2076"/>
      <c r="R8" s="2076"/>
      <c r="S8" s="2075">
        <f t="shared" si="3"/>
        <v>0</v>
      </c>
    </row>
    <row r="9" spans="1:20" s="1616" customFormat="1" ht="14.25" customHeight="1">
      <c r="A9" s="1897">
        <v>4</v>
      </c>
      <c r="B9" s="1619"/>
      <c r="C9" s="2076"/>
      <c r="D9" s="2076"/>
      <c r="E9" s="2076"/>
      <c r="F9" s="2076"/>
      <c r="G9" s="2076"/>
      <c r="H9" s="2076"/>
      <c r="I9" s="2076"/>
      <c r="J9" s="2075">
        <f t="shared" si="0"/>
        <v>0</v>
      </c>
      <c r="K9" s="2076"/>
      <c r="L9" s="2076"/>
      <c r="M9" s="2076"/>
      <c r="N9" s="2075">
        <f t="shared" si="1"/>
        <v>0</v>
      </c>
      <c r="O9" s="2075">
        <f t="shared" si="2"/>
        <v>0</v>
      </c>
      <c r="P9" s="2076"/>
      <c r="Q9" s="2076"/>
      <c r="R9" s="2076"/>
      <c r="S9" s="2075">
        <f t="shared" si="3"/>
        <v>0</v>
      </c>
    </row>
    <row r="10" spans="1:20" s="1616" customFormat="1" ht="14.25" customHeight="1">
      <c r="A10" s="1897">
        <v>5</v>
      </c>
      <c r="B10" s="1619"/>
      <c r="C10" s="2076"/>
      <c r="D10" s="2076"/>
      <c r="E10" s="2076"/>
      <c r="F10" s="2076"/>
      <c r="G10" s="2076"/>
      <c r="H10" s="2076"/>
      <c r="I10" s="2076"/>
      <c r="J10" s="2075">
        <f t="shared" si="0"/>
        <v>0</v>
      </c>
      <c r="K10" s="2076"/>
      <c r="L10" s="2076"/>
      <c r="M10" s="2076"/>
      <c r="N10" s="2075">
        <f t="shared" si="1"/>
        <v>0</v>
      </c>
      <c r="O10" s="2075">
        <f t="shared" si="2"/>
        <v>0</v>
      </c>
      <c r="P10" s="2076"/>
      <c r="Q10" s="2076"/>
      <c r="R10" s="2076"/>
      <c r="S10" s="2075">
        <f t="shared" si="3"/>
        <v>0</v>
      </c>
    </row>
    <row r="11" spans="1:20" s="1616" customFormat="1" ht="14.25" customHeight="1">
      <c r="A11" s="1897">
        <v>6</v>
      </c>
      <c r="B11" s="1619"/>
      <c r="C11" s="2076"/>
      <c r="D11" s="2076"/>
      <c r="E11" s="2076"/>
      <c r="F11" s="2076"/>
      <c r="G11" s="2076"/>
      <c r="H11" s="2076"/>
      <c r="I11" s="2076"/>
      <c r="J11" s="2075">
        <f t="shared" si="0"/>
        <v>0</v>
      </c>
      <c r="K11" s="2076"/>
      <c r="L11" s="2076"/>
      <c r="M11" s="2076"/>
      <c r="N11" s="2075">
        <f t="shared" si="1"/>
        <v>0</v>
      </c>
      <c r="O11" s="2075">
        <f t="shared" si="2"/>
        <v>0</v>
      </c>
      <c r="P11" s="2076"/>
      <c r="Q11" s="2076"/>
      <c r="R11" s="2076"/>
      <c r="S11" s="2075">
        <f t="shared" si="3"/>
        <v>0</v>
      </c>
    </row>
    <row r="12" spans="1:20" s="1616" customFormat="1" ht="14.25" customHeight="1">
      <c r="A12" s="1897">
        <v>7</v>
      </c>
      <c r="B12" s="1619"/>
      <c r="C12" s="2076"/>
      <c r="D12" s="2076"/>
      <c r="E12" s="2076"/>
      <c r="F12" s="2076"/>
      <c r="G12" s="2076"/>
      <c r="H12" s="2076"/>
      <c r="I12" s="2076"/>
      <c r="J12" s="2075">
        <f t="shared" si="0"/>
        <v>0</v>
      </c>
      <c r="K12" s="2076"/>
      <c r="L12" s="2076"/>
      <c r="M12" s="2076"/>
      <c r="N12" s="2075">
        <f t="shared" si="1"/>
        <v>0</v>
      </c>
      <c r="O12" s="2075">
        <f t="shared" si="2"/>
        <v>0</v>
      </c>
      <c r="P12" s="2076"/>
      <c r="Q12" s="2076"/>
      <c r="R12" s="2076"/>
      <c r="S12" s="2075">
        <f t="shared" si="3"/>
        <v>0</v>
      </c>
    </row>
    <row r="13" spans="1:20" s="1616" customFormat="1" ht="14.25" customHeight="1">
      <c r="A13" s="1897">
        <v>8</v>
      </c>
      <c r="B13" s="1619"/>
      <c r="C13" s="2076"/>
      <c r="D13" s="2076"/>
      <c r="E13" s="2076"/>
      <c r="F13" s="2076"/>
      <c r="G13" s="2076"/>
      <c r="H13" s="2076"/>
      <c r="I13" s="2076"/>
      <c r="J13" s="2075">
        <f t="shared" si="0"/>
        <v>0</v>
      </c>
      <c r="K13" s="2076"/>
      <c r="L13" s="2076"/>
      <c r="M13" s="2076"/>
      <c r="N13" s="2075">
        <f t="shared" si="1"/>
        <v>0</v>
      </c>
      <c r="O13" s="2075">
        <f t="shared" si="2"/>
        <v>0</v>
      </c>
      <c r="P13" s="2076"/>
      <c r="Q13" s="2076"/>
      <c r="R13" s="2076"/>
      <c r="S13" s="2075">
        <f t="shared" si="3"/>
        <v>0</v>
      </c>
    </row>
    <row r="14" spans="1:20" s="1616" customFormat="1" ht="14.25" customHeight="1">
      <c r="A14" s="1897">
        <v>9</v>
      </c>
      <c r="B14" s="1619"/>
      <c r="C14" s="2076"/>
      <c r="D14" s="2076"/>
      <c r="E14" s="2076"/>
      <c r="F14" s="2076"/>
      <c r="G14" s="2076"/>
      <c r="H14" s="2076"/>
      <c r="I14" s="2076"/>
      <c r="J14" s="2075">
        <f t="shared" si="0"/>
        <v>0</v>
      </c>
      <c r="K14" s="2076"/>
      <c r="L14" s="2076"/>
      <c r="M14" s="2076"/>
      <c r="N14" s="2075">
        <f t="shared" si="1"/>
        <v>0</v>
      </c>
      <c r="O14" s="2075">
        <f t="shared" si="2"/>
        <v>0</v>
      </c>
      <c r="P14" s="2076"/>
      <c r="Q14" s="2076"/>
      <c r="R14" s="2076"/>
      <c r="S14" s="2075">
        <f t="shared" si="3"/>
        <v>0</v>
      </c>
    </row>
    <row r="15" spans="1:20" s="1616" customFormat="1" ht="14.25" customHeight="1">
      <c r="A15" s="1897">
        <v>10</v>
      </c>
      <c r="B15" s="1897" t="s">
        <v>5482</v>
      </c>
      <c r="C15" s="2075">
        <f>SUM(C6:C14)</f>
        <v>0</v>
      </c>
      <c r="D15" s="2075">
        <f t="shared" ref="D15:S15" si="4">SUM(D6:D14)</f>
        <v>0</v>
      </c>
      <c r="E15" s="2075">
        <f t="shared" si="4"/>
        <v>0</v>
      </c>
      <c r="F15" s="2075">
        <f t="shared" si="4"/>
        <v>0</v>
      </c>
      <c r="G15" s="2075">
        <f t="shared" si="4"/>
        <v>0</v>
      </c>
      <c r="H15" s="2075">
        <f t="shared" si="4"/>
        <v>0</v>
      </c>
      <c r="I15" s="2075">
        <f t="shared" si="4"/>
        <v>0</v>
      </c>
      <c r="J15" s="2075">
        <f t="shared" si="4"/>
        <v>0</v>
      </c>
      <c r="K15" s="2075">
        <f t="shared" si="4"/>
        <v>0</v>
      </c>
      <c r="L15" s="2075">
        <f t="shared" si="4"/>
        <v>0</v>
      </c>
      <c r="M15" s="2075">
        <f t="shared" si="4"/>
        <v>0</v>
      </c>
      <c r="N15" s="2075">
        <f t="shared" si="4"/>
        <v>0</v>
      </c>
      <c r="O15" s="2075">
        <f t="shared" si="4"/>
        <v>0</v>
      </c>
      <c r="P15" s="2075">
        <f t="shared" si="4"/>
        <v>0</v>
      </c>
      <c r="Q15" s="2075">
        <f t="shared" si="4"/>
        <v>0</v>
      </c>
      <c r="R15" s="2075">
        <f t="shared" si="4"/>
        <v>0</v>
      </c>
      <c r="S15" s="2075">
        <f t="shared" si="4"/>
        <v>0</v>
      </c>
      <c r="T15" s="1770" t="s">
        <v>6478</v>
      </c>
    </row>
    <row r="16" spans="1:20" ht="192" customHeight="1">
      <c r="A16" s="1900"/>
      <c r="B16" s="1897" t="s">
        <v>4899</v>
      </c>
      <c r="C16" s="1900"/>
      <c r="D16" s="1900"/>
      <c r="E16" s="1900"/>
      <c r="F16" s="1900"/>
      <c r="G16" s="1900"/>
      <c r="H16" s="1900"/>
      <c r="I16" s="1900"/>
      <c r="J16" s="1900"/>
      <c r="K16" s="1900"/>
      <c r="L16" s="1900"/>
      <c r="M16" s="1900"/>
      <c r="N16" s="1902" t="s">
        <v>5836</v>
      </c>
      <c r="O16" s="1900" t="s">
        <v>5837</v>
      </c>
      <c r="P16" s="1900"/>
      <c r="Q16" s="1902" t="s">
        <v>5838</v>
      </c>
      <c r="R16" s="1900"/>
      <c r="S16" s="1902" t="s">
        <v>5839</v>
      </c>
    </row>
  </sheetData>
  <mergeCells count="11">
    <mergeCell ref="A1:S1"/>
    <mergeCell ref="A2:S2"/>
    <mergeCell ref="A3:A5"/>
    <mergeCell ref="B3:B4"/>
    <mergeCell ref="C3:J3"/>
    <mergeCell ref="K3:N3"/>
    <mergeCell ref="O3:O4"/>
    <mergeCell ref="P3:P4"/>
    <mergeCell ref="Q3:Q4"/>
    <mergeCell ref="R3:R4"/>
    <mergeCell ref="S3:S4"/>
  </mergeCells>
  <phoneticPr fontId="51" type="noConversion"/>
  <hyperlinks>
    <hyperlink ref="T15" location="A108010境外所得纳税调整后所得明细表!A1" display="A108010境外所得纳税调整后所得明细表!A1"/>
  </hyperlinks>
  <printOptions horizontalCentered="1"/>
  <pageMargins left="0.78740157480314998" right="0.35433070866141703" top="0.511811023622047" bottom="0.11811023622047198" header="0.511811023622047" footer="0.511811023622047"/>
  <pageSetup paperSize="9" scale="95"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tabColor rgb="FFFFFF00"/>
  </sheetPr>
  <dimension ref="A1:U19"/>
  <sheetViews>
    <sheetView workbookViewId="0">
      <selection activeCell="E15" sqref="E15"/>
    </sheetView>
  </sheetViews>
  <sheetFormatPr defaultColWidth="8.69921875" defaultRowHeight="19.95" customHeight="1"/>
  <cols>
    <col min="1" max="1" width="5.19921875" style="1539" customWidth="1"/>
    <col min="2" max="2" width="9.3984375" style="1539" customWidth="1"/>
    <col min="3" max="20" width="10.19921875" style="1539" customWidth="1"/>
    <col min="21" max="256" width="8.69921875" style="1539"/>
    <col min="257" max="257" width="5.19921875" style="1539" customWidth="1"/>
    <col min="258" max="258" width="6" style="1539" customWidth="1"/>
    <col min="259" max="259" width="7.69921875" style="1539" customWidth="1"/>
    <col min="260" max="267" width="6" style="1539" customWidth="1"/>
    <col min="268" max="268" width="7.09765625" style="1539" customWidth="1"/>
    <col min="269" max="276" width="6" style="1539" customWidth="1"/>
    <col min="277" max="512" width="8.69921875" style="1539"/>
    <col min="513" max="513" width="5.19921875" style="1539" customWidth="1"/>
    <col min="514" max="514" width="6" style="1539" customWidth="1"/>
    <col min="515" max="515" width="7.69921875" style="1539" customWidth="1"/>
    <col min="516" max="523" width="6" style="1539" customWidth="1"/>
    <col min="524" max="524" width="7.09765625" style="1539" customWidth="1"/>
    <col min="525" max="532" width="6" style="1539" customWidth="1"/>
    <col min="533" max="768" width="8.69921875" style="1539"/>
    <col min="769" max="769" width="5.19921875" style="1539" customWidth="1"/>
    <col min="770" max="770" width="6" style="1539" customWidth="1"/>
    <col min="771" max="771" width="7.69921875" style="1539" customWidth="1"/>
    <col min="772" max="779" width="6" style="1539" customWidth="1"/>
    <col min="780" max="780" width="7.09765625" style="1539" customWidth="1"/>
    <col min="781" max="788" width="6" style="1539" customWidth="1"/>
    <col min="789" max="1024" width="8.69921875" style="1539"/>
    <col min="1025" max="1025" width="5.19921875" style="1539" customWidth="1"/>
    <col min="1026" max="1026" width="6" style="1539" customWidth="1"/>
    <col min="1027" max="1027" width="7.69921875" style="1539" customWidth="1"/>
    <col min="1028" max="1035" width="6" style="1539" customWidth="1"/>
    <col min="1036" max="1036" width="7.09765625" style="1539" customWidth="1"/>
    <col min="1037" max="1044" width="6" style="1539" customWidth="1"/>
    <col min="1045" max="1280" width="8.69921875" style="1539"/>
    <col min="1281" max="1281" width="5.19921875" style="1539" customWidth="1"/>
    <col min="1282" max="1282" width="6" style="1539" customWidth="1"/>
    <col min="1283" max="1283" width="7.69921875" style="1539" customWidth="1"/>
    <col min="1284" max="1291" width="6" style="1539" customWidth="1"/>
    <col min="1292" max="1292" width="7.09765625" style="1539" customWidth="1"/>
    <col min="1293" max="1300" width="6" style="1539" customWidth="1"/>
    <col min="1301" max="1536" width="8.69921875" style="1539"/>
    <col min="1537" max="1537" width="5.19921875" style="1539" customWidth="1"/>
    <col min="1538" max="1538" width="6" style="1539" customWidth="1"/>
    <col min="1539" max="1539" width="7.69921875" style="1539" customWidth="1"/>
    <col min="1540" max="1547" width="6" style="1539" customWidth="1"/>
    <col min="1548" max="1548" width="7.09765625" style="1539" customWidth="1"/>
    <col min="1549" max="1556" width="6" style="1539" customWidth="1"/>
    <col min="1557" max="1792" width="8.69921875" style="1539"/>
    <col min="1793" max="1793" width="5.19921875" style="1539" customWidth="1"/>
    <col min="1794" max="1794" width="6" style="1539" customWidth="1"/>
    <col min="1795" max="1795" width="7.69921875" style="1539" customWidth="1"/>
    <col min="1796" max="1803" width="6" style="1539" customWidth="1"/>
    <col min="1804" max="1804" width="7.09765625" style="1539" customWidth="1"/>
    <col min="1805" max="1812" width="6" style="1539" customWidth="1"/>
    <col min="1813" max="2048" width="8.69921875" style="1539"/>
    <col min="2049" max="2049" width="5.19921875" style="1539" customWidth="1"/>
    <col min="2050" max="2050" width="6" style="1539" customWidth="1"/>
    <col min="2051" max="2051" width="7.69921875" style="1539" customWidth="1"/>
    <col min="2052" max="2059" width="6" style="1539" customWidth="1"/>
    <col min="2060" max="2060" width="7.09765625" style="1539" customWidth="1"/>
    <col min="2061" max="2068" width="6" style="1539" customWidth="1"/>
    <col min="2069" max="2304" width="8.69921875" style="1539"/>
    <col min="2305" max="2305" width="5.19921875" style="1539" customWidth="1"/>
    <col min="2306" max="2306" width="6" style="1539" customWidth="1"/>
    <col min="2307" max="2307" width="7.69921875" style="1539" customWidth="1"/>
    <col min="2308" max="2315" width="6" style="1539" customWidth="1"/>
    <col min="2316" max="2316" width="7.09765625" style="1539" customWidth="1"/>
    <col min="2317" max="2324" width="6" style="1539" customWidth="1"/>
    <col min="2325" max="2560" width="8.69921875" style="1539"/>
    <col min="2561" max="2561" width="5.19921875" style="1539" customWidth="1"/>
    <col min="2562" max="2562" width="6" style="1539" customWidth="1"/>
    <col min="2563" max="2563" width="7.69921875" style="1539" customWidth="1"/>
    <col min="2564" max="2571" width="6" style="1539" customWidth="1"/>
    <col min="2572" max="2572" width="7.09765625" style="1539" customWidth="1"/>
    <col min="2573" max="2580" width="6" style="1539" customWidth="1"/>
    <col min="2581" max="2816" width="8.69921875" style="1539"/>
    <col min="2817" max="2817" width="5.19921875" style="1539" customWidth="1"/>
    <col min="2818" max="2818" width="6" style="1539" customWidth="1"/>
    <col min="2819" max="2819" width="7.69921875" style="1539" customWidth="1"/>
    <col min="2820" max="2827" width="6" style="1539" customWidth="1"/>
    <col min="2828" max="2828" width="7.09765625" style="1539" customWidth="1"/>
    <col min="2829" max="2836" width="6" style="1539" customWidth="1"/>
    <col min="2837" max="3072" width="8.69921875" style="1539"/>
    <col min="3073" max="3073" width="5.19921875" style="1539" customWidth="1"/>
    <col min="3074" max="3074" width="6" style="1539" customWidth="1"/>
    <col min="3075" max="3075" width="7.69921875" style="1539" customWidth="1"/>
    <col min="3076" max="3083" width="6" style="1539" customWidth="1"/>
    <col min="3084" max="3084" width="7.09765625" style="1539" customWidth="1"/>
    <col min="3085" max="3092" width="6" style="1539" customWidth="1"/>
    <col min="3093" max="3328" width="8.69921875" style="1539"/>
    <col min="3329" max="3329" width="5.19921875" style="1539" customWidth="1"/>
    <col min="3330" max="3330" width="6" style="1539" customWidth="1"/>
    <col min="3331" max="3331" width="7.69921875" style="1539" customWidth="1"/>
    <col min="3332" max="3339" width="6" style="1539" customWidth="1"/>
    <col min="3340" max="3340" width="7.09765625" style="1539" customWidth="1"/>
    <col min="3341" max="3348" width="6" style="1539" customWidth="1"/>
    <col min="3349" max="3584" width="8.69921875" style="1539"/>
    <col min="3585" max="3585" width="5.19921875" style="1539" customWidth="1"/>
    <col min="3586" max="3586" width="6" style="1539" customWidth="1"/>
    <col min="3587" max="3587" width="7.69921875" style="1539" customWidth="1"/>
    <col min="3588" max="3595" width="6" style="1539" customWidth="1"/>
    <col min="3596" max="3596" width="7.09765625" style="1539" customWidth="1"/>
    <col min="3597" max="3604" width="6" style="1539" customWidth="1"/>
    <col min="3605" max="3840" width="8.69921875" style="1539"/>
    <col min="3841" max="3841" width="5.19921875" style="1539" customWidth="1"/>
    <col min="3842" max="3842" width="6" style="1539" customWidth="1"/>
    <col min="3843" max="3843" width="7.69921875" style="1539" customWidth="1"/>
    <col min="3844" max="3851" width="6" style="1539" customWidth="1"/>
    <col min="3852" max="3852" width="7.09765625" style="1539" customWidth="1"/>
    <col min="3853" max="3860" width="6" style="1539" customWidth="1"/>
    <col min="3861" max="4096" width="8.69921875" style="1539"/>
    <col min="4097" max="4097" width="5.19921875" style="1539" customWidth="1"/>
    <col min="4098" max="4098" width="6" style="1539" customWidth="1"/>
    <col min="4099" max="4099" width="7.69921875" style="1539" customWidth="1"/>
    <col min="4100" max="4107" width="6" style="1539" customWidth="1"/>
    <col min="4108" max="4108" width="7.09765625" style="1539" customWidth="1"/>
    <col min="4109" max="4116" width="6" style="1539" customWidth="1"/>
    <col min="4117" max="4352" width="8.69921875" style="1539"/>
    <col min="4353" max="4353" width="5.19921875" style="1539" customWidth="1"/>
    <col min="4354" max="4354" width="6" style="1539" customWidth="1"/>
    <col min="4355" max="4355" width="7.69921875" style="1539" customWidth="1"/>
    <col min="4356" max="4363" width="6" style="1539" customWidth="1"/>
    <col min="4364" max="4364" width="7.09765625" style="1539" customWidth="1"/>
    <col min="4365" max="4372" width="6" style="1539" customWidth="1"/>
    <col min="4373" max="4608" width="8.69921875" style="1539"/>
    <col min="4609" max="4609" width="5.19921875" style="1539" customWidth="1"/>
    <col min="4610" max="4610" width="6" style="1539" customWidth="1"/>
    <col min="4611" max="4611" width="7.69921875" style="1539" customWidth="1"/>
    <col min="4612" max="4619" width="6" style="1539" customWidth="1"/>
    <col min="4620" max="4620" width="7.09765625" style="1539" customWidth="1"/>
    <col min="4621" max="4628" width="6" style="1539" customWidth="1"/>
    <col min="4629" max="4864" width="8.69921875" style="1539"/>
    <col min="4865" max="4865" width="5.19921875" style="1539" customWidth="1"/>
    <col min="4866" max="4866" width="6" style="1539" customWidth="1"/>
    <col min="4867" max="4867" width="7.69921875" style="1539" customWidth="1"/>
    <col min="4868" max="4875" width="6" style="1539" customWidth="1"/>
    <col min="4876" max="4876" width="7.09765625" style="1539" customWidth="1"/>
    <col min="4877" max="4884" width="6" style="1539" customWidth="1"/>
    <col min="4885" max="5120" width="8.69921875" style="1539"/>
    <col min="5121" max="5121" width="5.19921875" style="1539" customWidth="1"/>
    <col min="5122" max="5122" width="6" style="1539" customWidth="1"/>
    <col min="5123" max="5123" width="7.69921875" style="1539" customWidth="1"/>
    <col min="5124" max="5131" width="6" style="1539" customWidth="1"/>
    <col min="5132" max="5132" width="7.09765625" style="1539" customWidth="1"/>
    <col min="5133" max="5140" width="6" style="1539" customWidth="1"/>
    <col min="5141" max="5376" width="8.69921875" style="1539"/>
    <col min="5377" max="5377" width="5.19921875" style="1539" customWidth="1"/>
    <col min="5378" max="5378" width="6" style="1539" customWidth="1"/>
    <col min="5379" max="5379" width="7.69921875" style="1539" customWidth="1"/>
    <col min="5380" max="5387" width="6" style="1539" customWidth="1"/>
    <col min="5388" max="5388" width="7.09765625" style="1539" customWidth="1"/>
    <col min="5389" max="5396" width="6" style="1539" customWidth="1"/>
    <col min="5397" max="5632" width="8.69921875" style="1539"/>
    <col min="5633" max="5633" width="5.19921875" style="1539" customWidth="1"/>
    <col min="5634" max="5634" width="6" style="1539" customWidth="1"/>
    <col min="5635" max="5635" width="7.69921875" style="1539" customWidth="1"/>
    <col min="5636" max="5643" width="6" style="1539" customWidth="1"/>
    <col min="5644" max="5644" width="7.09765625" style="1539" customWidth="1"/>
    <col min="5645" max="5652" width="6" style="1539" customWidth="1"/>
    <col min="5653" max="5888" width="8.69921875" style="1539"/>
    <col min="5889" max="5889" width="5.19921875" style="1539" customWidth="1"/>
    <col min="5890" max="5890" width="6" style="1539" customWidth="1"/>
    <col min="5891" max="5891" width="7.69921875" style="1539" customWidth="1"/>
    <col min="5892" max="5899" width="6" style="1539" customWidth="1"/>
    <col min="5900" max="5900" width="7.09765625" style="1539" customWidth="1"/>
    <col min="5901" max="5908" width="6" style="1539" customWidth="1"/>
    <col min="5909" max="6144" width="8.69921875" style="1539"/>
    <col min="6145" max="6145" width="5.19921875" style="1539" customWidth="1"/>
    <col min="6146" max="6146" width="6" style="1539" customWidth="1"/>
    <col min="6147" max="6147" width="7.69921875" style="1539" customWidth="1"/>
    <col min="6148" max="6155" width="6" style="1539" customWidth="1"/>
    <col min="6156" max="6156" width="7.09765625" style="1539" customWidth="1"/>
    <col min="6157" max="6164" width="6" style="1539" customWidth="1"/>
    <col min="6165" max="6400" width="8.69921875" style="1539"/>
    <col min="6401" max="6401" width="5.19921875" style="1539" customWidth="1"/>
    <col min="6402" max="6402" width="6" style="1539" customWidth="1"/>
    <col min="6403" max="6403" width="7.69921875" style="1539" customWidth="1"/>
    <col min="6404" max="6411" width="6" style="1539" customWidth="1"/>
    <col min="6412" max="6412" width="7.09765625" style="1539" customWidth="1"/>
    <col min="6413" max="6420" width="6" style="1539" customWidth="1"/>
    <col min="6421" max="6656" width="8.69921875" style="1539"/>
    <col min="6657" max="6657" width="5.19921875" style="1539" customWidth="1"/>
    <col min="6658" max="6658" width="6" style="1539" customWidth="1"/>
    <col min="6659" max="6659" width="7.69921875" style="1539" customWidth="1"/>
    <col min="6660" max="6667" width="6" style="1539" customWidth="1"/>
    <col min="6668" max="6668" width="7.09765625" style="1539" customWidth="1"/>
    <col min="6669" max="6676" width="6" style="1539" customWidth="1"/>
    <col min="6677" max="6912" width="8.69921875" style="1539"/>
    <col min="6913" max="6913" width="5.19921875" style="1539" customWidth="1"/>
    <col min="6914" max="6914" width="6" style="1539" customWidth="1"/>
    <col min="6915" max="6915" width="7.69921875" style="1539" customWidth="1"/>
    <col min="6916" max="6923" width="6" style="1539" customWidth="1"/>
    <col min="6924" max="6924" width="7.09765625" style="1539" customWidth="1"/>
    <col min="6925" max="6932" width="6" style="1539" customWidth="1"/>
    <col min="6933" max="7168" width="8.69921875" style="1539"/>
    <col min="7169" max="7169" width="5.19921875" style="1539" customWidth="1"/>
    <col min="7170" max="7170" width="6" style="1539" customWidth="1"/>
    <col min="7171" max="7171" width="7.69921875" style="1539" customWidth="1"/>
    <col min="7172" max="7179" width="6" style="1539" customWidth="1"/>
    <col min="7180" max="7180" width="7.09765625" style="1539" customWidth="1"/>
    <col min="7181" max="7188" width="6" style="1539" customWidth="1"/>
    <col min="7189" max="7424" width="8.69921875" style="1539"/>
    <col min="7425" max="7425" width="5.19921875" style="1539" customWidth="1"/>
    <col min="7426" max="7426" width="6" style="1539" customWidth="1"/>
    <col min="7427" max="7427" width="7.69921875" style="1539" customWidth="1"/>
    <col min="7428" max="7435" width="6" style="1539" customWidth="1"/>
    <col min="7436" max="7436" width="7.09765625" style="1539" customWidth="1"/>
    <col min="7437" max="7444" width="6" style="1539" customWidth="1"/>
    <col min="7445" max="7680" width="8.69921875" style="1539"/>
    <col min="7681" max="7681" width="5.19921875" style="1539" customWidth="1"/>
    <col min="7682" max="7682" width="6" style="1539" customWidth="1"/>
    <col min="7683" max="7683" width="7.69921875" style="1539" customWidth="1"/>
    <col min="7684" max="7691" width="6" style="1539" customWidth="1"/>
    <col min="7692" max="7692" width="7.09765625" style="1539" customWidth="1"/>
    <col min="7693" max="7700" width="6" style="1539" customWidth="1"/>
    <col min="7701" max="7936" width="8.69921875" style="1539"/>
    <col min="7937" max="7937" width="5.19921875" style="1539" customWidth="1"/>
    <col min="7938" max="7938" width="6" style="1539" customWidth="1"/>
    <col min="7939" max="7939" width="7.69921875" style="1539" customWidth="1"/>
    <col min="7940" max="7947" width="6" style="1539" customWidth="1"/>
    <col min="7948" max="7948" width="7.09765625" style="1539" customWidth="1"/>
    <col min="7949" max="7956" width="6" style="1539" customWidth="1"/>
    <col min="7957" max="8192" width="8.69921875" style="1539"/>
    <col min="8193" max="8193" width="5.19921875" style="1539" customWidth="1"/>
    <col min="8194" max="8194" width="6" style="1539" customWidth="1"/>
    <col min="8195" max="8195" width="7.69921875" style="1539" customWidth="1"/>
    <col min="8196" max="8203" width="6" style="1539" customWidth="1"/>
    <col min="8204" max="8204" width="7.09765625" style="1539" customWidth="1"/>
    <col min="8205" max="8212" width="6" style="1539" customWidth="1"/>
    <col min="8213" max="8448" width="8.69921875" style="1539"/>
    <col min="8449" max="8449" width="5.19921875" style="1539" customWidth="1"/>
    <col min="8450" max="8450" width="6" style="1539" customWidth="1"/>
    <col min="8451" max="8451" width="7.69921875" style="1539" customWidth="1"/>
    <col min="8452" max="8459" width="6" style="1539" customWidth="1"/>
    <col min="8460" max="8460" width="7.09765625" style="1539" customWidth="1"/>
    <col min="8461" max="8468" width="6" style="1539" customWidth="1"/>
    <col min="8469" max="8704" width="8.69921875" style="1539"/>
    <col min="8705" max="8705" width="5.19921875" style="1539" customWidth="1"/>
    <col min="8706" max="8706" width="6" style="1539" customWidth="1"/>
    <col min="8707" max="8707" width="7.69921875" style="1539" customWidth="1"/>
    <col min="8708" max="8715" width="6" style="1539" customWidth="1"/>
    <col min="8716" max="8716" width="7.09765625" style="1539" customWidth="1"/>
    <col min="8717" max="8724" width="6" style="1539" customWidth="1"/>
    <col min="8725" max="8960" width="8.69921875" style="1539"/>
    <col min="8961" max="8961" width="5.19921875" style="1539" customWidth="1"/>
    <col min="8962" max="8962" width="6" style="1539" customWidth="1"/>
    <col min="8963" max="8963" width="7.69921875" style="1539" customWidth="1"/>
    <col min="8964" max="8971" width="6" style="1539" customWidth="1"/>
    <col min="8972" max="8972" width="7.09765625" style="1539" customWidth="1"/>
    <col min="8973" max="8980" width="6" style="1539" customWidth="1"/>
    <col min="8981" max="9216" width="8.69921875" style="1539"/>
    <col min="9217" max="9217" width="5.19921875" style="1539" customWidth="1"/>
    <col min="9218" max="9218" width="6" style="1539" customWidth="1"/>
    <col min="9219" max="9219" width="7.69921875" style="1539" customWidth="1"/>
    <col min="9220" max="9227" width="6" style="1539" customWidth="1"/>
    <col min="9228" max="9228" width="7.09765625" style="1539" customWidth="1"/>
    <col min="9229" max="9236" width="6" style="1539" customWidth="1"/>
    <col min="9237" max="9472" width="8.69921875" style="1539"/>
    <col min="9473" max="9473" width="5.19921875" style="1539" customWidth="1"/>
    <col min="9474" max="9474" width="6" style="1539" customWidth="1"/>
    <col min="9475" max="9475" width="7.69921875" style="1539" customWidth="1"/>
    <col min="9476" max="9483" width="6" style="1539" customWidth="1"/>
    <col min="9484" max="9484" width="7.09765625" style="1539" customWidth="1"/>
    <col min="9485" max="9492" width="6" style="1539" customWidth="1"/>
    <col min="9493" max="9728" width="8.69921875" style="1539"/>
    <col min="9729" max="9729" width="5.19921875" style="1539" customWidth="1"/>
    <col min="9730" max="9730" width="6" style="1539" customWidth="1"/>
    <col min="9731" max="9731" width="7.69921875" style="1539" customWidth="1"/>
    <col min="9732" max="9739" width="6" style="1539" customWidth="1"/>
    <col min="9740" max="9740" width="7.09765625" style="1539" customWidth="1"/>
    <col min="9741" max="9748" width="6" style="1539" customWidth="1"/>
    <col min="9749" max="9984" width="8.69921875" style="1539"/>
    <col min="9985" max="9985" width="5.19921875" style="1539" customWidth="1"/>
    <col min="9986" max="9986" width="6" style="1539" customWidth="1"/>
    <col min="9987" max="9987" width="7.69921875" style="1539" customWidth="1"/>
    <col min="9988" max="9995" width="6" style="1539" customWidth="1"/>
    <col min="9996" max="9996" width="7.09765625" style="1539" customWidth="1"/>
    <col min="9997" max="10004" width="6" style="1539" customWidth="1"/>
    <col min="10005" max="10240" width="8.69921875" style="1539"/>
    <col min="10241" max="10241" width="5.19921875" style="1539" customWidth="1"/>
    <col min="10242" max="10242" width="6" style="1539" customWidth="1"/>
    <col min="10243" max="10243" width="7.69921875" style="1539" customWidth="1"/>
    <col min="10244" max="10251" width="6" style="1539" customWidth="1"/>
    <col min="10252" max="10252" width="7.09765625" style="1539" customWidth="1"/>
    <col min="10253" max="10260" width="6" style="1539" customWidth="1"/>
    <col min="10261" max="10496" width="8.69921875" style="1539"/>
    <col min="10497" max="10497" width="5.19921875" style="1539" customWidth="1"/>
    <col min="10498" max="10498" width="6" style="1539" customWidth="1"/>
    <col min="10499" max="10499" width="7.69921875" style="1539" customWidth="1"/>
    <col min="10500" max="10507" width="6" style="1539" customWidth="1"/>
    <col min="10508" max="10508" width="7.09765625" style="1539" customWidth="1"/>
    <col min="10509" max="10516" width="6" style="1539" customWidth="1"/>
    <col min="10517" max="10752" width="8.69921875" style="1539"/>
    <col min="10753" max="10753" width="5.19921875" style="1539" customWidth="1"/>
    <col min="10754" max="10754" width="6" style="1539" customWidth="1"/>
    <col min="10755" max="10755" width="7.69921875" style="1539" customWidth="1"/>
    <col min="10756" max="10763" width="6" style="1539" customWidth="1"/>
    <col min="10764" max="10764" width="7.09765625" style="1539" customWidth="1"/>
    <col min="10765" max="10772" width="6" style="1539" customWidth="1"/>
    <col min="10773" max="11008" width="8.69921875" style="1539"/>
    <col min="11009" max="11009" width="5.19921875" style="1539" customWidth="1"/>
    <col min="11010" max="11010" width="6" style="1539" customWidth="1"/>
    <col min="11011" max="11011" width="7.69921875" style="1539" customWidth="1"/>
    <col min="11012" max="11019" width="6" style="1539" customWidth="1"/>
    <col min="11020" max="11020" width="7.09765625" style="1539" customWidth="1"/>
    <col min="11021" max="11028" width="6" style="1539" customWidth="1"/>
    <col min="11029" max="11264" width="8.69921875" style="1539"/>
    <col min="11265" max="11265" width="5.19921875" style="1539" customWidth="1"/>
    <col min="11266" max="11266" width="6" style="1539" customWidth="1"/>
    <col min="11267" max="11267" width="7.69921875" style="1539" customWidth="1"/>
    <col min="11268" max="11275" width="6" style="1539" customWidth="1"/>
    <col min="11276" max="11276" width="7.09765625" style="1539" customWidth="1"/>
    <col min="11277" max="11284" width="6" style="1539" customWidth="1"/>
    <col min="11285" max="11520" width="8.69921875" style="1539"/>
    <col min="11521" max="11521" width="5.19921875" style="1539" customWidth="1"/>
    <col min="11522" max="11522" width="6" style="1539" customWidth="1"/>
    <col min="11523" max="11523" width="7.69921875" style="1539" customWidth="1"/>
    <col min="11524" max="11531" width="6" style="1539" customWidth="1"/>
    <col min="11532" max="11532" width="7.09765625" style="1539" customWidth="1"/>
    <col min="11533" max="11540" width="6" style="1539" customWidth="1"/>
    <col min="11541" max="11776" width="8.69921875" style="1539"/>
    <col min="11777" max="11777" width="5.19921875" style="1539" customWidth="1"/>
    <col min="11778" max="11778" width="6" style="1539" customWidth="1"/>
    <col min="11779" max="11779" width="7.69921875" style="1539" customWidth="1"/>
    <col min="11780" max="11787" width="6" style="1539" customWidth="1"/>
    <col min="11788" max="11788" width="7.09765625" style="1539" customWidth="1"/>
    <col min="11789" max="11796" width="6" style="1539" customWidth="1"/>
    <col min="11797" max="12032" width="8.69921875" style="1539"/>
    <col min="12033" max="12033" width="5.19921875" style="1539" customWidth="1"/>
    <col min="12034" max="12034" width="6" style="1539" customWidth="1"/>
    <col min="12035" max="12035" width="7.69921875" style="1539" customWidth="1"/>
    <col min="12036" max="12043" width="6" style="1539" customWidth="1"/>
    <col min="12044" max="12044" width="7.09765625" style="1539" customWidth="1"/>
    <col min="12045" max="12052" width="6" style="1539" customWidth="1"/>
    <col min="12053" max="12288" width="8.69921875" style="1539"/>
    <col min="12289" max="12289" width="5.19921875" style="1539" customWidth="1"/>
    <col min="12290" max="12290" width="6" style="1539" customWidth="1"/>
    <col min="12291" max="12291" width="7.69921875" style="1539" customWidth="1"/>
    <col min="12292" max="12299" width="6" style="1539" customWidth="1"/>
    <col min="12300" max="12300" width="7.09765625" style="1539" customWidth="1"/>
    <col min="12301" max="12308" width="6" style="1539" customWidth="1"/>
    <col min="12309" max="12544" width="8.69921875" style="1539"/>
    <col min="12545" max="12545" width="5.19921875" style="1539" customWidth="1"/>
    <col min="12546" max="12546" width="6" style="1539" customWidth="1"/>
    <col min="12547" max="12547" width="7.69921875" style="1539" customWidth="1"/>
    <col min="12548" max="12555" width="6" style="1539" customWidth="1"/>
    <col min="12556" max="12556" width="7.09765625" style="1539" customWidth="1"/>
    <col min="12557" max="12564" width="6" style="1539" customWidth="1"/>
    <col min="12565" max="12800" width="8.69921875" style="1539"/>
    <col min="12801" max="12801" width="5.19921875" style="1539" customWidth="1"/>
    <col min="12802" max="12802" width="6" style="1539" customWidth="1"/>
    <col min="12803" max="12803" width="7.69921875" style="1539" customWidth="1"/>
    <col min="12804" max="12811" width="6" style="1539" customWidth="1"/>
    <col min="12812" max="12812" width="7.09765625" style="1539" customWidth="1"/>
    <col min="12813" max="12820" width="6" style="1539" customWidth="1"/>
    <col min="12821" max="13056" width="8.69921875" style="1539"/>
    <col min="13057" max="13057" width="5.19921875" style="1539" customWidth="1"/>
    <col min="13058" max="13058" width="6" style="1539" customWidth="1"/>
    <col min="13059" max="13059" width="7.69921875" style="1539" customWidth="1"/>
    <col min="13060" max="13067" width="6" style="1539" customWidth="1"/>
    <col min="13068" max="13068" width="7.09765625" style="1539" customWidth="1"/>
    <col min="13069" max="13076" width="6" style="1539" customWidth="1"/>
    <col min="13077" max="13312" width="8.69921875" style="1539"/>
    <col min="13313" max="13313" width="5.19921875" style="1539" customWidth="1"/>
    <col min="13314" max="13314" width="6" style="1539" customWidth="1"/>
    <col min="13315" max="13315" width="7.69921875" style="1539" customWidth="1"/>
    <col min="13316" max="13323" width="6" style="1539" customWidth="1"/>
    <col min="13324" max="13324" width="7.09765625" style="1539" customWidth="1"/>
    <col min="13325" max="13332" width="6" style="1539" customWidth="1"/>
    <col min="13333" max="13568" width="8.69921875" style="1539"/>
    <col min="13569" max="13569" width="5.19921875" style="1539" customWidth="1"/>
    <col min="13570" max="13570" width="6" style="1539" customWidth="1"/>
    <col min="13571" max="13571" width="7.69921875" style="1539" customWidth="1"/>
    <col min="13572" max="13579" width="6" style="1539" customWidth="1"/>
    <col min="13580" max="13580" width="7.09765625" style="1539" customWidth="1"/>
    <col min="13581" max="13588" width="6" style="1539" customWidth="1"/>
    <col min="13589" max="13824" width="8.69921875" style="1539"/>
    <col min="13825" max="13825" width="5.19921875" style="1539" customWidth="1"/>
    <col min="13826" max="13826" width="6" style="1539" customWidth="1"/>
    <col min="13827" max="13827" width="7.69921875" style="1539" customWidth="1"/>
    <col min="13828" max="13835" width="6" style="1539" customWidth="1"/>
    <col min="13836" max="13836" width="7.09765625" style="1539" customWidth="1"/>
    <col min="13837" max="13844" width="6" style="1539" customWidth="1"/>
    <col min="13845" max="14080" width="8.69921875" style="1539"/>
    <col min="14081" max="14081" width="5.19921875" style="1539" customWidth="1"/>
    <col min="14082" max="14082" width="6" style="1539" customWidth="1"/>
    <col min="14083" max="14083" width="7.69921875" style="1539" customWidth="1"/>
    <col min="14084" max="14091" width="6" style="1539" customWidth="1"/>
    <col min="14092" max="14092" width="7.09765625" style="1539" customWidth="1"/>
    <col min="14093" max="14100" width="6" style="1539" customWidth="1"/>
    <col min="14101" max="14336" width="8.69921875" style="1539"/>
    <col min="14337" max="14337" width="5.19921875" style="1539" customWidth="1"/>
    <col min="14338" max="14338" width="6" style="1539" customWidth="1"/>
    <col min="14339" max="14339" width="7.69921875" style="1539" customWidth="1"/>
    <col min="14340" max="14347" width="6" style="1539" customWidth="1"/>
    <col min="14348" max="14348" width="7.09765625" style="1539" customWidth="1"/>
    <col min="14349" max="14356" width="6" style="1539" customWidth="1"/>
    <col min="14357" max="14592" width="8.69921875" style="1539"/>
    <col min="14593" max="14593" width="5.19921875" style="1539" customWidth="1"/>
    <col min="14594" max="14594" width="6" style="1539" customWidth="1"/>
    <col min="14595" max="14595" width="7.69921875" style="1539" customWidth="1"/>
    <col min="14596" max="14603" width="6" style="1539" customWidth="1"/>
    <col min="14604" max="14604" width="7.09765625" style="1539" customWidth="1"/>
    <col min="14605" max="14612" width="6" style="1539" customWidth="1"/>
    <col min="14613" max="14848" width="8.69921875" style="1539"/>
    <col min="14849" max="14849" width="5.19921875" style="1539" customWidth="1"/>
    <col min="14850" max="14850" width="6" style="1539" customWidth="1"/>
    <col min="14851" max="14851" width="7.69921875" style="1539" customWidth="1"/>
    <col min="14852" max="14859" width="6" style="1539" customWidth="1"/>
    <col min="14860" max="14860" width="7.09765625" style="1539" customWidth="1"/>
    <col min="14861" max="14868" width="6" style="1539" customWidth="1"/>
    <col min="14869" max="15104" width="8.69921875" style="1539"/>
    <col min="15105" max="15105" width="5.19921875" style="1539" customWidth="1"/>
    <col min="15106" max="15106" width="6" style="1539" customWidth="1"/>
    <col min="15107" max="15107" width="7.69921875" style="1539" customWidth="1"/>
    <col min="15108" max="15115" width="6" style="1539" customWidth="1"/>
    <col min="15116" max="15116" width="7.09765625" style="1539" customWidth="1"/>
    <col min="15117" max="15124" width="6" style="1539" customWidth="1"/>
    <col min="15125" max="15360" width="8.69921875" style="1539"/>
    <col min="15361" max="15361" width="5.19921875" style="1539" customWidth="1"/>
    <col min="15362" max="15362" width="6" style="1539" customWidth="1"/>
    <col min="15363" max="15363" width="7.69921875" style="1539" customWidth="1"/>
    <col min="15364" max="15371" width="6" style="1539" customWidth="1"/>
    <col min="15372" max="15372" width="7.09765625" style="1539" customWidth="1"/>
    <col min="15373" max="15380" width="6" style="1539" customWidth="1"/>
    <col min="15381" max="15616" width="8.69921875" style="1539"/>
    <col min="15617" max="15617" width="5.19921875" style="1539" customWidth="1"/>
    <col min="15618" max="15618" width="6" style="1539" customWidth="1"/>
    <col min="15619" max="15619" width="7.69921875" style="1539" customWidth="1"/>
    <col min="15620" max="15627" width="6" style="1539" customWidth="1"/>
    <col min="15628" max="15628" width="7.09765625" style="1539" customWidth="1"/>
    <col min="15629" max="15636" width="6" style="1539" customWidth="1"/>
    <col min="15637" max="15872" width="8.69921875" style="1539"/>
    <col min="15873" max="15873" width="5.19921875" style="1539" customWidth="1"/>
    <col min="15874" max="15874" width="6" style="1539" customWidth="1"/>
    <col min="15875" max="15875" width="7.69921875" style="1539" customWidth="1"/>
    <col min="15876" max="15883" width="6" style="1539" customWidth="1"/>
    <col min="15884" max="15884" width="7.09765625" style="1539" customWidth="1"/>
    <col min="15885" max="15892" width="6" style="1539" customWidth="1"/>
    <col min="15893" max="16128" width="8.69921875" style="1539"/>
    <col min="16129" max="16129" width="5.19921875" style="1539" customWidth="1"/>
    <col min="16130" max="16130" width="6" style="1539" customWidth="1"/>
    <col min="16131" max="16131" width="7.69921875" style="1539" customWidth="1"/>
    <col min="16132" max="16139" width="6" style="1539" customWidth="1"/>
    <col min="16140" max="16140" width="7.09765625" style="1539" customWidth="1"/>
    <col min="16141" max="16148" width="6" style="1539" customWidth="1"/>
    <col min="16149" max="16384" width="8.69921875" style="1539"/>
  </cols>
  <sheetData>
    <row r="1" spans="1:20" s="1621" customFormat="1" ht="20.100000000000001" customHeight="1">
      <c r="A1" s="3468" t="str">
        <f>"索引号："&amp;档案索引!D19</f>
        <v>索引号：2B-14</v>
      </c>
      <c r="B1" s="3468"/>
      <c r="C1" s="3468"/>
      <c r="D1" s="3468"/>
      <c r="E1" s="3468"/>
      <c r="F1" s="3468"/>
      <c r="G1" s="3468"/>
      <c r="H1" s="3468"/>
      <c r="I1" s="3468"/>
      <c r="J1" s="3468"/>
      <c r="K1" s="3468"/>
      <c r="L1" s="3468"/>
      <c r="M1" s="3468"/>
      <c r="N1" s="3468"/>
      <c r="O1" s="3468"/>
      <c r="P1" s="3468"/>
      <c r="Q1" s="3468"/>
      <c r="R1" s="3468"/>
      <c r="S1" s="3468"/>
      <c r="T1" s="3468"/>
    </row>
    <row r="2" spans="1:20" s="1622" customFormat="1" ht="25.5" customHeight="1">
      <c r="A2" s="1906" t="s">
        <v>5945</v>
      </c>
      <c r="B2" s="1904"/>
      <c r="C2" s="1904"/>
      <c r="D2" s="1904"/>
      <c r="E2" s="1904"/>
      <c r="F2" s="1904"/>
      <c r="G2" s="1904"/>
      <c r="H2" s="1904"/>
      <c r="I2" s="1904"/>
      <c r="J2" s="1904"/>
      <c r="K2" s="1904"/>
      <c r="L2" s="1904"/>
      <c r="M2" s="1904"/>
      <c r="N2" s="1904"/>
      <c r="O2" s="1904"/>
      <c r="P2" s="1904"/>
      <c r="Q2" s="1904"/>
      <c r="R2" s="1904"/>
      <c r="S2" s="1904"/>
      <c r="T2" s="1905"/>
    </row>
    <row r="3" spans="1:20" s="1616" customFormat="1" ht="14.25" customHeight="1">
      <c r="A3" s="3405" t="s">
        <v>5671</v>
      </c>
      <c r="B3" s="3407" t="s">
        <v>5787</v>
      </c>
      <c r="C3" s="3407" t="s">
        <v>5842</v>
      </c>
      <c r="D3" s="3407"/>
      <c r="E3" s="3407"/>
      <c r="F3" s="3407"/>
      <c r="G3" s="3407" t="s">
        <v>5843</v>
      </c>
      <c r="H3" s="3407"/>
      <c r="I3" s="3407"/>
      <c r="J3" s="3407"/>
      <c r="K3" s="3407"/>
      <c r="L3" s="3407"/>
      <c r="M3" s="3407"/>
      <c r="N3" s="3407"/>
      <c r="O3" s="3407"/>
      <c r="P3" s="3407"/>
      <c r="Q3" s="3407"/>
      <c r="R3" s="3407"/>
      <c r="S3" s="3407"/>
      <c r="T3" s="3407"/>
    </row>
    <row r="4" spans="1:20" s="1616" customFormat="1" ht="14.25" customHeight="1">
      <c r="A4" s="3409"/>
      <c r="B4" s="3407"/>
      <c r="C4" s="3407" t="s">
        <v>5844</v>
      </c>
      <c r="D4" s="3407" t="s">
        <v>5845</v>
      </c>
      <c r="E4" s="3407" t="s">
        <v>5846</v>
      </c>
      <c r="F4" s="3407" t="s">
        <v>5847</v>
      </c>
      <c r="G4" s="3407" t="s">
        <v>5848</v>
      </c>
      <c r="H4" s="3407"/>
      <c r="I4" s="3407"/>
      <c r="J4" s="3407"/>
      <c r="K4" s="3407"/>
      <c r="L4" s="3407"/>
      <c r="M4" s="3407" t="s">
        <v>5849</v>
      </c>
      <c r="N4" s="3407" t="s">
        <v>5850</v>
      </c>
      <c r="O4" s="3407" t="s">
        <v>5851</v>
      </c>
      <c r="P4" s="3407"/>
      <c r="Q4" s="3407"/>
      <c r="R4" s="3407"/>
      <c r="S4" s="3407"/>
      <c r="T4" s="3407"/>
    </row>
    <row r="5" spans="1:20" s="1616" customFormat="1" ht="14.25" customHeight="1">
      <c r="A5" s="3409"/>
      <c r="B5" s="3407"/>
      <c r="C5" s="3407"/>
      <c r="D5" s="3407"/>
      <c r="E5" s="3407"/>
      <c r="F5" s="3407"/>
      <c r="G5" s="3407"/>
      <c r="H5" s="3407"/>
      <c r="I5" s="3407"/>
      <c r="J5" s="3407"/>
      <c r="K5" s="3407"/>
      <c r="L5" s="3407"/>
      <c r="M5" s="3407"/>
      <c r="N5" s="3407"/>
      <c r="O5" s="3407"/>
      <c r="P5" s="3407"/>
      <c r="Q5" s="3407"/>
      <c r="R5" s="3407"/>
      <c r="S5" s="3407"/>
      <c r="T5" s="3407"/>
    </row>
    <row r="6" spans="1:20" s="1616" customFormat="1" ht="14.25" customHeight="1">
      <c r="A6" s="3409"/>
      <c r="B6" s="3407"/>
      <c r="C6" s="3407"/>
      <c r="D6" s="3407"/>
      <c r="E6" s="3407"/>
      <c r="F6" s="3407"/>
      <c r="G6" s="3407"/>
      <c r="H6" s="3407"/>
      <c r="I6" s="3407"/>
      <c r="J6" s="3407"/>
      <c r="K6" s="3407"/>
      <c r="L6" s="3407"/>
      <c r="M6" s="3407"/>
      <c r="N6" s="3407"/>
      <c r="O6" s="3407"/>
      <c r="P6" s="3407"/>
      <c r="Q6" s="3407"/>
      <c r="R6" s="3407"/>
      <c r="S6" s="3407"/>
      <c r="T6" s="3407"/>
    </row>
    <row r="7" spans="1:20" s="1616" customFormat="1" ht="14.25" customHeight="1">
      <c r="A7" s="3409"/>
      <c r="B7" s="3407"/>
      <c r="C7" s="3407"/>
      <c r="D7" s="3407"/>
      <c r="E7" s="3407"/>
      <c r="F7" s="3407"/>
      <c r="G7" s="1897" t="s">
        <v>5852</v>
      </c>
      <c r="H7" s="1897" t="s">
        <v>5853</v>
      </c>
      <c r="I7" s="1897" t="s">
        <v>5854</v>
      </c>
      <c r="J7" s="1897" t="s">
        <v>5855</v>
      </c>
      <c r="K7" s="1897" t="s">
        <v>5856</v>
      </c>
      <c r="L7" s="1897" t="s">
        <v>5857</v>
      </c>
      <c r="M7" s="3407"/>
      <c r="N7" s="3407"/>
      <c r="O7" s="1897" t="s">
        <v>5853</v>
      </c>
      <c r="P7" s="1897" t="s">
        <v>5854</v>
      </c>
      <c r="Q7" s="1897" t="s">
        <v>5855</v>
      </c>
      <c r="R7" s="1897" t="s">
        <v>5856</v>
      </c>
      <c r="S7" s="1897" t="s">
        <v>1352</v>
      </c>
      <c r="T7" s="1897" t="s">
        <v>5857</v>
      </c>
    </row>
    <row r="8" spans="1:20" ht="39" customHeight="1">
      <c r="A8" s="3409"/>
      <c r="B8" s="1907">
        <v>1</v>
      </c>
      <c r="C8" s="1907">
        <v>2</v>
      </c>
      <c r="D8" s="1907">
        <v>3</v>
      </c>
      <c r="E8" s="1907">
        <v>4</v>
      </c>
      <c r="F8" s="1897" t="s">
        <v>5858</v>
      </c>
      <c r="G8" s="1907">
        <v>6</v>
      </c>
      <c r="H8" s="1907">
        <v>7</v>
      </c>
      <c r="I8" s="1907">
        <v>8</v>
      </c>
      <c r="J8" s="1907">
        <v>9</v>
      </c>
      <c r="K8" s="1907">
        <v>10</v>
      </c>
      <c r="L8" s="1898" t="s">
        <v>5859</v>
      </c>
      <c r="M8" s="1907">
        <v>12</v>
      </c>
      <c r="N8" s="1907">
        <v>13</v>
      </c>
      <c r="O8" s="1907">
        <v>14</v>
      </c>
      <c r="P8" s="1907">
        <v>15</v>
      </c>
      <c r="Q8" s="1907">
        <v>16</v>
      </c>
      <c r="R8" s="1907">
        <v>17</v>
      </c>
      <c r="S8" s="1907">
        <v>18</v>
      </c>
      <c r="T8" s="1898" t="s">
        <v>5860</v>
      </c>
    </row>
    <row r="9" spans="1:20" ht="14.25" customHeight="1">
      <c r="A9" s="1910">
        <v>1</v>
      </c>
      <c r="B9" s="1908">
        <f>境外所得纳税调整后所得审核表!B6</f>
        <v>0</v>
      </c>
      <c r="C9" s="2076"/>
      <c r="D9" s="2076"/>
      <c r="E9" s="2076"/>
      <c r="F9" s="2075">
        <f>SUM(C9:E9)</f>
        <v>0</v>
      </c>
      <c r="G9" s="2076"/>
      <c r="H9" s="2076"/>
      <c r="I9" s="2076"/>
      <c r="J9" s="2076"/>
      <c r="K9" s="2076"/>
      <c r="L9" s="2075">
        <f>SUM(G9:K9)</f>
        <v>0</v>
      </c>
      <c r="M9" s="2076"/>
      <c r="N9" s="2076"/>
      <c r="O9" s="2076"/>
      <c r="P9" s="2076"/>
      <c r="Q9" s="2076"/>
      <c r="R9" s="2076"/>
      <c r="S9" s="2076"/>
      <c r="T9" s="2075">
        <f>SUM(O9:S9)</f>
        <v>0</v>
      </c>
    </row>
    <row r="10" spans="1:20" ht="14.25" customHeight="1">
      <c r="A10" s="1910">
        <v>2</v>
      </c>
      <c r="B10" s="1908">
        <f>境外所得纳税调整后所得审核表!B7</f>
        <v>0</v>
      </c>
      <c r="C10" s="2076"/>
      <c r="D10" s="2076"/>
      <c r="E10" s="2076"/>
      <c r="F10" s="2075">
        <f t="shared" ref="F10:F17" si="0">SUM(C10:E10)</f>
        <v>0</v>
      </c>
      <c r="G10" s="2076"/>
      <c r="H10" s="2076"/>
      <c r="I10" s="2076"/>
      <c r="J10" s="2076"/>
      <c r="K10" s="2076"/>
      <c r="L10" s="2075">
        <f t="shared" ref="L10:L17" si="1">SUM(G10:K10)</f>
        <v>0</v>
      </c>
      <c r="M10" s="2076"/>
      <c r="N10" s="2076"/>
      <c r="O10" s="2076"/>
      <c r="P10" s="2076"/>
      <c r="Q10" s="2076"/>
      <c r="R10" s="2076"/>
      <c r="S10" s="2076"/>
      <c r="T10" s="2075">
        <f t="shared" ref="T10:T17" si="2">SUM(O10:S10)</f>
        <v>0</v>
      </c>
    </row>
    <row r="11" spans="1:20" ht="14.25" customHeight="1">
      <c r="A11" s="1910">
        <v>3</v>
      </c>
      <c r="B11" s="1908">
        <f>境外所得纳税调整后所得审核表!B8</f>
        <v>0</v>
      </c>
      <c r="C11" s="2076"/>
      <c r="D11" s="2076"/>
      <c r="E11" s="2076"/>
      <c r="F11" s="2075">
        <f t="shared" si="0"/>
        <v>0</v>
      </c>
      <c r="G11" s="2076"/>
      <c r="H11" s="2076"/>
      <c r="I11" s="2076"/>
      <c r="J11" s="2076"/>
      <c r="K11" s="2076"/>
      <c r="L11" s="2075">
        <f t="shared" si="1"/>
        <v>0</v>
      </c>
      <c r="M11" s="2076"/>
      <c r="N11" s="2076"/>
      <c r="O11" s="2076"/>
      <c r="P11" s="2076"/>
      <c r="Q11" s="2076"/>
      <c r="R11" s="2076"/>
      <c r="S11" s="2076"/>
      <c r="T11" s="2075">
        <f t="shared" si="2"/>
        <v>0</v>
      </c>
    </row>
    <row r="12" spans="1:20" ht="14.25" customHeight="1">
      <c r="A12" s="1910">
        <v>4</v>
      </c>
      <c r="B12" s="1908">
        <f>境外所得纳税调整后所得审核表!B9</f>
        <v>0</v>
      </c>
      <c r="C12" s="2076"/>
      <c r="D12" s="2076"/>
      <c r="E12" s="2076"/>
      <c r="F12" s="2075">
        <f t="shared" si="0"/>
        <v>0</v>
      </c>
      <c r="G12" s="2076"/>
      <c r="H12" s="2076"/>
      <c r="I12" s="2076"/>
      <c r="J12" s="2076"/>
      <c r="K12" s="2076"/>
      <c r="L12" s="2075">
        <f t="shared" si="1"/>
        <v>0</v>
      </c>
      <c r="M12" s="2076"/>
      <c r="N12" s="2076"/>
      <c r="O12" s="2076"/>
      <c r="P12" s="2076"/>
      <c r="Q12" s="2076"/>
      <c r="R12" s="2076"/>
      <c r="S12" s="2076"/>
      <c r="T12" s="2075">
        <f t="shared" si="2"/>
        <v>0</v>
      </c>
    </row>
    <row r="13" spans="1:20" ht="14.25" customHeight="1">
      <c r="A13" s="1910">
        <v>5</v>
      </c>
      <c r="B13" s="1908">
        <f>境外所得纳税调整后所得审核表!B10</f>
        <v>0</v>
      </c>
      <c r="C13" s="2076"/>
      <c r="D13" s="2076"/>
      <c r="E13" s="2076"/>
      <c r="F13" s="2075">
        <f t="shared" si="0"/>
        <v>0</v>
      </c>
      <c r="G13" s="2076"/>
      <c r="H13" s="2076"/>
      <c r="I13" s="2076"/>
      <c r="J13" s="2076"/>
      <c r="K13" s="2076"/>
      <c r="L13" s="2075">
        <f t="shared" si="1"/>
        <v>0</v>
      </c>
      <c r="M13" s="2076"/>
      <c r="N13" s="2076"/>
      <c r="O13" s="2076"/>
      <c r="P13" s="2076"/>
      <c r="Q13" s="2076"/>
      <c r="R13" s="2076"/>
      <c r="S13" s="2076"/>
      <c r="T13" s="2075">
        <f t="shared" si="2"/>
        <v>0</v>
      </c>
    </row>
    <row r="14" spans="1:20" ht="14.25" customHeight="1">
      <c r="A14" s="1910">
        <v>6</v>
      </c>
      <c r="B14" s="1908">
        <f>境外所得纳税调整后所得审核表!B11</f>
        <v>0</v>
      </c>
      <c r="C14" s="2076"/>
      <c r="D14" s="2076"/>
      <c r="E14" s="2076"/>
      <c r="F14" s="2075">
        <f t="shared" si="0"/>
        <v>0</v>
      </c>
      <c r="G14" s="2076"/>
      <c r="H14" s="2076"/>
      <c r="I14" s="2076"/>
      <c r="J14" s="2076"/>
      <c r="K14" s="2076"/>
      <c r="L14" s="2075">
        <f t="shared" si="1"/>
        <v>0</v>
      </c>
      <c r="M14" s="2076"/>
      <c r="N14" s="2076"/>
      <c r="O14" s="2076"/>
      <c r="P14" s="2076"/>
      <c r="Q14" s="2076"/>
      <c r="R14" s="2076"/>
      <c r="S14" s="2076"/>
      <c r="T14" s="2075">
        <f t="shared" si="2"/>
        <v>0</v>
      </c>
    </row>
    <row r="15" spans="1:20" ht="14.25" customHeight="1">
      <c r="A15" s="1910">
        <v>7</v>
      </c>
      <c r="B15" s="1908">
        <f>境外所得纳税调整后所得审核表!B12</f>
        <v>0</v>
      </c>
      <c r="C15" s="2076"/>
      <c r="D15" s="2076"/>
      <c r="E15" s="2076"/>
      <c r="F15" s="2075">
        <f t="shared" si="0"/>
        <v>0</v>
      </c>
      <c r="G15" s="2076"/>
      <c r="H15" s="2076"/>
      <c r="I15" s="2076"/>
      <c r="J15" s="2076"/>
      <c r="K15" s="2076"/>
      <c r="L15" s="2075">
        <f t="shared" si="1"/>
        <v>0</v>
      </c>
      <c r="M15" s="2076"/>
      <c r="N15" s="2076"/>
      <c r="O15" s="2076"/>
      <c r="P15" s="2076"/>
      <c r="Q15" s="2076"/>
      <c r="R15" s="2076"/>
      <c r="S15" s="2076"/>
      <c r="T15" s="2075">
        <f t="shared" si="2"/>
        <v>0</v>
      </c>
    </row>
    <row r="16" spans="1:20" ht="14.25" customHeight="1">
      <c r="A16" s="1910">
        <v>8</v>
      </c>
      <c r="B16" s="1908">
        <f>境外所得纳税调整后所得审核表!B13</f>
        <v>0</v>
      </c>
      <c r="C16" s="2076"/>
      <c r="D16" s="2076"/>
      <c r="E16" s="2076"/>
      <c r="F16" s="2075">
        <f t="shared" si="0"/>
        <v>0</v>
      </c>
      <c r="G16" s="2076"/>
      <c r="H16" s="2076"/>
      <c r="I16" s="2076"/>
      <c r="J16" s="2076"/>
      <c r="K16" s="2076"/>
      <c r="L16" s="2075">
        <f t="shared" si="1"/>
        <v>0</v>
      </c>
      <c r="M16" s="2076"/>
      <c r="N16" s="2076"/>
      <c r="O16" s="2076"/>
      <c r="P16" s="2076"/>
      <c r="Q16" s="2076"/>
      <c r="R16" s="2076"/>
      <c r="S16" s="2076"/>
      <c r="T16" s="2075">
        <f t="shared" si="2"/>
        <v>0</v>
      </c>
    </row>
    <row r="17" spans="1:21" ht="14.25" customHeight="1">
      <c r="A17" s="1910">
        <v>9</v>
      </c>
      <c r="B17" s="1908">
        <f>境外所得纳税调整后所得审核表!B14</f>
        <v>0</v>
      </c>
      <c r="C17" s="2076"/>
      <c r="D17" s="2076"/>
      <c r="E17" s="2076"/>
      <c r="F17" s="2075">
        <f t="shared" si="0"/>
        <v>0</v>
      </c>
      <c r="G17" s="2076"/>
      <c r="H17" s="2076"/>
      <c r="I17" s="2076"/>
      <c r="J17" s="2076"/>
      <c r="K17" s="2076"/>
      <c r="L17" s="2075">
        <f t="shared" si="1"/>
        <v>0</v>
      </c>
      <c r="M17" s="2076"/>
      <c r="N17" s="2076"/>
      <c r="O17" s="2076"/>
      <c r="P17" s="2076"/>
      <c r="Q17" s="2076"/>
      <c r="R17" s="2076"/>
      <c r="S17" s="2076"/>
      <c r="T17" s="2075">
        <f t="shared" si="2"/>
        <v>0</v>
      </c>
    </row>
    <row r="18" spans="1:21" ht="14.25" customHeight="1">
      <c r="A18" s="1910">
        <v>10</v>
      </c>
      <c r="B18" s="1910" t="s">
        <v>5482</v>
      </c>
      <c r="C18" s="2075">
        <f>SUM(C9:C17)</f>
        <v>0</v>
      </c>
      <c r="D18" s="2075">
        <f t="shared" ref="D18:F18" si="3">SUM(D9:D17)</f>
        <v>0</v>
      </c>
      <c r="E18" s="2075">
        <f t="shared" si="3"/>
        <v>0</v>
      </c>
      <c r="F18" s="2075">
        <f t="shared" si="3"/>
        <v>0</v>
      </c>
      <c r="G18" s="2075">
        <f t="shared" ref="G18" si="4">SUM(G9:G17)</f>
        <v>0</v>
      </c>
      <c r="H18" s="2075">
        <f t="shared" ref="H18" si="5">SUM(H9:H17)</f>
        <v>0</v>
      </c>
      <c r="I18" s="2075">
        <f t="shared" ref="I18" si="6">SUM(I9:I17)</f>
        <v>0</v>
      </c>
      <c r="J18" s="2075">
        <f t="shared" ref="J18" si="7">SUM(J9:J17)</f>
        <v>0</v>
      </c>
      <c r="K18" s="2075">
        <f t="shared" ref="K18" si="8">SUM(K9:K17)</f>
        <v>0</v>
      </c>
      <c r="L18" s="2075">
        <f t="shared" ref="L18" si="9">SUM(L9:L17)</f>
        <v>0</v>
      </c>
      <c r="M18" s="2075">
        <f t="shared" ref="M18" si="10">SUM(M9:M17)</f>
        <v>0</v>
      </c>
      <c r="N18" s="2075">
        <f t="shared" ref="N18" si="11">SUM(N9:N17)</f>
        <v>0</v>
      </c>
      <c r="O18" s="2075">
        <f t="shared" ref="O18" si="12">SUM(O9:O17)</f>
        <v>0</v>
      </c>
      <c r="P18" s="2075">
        <f t="shared" ref="P18" si="13">SUM(P9:P17)</f>
        <v>0</v>
      </c>
      <c r="Q18" s="2075">
        <f t="shared" ref="Q18" si="14">SUM(Q9:Q17)</f>
        <v>0</v>
      </c>
      <c r="R18" s="2075">
        <f t="shared" ref="R18" si="15">SUM(R9:R17)</f>
        <v>0</v>
      </c>
      <c r="S18" s="2075">
        <f t="shared" ref="S18" si="16">SUM(S9:S17)</f>
        <v>0</v>
      </c>
      <c r="T18" s="2075">
        <f t="shared" ref="T18" si="17">SUM(T9:T17)</f>
        <v>0</v>
      </c>
      <c r="U18" s="1770" t="s">
        <v>6479</v>
      </c>
    </row>
    <row r="19" spans="1:21" ht="106.5" customHeight="1">
      <c r="A19" s="1914"/>
      <c r="B19" s="1902" t="s">
        <v>5861</v>
      </c>
      <c r="C19" s="1914"/>
      <c r="D19" s="1897"/>
      <c r="E19" s="1897" t="s">
        <v>5862</v>
      </c>
      <c r="F19" s="1914"/>
      <c r="G19" s="1914"/>
      <c r="H19" s="1914"/>
      <c r="I19" s="1914"/>
      <c r="J19" s="1914"/>
      <c r="K19" s="1914"/>
      <c r="L19" s="1914"/>
      <c r="M19" s="1914"/>
      <c r="N19" s="1897"/>
      <c r="O19" s="1897"/>
      <c r="P19" s="1897"/>
      <c r="Q19" s="1914"/>
      <c r="R19" s="1914"/>
      <c r="S19" s="1914"/>
      <c r="T19" s="1914"/>
    </row>
  </sheetData>
  <mergeCells count="13">
    <mergeCell ref="A1:T1"/>
    <mergeCell ref="A3:A8"/>
    <mergeCell ref="B3:B7"/>
    <mergeCell ref="C3:F3"/>
    <mergeCell ref="G3:T3"/>
    <mergeCell ref="C4:C7"/>
    <mergeCell ref="D4:D7"/>
    <mergeCell ref="E4:E7"/>
    <mergeCell ref="F4:F7"/>
    <mergeCell ref="G4:L6"/>
    <mergeCell ref="M4:M7"/>
    <mergeCell ref="N4:N7"/>
    <mergeCell ref="O4:T6"/>
  </mergeCells>
  <phoneticPr fontId="51" type="noConversion"/>
  <hyperlinks>
    <hyperlink ref="U18" location="A108020境外分支机构弥补亏损明细表!A1" display="A108020境外分支机构弥补亏损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tabColor rgb="FFFFFF00"/>
  </sheetPr>
  <dimension ref="A1:U16"/>
  <sheetViews>
    <sheetView workbookViewId="0">
      <selection activeCell="E12" sqref="E12"/>
    </sheetView>
  </sheetViews>
  <sheetFormatPr defaultRowHeight="13.2"/>
  <cols>
    <col min="1" max="1" width="5.19921875" style="1626" customWidth="1"/>
    <col min="2" max="2" width="9.3984375" style="1626" customWidth="1"/>
    <col min="3" max="20" width="10.19921875" style="1626" customWidth="1"/>
    <col min="21" max="256" width="9" style="1626"/>
    <col min="257" max="257" width="5.19921875" style="1626" customWidth="1"/>
    <col min="258" max="258" width="7.09765625" style="1626" customWidth="1"/>
    <col min="259" max="263" width="6.3984375" style="1626" customWidth="1"/>
    <col min="264" max="264" width="7.19921875" style="1626" customWidth="1"/>
    <col min="265" max="269" width="6.3984375" style="1626" customWidth="1"/>
    <col min="270" max="270" width="8.3984375" style="1626" customWidth="1"/>
    <col min="271" max="275" width="6.3984375" style="1626" customWidth="1"/>
    <col min="276" max="276" width="9.19921875" style="1626" customWidth="1"/>
    <col min="277" max="512" width="9" style="1626"/>
    <col min="513" max="513" width="5.19921875" style="1626" customWidth="1"/>
    <col min="514" max="514" width="7.09765625" style="1626" customWidth="1"/>
    <col min="515" max="519" width="6.3984375" style="1626" customWidth="1"/>
    <col min="520" max="520" width="7.19921875" style="1626" customWidth="1"/>
    <col min="521" max="525" width="6.3984375" style="1626" customWidth="1"/>
    <col min="526" max="526" width="8.3984375" style="1626" customWidth="1"/>
    <col min="527" max="531" width="6.3984375" style="1626" customWidth="1"/>
    <col min="532" max="532" width="9.19921875" style="1626" customWidth="1"/>
    <col min="533" max="768" width="9" style="1626"/>
    <col min="769" max="769" width="5.19921875" style="1626" customWidth="1"/>
    <col min="770" max="770" width="7.09765625" style="1626" customWidth="1"/>
    <col min="771" max="775" width="6.3984375" style="1626" customWidth="1"/>
    <col min="776" max="776" width="7.19921875" style="1626" customWidth="1"/>
    <col min="777" max="781" width="6.3984375" style="1626" customWidth="1"/>
    <col min="782" max="782" width="8.3984375" style="1626" customWidth="1"/>
    <col min="783" max="787" width="6.3984375" style="1626" customWidth="1"/>
    <col min="788" max="788" width="9.19921875" style="1626" customWidth="1"/>
    <col min="789" max="1024" width="9" style="1626"/>
    <col min="1025" max="1025" width="5.19921875" style="1626" customWidth="1"/>
    <col min="1026" max="1026" width="7.09765625" style="1626" customWidth="1"/>
    <col min="1027" max="1031" width="6.3984375" style="1626" customWidth="1"/>
    <col min="1032" max="1032" width="7.19921875" style="1626" customWidth="1"/>
    <col min="1033" max="1037" width="6.3984375" style="1626" customWidth="1"/>
    <col min="1038" max="1038" width="8.3984375" style="1626" customWidth="1"/>
    <col min="1039" max="1043" width="6.3984375" style="1626" customWidth="1"/>
    <col min="1044" max="1044" width="9.19921875" style="1626" customWidth="1"/>
    <col min="1045" max="1280" width="9" style="1626"/>
    <col min="1281" max="1281" width="5.19921875" style="1626" customWidth="1"/>
    <col min="1282" max="1282" width="7.09765625" style="1626" customWidth="1"/>
    <col min="1283" max="1287" width="6.3984375" style="1626" customWidth="1"/>
    <col min="1288" max="1288" width="7.19921875" style="1626" customWidth="1"/>
    <col min="1289" max="1293" width="6.3984375" style="1626" customWidth="1"/>
    <col min="1294" max="1294" width="8.3984375" style="1626" customWidth="1"/>
    <col min="1295" max="1299" width="6.3984375" style="1626" customWidth="1"/>
    <col min="1300" max="1300" width="9.19921875" style="1626" customWidth="1"/>
    <col min="1301" max="1536" width="9" style="1626"/>
    <col min="1537" max="1537" width="5.19921875" style="1626" customWidth="1"/>
    <col min="1538" max="1538" width="7.09765625" style="1626" customWidth="1"/>
    <col min="1539" max="1543" width="6.3984375" style="1626" customWidth="1"/>
    <col min="1544" max="1544" width="7.19921875" style="1626" customWidth="1"/>
    <col min="1545" max="1549" width="6.3984375" style="1626" customWidth="1"/>
    <col min="1550" max="1550" width="8.3984375" style="1626" customWidth="1"/>
    <col min="1551" max="1555" width="6.3984375" style="1626" customWidth="1"/>
    <col min="1556" max="1556" width="9.19921875" style="1626" customWidth="1"/>
    <col min="1557" max="1792" width="9" style="1626"/>
    <col min="1793" max="1793" width="5.19921875" style="1626" customWidth="1"/>
    <col min="1794" max="1794" width="7.09765625" style="1626" customWidth="1"/>
    <col min="1795" max="1799" width="6.3984375" style="1626" customWidth="1"/>
    <col min="1800" max="1800" width="7.19921875" style="1626" customWidth="1"/>
    <col min="1801" max="1805" width="6.3984375" style="1626" customWidth="1"/>
    <col min="1806" max="1806" width="8.3984375" style="1626" customWidth="1"/>
    <col min="1807" max="1811" width="6.3984375" style="1626" customWidth="1"/>
    <col min="1812" max="1812" width="9.19921875" style="1626" customWidth="1"/>
    <col min="1813" max="2048" width="9" style="1626"/>
    <col min="2049" max="2049" width="5.19921875" style="1626" customWidth="1"/>
    <col min="2050" max="2050" width="7.09765625" style="1626" customWidth="1"/>
    <col min="2051" max="2055" width="6.3984375" style="1626" customWidth="1"/>
    <col min="2056" max="2056" width="7.19921875" style="1626" customWidth="1"/>
    <col min="2057" max="2061" width="6.3984375" style="1626" customWidth="1"/>
    <col min="2062" max="2062" width="8.3984375" style="1626" customWidth="1"/>
    <col min="2063" max="2067" width="6.3984375" style="1626" customWidth="1"/>
    <col min="2068" max="2068" width="9.19921875" style="1626" customWidth="1"/>
    <col min="2069" max="2304" width="9" style="1626"/>
    <col min="2305" max="2305" width="5.19921875" style="1626" customWidth="1"/>
    <col min="2306" max="2306" width="7.09765625" style="1626" customWidth="1"/>
    <col min="2307" max="2311" width="6.3984375" style="1626" customWidth="1"/>
    <col min="2312" max="2312" width="7.19921875" style="1626" customWidth="1"/>
    <col min="2313" max="2317" width="6.3984375" style="1626" customWidth="1"/>
    <col min="2318" max="2318" width="8.3984375" style="1626" customWidth="1"/>
    <col min="2319" max="2323" width="6.3984375" style="1626" customWidth="1"/>
    <col min="2324" max="2324" width="9.19921875" style="1626" customWidth="1"/>
    <col min="2325" max="2560" width="9" style="1626"/>
    <col min="2561" max="2561" width="5.19921875" style="1626" customWidth="1"/>
    <col min="2562" max="2562" width="7.09765625" style="1626" customWidth="1"/>
    <col min="2563" max="2567" width="6.3984375" style="1626" customWidth="1"/>
    <col min="2568" max="2568" width="7.19921875" style="1626" customWidth="1"/>
    <col min="2569" max="2573" width="6.3984375" style="1626" customWidth="1"/>
    <col min="2574" max="2574" width="8.3984375" style="1626" customWidth="1"/>
    <col min="2575" max="2579" width="6.3984375" style="1626" customWidth="1"/>
    <col min="2580" max="2580" width="9.19921875" style="1626" customWidth="1"/>
    <col min="2581" max="2816" width="9" style="1626"/>
    <col min="2817" max="2817" width="5.19921875" style="1626" customWidth="1"/>
    <col min="2818" max="2818" width="7.09765625" style="1626" customWidth="1"/>
    <col min="2819" max="2823" width="6.3984375" style="1626" customWidth="1"/>
    <col min="2824" max="2824" width="7.19921875" style="1626" customWidth="1"/>
    <col min="2825" max="2829" width="6.3984375" style="1626" customWidth="1"/>
    <col min="2830" max="2830" width="8.3984375" style="1626" customWidth="1"/>
    <col min="2831" max="2835" width="6.3984375" style="1626" customWidth="1"/>
    <col min="2836" max="2836" width="9.19921875" style="1626" customWidth="1"/>
    <col min="2837" max="3072" width="9" style="1626"/>
    <col min="3073" max="3073" width="5.19921875" style="1626" customWidth="1"/>
    <col min="3074" max="3074" width="7.09765625" style="1626" customWidth="1"/>
    <col min="3075" max="3079" width="6.3984375" style="1626" customWidth="1"/>
    <col min="3080" max="3080" width="7.19921875" style="1626" customWidth="1"/>
    <col min="3081" max="3085" width="6.3984375" style="1626" customWidth="1"/>
    <col min="3086" max="3086" width="8.3984375" style="1626" customWidth="1"/>
    <col min="3087" max="3091" width="6.3984375" style="1626" customWidth="1"/>
    <col min="3092" max="3092" width="9.19921875" style="1626" customWidth="1"/>
    <col min="3093" max="3328" width="9" style="1626"/>
    <col min="3329" max="3329" width="5.19921875" style="1626" customWidth="1"/>
    <col min="3330" max="3330" width="7.09765625" style="1626" customWidth="1"/>
    <col min="3331" max="3335" width="6.3984375" style="1626" customWidth="1"/>
    <col min="3336" max="3336" width="7.19921875" style="1626" customWidth="1"/>
    <col min="3337" max="3341" width="6.3984375" style="1626" customWidth="1"/>
    <col min="3342" max="3342" width="8.3984375" style="1626" customWidth="1"/>
    <col min="3343" max="3347" width="6.3984375" style="1626" customWidth="1"/>
    <col min="3348" max="3348" width="9.19921875" style="1626" customWidth="1"/>
    <col min="3349" max="3584" width="9" style="1626"/>
    <col min="3585" max="3585" width="5.19921875" style="1626" customWidth="1"/>
    <col min="3586" max="3586" width="7.09765625" style="1626" customWidth="1"/>
    <col min="3587" max="3591" width="6.3984375" style="1626" customWidth="1"/>
    <col min="3592" max="3592" width="7.19921875" style="1626" customWidth="1"/>
    <col min="3593" max="3597" width="6.3984375" style="1626" customWidth="1"/>
    <col min="3598" max="3598" width="8.3984375" style="1626" customWidth="1"/>
    <col min="3599" max="3603" width="6.3984375" style="1626" customWidth="1"/>
    <col min="3604" max="3604" width="9.19921875" style="1626" customWidth="1"/>
    <col min="3605" max="3840" width="9" style="1626"/>
    <col min="3841" max="3841" width="5.19921875" style="1626" customWidth="1"/>
    <col min="3842" max="3842" width="7.09765625" style="1626" customWidth="1"/>
    <col min="3843" max="3847" width="6.3984375" style="1626" customWidth="1"/>
    <col min="3848" max="3848" width="7.19921875" style="1626" customWidth="1"/>
    <col min="3849" max="3853" width="6.3984375" style="1626" customWidth="1"/>
    <col min="3854" max="3854" width="8.3984375" style="1626" customWidth="1"/>
    <col min="3855" max="3859" width="6.3984375" style="1626" customWidth="1"/>
    <col min="3860" max="3860" width="9.19921875" style="1626" customWidth="1"/>
    <col min="3861" max="4096" width="9" style="1626"/>
    <col min="4097" max="4097" width="5.19921875" style="1626" customWidth="1"/>
    <col min="4098" max="4098" width="7.09765625" style="1626" customWidth="1"/>
    <col min="4099" max="4103" width="6.3984375" style="1626" customWidth="1"/>
    <col min="4104" max="4104" width="7.19921875" style="1626" customWidth="1"/>
    <col min="4105" max="4109" width="6.3984375" style="1626" customWidth="1"/>
    <col min="4110" max="4110" width="8.3984375" style="1626" customWidth="1"/>
    <col min="4111" max="4115" width="6.3984375" style="1626" customWidth="1"/>
    <col min="4116" max="4116" width="9.19921875" style="1626" customWidth="1"/>
    <col min="4117" max="4352" width="9" style="1626"/>
    <col min="4353" max="4353" width="5.19921875" style="1626" customWidth="1"/>
    <col min="4354" max="4354" width="7.09765625" style="1626" customWidth="1"/>
    <col min="4355" max="4359" width="6.3984375" style="1626" customWidth="1"/>
    <col min="4360" max="4360" width="7.19921875" style="1626" customWidth="1"/>
    <col min="4361" max="4365" width="6.3984375" style="1626" customWidth="1"/>
    <col min="4366" max="4366" width="8.3984375" style="1626" customWidth="1"/>
    <col min="4367" max="4371" width="6.3984375" style="1626" customWidth="1"/>
    <col min="4372" max="4372" width="9.19921875" style="1626" customWidth="1"/>
    <col min="4373" max="4608" width="9" style="1626"/>
    <col min="4609" max="4609" width="5.19921875" style="1626" customWidth="1"/>
    <col min="4610" max="4610" width="7.09765625" style="1626" customWidth="1"/>
    <col min="4611" max="4615" width="6.3984375" style="1626" customWidth="1"/>
    <col min="4616" max="4616" width="7.19921875" style="1626" customWidth="1"/>
    <col min="4617" max="4621" width="6.3984375" style="1626" customWidth="1"/>
    <col min="4622" max="4622" width="8.3984375" style="1626" customWidth="1"/>
    <col min="4623" max="4627" width="6.3984375" style="1626" customWidth="1"/>
    <col min="4628" max="4628" width="9.19921875" style="1626" customWidth="1"/>
    <col min="4629" max="4864" width="9" style="1626"/>
    <col min="4865" max="4865" width="5.19921875" style="1626" customWidth="1"/>
    <col min="4866" max="4866" width="7.09765625" style="1626" customWidth="1"/>
    <col min="4867" max="4871" width="6.3984375" style="1626" customWidth="1"/>
    <col min="4872" max="4872" width="7.19921875" style="1626" customWidth="1"/>
    <col min="4873" max="4877" width="6.3984375" style="1626" customWidth="1"/>
    <col min="4878" max="4878" width="8.3984375" style="1626" customWidth="1"/>
    <col min="4879" max="4883" width="6.3984375" style="1626" customWidth="1"/>
    <col min="4884" max="4884" width="9.19921875" style="1626" customWidth="1"/>
    <col min="4885" max="5120" width="9" style="1626"/>
    <col min="5121" max="5121" width="5.19921875" style="1626" customWidth="1"/>
    <col min="5122" max="5122" width="7.09765625" style="1626" customWidth="1"/>
    <col min="5123" max="5127" width="6.3984375" style="1626" customWidth="1"/>
    <col min="5128" max="5128" width="7.19921875" style="1626" customWidth="1"/>
    <col min="5129" max="5133" width="6.3984375" style="1626" customWidth="1"/>
    <col min="5134" max="5134" width="8.3984375" style="1626" customWidth="1"/>
    <col min="5135" max="5139" width="6.3984375" style="1626" customWidth="1"/>
    <col min="5140" max="5140" width="9.19921875" style="1626" customWidth="1"/>
    <col min="5141" max="5376" width="9" style="1626"/>
    <col min="5377" max="5377" width="5.19921875" style="1626" customWidth="1"/>
    <col min="5378" max="5378" width="7.09765625" style="1626" customWidth="1"/>
    <col min="5379" max="5383" width="6.3984375" style="1626" customWidth="1"/>
    <col min="5384" max="5384" width="7.19921875" style="1626" customWidth="1"/>
    <col min="5385" max="5389" width="6.3984375" style="1626" customWidth="1"/>
    <col min="5390" max="5390" width="8.3984375" style="1626" customWidth="1"/>
    <col min="5391" max="5395" width="6.3984375" style="1626" customWidth="1"/>
    <col min="5396" max="5396" width="9.19921875" style="1626" customWidth="1"/>
    <col min="5397" max="5632" width="9" style="1626"/>
    <col min="5633" max="5633" width="5.19921875" style="1626" customWidth="1"/>
    <col min="5634" max="5634" width="7.09765625" style="1626" customWidth="1"/>
    <col min="5635" max="5639" width="6.3984375" style="1626" customWidth="1"/>
    <col min="5640" max="5640" width="7.19921875" style="1626" customWidth="1"/>
    <col min="5641" max="5645" width="6.3984375" style="1626" customWidth="1"/>
    <col min="5646" max="5646" width="8.3984375" style="1626" customWidth="1"/>
    <col min="5647" max="5651" width="6.3984375" style="1626" customWidth="1"/>
    <col min="5652" max="5652" width="9.19921875" style="1626" customWidth="1"/>
    <col min="5653" max="5888" width="9" style="1626"/>
    <col min="5889" max="5889" width="5.19921875" style="1626" customWidth="1"/>
    <col min="5890" max="5890" width="7.09765625" style="1626" customWidth="1"/>
    <col min="5891" max="5895" width="6.3984375" style="1626" customWidth="1"/>
    <col min="5896" max="5896" width="7.19921875" style="1626" customWidth="1"/>
    <col min="5897" max="5901" width="6.3984375" style="1626" customWidth="1"/>
    <col min="5902" max="5902" width="8.3984375" style="1626" customWidth="1"/>
    <col min="5903" max="5907" width="6.3984375" style="1626" customWidth="1"/>
    <col min="5908" max="5908" width="9.19921875" style="1626" customWidth="1"/>
    <col min="5909" max="6144" width="9" style="1626"/>
    <col min="6145" max="6145" width="5.19921875" style="1626" customWidth="1"/>
    <col min="6146" max="6146" width="7.09765625" style="1626" customWidth="1"/>
    <col min="6147" max="6151" width="6.3984375" style="1626" customWidth="1"/>
    <col min="6152" max="6152" width="7.19921875" style="1626" customWidth="1"/>
    <col min="6153" max="6157" width="6.3984375" style="1626" customWidth="1"/>
    <col min="6158" max="6158" width="8.3984375" style="1626" customWidth="1"/>
    <col min="6159" max="6163" width="6.3984375" style="1626" customWidth="1"/>
    <col min="6164" max="6164" width="9.19921875" style="1626" customWidth="1"/>
    <col min="6165" max="6400" width="9" style="1626"/>
    <col min="6401" max="6401" width="5.19921875" style="1626" customWidth="1"/>
    <col min="6402" max="6402" width="7.09765625" style="1626" customWidth="1"/>
    <col min="6403" max="6407" width="6.3984375" style="1626" customWidth="1"/>
    <col min="6408" max="6408" width="7.19921875" style="1626" customWidth="1"/>
    <col min="6409" max="6413" width="6.3984375" style="1626" customWidth="1"/>
    <col min="6414" max="6414" width="8.3984375" style="1626" customWidth="1"/>
    <col min="6415" max="6419" width="6.3984375" style="1626" customWidth="1"/>
    <col min="6420" max="6420" width="9.19921875" style="1626" customWidth="1"/>
    <col min="6421" max="6656" width="9" style="1626"/>
    <col min="6657" max="6657" width="5.19921875" style="1626" customWidth="1"/>
    <col min="6658" max="6658" width="7.09765625" style="1626" customWidth="1"/>
    <col min="6659" max="6663" width="6.3984375" style="1626" customWidth="1"/>
    <col min="6664" max="6664" width="7.19921875" style="1626" customWidth="1"/>
    <col min="6665" max="6669" width="6.3984375" style="1626" customWidth="1"/>
    <col min="6670" max="6670" width="8.3984375" style="1626" customWidth="1"/>
    <col min="6671" max="6675" width="6.3984375" style="1626" customWidth="1"/>
    <col min="6676" max="6676" width="9.19921875" style="1626" customWidth="1"/>
    <col min="6677" max="6912" width="9" style="1626"/>
    <col min="6913" max="6913" width="5.19921875" style="1626" customWidth="1"/>
    <col min="6914" max="6914" width="7.09765625" style="1626" customWidth="1"/>
    <col min="6915" max="6919" width="6.3984375" style="1626" customWidth="1"/>
    <col min="6920" max="6920" width="7.19921875" style="1626" customWidth="1"/>
    <col min="6921" max="6925" width="6.3984375" style="1626" customWidth="1"/>
    <col min="6926" max="6926" width="8.3984375" style="1626" customWidth="1"/>
    <col min="6927" max="6931" width="6.3984375" style="1626" customWidth="1"/>
    <col min="6932" max="6932" width="9.19921875" style="1626" customWidth="1"/>
    <col min="6933" max="7168" width="9" style="1626"/>
    <col min="7169" max="7169" width="5.19921875" style="1626" customWidth="1"/>
    <col min="7170" max="7170" width="7.09765625" style="1626" customWidth="1"/>
    <col min="7171" max="7175" width="6.3984375" style="1626" customWidth="1"/>
    <col min="7176" max="7176" width="7.19921875" style="1626" customWidth="1"/>
    <col min="7177" max="7181" width="6.3984375" style="1626" customWidth="1"/>
    <col min="7182" max="7182" width="8.3984375" style="1626" customWidth="1"/>
    <col min="7183" max="7187" width="6.3984375" style="1626" customWidth="1"/>
    <col min="7188" max="7188" width="9.19921875" style="1626" customWidth="1"/>
    <col min="7189" max="7424" width="9" style="1626"/>
    <col min="7425" max="7425" width="5.19921875" style="1626" customWidth="1"/>
    <col min="7426" max="7426" width="7.09765625" style="1626" customWidth="1"/>
    <col min="7427" max="7431" width="6.3984375" style="1626" customWidth="1"/>
    <col min="7432" max="7432" width="7.19921875" style="1626" customWidth="1"/>
    <col min="7433" max="7437" width="6.3984375" style="1626" customWidth="1"/>
    <col min="7438" max="7438" width="8.3984375" style="1626" customWidth="1"/>
    <col min="7439" max="7443" width="6.3984375" style="1626" customWidth="1"/>
    <col min="7444" max="7444" width="9.19921875" style="1626" customWidth="1"/>
    <col min="7445" max="7680" width="9" style="1626"/>
    <col min="7681" max="7681" width="5.19921875" style="1626" customWidth="1"/>
    <col min="7682" max="7682" width="7.09765625" style="1626" customWidth="1"/>
    <col min="7683" max="7687" width="6.3984375" style="1626" customWidth="1"/>
    <col min="7688" max="7688" width="7.19921875" style="1626" customWidth="1"/>
    <col min="7689" max="7693" width="6.3984375" style="1626" customWidth="1"/>
    <col min="7694" max="7694" width="8.3984375" style="1626" customWidth="1"/>
    <col min="7695" max="7699" width="6.3984375" style="1626" customWidth="1"/>
    <col min="7700" max="7700" width="9.19921875" style="1626" customWidth="1"/>
    <col min="7701" max="7936" width="9" style="1626"/>
    <col min="7937" max="7937" width="5.19921875" style="1626" customWidth="1"/>
    <col min="7938" max="7938" width="7.09765625" style="1626" customWidth="1"/>
    <col min="7939" max="7943" width="6.3984375" style="1626" customWidth="1"/>
    <col min="7944" max="7944" width="7.19921875" style="1626" customWidth="1"/>
    <col min="7945" max="7949" width="6.3984375" style="1626" customWidth="1"/>
    <col min="7950" max="7950" width="8.3984375" style="1626" customWidth="1"/>
    <col min="7951" max="7955" width="6.3984375" style="1626" customWidth="1"/>
    <col min="7956" max="7956" width="9.19921875" style="1626" customWidth="1"/>
    <col min="7957" max="8192" width="9" style="1626"/>
    <col min="8193" max="8193" width="5.19921875" style="1626" customWidth="1"/>
    <col min="8194" max="8194" width="7.09765625" style="1626" customWidth="1"/>
    <col min="8195" max="8199" width="6.3984375" style="1626" customWidth="1"/>
    <col min="8200" max="8200" width="7.19921875" style="1626" customWidth="1"/>
    <col min="8201" max="8205" width="6.3984375" style="1626" customWidth="1"/>
    <col min="8206" max="8206" width="8.3984375" style="1626" customWidth="1"/>
    <col min="8207" max="8211" width="6.3984375" style="1626" customWidth="1"/>
    <col min="8212" max="8212" width="9.19921875" style="1626" customWidth="1"/>
    <col min="8213" max="8448" width="9" style="1626"/>
    <col min="8449" max="8449" width="5.19921875" style="1626" customWidth="1"/>
    <col min="8450" max="8450" width="7.09765625" style="1626" customWidth="1"/>
    <col min="8451" max="8455" width="6.3984375" style="1626" customWidth="1"/>
    <col min="8456" max="8456" width="7.19921875" style="1626" customWidth="1"/>
    <col min="8457" max="8461" width="6.3984375" style="1626" customWidth="1"/>
    <col min="8462" max="8462" width="8.3984375" style="1626" customWidth="1"/>
    <col min="8463" max="8467" width="6.3984375" style="1626" customWidth="1"/>
    <col min="8468" max="8468" width="9.19921875" style="1626" customWidth="1"/>
    <col min="8469" max="8704" width="9" style="1626"/>
    <col min="8705" max="8705" width="5.19921875" style="1626" customWidth="1"/>
    <col min="8706" max="8706" width="7.09765625" style="1626" customWidth="1"/>
    <col min="8707" max="8711" width="6.3984375" style="1626" customWidth="1"/>
    <col min="8712" max="8712" width="7.19921875" style="1626" customWidth="1"/>
    <col min="8713" max="8717" width="6.3984375" style="1626" customWidth="1"/>
    <col min="8718" max="8718" width="8.3984375" style="1626" customWidth="1"/>
    <col min="8719" max="8723" width="6.3984375" style="1626" customWidth="1"/>
    <col min="8724" max="8724" width="9.19921875" style="1626" customWidth="1"/>
    <col min="8725" max="8960" width="9" style="1626"/>
    <col min="8961" max="8961" width="5.19921875" style="1626" customWidth="1"/>
    <col min="8962" max="8962" width="7.09765625" style="1626" customWidth="1"/>
    <col min="8963" max="8967" width="6.3984375" style="1626" customWidth="1"/>
    <col min="8968" max="8968" width="7.19921875" style="1626" customWidth="1"/>
    <col min="8969" max="8973" width="6.3984375" style="1626" customWidth="1"/>
    <col min="8974" max="8974" width="8.3984375" style="1626" customWidth="1"/>
    <col min="8975" max="8979" width="6.3984375" style="1626" customWidth="1"/>
    <col min="8980" max="8980" width="9.19921875" style="1626" customWidth="1"/>
    <col min="8981" max="9216" width="9" style="1626"/>
    <col min="9217" max="9217" width="5.19921875" style="1626" customWidth="1"/>
    <col min="9218" max="9218" width="7.09765625" style="1626" customWidth="1"/>
    <col min="9219" max="9223" width="6.3984375" style="1626" customWidth="1"/>
    <col min="9224" max="9224" width="7.19921875" style="1626" customWidth="1"/>
    <col min="9225" max="9229" width="6.3984375" style="1626" customWidth="1"/>
    <col min="9230" max="9230" width="8.3984375" style="1626" customWidth="1"/>
    <col min="9231" max="9235" width="6.3984375" style="1626" customWidth="1"/>
    <col min="9236" max="9236" width="9.19921875" style="1626" customWidth="1"/>
    <col min="9237" max="9472" width="9" style="1626"/>
    <col min="9473" max="9473" width="5.19921875" style="1626" customWidth="1"/>
    <col min="9474" max="9474" width="7.09765625" style="1626" customWidth="1"/>
    <col min="9475" max="9479" width="6.3984375" style="1626" customWidth="1"/>
    <col min="9480" max="9480" width="7.19921875" style="1626" customWidth="1"/>
    <col min="9481" max="9485" width="6.3984375" style="1626" customWidth="1"/>
    <col min="9486" max="9486" width="8.3984375" style="1626" customWidth="1"/>
    <col min="9487" max="9491" width="6.3984375" style="1626" customWidth="1"/>
    <col min="9492" max="9492" width="9.19921875" style="1626" customWidth="1"/>
    <col min="9493" max="9728" width="9" style="1626"/>
    <col min="9729" max="9729" width="5.19921875" style="1626" customWidth="1"/>
    <col min="9730" max="9730" width="7.09765625" style="1626" customWidth="1"/>
    <col min="9731" max="9735" width="6.3984375" style="1626" customWidth="1"/>
    <col min="9736" max="9736" width="7.19921875" style="1626" customWidth="1"/>
    <col min="9737" max="9741" width="6.3984375" style="1626" customWidth="1"/>
    <col min="9742" max="9742" width="8.3984375" style="1626" customWidth="1"/>
    <col min="9743" max="9747" width="6.3984375" style="1626" customWidth="1"/>
    <col min="9748" max="9748" width="9.19921875" style="1626" customWidth="1"/>
    <col min="9749" max="9984" width="9" style="1626"/>
    <col min="9985" max="9985" width="5.19921875" style="1626" customWidth="1"/>
    <col min="9986" max="9986" width="7.09765625" style="1626" customWidth="1"/>
    <col min="9987" max="9991" width="6.3984375" style="1626" customWidth="1"/>
    <col min="9992" max="9992" width="7.19921875" style="1626" customWidth="1"/>
    <col min="9993" max="9997" width="6.3984375" style="1626" customWidth="1"/>
    <col min="9998" max="9998" width="8.3984375" style="1626" customWidth="1"/>
    <col min="9999" max="10003" width="6.3984375" style="1626" customWidth="1"/>
    <col min="10004" max="10004" width="9.19921875" style="1626" customWidth="1"/>
    <col min="10005" max="10240" width="9" style="1626"/>
    <col min="10241" max="10241" width="5.19921875" style="1626" customWidth="1"/>
    <col min="10242" max="10242" width="7.09765625" style="1626" customWidth="1"/>
    <col min="10243" max="10247" width="6.3984375" style="1626" customWidth="1"/>
    <col min="10248" max="10248" width="7.19921875" style="1626" customWidth="1"/>
    <col min="10249" max="10253" width="6.3984375" style="1626" customWidth="1"/>
    <col min="10254" max="10254" width="8.3984375" style="1626" customWidth="1"/>
    <col min="10255" max="10259" width="6.3984375" style="1626" customWidth="1"/>
    <col min="10260" max="10260" width="9.19921875" style="1626" customWidth="1"/>
    <col min="10261" max="10496" width="9" style="1626"/>
    <col min="10497" max="10497" width="5.19921875" style="1626" customWidth="1"/>
    <col min="10498" max="10498" width="7.09765625" style="1626" customWidth="1"/>
    <col min="10499" max="10503" width="6.3984375" style="1626" customWidth="1"/>
    <col min="10504" max="10504" width="7.19921875" style="1626" customWidth="1"/>
    <col min="10505" max="10509" width="6.3984375" style="1626" customWidth="1"/>
    <col min="10510" max="10510" width="8.3984375" style="1626" customWidth="1"/>
    <col min="10511" max="10515" width="6.3984375" style="1626" customWidth="1"/>
    <col min="10516" max="10516" width="9.19921875" style="1626" customWidth="1"/>
    <col min="10517" max="10752" width="9" style="1626"/>
    <col min="10753" max="10753" width="5.19921875" style="1626" customWidth="1"/>
    <col min="10754" max="10754" width="7.09765625" style="1626" customWidth="1"/>
    <col min="10755" max="10759" width="6.3984375" style="1626" customWidth="1"/>
    <col min="10760" max="10760" width="7.19921875" style="1626" customWidth="1"/>
    <col min="10761" max="10765" width="6.3984375" style="1626" customWidth="1"/>
    <col min="10766" max="10766" width="8.3984375" style="1626" customWidth="1"/>
    <col min="10767" max="10771" width="6.3984375" style="1626" customWidth="1"/>
    <col min="10772" max="10772" width="9.19921875" style="1626" customWidth="1"/>
    <col min="10773" max="11008" width="9" style="1626"/>
    <col min="11009" max="11009" width="5.19921875" style="1626" customWidth="1"/>
    <col min="11010" max="11010" width="7.09765625" style="1626" customWidth="1"/>
    <col min="11011" max="11015" width="6.3984375" style="1626" customWidth="1"/>
    <col min="11016" max="11016" width="7.19921875" style="1626" customWidth="1"/>
    <col min="11017" max="11021" width="6.3984375" style="1626" customWidth="1"/>
    <col min="11022" max="11022" width="8.3984375" style="1626" customWidth="1"/>
    <col min="11023" max="11027" width="6.3984375" style="1626" customWidth="1"/>
    <col min="11028" max="11028" width="9.19921875" style="1626" customWidth="1"/>
    <col min="11029" max="11264" width="9" style="1626"/>
    <col min="11265" max="11265" width="5.19921875" style="1626" customWidth="1"/>
    <col min="11266" max="11266" width="7.09765625" style="1626" customWidth="1"/>
    <col min="11267" max="11271" width="6.3984375" style="1626" customWidth="1"/>
    <col min="11272" max="11272" width="7.19921875" style="1626" customWidth="1"/>
    <col min="11273" max="11277" width="6.3984375" style="1626" customWidth="1"/>
    <col min="11278" max="11278" width="8.3984375" style="1626" customWidth="1"/>
    <col min="11279" max="11283" width="6.3984375" style="1626" customWidth="1"/>
    <col min="11284" max="11284" width="9.19921875" style="1626" customWidth="1"/>
    <col min="11285" max="11520" width="9" style="1626"/>
    <col min="11521" max="11521" width="5.19921875" style="1626" customWidth="1"/>
    <col min="11522" max="11522" width="7.09765625" style="1626" customWidth="1"/>
    <col min="11523" max="11527" width="6.3984375" style="1626" customWidth="1"/>
    <col min="11528" max="11528" width="7.19921875" style="1626" customWidth="1"/>
    <col min="11529" max="11533" width="6.3984375" style="1626" customWidth="1"/>
    <col min="11534" max="11534" width="8.3984375" style="1626" customWidth="1"/>
    <col min="11535" max="11539" width="6.3984375" style="1626" customWidth="1"/>
    <col min="11540" max="11540" width="9.19921875" style="1626" customWidth="1"/>
    <col min="11541" max="11776" width="9" style="1626"/>
    <col min="11777" max="11777" width="5.19921875" style="1626" customWidth="1"/>
    <col min="11778" max="11778" width="7.09765625" style="1626" customWidth="1"/>
    <col min="11779" max="11783" width="6.3984375" style="1626" customWidth="1"/>
    <col min="11784" max="11784" width="7.19921875" style="1626" customWidth="1"/>
    <col min="11785" max="11789" width="6.3984375" style="1626" customWidth="1"/>
    <col min="11790" max="11790" width="8.3984375" style="1626" customWidth="1"/>
    <col min="11791" max="11795" width="6.3984375" style="1626" customWidth="1"/>
    <col min="11796" max="11796" width="9.19921875" style="1626" customWidth="1"/>
    <col min="11797" max="12032" width="9" style="1626"/>
    <col min="12033" max="12033" width="5.19921875" style="1626" customWidth="1"/>
    <col min="12034" max="12034" width="7.09765625" style="1626" customWidth="1"/>
    <col min="12035" max="12039" width="6.3984375" style="1626" customWidth="1"/>
    <col min="12040" max="12040" width="7.19921875" style="1626" customWidth="1"/>
    <col min="12041" max="12045" width="6.3984375" style="1626" customWidth="1"/>
    <col min="12046" max="12046" width="8.3984375" style="1626" customWidth="1"/>
    <col min="12047" max="12051" width="6.3984375" style="1626" customWidth="1"/>
    <col min="12052" max="12052" width="9.19921875" style="1626" customWidth="1"/>
    <col min="12053" max="12288" width="9" style="1626"/>
    <col min="12289" max="12289" width="5.19921875" style="1626" customWidth="1"/>
    <col min="12290" max="12290" width="7.09765625" style="1626" customWidth="1"/>
    <col min="12291" max="12295" width="6.3984375" style="1626" customWidth="1"/>
    <col min="12296" max="12296" width="7.19921875" style="1626" customWidth="1"/>
    <col min="12297" max="12301" width="6.3984375" style="1626" customWidth="1"/>
    <col min="12302" max="12302" width="8.3984375" style="1626" customWidth="1"/>
    <col min="12303" max="12307" width="6.3984375" style="1626" customWidth="1"/>
    <col min="12308" max="12308" width="9.19921875" style="1626" customWidth="1"/>
    <col min="12309" max="12544" width="9" style="1626"/>
    <col min="12545" max="12545" width="5.19921875" style="1626" customWidth="1"/>
    <col min="12546" max="12546" width="7.09765625" style="1626" customWidth="1"/>
    <col min="12547" max="12551" width="6.3984375" style="1626" customWidth="1"/>
    <col min="12552" max="12552" width="7.19921875" style="1626" customWidth="1"/>
    <col min="12553" max="12557" width="6.3984375" style="1626" customWidth="1"/>
    <col min="12558" max="12558" width="8.3984375" style="1626" customWidth="1"/>
    <col min="12559" max="12563" width="6.3984375" style="1626" customWidth="1"/>
    <col min="12564" max="12564" width="9.19921875" style="1626" customWidth="1"/>
    <col min="12565" max="12800" width="9" style="1626"/>
    <col min="12801" max="12801" width="5.19921875" style="1626" customWidth="1"/>
    <col min="12802" max="12802" width="7.09765625" style="1626" customWidth="1"/>
    <col min="12803" max="12807" width="6.3984375" style="1626" customWidth="1"/>
    <col min="12808" max="12808" width="7.19921875" style="1626" customWidth="1"/>
    <col min="12809" max="12813" width="6.3984375" style="1626" customWidth="1"/>
    <col min="12814" max="12814" width="8.3984375" style="1626" customWidth="1"/>
    <col min="12815" max="12819" width="6.3984375" style="1626" customWidth="1"/>
    <col min="12820" max="12820" width="9.19921875" style="1626" customWidth="1"/>
    <col min="12821" max="13056" width="9" style="1626"/>
    <col min="13057" max="13057" width="5.19921875" style="1626" customWidth="1"/>
    <col min="13058" max="13058" width="7.09765625" style="1626" customWidth="1"/>
    <col min="13059" max="13063" width="6.3984375" style="1626" customWidth="1"/>
    <col min="13064" max="13064" width="7.19921875" style="1626" customWidth="1"/>
    <col min="13065" max="13069" width="6.3984375" style="1626" customWidth="1"/>
    <col min="13070" max="13070" width="8.3984375" style="1626" customWidth="1"/>
    <col min="13071" max="13075" width="6.3984375" style="1626" customWidth="1"/>
    <col min="13076" max="13076" width="9.19921875" style="1626" customWidth="1"/>
    <col min="13077" max="13312" width="9" style="1626"/>
    <col min="13313" max="13313" width="5.19921875" style="1626" customWidth="1"/>
    <col min="13314" max="13314" width="7.09765625" style="1626" customWidth="1"/>
    <col min="13315" max="13319" width="6.3984375" style="1626" customWidth="1"/>
    <col min="13320" max="13320" width="7.19921875" style="1626" customWidth="1"/>
    <col min="13321" max="13325" width="6.3984375" style="1626" customWidth="1"/>
    <col min="13326" max="13326" width="8.3984375" style="1626" customWidth="1"/>
    <col min="13327" max="13331" width="6.3984375" style="1626" customWidth="1"/>
    <col min="13332" max="13332" width="9.19921875" style="1626" customWidth="1"/>
    <col min="13333" max="13568" width="9" style="1626"/>
    <col min="13569" max="13569" width="5.19921875" style="1626" customWidth="1"/>
    <col min="13570" max="13570" width="7.09765625" style="1626" customWidth="1"/>
    <col min="13571" max="13575" width="6.3984375" style="1626" customWidth="1"/>
    <col min="13576" max="13576" width="7.19921875" style="1626" customWidth="1"/>
    <col min="13577" max="13581" width="6.3984375" style="1626" customWidth="1"/>
    <col min="13582" max="13582" width="8.3984375" style="1626" customWidth="1"/>
    <col min="13583" max="13587" width="6.3984375" style="1626" customWidth="1"/>
    <col min="13588" max="13588" width="9.19921875" style="1626" customWidth="1"/>
    <col min="13589" max="13824" width="9" style="1626"/>
    <col min="13825" max="13825" width="5.19921875" style="1626" customWidth="1"/>
    <col min="13826" max="13826" width="7.09765625" style="1626" customWidth="1"/>
    <col min="13827" max="13831" width="6.3984375" style="1626" customWidth="1"/>
    <col min="13832" max="13832" width="7.19921875" style="1626" customWidth="1"/>
    <col min="13833" max="13837" width="6.3984375" style="1626" customWidth="1"/>
    <col min="13838" max="13838" width="8.3984375" style="1626" customWidth="1"/>
    <col min="13839" max="13843" width="6.3984375" style="1626" customWidth="1"/>
    <col min="13844" max="13844" width="9.19921875" style="1626" customWidth="1"/>
    <col min="13845" max="14080" width="9" style="1626"/>
    <col min="14081" max="14081" width="5.19921875" style="1626" customWidth="1"/>
    <col min="14082" max="14082" width="7.09765625" style="1626" customWidth="1"/>
    <col min="14083" max="14087" width="6.3984375" style="1626" customWidth="1"/>
    <col min="14088" max="14088" width="7.19921875" style="1626" customWidth="1"/>
    <col min="14089" max="14093" width="6.3984375" style="1626" customWidth="1"/>
    <col min="14094" max="14094" width="8.3984375" style="1626" customWidth="1"/>
    <col min="14095" max="14099" width="6.3984375" style="1626" customWidth="1"/>
    <col min="14100" max="14100" width="9.19921875" style="1626" customWidth="1"/>
    <col min="14101" max="14336" width="9" style="1626"/>
    <col min="14337" max="14337" width="5.19921875" style="1626" customWidth="1"/>
    <col min="14338" max="14338" width="7.09765625" style="1626" customWidth="1"/>
    <col min="14339" max="14343" width="6.3984375" style="1626" customWidth="1"/>
    <col min="14344" max="14344" width="7.19921875" style="1626" customWidth="1"/>
    <col min="14345" max="14349" width="6.3984375" style="1626" customWidth="1"/>
    <col min="14350" max="14350" width="8.3984375" style="1626" customWidth="1"/>
    <col min="14351" max="14355" width="6.3984375" style="1626" customWidth="1"/>
    <col min="14356" max="14356" width="9.19921875" style="1626" customWidth="1"/>
    <col min="14357" max="14592" width="9" style="1626"/>
    <col min="14593" max="14593" width="5.19921875" style="1626" customWidth="1"/>
    <col min="14594" max="14594" width="7.09765625" style="1626" customWidth="1"/>
    <col min="14595" max="14599" width="6.3984375" style="1626" customWidth="1"/>
    <col min="14600" max="14600" width="7.19921875" style="1626" customWidth="1"/>
    <col min="14601" max="14605" width="6.3984375" style="1626" customWidth="1"/>
    <col min="14606" max="14606" width="8.3984375" style="1626" customWidth="1"/>
    <col min="14607" max="14611" width="6.3984375" style="1626" customWidth="1"/>
    <col min="14612" max="14612" width="9.19921875" style="1626" customWidth="1"/>
    <col min="14613" max="14848" width="9" style="1626"/>
    <col min="14849" max="14849" width="5.19921875" style="1626" customWidth="1"/>
    <col min="14850" max="14850" width="7.09765625" style="1626" customWidth="1"/>
    <col min="14851" max="14855" width="6.3984375" style="1626" customWidth="1"/>
    <col min="14856" max="14856" width="7.19921875" style="1626" customWidth="1"/>
    <col min="14857" max="14861" width="6.3984375" style="1626" customWidth="1"/>
    <col min="14862" max="14862" width="8.3984375" style="1626" customWidth="1"/>
    <col min="14863" max="14867" width="6.3984375" style="1626" customWidth="1"/>
    <col min="14868" max="14868" width="9.19921875" style="1626" customWidth="1"/>
    <col min="14869" max="15104" width="9" style="1626"/>
    <col min="15105" max="15105" width="5.19921875" style="1626" customWidth="1"/>
    <col min="15106" max="15106" width="7.09765625" style="1626" customWidth="1"/>
    <col min="15107" max="15111" width="6.3984375" style="1626" customWidth="1"/>
    <col min="15112" max="15112" width="7.19921875" style="1626" customWidth="1"/>
    <col min="15113" max="15117" width="6.3984375" style="1626" customWidth="1"/>
    <col min="15118" max="15118" width="8.3984375" style="1626" customWidth="1"/>
    <col min="15119" max="15123" width="6.3984375" style="1626" customWidth="1"/>
    <col min="15124" max="15124" width="9.19921875" style="1626" customWidth="1"/>
    <col min="15125" max="15360" width="9" style="1626"/>
    <col min="15361" max="15361" width="5.19921875" style="1626" customWidth="1"/>
    <col min="15362" max="15362" width="7.09765625" style="1626" customWidth="1"/>
    <col min="15363" max="15367" width="6.3984375" style="1626" customWidth="1"/>
    <col min="15368" max="15368" width="7.19921875" style="1626" customWidth="1"/>
    <col min="15369" max="15373" width="6.3984375" style="1626" customWidth="1"/>
    <col min="15374" max="15374" width="8.3984375" style="1626" customWidth="1"/>
    <col min="15375" max="15379" width="6.3984375" style="1626" customWidth="1"/>
    <col min="15380" max="15380" width="9.19921875" style="1626" customWidth="1"/>
    <col min="15381" max="15616" width="9" style="1626"/>
    <col min="15617" max="15617" width="5.19921875" style="1626" customWidth="1"/>
    <col min="15618" max="15618" width="7.09765625" style="1626" customWidth="1"/>
    <col min="15619" max="15623" width="6.3984375" style="1626" customWidth="1"/>
    <col min="15624" max="15624" width="7.19921875" style="1626" customWidth="1"/>
    <col min="15625" max="15629" width="6.3984375" style="1626" customWidth="1"/>
    <col min="15630" max="15630" width="8.3984375" style="1626" customWidth="1"/>
    <col min="15631" max="15635" width="6.3984375" style="1626" customWidth="1"/>
    <col min="15636" max="15636" width="9.19921875" style="1626" customWidth="1"/>
    <col min="15637" max="15872" width="9" style="1626"/>
    <col min="15873" max="15873" width="5.19921875" style="1626" customWidth="1"/>
    <col min="15874" max="15874" width="7.09765625" style="1626" customWidth="1"/>
    <col min="15875" max="15879" width="6.3984375" style="1626" customWidth="1"/>
    <col min="15880" max="15880" width="7.19921875" style="1626" customWidth="1"/>
    <col min="15881" max="15885" width="6.3984375" style="1626" customWidth="1"/>
    <col min="15886" max="15886" width="8.3984375" style="1626" customWidth="1"/>
    <col min="15887" max="15891" width="6.3984375" style="1626" customWidth="1"/>
    <col min="15892" max="15892" width="9.19921875" style="1626" customWidth="1"/>
    <col min="15893" max="16128" width="9" style="1626"/>
    <col min="16129" max="16129" width="5.19921875" style="1626" customWidth="1"/>
    <col min="16130" max="16130" width="7.09765625" style="1626" customWidth="1"/>
    <col min="16131" max="16135" width="6.3984375" style="1626" customWidth="1"/>
    <col min="16136" max="16136" width="7.19921875" style="1626" customWidth="1"/>
    <col min="16137" max="16141" width="6.3984375" style="1626" customWidth="1"/>
    <col min="16142" max="16142" width="8.3984375" style="1626" customWidth="1"/>
    <col min="16143" max="16147" width="6.3984375" style="1626" customWidth="1"/>
    <col min="16148" max="16148" width="9.19921875" style="1626" customWidth="1"/>
    <col min="16149" max="16384" width="9" style="1626"/>
  </cols>
  <sheetData>
    <row r="1" spans="1:21" s="1623" customFormat="1" ht="20.100000000000001" customHeight="1">
      <c r="A1" s="3468" t="str">
        <f>"索引号："&amp;档案索引!D20</f>
        <v>索引号：2B-15</v>
      </c>
      <c r="B1" s="3468"/>
      <c r="C1" s="3468"/>
      <c r="D1" s="3468"/>
      <c r="E1" s="3468"/>
      <c r="F1" s="3468"/>
      <c r="G1" s="3468"/>
      <c r="H1" s="3468"/>
      <c r="I1" s="3468"/>
      <c r="J1" s="3468"/>
      <c r="K1" s="3468"/>
      <c r="L1" s="3468"/>
      <c r="M1" s="3468"/>
      <c r="N1" s="3468"/>
      <c r="O1" s="3468"/>
      <c r="P1" s="3468"/>
      <c r="Q1" s="3468"/>
      <c r="R1" s="3468"/>
      <c r="S1" s="3468"/>
      <c r="T1" s="3468"/>
    </row>
    <row r="2" spans="1:21" s="1624" customFormat="1" ht="25.5" customHeight="1">
      <c r="A2" s="3401" t="s">
        <v>5946</v>
      </c>
      <c r="B2" s="3401"/>
      <c r="C2" s="3401"/>
      <c r="D2" s="3401"/>
      <c r="E2" s="3401"/>
      <c r="F2" s="3401"/>
      <c r="G2" s="3401"/>
      <c r="H2" s="3401"/>
      <c r="I2" s="3401"/>
      <c r="J2" s="3401"/>
      <c r="K2" s="3401"/>
      <c r="L2" s="3401"/>
      <c r="M2" s="3401"/>
      <c r="N2" s="3401"/>
      <c r="O2" s="3401"/>
      <c r="P2" s="3401"/>
      <c r="Q2" s="3401"/>
      <c r="R2" s="3401"/>
      <c r="S2" s="3401"/>
      <c r="T2" s="3408"/>
    </row>
    <row r="3" spans="1:21" s="1616" customFormat="1" ht="14.25" customHeight="1">
      <c r="A3" s="3407" t="s">
        <v>5671</v>
      </c>
      <c r="B3" s="3407" t="s">
        <v>5787</v>
      </c>
      <c r="C3" s="3407" t="s">
        <v>5865</v>
      </c>
      <c r="D3" s="3407"/>
      <c r="E3" s="3407"/>
      <c r="F3" s="3407"/>
      <c r="G3" s="3407"/>
      <c r="H3" s="3407"/>
      <c r="I3" s="3407" t="s">
        <v>5866</v>
      </c>
      <c r="J3" s="3407"/>
      <c r="K3" s="3407"/>
      <c r="L3" s="3407"/>
      <c r="M3" s="3407"/>
      <c r="N3" s="3407"/>
      <c r="O3" s="3407" t="s">
        <v>5867</v>
      </c>
      <c r="P3" s="3407"/>
      <c r="Q3" s="3407"/>
      <c r="R3" s="3407"/>
      <c r="S3" s="3407"/>
      <c r="T3" s="3407"/>
    </row>
    <row r="4" spans="1:21" s="1616" customFormat="1" ht="14.25" customHeight="1">
      <c r="A4" s="3407"/>
      <c r="B4" s="3407"/>
      <c r="C4" s="1897" t="s">
        <v>5852</v>
      </c>
      <c r="D4" s="1897" t="s">
        <v>5853</v>
      </c>
      <c r="E4" s="1897" t="s">
        <v>5854</v>
      </c>
      <c r="F4" s="1897" t="s">
        <v>5855</v>
      </c>
      <c r="G4" s="1897" t="s">
        <v>5856</v>
      </c>
      <c r="H4" s="1897" t="s">
        <v>1280</v>
      </c>
      <c r="I4" s="1897" t="s">
        <v>5852</v>
      </c>
      <c r="J4" s="1897" t="s">
        <v>5853</v>
      </c>
      <c r="K4" s="1897" t="s">
        <v>5854</v>
      </c>
      <c r="L4" s="1897" t="s">
        <v>5855</v>
      </c>
      <c r="M4" s="1897" t="s">
        <v>5856</v>
      </c>
      <c r="N4" s="1897" t="s">
        <v>1280</v>
      </c>
      <c r="O4" s="1897" t="s">
        <v>5853</v>
      </c>
      <c r="P4" s="1897" t="s">
        <v>5854</v>
      </c>
      <c r="Q4" s="1897" t="s">
        <v>5855</v>
      </c>
      <c r="R4" s="1897" t="s">
        <v>5856</v>
      </c>
      <c r="S4" s="1897" t="s">
        <v>1352</v>
      </c>
      <c r="T4" s="1897" t="s">
        <v>1280</v>
      </c>
    </row>
    <row r="5" spans="1:21" s="1616" customFormat="1" ht="42" customHeight="1">
      <c r="A5" s="3407"/>
      <c r="B5" s="1898">
        <v>1</v>
      </c>
      <c r="C5" s="1898">
        <v>2</v>
      </c>
      <c r="D5" s="1898">
        <v>3</v>
      </c>
      <c r="E5" s="1898">
        <v>4</v>
      </c>
      <c r="F5" s="1898">
        <v>5</v>
      </c>
      <c r="G5" s="1898">
        <v>6</v>
      </c>
      <c r="H5" s="1898" t="s">
        <v>5868</v>
      </c>
      <c r="I5" s="1898">
        <v>8</v>
      </c>
      <c r="J5" s="1898">
        <v>9</v>
      </c>
      <c r="K5" s="1898">
        <v>10</v>
      </c>
      <c r="L5" s="1898">
        <v>11</v>
      </c>
      <c r="M5" s="1898">
        <v>12</v>
      </c>
      <c r="N5" s="1898" t="s">
        <v>5869</v>
      </c>
      <c r="O5" s="1898" t="s">
        <v>5870</v>
      </c>
      <c r="P5" s="1898" t="s">
        <v>5871</v>
      </c>
      <c r="Q5" s="1898" t="s">
        <v>5872</v>
      </c>
      <c r="R5" s="1898" t="s">
        <v>5873</v>
      </c>
      <c r="S5" s="1898">
        <v>18</v>
      </c>
      <c r="T5" s="1898" t="s">
        <v>5860</v>
      </c>
    </row>
    <row r="6" spans="1:21" s="1616" customFormat="1" ht="14.25" customHeight="1">
      <c r="A6" s="1897">
        <v>1</v>
      </c>
      <c r="B6" s="1901">
        <f>境外所得纳税调整后所得审核表!B6</f>
        <v>0</v>
      </c>
      <c r="C6" s="2076"/>
      <c r="D6" s="2076"/>
      <c r="E6" s="2076"/>
      <c r="F6" s="2076"/>
      <c r="G6" s="2076"/>
      <c r="H6" s="2075">
        <f>SUM(C6:G6)</f>
        <v>0</v>
      </c>
      <c r="I6" s="2076"/>
      <c r="J6" s="2076"/>
      <c r="K6" s="2076"/>
      <c r="L6" s="2076"/>
      <c r="M6" s="2076"/>
      <c r="N6" s="2075">
        <f>SUM(I6:M6)</f>
        <v>0</v>
      </c>
      <c r="O6" s="2075">
        <f>D6-J6</f>
        <v>0</v>
      </c>
      <c r="P6" s="2075">
        <f t="shared" ref="P6:R6" si="0">E6-K6</f>
        <v>0</v>
      </c>
      <c r="Q6" s="2075">
        <f t="shared" si="0"/>
        <v>0</v>
      </c>
      <c r="R6" s="2075">
        <f t="shared" si="0"/>
        <v>0</v>
      </c>
      <c r="S6" s="2075">
        <f>境外所得税收抵免审核表!K6-境外所得税收抵免审核表!M6</f>
        <v>0</v>
      </c>
      <c r="T6" s="2075">
        <f>SUM(O6:S6)</f>
        <v>0</v>
      </c>
    </row>
    <row r="7" spans="1:21" s="1616" customFormat="1" ht="14.25" customHeight="1">
      <c r="A7" s="1897">
        <v>2</v>
      </c>
      <c r="B7" s="1901">
        <f>境外所得纳税调整后所得审核表!B7</f>
        <v>0</v>
      </c>
      <c r="C7" s="2076"/>
      <c r="D7" s="2076"/>
      <c r="E7" s="2076"/>
      <c r="F7" s="2076"/>
      <c r="G7" s="2076"/>
      <c r="H7" s="2075">
        <f t="shared" ref="H7:H14" si="1">SUM(C7:G7)</f>
        <v>0</v>
      </c>
      <c r="I7" s="2076"/>
      <c r="J7" s="2076"/>
      <c r="K7" s="2076"/>
      <c r="L7" s="2076"/>
      <c r="M7" s="2076"/>
      <c r="N7" s="2075">
        <f t="shared" ref="N7:N14" si="2">SUM(I7:M7)</f>
        <v>0</v>
      </c>
      <c r="O7" s="2075">
        <f t="shared" ref="O7:O14" si="3">D7-J7</f>
        <v>0</v>
      </c>
      <c r="P7" s="2075">
        <f t="shared" ref="P7:P14" si="4">E7-K7</f>
        <v>0</v>
      </c>
      <c r="Q7" s="2075">
        <f t="shared" ref="Q7:Q14" si="5">F7-L7</f>
        <v>0</v>
      </c>
      <c r="R7" s="2075">
        <f t="shared" ref="R7:R14" si="6">G7-M7</f>
        <v>0</v>
      </c>
      <c r="S7" s="2075">
        <f>境外所得税收抵免审核表!K7-境外所得税收抵免审核表!M7</f>
        <v>0</v>
      </c>
      <c r="T7" s="2075">
        <f t="shared" ref="T7:T14" si="7">SUM(O7:S7)</f>
        <v>0</v>
      </c>
    </row>
    <row r="8" spans="1:21" s="1616" customFormat="1" ht="14.25" customHeight="1">
      <c r="A8" s="1897">
        <v>3</v>
      </c>
      <c r="B8" s="1901">
        <f>境外所得纳税调整后所得审核表!B8</f>
        <v>0</v>
      </c>
      <c r="C8" s="2076"/>
      <c r="D8" s="2076"/>
      <c r="E8" s="2076"/>
      <c r="F8" s="2076"/>
      <c r="G8" s="2076"/>
      <c r="H8" s="2075">
        <f t="shared" si="1"/>
        <v>0</v>
      </c>
      <c r="I8" s="2076"/>
      <c r="J8" s="2076"/>
      <c r="K8" s="2076"/>
      <c r="L8" s="2076"/>
      <c r="M8" s="2076"/>
      <c r="N8" s="2075">
        <f t="shared" si="2"/>
        <v>0</v>
      </c>
      <c r="O8" s="2075">
        <f t="shared" si="3"/>
        <v>0</v>
      </c>
      <c r="P8" s="2075">
        <f t="shared" si="4"/>
        <v>0</v>
      </c>
      <c r="Q8" s="2075">
        <f t="shared" si="5"/>
        <v>0</v>
      </c>
      <c r="R8" s="2075">
        <f t="shared" si="6"/>
        <v>0</v>
      </c>
      <c r="S8" s="2075">
        <f>境外所得税收抵免审核表!K8-境外所得税收抵免审核表!M8</f>
        <v>0</v>
      </c>
      <c r="T8" s="2075">
        <f t="shared" si="7"/>
        <v>0</v>
      </c>
    </row>
    <row r="9" spans="1:21" s="1616" customFormat="1" ht="14.25" customHeight="1">
      <c r="A9" s="1897">
        <v>4</v>
      </c>
      <c r="B9" s="1901">
        <f>境外所得纳税调整后所得审核表!B9</f>
        <v>0</v>
      </c>
      <c r="C9" s="2076"/>
      <c r="D9" s="2076"/>
      <c r="E9" s="2076"/>
      <c r="F9" s="2076"/>
      <c r="G9" s="2076"/>
      <c r="H9" s="2075">
        <f t="shared" si="1"/>
        <v>0</v>
      </c>
      <c r="I9" s="2076"/>
      <c r="J9" s="2076"/>
      <c r="K9" s="2076"/>
      <c r="L9" s="2076"/>
      <c r="M9" s="2076"/>
      <c r="N9" s="2075">
        <f t="shared" si="2"/>
        <v>0</v>
      </c>
      <c r="O9" s="2075">
        <f t="shared" si="3"/>
        <v>0</v>
      </c>
      <c r="P9" s="2075">
        <f t="shared" si="4"/>
        <v>0</v>
      </c>
      <c r="Q9" s="2075">
        <f t="shared" si="5"/>
        <v>0</v>
      </c>
      <c r="R9" s="2075">
        <f t="shared" si="6"/>
        <v>0</v>
      </c>
      <c r="S9" s="2075">
        <f>境外所得税收抵免审核表!K9-境外所得税收抵免审核表!M9</f>
        <v>0</v>
      </c>
      <c r="T9" s="2075">
        <f t="shared" si="7"/>
        <v>0</v>
      </c>
    </row>
    <row r="10" spans="1:21" s="1616" customFormat="1" ht="14.25" customHeight="1">
      <c r="A10" s="1897">
        <v>5</v>
      </c>
      <c r="B10" s="1901">
        <f>境外所得纳税调整后所得审核表!B10</f>
        <v>0</v>
      </c>
      <c r="C10" s="2076"/>
      <c r="D10" s="2076"/>
      <c r="E10" s="2076"/>
      <c r="F10" s="2076"/>
      <c r="G10" s="2076"/>
      <c r="H10" s="2075">
        <f t="shared" si="1"/>
        <v>0</v>
      </c>
      <c r="I10" s="2076"/>
      <c r="J10" s="2076"/>
      <c r="K10" s="2076"/>
      <c r="L10" s="2076"/>
      <c r="M10" s="2076"/>
      <c r="N10" s="2075">
        <f t="shared" si="2"/>
        <v>0</v>
      </c>
      <c r="O10" s="2075">
        <f t="shared" si="3"/>
        <v>0</v>
      </c>
      <c r="P10" s="2075">
        <f t="shared" si="4"/>
        <v>0</v>
      </c>
      <c r="Q10" s="2075">
        <f t="shared" si="5"/>
        <v>0</v>
      </c>
      <c r="R10" s="2075">
        <f t="shared" si="6"/>
        <v>0</v>
      </c>
      <c r="S10" s="2075">
        <f>境外所得税收抵免审核表!K10-境外所得税收抵免审核表!M10</f>
        <v>0</v>
      </c>
      <c r="T10" s="2075">
        <f t="shared" si="7"/>
        <v>0</v>
      </c>
    </row>
    <row r="11" spans="1:21" s="1616" customFormat="1" ht="14.25" customHeight="1">
      <c r="A11" s="1897">
        <v>6</v>
      </c>
      <c r="B11" s="1901">
        <f>境外所得纳税调整后所得审核表!B11</f>
        <v>0</v>
      </c>
      <c r="C11" s="2076"/>
      <c r="D11" s="2076"/>
      <c r="E11" s="2076"/>
      <c r="F11" s="2076"/>
      <c r="G11" s="2076"/>
      <c r="H11" s="2075">
        <f t="shared" si="1"/>
        <v>0</v>
      </c>
      <c r="I11" s="2076"/>
      <c r="J11" s="2076"/>
      <c r="K11" s="2076"/>
      <c r="L11" s="2076"/>
      <c r="M11" s="2076"/>
      <c r="N11" s="2075">
        <f t="shared" si="2"/>
        <v>0</v>
      </c>
      <c r="O11" s="2075">
        <f t="shared" si="3"/>
        <v>0</v>
      </c>
      <c r="P11" s="2075">
        <f t="shared" si="4"/>
        <v>0</v>
      </c>
      <c r="Q11" s="2075">
        <f t="shared" si="5"/>
        <v>0</v>
      </c>
      <c r="R11" s="2075">
        <f t="shared" si="6"/>
        <v>0</v>
      </c>
      <c r="S11" s="2075">
        <f>境外所得税收抵免审核表!K11-境外所得税收抵免审核表!M11</f>
        <v>0</v>
      </c>
      <c r="T11" s="2075">
        <f t="shared" si="7"/>
        <v>0</v>
      </c>
    </row>
    <row r="12" spans="1:21" s="1616" customFormat="1" ht="14.25" customHeight="1">
      <c r="A12" s="1897">
        <v>7</v>
      </c>
      <c r="B12" s="1901">
        <f>境外所得纳税调整后所得审核表!B12</f>
        <v>0</v>
      </c>
      <c r="C12" s="2076"/>
      <c r="D12" s="2076"/>
      <c r="E12" s="2076"/>
      <c r="F12" s="2076"/>
      <c r="G12" s="2076"/>
      <c r="H12" s="2075">
        <f t="shared" si="1"/>
        <v>0</v>
      </c>
      <c r="I12" s="2076"/>
      <c r="J12" s="2076"/>
      <c r="K12" s="2076"/>
      <c r="L12" s="2076"/>
      <c r="M12" s="2076"/>
      <c r="N12" s="2075">
        <f t="shared" si="2"/>
        <v>0</v>
      </c>
      <c r="O12" s="2075">
        <f t="shared" si="3"/>
        <v>0</v>
      </c>
      <c r="P12" s="2075">
        <f t="shared" si="4"/>
        <v>0</v>
      </c>
      <c r="Q12" s="2075">
        <f t="shared" si="5"/>
        <v>0</v>
      </c>
      <c r="R12" s="2075">
        <f t="shared" si="6"/>
        <v>0</v>
      </c>
      <c r="S12" s="2075">
        <f>境外所得税收抵免审核表!K12-境外所得税收抵免审核表!M12</f>
        <v>0</v>
      </c>
      <c r="T12" s="2075">
        <f t="shared" si="7"/>
        <v>0</v>
      </c>
    </row>
    <row r="13" spans="1:21" s="1616" customFormat="1" ht="14.25" customHeight="1">
      <c r="A13" s="1897">
        <v>8</v>
      </c>
      <c r="B13" s="1901">
        <f>境外所得纳税调整后所得审核表!B13</f>
        <v>0</v>
      </c>
      <c r="C13" s="2076"/>
      <c r="D13" s="2076"/>
      <c r="E13" s="2076"/>
      <c r="F13" s="2076"/>
      <c r="G13" s="2076"/>
      <c r="H13" s="2075">
        <f t="shared" si="1"/>
        <v>0</v>
      </c>
      <c r="I13" s="2076"/>
      <c r="J13" s="2076"/>
      <c r="K13" s="2076"/>
      <c r="L13" s="2076"/>
      <c r="M13" s="2076"/>
      <c r="N13" s="2075">
        <f t="shared" si="2"/>
        <v>0</v>
      </c>
      <c r="O13" s="2075">
        <f t="shared" si="3"/>
        <v>0</v>
      </c>
      <c r="P13" s="2075">
        <f t="shared" si="4"/>
        <v>0</v>
      </c>
      <c r="Q13" s="2075">
        <f t="shared" si="5"/>
        <v>0</v>
      </c>
      <c r="R13" s="2075">
        <f t="shared" si="6"/>
        <v>0</v>
      </c>
      <c r="S13" s="2075">
        <f>境外所得税收抵免审核表!K13-境外所得税收抵免审核表!M13</f>
        <v>0</v>
      </c>
      <c r="T13" s="2075">
        <f t="shared" si="7"/>
        <v>0</v>
      </c>
    </row>
    <row r="14" spans="1:21" s="1625" customFormat="1" ht="14.25" customHeight="1">
      <c r="A14" s="1897">
        <v>9</v>
      </c>
      <c r="B14" s="1901">
        <f>境外所得纳税调整后所得审核表!B14</f>
        <v>0</v>
      </c>
      <c r="C14" s="2076"/>
      <c r="D14" s="2076"/>
      <c r="E14" s="2076"/>
      <c r="F14" s="2076"/>
      <c r="G14" s="2076"/>
      <c r="H14" s="2075">
        <f t="shared" si="1"/>
        <v>0</v>
      </c>
      <c r="I14" s="2076"/>
      <c r="J14" s="2076"/>
      <c r="K14" s="2076"/>
      <c r="L14" s="2076"/>
      <c r="M14" s="2076"/>
      <c r="N14" s="2075">
        <f t="shared" si="2"/>
        <v>0</v>
      </c>
      <c r="O14" s="2075">
        <f t="shared" si="3"/>
        <v>0</v>
      </c>
      <c r="P14" s="2075">
        <f t="shared" si="4"/>
        <v>0</v>
      </c>
      <c r="Q14" s="2075">
        <f t="shared" si="5"/>
        <v>0</v>
      </c>
      <c r="R14" s="2075">
        <f t="shared" si="6"/>
        <v>0</v>
      </c>
      <c r="S14" s="2075">
        <f>境外所得税收抵免审核表!K14-境外所得税收抵免审核表!M14</f>
        <v>0</v>
      </c>
      <c r="T14" s="2075">
        <f t="shared" si="7"/>
        <v>0</v>
      </c>
    </row>
    <row r="15" spans="1:21" s="1625" customFormat="1" ht="14.25" customHeight="1">
      <c r="A15" s="1897">
        <v>10</v>
      </c>
      <c r="B15" s="1910" t="s">
        <v>5482</v>
      </c>
      <c r="C15" s="2075">
        <f>SUM(C6:C14)</f>
        <v>0</v>
      </c>
      <c r="D15" s="2075">
        <f t="shared" ref="D15:T15" si="8">SUM(D6:D14)</f>
        <v>0</v>
      </c>
      <c r="E15" s="2075">
        <f t="shared" si="8"/>
        <v>0</v>
      </c>
      <c r="F15" s="2075">
        <f t="shared" si="8"/>
        <v>0</v>
      </c>
      <c r="G15" s="2075">
        <f t="shared" si="8"/>
        <v>0</v>
      </c>
      <c r="H15" s="2075">
        <f t="shared" si="8"/>
        <v>0</v>
      </c>
      <c r="I15" s="2075">
        <f t="shared" si="8"/>
        <v>0</v>
      </c>
      <c r="J15" s="2075">
        <f t="shared" si="8"/>
        <v>0</v>
      </c>
      <c r="K15" s="2075">
        <f t="shared" si="8"/>
        <v>0</v>
      </c>
      <c r="L15" s="2075">
        <f t="shared" si="8"/>
        <v>0</v>
      </c>
      <c r="M15" s="2075">
        <f t="shared" si="8"/>
        <v>0</v>
      </c>
      <c r="N15" s="2075">
        <f t="shared" si="8"/>
        <v>0</v>
      </c>
      <c r="O15" s="2075">
        <f t="shared" si="8"/>
        <v>0</v>
      </c>
      <c r="P15" s="2075">
        <f t="shared" si="8"/>
        <v>0</v>
      </c>
      <c r="Q15" s="2075">
        <f t="shared" si="8"/>
        <v>0</v>
      </c>
      <c r="R15" s="2075">
        <f t="shared" si="8"/>
        <v>0</v>
      </c>
      <c r="S15" s="2075">
        <f t="shared" si="8"/>
        <v>0</v>
      </c>
      <c r="T15" s="2075">
        <f t="shared" si="8"/>
        <v>0</v>
      </c>
      <c r="U15" s="1770" t="s">
        <v>6481</v>
      </c>
    </row>
    <row r="16" spans="1:21" s="1625" customFormat="1" ht="280.5" customHeight="1">
      <c r="A16" s="1911"/>
      <c r="B16" s="1911" t="s">
        <v>4899</v>
      </c>
      <c r="C16" s="1897"/>
      <c r="D16" s="1897"/>
      <c r="E16" s="1897"/>
      <c r="F16" s="1911"/>
      <c r="G16" s="1911"/>
      <c r="H16" s="1911"/>
      <c r="I16" s="1911"/>
      <c r="J16" s="1911"/>
      <c r="K16" s="1911"/>
      <c r="L16" s="1911"/>
      <c r="M16" s="1911"/>
      <c r="N16" s="1902" t="s">
        <v>5874</v>
      </c>
      <c r="O16" s="1897"/>
      <c r="P16" s="1897"/>
      <c r="Q16" s="1897"/>
      <c r="R16" s="1911"/>
      <c r="S16" s="1902" t="s">
        <v>5875</v>
      </c>
      <c r="T16" s="1911"/>
    </row>
  </sheetData>
  <mergeCells count="7">
    <mergeCell ref="A1:T1"/>
    <mergeCell ref="A2:T2"/>
    <mergeCell ref="A3:A5"/>
    <mergeCell ref="B3:B4"/>
    <mergeCell ref="C3:H3"/>
    <mergeCell ref="I3:N3"/>
    <mergeCell ref="O3:T3"/>
  </mergeCells>
  <phoneticPr fontId="51" type="noConversion"/>
  <hyperlinks>
    <hyperlink ref="U15" location="A108030跨年度结转抵免境外所得税明细表!A1" display="A108030跨年度结转抵免境外所得税明细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tabColor rgb="FFFFFF00"/>
  </sheetPr>
  <dimension ref="A1:G20"/>
  <sheetViews>
    <sheetView workbookViewId="0">
      <selection activeCell="C10" sqref="C10"/>
    </sheetView>
  </sheetViews>
  <sheetFormatPr defaultRowHeight="15.6"/>
  <cols>
    <col min="1" max="1" width="5.19921875" style="1656" customWidth="1"/>
    <col min="2" max="2" width="56.09765625" style="1656" customWidth="1"/>
    <col min="3" max="3" width="19.19921875" style="1656" customWidth="1"/>
    <col min="4" max="4" width="22.5" style="1656" customWidth="1"/>
    <col min="5" max="256" width="9" style="1656"/>
    <col min="257" max="257" width="5.19921875" style="1656" customWidth="1"/>
    <col min="258" max="258" width="56.09765625" style="1656" customWidth="1"/>
    <col min="259" max="259" width="19.19921875" style="1656" customWidth="1"/>
    <col min="260" max="260" width="22.5" style="1656" customWidth="1"/>
    <col min="261" max="512" width="9" style="1656"/>
    <col min="513" max="513" width="5.19921875" style="1656" customWidth="1"/>
    <col min="514" max="514" width="56.09765625" style="1656" customWidth="1"/>
    <col min="515" max="515" width="19.19921875" style="1656" customWidth="1"/>
    <col min="516" max="516" width="22.5" style="1656" customWidth="1"/>
    <col min="517" max="768" width="9" style="1656"/>
    <col min="769" max="769" width="5.19921875" style="1656" customWidth="1"/>
    <col min="770" max="770" width="56.09765625" style="1656" customWidth="1"/>
    <col min="771" max="771" width="19.19921875" style="1656" customWidth="1"/>
    <col min="772" max="772" width="22.5" style="1656" customWidth="1"/>
    <col min="773" max="1024" width="9" style="1656"/>
    <col min="1025" max="1025" width="5.19921875" style="1656" customWidth="1"/>
    <col min="1026" max="1026" width="56.09765625" style="1656" customWidth="1"/>
    <col min="1027" max="1027" width="19.19921875" style="1656" customWidth="1"/>
    <col min="1028" max="1028" width="22.5" style="1656" customWidth="1"/>
    <col min="1029" max="1280" width="9" style="1656"/>
    <col min="1281" max="1281" width="5.19921875" style="1656" customWidth="1"/>
    <col min="1282" max="1282" width="56.09765625" style="1656" customWidth="1"/>
    <col min="1283" max="1283" width="19.19921875" style="1656" customWidth="1"/>
    <col min="1284" max="1284" width="22.5" style="1656" customWidth="1"/>
    <col min="1285" max="1536" width="9" style="1656"/>
    <col min="1537" max="1537" width="5.19921875" style="1656" customWidth="1"/>
    <col min="1538" max="1538" width="56.09765625" style="1656" customWidth="1"/>
    <col min="1539" max="1539" width="19.19921875" style="1656" customWidth="1"/>
    <col min="1540" max="1540" width="22.5" style="1656" customWidth="1"/>
    <col min="1541" max="1792" width="9" style="1656"/>
    <col min="1793" max="1793" width="5.19921875" style="1656" customWidth="1"/>
    <col min="1794" max="1794" width="56.09765625" style="1656" customWidth="1"/>
    <col min="1795" max="1795" width="19.19921875" style="1656" customWidth="1"/>
    <col min="1796" max="1796" width="22.5" style="1656" customWidth="1"/>
    <col min="1797" max="2048" width="9" style="1656"/>
    <col min="2049" max="2049" width="5.19921875" style="1656" customWidth="1"/>
    <col min="2050" max="2050" width="56.09765625" style="1656" customWidth="1"/>
    <col min="2051" max="2051" width="19.19921875" style="1656" customWidth="1"/>
    <col min="2052" max="2052" width="22.5" style="1656" customWidth="1"/>
    <col min="2053" max="2304" width="9" style="1656"/>
    <col min="2305" max="2305" width="5.19921875" style="1656" customWidth="1"/>
    <col min="2306" max="2306" width="56.09765625" style="1656" customWidth="1"/>
    <col min="2307" max="2307" width="19.19921875" style="1656" customWidth="1"/>
    <col min="2308" max="2308" width="22.5" style="1656" customWidth="1"/>
    <col min="2309" max="2560" width="9" style="1656"/>
    <col min="2561" max="2561" width="5.19921875" style="1656" customWidth="1"/>
    <col min="2562" max="2562" width="56.09765625" style="1656" customWidth="1"/>
    <col min="2563" max="2563" width="19.19921875" style="1656" customWidth="1"/>
    <col min="2564" max="2564" width="22.5" style="1656" customWidth="1"/>
    <col min="2565" max="2816" width="9" style="1656"/>
    <col min="2817" max="2817" width="5.19921875" style="1656" customWidth="1"/>
    <col min="2818" max="2818" width="56.09765625" style="1656" customWidth="1"/>
    <col min="2819" max="2819" width="19.19921875" style="1656" customWidth="1"/>
    <col min="2820" max="2820" width="22.5" style="1656" customWidth="1"/>
    <col min="2821" max="3072" width="9" style="1656"/>
    <col min="3073" max="3073" width="5.19921875" style="1656" customWidth="1"/>
    <col min="3074" max="3074" width="56.09765625" style="1656" customWidth="1"/>
    <col min="3075" max="3075" width="19.19921875" style="1656" customWidth="1"/>
    <col min="3076" max="3076" width="22.5" style="1656" customWidth="1"/>
    <col min="3077" max="3328" width="9" style="1656"/>
    <col min="3329" max="3329" width="5.19921875" style="1656" customWidth="1"/>
    <col min="3330" max="3330" width="56.09765625" style="1656" customWidth="1"/>
    <col min="3331" max="3331" width="19.19921875" style="1656" customWidth="1"/>
    <col min="3332" max="3332" width="22.5" style="1656" customWidth="1"/>
    <col min="3333" max="3584" width="9" style="1656"/>
    <col min="3585" max="3585" width="5.19921875" style="1656" customWidth="1"/>
    <col min="3586" max="3586" width="56.09765625" style="1656" customWidth="1"/>
    <col min="3587" max="3587" width="19.19921875" style="1656" customWidth="1"/>
    <col min="3588" max="3588" width="22.5" style="1656" customWidth="1"/>
    <col min="3589" max="3840" width="9" style="1656"/>
    <col min="3841" max="3841" width="5.19921875" style="1656" customWidth="1"/>
    <col min="3842" max="3842" width="56.09765625" style="1656" customWidth="1"/>
    <col min="3843" max="3843" width="19.19921875" style="1656" customWidth="1"/>
    <col min="3844" max="3844" width="22.5" style="1656" customWidth="1"/>
    <col min="3845" max="4096" width="9" style="1656"/>
    <col min="4097" max="4097" width="5.19921875" style="1656" customWidth="1"/>
    <col min="4098" max="4098" width="56.09765625" style="1656" customWidth="1"/>
    <col min="4099" max="4099" width="19.19921875" style="1656" customWidth="1"/>
    <col min="4100" max="4100" width="22.5" style="1656" customWidth="1"/>
    <col min="4101" max="4352" width="9" style="1656"/>
    <col min="4353" max="4353" width="5.19921875" style="1656" customWidth="1"/>
    <col min="4354" max="4354" width="56.09765625" style="1656" customWidth="1"/>
    <col min="4355" max="4355" width="19.19921875" style="1656" customWidth="1"/>
    <col min="4356" max="4356" width="22.5" style="1656" customWidth="1"/>
    <col min="4357" max="4608" width="9" style="1656"/>
    <col min="4609" max="4609" width="5.19921875" style="1656" customWidth="1"/>
    <col min="4610" max="4610" width="56.09765625" style="1656" customWidth="1"/>
    <col min="4611" max="4611" width="19.19921875" style="1656" customWidth="1"/>
    <col min="4612" max="4612" width="22.5" style="1656" customWidth="1"/>
    <col min="4613" max="4864" width="9" style="1656"/>
    <col min="4865" max="4865" width="5.19921875" style="1656" customWidth="1"/>
    <col min="4866" max="4866" width="56.09765625" style="1656" customWidth="1"/>
    <col min="4867" max="4867" width="19.19921875" style="1656" customWidth="1"/>
    <col min="4868" max="4868" width="22.5" style="1656" customWidth="1"/>
    <col min="4869" max="5120" width="9" style="1656"/>
    <col min="5121" max="5121" width="5.19921875" style="1656" customWidth="1"/>
    <col min="5122" max="5122" width="56.09765625" style="1656" customWidth="1"/>
    <col min="5123" max="5123" width="19.19921875" style="1656" customWidth="1"/>
    <col min="5124" max="5124" width="22.5" style="1656" customWidth="1"/>
    <col min="5125" max="5376" width="9" style="1656"/>
    <col min="5377" max="5377" width="5.19921875" style="1656" customWidth="1"/>
    <col min="5378" max="5378" width="56.09765625" style="1656" customWidth="1"/>
    <col min="5379" max="5379" width="19.19921875" style="1656" customWidth="1"/>
    <col min="5380" max="5380" width="22.5" style="1656" customWidth="1"/>
    <col min="5381" max="5632" width="9" style="1656"/>
    <col min="5633" max="5633" width="5.19921875" style="1656" customWidth="1"/>
    <col min="5634" max="5634" width="56.09765625" style="1656" customWidth="1"/>
    <col min="5635" max="5635" width="19.19921875" style="1656" customWidth="1"/>
    <col min="5636" max="5636" width="22.5" style="1656" customWidth="1"/>
    <col min="5637" max="5888" width="9" style="1656"/>
    <col min="5889" max="5889" width="5.19921875" style="1656" customWidth="1"/>
    <col min="5890" max="5890" width="56.09765625" style="1656" customWidth="1"/>
    <col min="5891" max="5891" width="19.19921875" style="1656" customWidth="1"/>
    <col min="5892" max="5892" width="22.5" style="1656" customWidth="1"/>
    <col min="5893" max="6144" width="9" style="1656"/>
    <col min="6145" max="6145" width="5.19921875" style="1656" customWidth="1"/>
    <col min="6146" max="6146" width="56.09765625" style="1656" customWidth="1"/>
    <col min="6147" max="6147" width="19.19921875" style="1656" customWidth="1"/>
    <col min="6148" max="6148" width="22.5" style="1656" customWidth="1"/>
    <col min="6149" max="6400" width="9" style="1656"/>
    <col min="6401" max="6401" width="5.19921875" style="1656" customWidth="1"/>
    <col min="6402" max="6402" width="56.09765625" style="1656" customWidth="1"/>
    <col min="6403" max="6403" width="19.19921875" style="1656" customWidth="1"/>
    <col min="6404" max="6404" width="22.5" style="1656" customWidth="1"/>
    <col min="6405" max="6656" width="9" style="1656"/>
    <col min="6657" max="6657" width="5.19921875" style="1656" customWidth="1"/>
    <col min="6658" max="6658" width="56.09765625" style="1656" customWidth="1"/>
    <col min="6659" max="6659" width="19.19921875" style="1656" customWidth="1"/>
    <col min="6660" max="6660" width="22.5" style="1656" customWidth="1"/>
    <col min="6661" max="6912" width="9" style="1656"/>
    <col min="6913" max="6913" width="5.19921875" style="1656" customWidth="1"/>
    <col min="6914" max="6914" width="56.09765625" style="1656" customWidth="1"/>
    <col min="6915" max="6915" width="19.19921875" style="1656" customWidth="1"/>
    <col min="6916" max="6916" width="22.5" style="1656" customWidth="1"/>
    <col min="6917" max="7168" width="9" style="1656"/>
    <col min="7169" max="7169" width="5.19921875" style="1656" customWidth="1"/>
    <col min="7170" max="7170" width="56.09765625" style="1656" customWidth="1"/>
    <col min="7171" max="7171" width="19.19921875" style="1656" customWidth="1"/>
    <col min="7172" max="7172" width="22.5" style="1656" customWidth="1"/>
    <col min="7173" max="7424" width="9" style="1656"/>
    <col min="7425" max="7425" width="5.19921875" style="1656" customWidth="1"/>
    <col min="7426" max="7426" width="56.09765625" style="1656" customWidth="1"/>
    <col min="7427" max="7427" width="19.19921875" style="1656" customWidth="1"/>
    <col min="7428" max="7428" width="22.5" style="1656" customWidth="1"/>
    <col min="7429" max="7680" width="9" style="1656"/>
    <col min="7681" max="7681" width="5.19921875" style="1656" customWidth="1"/>
    <col min="7682" max="7682" width="56.09765625" style="1656" customWidth="1"/>
    <col min="7683" max="7683" width="19.19921875" style="1656" customWidth="1"/>
    <col min="7684" max="7684" width="22.5" style="1656" customWidth="1"/>
    <col min="7685" max="7936" width="9" style="1656"/>
    <col min="7937" max="7937" width="5.19921875" style="1656" customWidth="1"/>
    <col min="7938" max="7938" width="56.09765625" style="1656" customWidth="1"/>
    <col min="7939" max="7939" width="19.19921875" style="1656" customWidth="1"/>
    <col min="7940" max="7940" width="22.5" style="1656" customWidth="1"/>
    <col min="7941" max="8192" width="9" style="1656"/>
    <col min="8193" max="8193" width="5.19921875" style="1656" customWidth="1"/>
    <col min="8194" max="8194" width="56.09765625" style="1656" customWidth="1"/>
    <col min="8195" max="8195" width="19.19921875" style="1656" customWidth="1"/>
    <col min="8196" max="8196" width="22.5" style="1656" customWidth="1"/>
    <col min="8197" max="8448" width="9" style="1656"/>
    <col min="8449" max="8449" width="5.19921875" style="1656" customWidth="1"/>
    <col min="8450" max="8450" width="56.09765625" style="1656" customWidth="1"/>
    <col min="8451" max="8451" width="19.19921875" style="1656" customWidth="1"/>
    <col min="8452" max="8452" width="22.5" style="1656" customWidth="1"/>
    <col min="8453" max="8704" width="9" style="1656"/>
    <col min="8705" max="8705" width="5.19921875" style="1656" customWidth="1"/>
    <col min="8706" max="8706" width="56.09765625" style="1656" customWidth="1"/>
    <col min="8707" max="8707" width="19.19921875" style="1656" customWidth="1"/>
    <col min="8708" max="8708" width="22.5" style="1656" customWidth="1"/>
    <col min="8709" max="8960" width="9" style="1656"/>
    <col min="8961" max="8961" width="5.19921875" style="1656" customWidth="1"/>
    <col min="8962" max="8962" width="56.09765625" style="1656" customWidth="1"/>
    <col min="8963" max="8963" width="19.19921875" style="1656" customWidth="1"/>
    <col min="8964" max="8964" width="22.5" style="1656" customWidth="1"/>
    <col min="8965" max="9216" width="9" style="1656"/>
    <col min="9217" max="9217" width="5.19921875" style="1656" customWidth="1"/>
    <col min="9218" max="9218" width="56.09765625" style="1656" customWidth="1"/>
    <col min="9219" max="9219" width="19.19921875" style="1656" customWidth="1"/>
    <col min="9220" max="9220" width="22.5" style="1656" customWidth="1"/>
    <col min="9221" max="9472" width="9" style="1656"/>
    <col min="9473" max="9473" width="5.19921875" style="1656" customWidth="1"/>
    <col min="9474" max="9474" width="56.09765625" style="1656" customWidth="1"/>
    <col min="9475" max="9475" width="19.19921875" style="1656" customWidth="1"/>
    <col min="9476" max="9476" width="22.5" style="1656" customWidth="1"/>
    <col min="9477" max="9728" width="9" style="1656"/>
    <col min="9729" max="9729" width="5.19921875" style="1656" customWidth="1"/>
    <col min="9730" max="9730" width="56.09765625" style="1656" customWidth="1"/>
    <col min="9731" max="9731" width="19.19921875" style="1656" customWidth="1"/>
    <col min="9732" max="9732" width="22.5" style="1656" customWidth="1"/>
    <col min="9733" max="9984" width="9" style="1656"/>
    <col min="9985" max="9985" width="5.19921875" style="1656" customWidth="1"/>
    <col min="9986" max="9986" width="56.09765625" style="1656" customWidth="1"/>
    <col min="9987" max="9987" width="19.19921875" style="1656" customWidth="1"/>
    <col min="9988" max="9988" width="22.5" style="1656" customWidth="1"/>
    <col min="9989" max="10240" width="9" style="1656"/>
    <col min="10241" max="10241" width="5.19921875" style="1656" customWidth="1"/>
    <col min="10242" max="10242" width="56.09765625" style="1656" customWidth="1"/>
    <col min="10243" max="10243" width="19.19921875" style="1656" customWidth="1"/>
    <col min="10244" max="10244" width="22.5" style="1656" customWidth="1"/>
    <col min="10245" max="10496" width="9" style="1656"/>
    <col min="10497" max="10497" width="5.19921875" style="1656" customWidth="1"/>
    <col min="10498" max="10498" width="56.09765625" style="1656" customWidth="1"/>
    <col min="10499" max="10499" width="19.19921875" style="1656" customWidth="1"/>
    <col min="10500" max="10500" width="22.5" style="1656" customWidth="1"/>
    <col min="10501" max="10752" width="9" style="1656"/>
    <col min="10753" max="10753" width="5.19921875" style="1656" customWidth="1"/>
    <col min="10754" max="10754" width="56.09765625" style="1656" customWidth="1"/>
    <col min="10755" max="10755" width="19.19921875" style="1656" customWidth="1"/>
    <col min="10756" max="10756" width="22.5" style="1656" customWidth="1"/>
    <col min="10757" max="11008" width="9" style="1656"/>
    <col min="11009" max="11009" width="5.19921875" style="1656" customWidth="1"/>
    <col min="11010" max="11010" width="56.09765625" style="1656" customWidth="1"/>
    <col min="11011" max="11011" width="19.19921875" style="1656" customWidth="1"/>
    <col min="11012" max="11012" width="22.5" style="1656" customWidth="1"/>
    <col min="11013" max="11264" width="9" style="1656"/>
    <col min="11265" max="11265" width="5.19921875" style="1656" customWidth="1"/>
    <col min="11266" max="11266" width="56.09765625" style="1656" customWidth="1"/>
    <col min="11267" max="11267" width="19.19921875" style="1656" customWidth="1"/>
    <col min="11268" max="11268" width="22.5" style="1656" customWidth="1"/>
    <col min="11269" max="11520" width="9" style="1656"/>
    <col min="11521" max="11521" width="5.19921875" style="1656" customWidth="1"/>
    <col min="11522" max="11522" width="56.09765625" style="1656" customWidth="1"/>
    <col min="11523" max="11523" width="19.19921875" style="1656" customWidth="1"/>
    <col min="11524" max="11524" width="22.5" style="1656" customWidth="1"/>
    <col min="11525" max="11776" width="9" style="1656"/>
    <col min="11777" max="11777" width="5.19921875" style="1656" customWidth="1"/>
    <col min="11778" max="11778" width="56.09765625" style="1656" customWidth="1"/>
    <col min="11779" max="11779" width="19.19921875" style="1656" customWidth="1"/>
    <col min="11780" max="11780" width="22.5" style="1656" customWidth="1"/>
    <col min="11781" max="12032" width="9" style="1656"/>
    <col min="12033" max="12033" width="5.19921875" style="1656" customWidth="1"/>
    <col min="12034" max="12034" width="56.09765625" style="1656" customWidth="1"/>
    <col min="12035" max="12035" width="19.19921875" style="1656" customWidth="1"/>
    <col min="12036" max="12036" width="22.5" style="1656" customWidth="1"/>
    <col min="12037" max="12288" width="9" style="1656"/>
    <col min="12289" max="12289" width="5.19921875" style="1656" customWidth="1"/>
    <col min="12290" max="12290" width="56.09765625" style="1656" customWidth="1"/>
    <col min="12291" max="12291" width="19.19921875" style="1656" customWidth="1"/>
    <col min="12292" max="12292" width="22.5" style="1656" customWidth="1"/>
    <col min="12293" max="12544" width="9" style="1656"/>
    <col min="12545" max="12545" width="5.19921875" style="1656" customWidth="1"/>
    <col min="12546" max="12546" width="56.09765625" style="1656" customWidth="1"/>
    <col min="12547" max="12547" width="19.19921875" style="1656" customWidth="1"/>
    <col min="12548" max="12548" width="22.5" style="1656" customWidth="1"/>
    <col min="12549" max="12800" width="9" style="1656"/>
    <col min="12801" max="12801" width="5.19921875" style="1656" customWidth="1"/>
    <col min="12802" max="12802" width="56.09765625" style="1656" customWidth="1"/>
    <col min="12803" max="12803" width="19.19921875" style="1656" customWidth="1"/>
    <col min="12804" max="12804" width="22.5" style="1656" customWidth="1"/>
    <col min="12805" max="13056" width="9" style="1656"/>
    <col min="13057" max="13057" width="5.19921875" style="1656" customWidth="1"/>
    <col min="13058" max="13058" width="56.09765625" style="1656" customWidth="1"/>
    <col min="13059" max="13059" width="19.19921875" style="1656" customWidth="1"/>
    <col min="13060" max="13060" width="22.5" style="1656" customWidth="1"/>
    <col min="13061" max="13312" width="9" style="1656"/>
    <col min="13313" max="13313" width="5.19921875" style="1656" customWidth="1"/>
    <col min="13314" max="13314" width="56.09765625" style="1656" customWidth="1"/>
    <col min="13315" max="13315" width="19.19921875" style="1656" customWidth="1"/>
    <col min="13316" max="13316" width="22.5" style="1656" customWidth="1"/>
    <col min="13317" max="13568" width="9" style="1656"/>
    <col min="13569" max="13569" width="5.19921875" style="1656" customWidth="1"/>
    <col min="13570" max="13570" width="56.09765625" style="1656" customWidth="1"/>
    <col min="13571" max="13571" width="19.19921875" style="1656" customWidth="1"/>
    <col min="13572" max="13572" width="22.5" style="1656" customWidth="1"/>
    <col min="13573" max="13824" width="9" style="1656"/>
    <col min="13825" max="13825" width="5.19921875" style="1656" customWidth="1"/>
    <col min="13826" max="13826" width="56.09765625" style="1656" customWidth="1"/>
    <col min="13827" max="13827" width="19.19921875" style="1656" customWidth="1"/>
    <col min="13828" max="13828" width="22.5" style="1656" customWidth="1"/>
    <col min="13829" max="14080" width="9" style="1656"/>
    <col min="14081" max="14081" width="5.19921875" style="1656" customWidth="1"/>
    <col min="14082" max="14082" width="56.09765625" style="1656" customWidth="1"/>
    <col min="14083" max="14083" width="19.19921875" style="1656" customWidth="1"/>
    <col min="14084" max="14084" width="22.5" style="1656" customWidth="1"/>
    <col min="14085" max="14336" width="9" style="1656"/>
    <col min="14337" max="14337" width="5.19921875" style="1656" customWidth="1"/>
    <col min="14338" max="14338" width="56.09765625" style="1656" customWidth="1"/>
    <col min="14339" max="14339" width="19.19921875" style="1656" customWidth="1"/>
    <col min="14340" max="14340" width="22.5" style="1656" customWidth="1"/>
    <col min="14341" max="14592" width="9" style="1656"/>
    <col min="14593" max="14593" width="5.19921875" style="1656" customWidth="1"/>
    <col min="14594" max="14594" width="56.09765625" style="1656" customWidth="1"/>
    <col min="14595" max="14595" width="19.19921875" style="1656" customWidth="1"/>
    <col min="14596" max="14596" width="22.5" style="1656" customWidth="1"/>
    <col min="14597" max="14848" width="9" style="1656"/>
    <col min="14849" max="14849" width="5.19921875" style="1656" customWidth="1"/>
    <col min="14850" max="14850" width="56.09765625" style="1656" customWidth="1"/>
    <col min="14851" max="14851" width="19.19921875" style="1656" customWidth="1"/>
    <col min="14852" max="14852" width="22.5" style="1656" customWidth="1"/>
    <col min="14853" max="15104" width="9" style="1656"/>
    <col min="15105" max="15105" width="5.19921875" style="1656" customWidth="1"/>
    <col min="15106" max="15106" width="56.09765625" style="1656" customWidth="1"/>
    <col min="15107" max="15107" width="19.19921875" style="1656" customWidth="1"/>
    <col min="15108" max="15108" width="22.5" style="1656" customWidth="1"/>
    <col min="15109" max="15360" width="9" style="1656"/>
    <col min="15361" max="15361" width="5.19921875" style="1656" customWidth="1"/>
    <col min="15362" max="15362" width="56.09765625" style="1656" customWidth="1"/>
    <col min="15363" max="15363" width="19.19921875" style="1656" customWidth="1"/>
    <col min="15364" max="15364" width="22.5" style="1656" customWidth="1"/>
    <col min="15365" max="15616" width="9" style="1656"/>
    <col min="15617" max="15617" width="5.19921875" style="1656" customWidth="1"/>
    <col min="15618" max="15618" width="56.09765625" style="1656" customWidth="1"/>
    <col min="15619" max="15619" width="19.19921875" style="1656" customWidth="1"/>
    <col min="15620" max="15620" width="22.5" style="1656" customWidth="1"/>
    <col min="15621" max="15872" width="9" style="1656"/>
    <col min="15873" max="15873" width="5.19921875" style="1656" customWidth="1"/>
    <col min="15874" max="15874" width="56.09765625" style="1656" customWidth="1"/>
    <col min="15875" max="15875" width="19.19921875" style="1656" customWidth="1"/>
    <col min="15876" max="15876" width="22.5" style="1656" customWidth="1"/>
    <col min="15877" max="16128" width="9" style="1656"/>
    <col min="16129" max="16129" width="5.19921875" style="1656" customWidth="1"/>
    <col min="16130" max="16130" width="56.09765625" style="1656" customWidth="1"/>
    <col min="16131" max="16131" width="19.19921875" style="1656" customWidth="1"/>
    <col min="16132" max="16132" width="22.5" style="1656" customWidth="1"/>
    <col min="16133" max="16384" width="9" style="1656"/>
  </cols>
  <sheetData>
    <row r="1" spans="1:7" s="1621" customFormat="1" ht="20.100000000000001" customHeight="1">
      <c r="A1" s="3460"/>
      <c r="B1" s="3460"/>
      <c r="C1" s="3460"/>
      <c r="D1" s="2182" t="str">
        <f>"索引号："&amp;档案索引!A45</f>
        <v>索引号：2A-25</v>
      </c>
    </row>
    <row r="2" spans="1:7" s="1622" customFormat="1" ht="25.5" customHeight="1">
      <c r="A2" s="3401" t="s">
        <v>5942</v>
      </c>
      <c r="B2" s="3401"/>
      <c r="C2" s="3401"/>
      <c r="D2" s="1912"/>
    </row>
    <row r="3" spans="1:7" s="1627" customFormat="1" ht="14.25" customHeight="1">
      <c r="A3" s="1910" t="s">
        <v>1853</v>
      </c>
      <c r="B3" s="1910" t="s">
        <v>4973</v>
      </c>
      <c r="C3" s="1910" t="s">
        <v>5878</v>
      </c>
      <c r="D3" s="1910" t="s">
        <v>4899</v>
      </c>
      <c r="G3" s="1628"/>
    </row>
    <row r="4" spans="1:7" s="1627" customFormat="1" ht="14.25" customHeight="1">
      <c r="A4" s="1910">
        <v>1</v>
      </c>
      <c r="B4" s="1913" t="s">
        <v>5879</v>
      </c>
      <c r="C4" s="2075">
        <f>IF(A000000企业基础信息表!B5="否",0,'A100000中华人民共和国企业所得税年度纳税申报表（A类）'!D34)</f>
        <v>0</v>
      </c>
      <c r="D4" s="1913" t="s">
        <v>5880</v>
      </c>
    </row>
    <row r="5" spans="1:7" s="1627" customFormat="1" ht="14.25" customHeight="1">
      <c r="A5" s="1910">
        <v>2</v>
      </c>
      <c r="B5" s="1913" t="s">
        <v>5881</v>
      </c>
      <c r="C5" s="2075">
        <f>IF(A000000企业基础信息表!B5="否",0,'A100000中华人民共和国企业所得税年度纳税申报表（A类）'!D32)</f>
        <v>0</v>
      </c>
      <c r="D5" s="1913" t="s">
        <v>5882</v>
      </c>
    </row>
    <row r="6" spans="1:7" s="1627" customFormat="1" ht="14.25" customHeight="1">
      <c r="A6" s="1910">
        <v>3</v>
      </c>
      <c r="B6" s="1913" t="s">
        <v>5883</v>
      </c>
      <c r="C6" s="2075">
        <f>IF(A000000企业基础信息表!B5="否",0,'A100000中华人民共和国企业所得税年度纳税申报表（A类）'!D33)</f>
        <v>0</v>
      </c>
      <c r="D6" s="1913" t="s">
        <v>5884</v>
      </c>
    </row>
    <row r="7" spans="1:7" s="1627" customFormat="1" ht="14.25" customHeight="1">
      <c r="A7" s="1910">
        <v>4</v>
      </c>
      <c r="B7" s="1914" t="s">
        <v>5885</v>
      </c>
      <c r="C7" s="2075">
        <f>C4-C5+C6</f>
        <v>0</v>
      </c>
      <c r="D7" s="1913"/>
    </row>
    <row r="8" spans="1:7" s="1627" customFormat="1" ht="14.25" customHeight="1">
      <c r="A8" s="1910">
        <v>5</v>
      </c>
      <c r="B8" s="1914" t="s">
        <v>5886</v>
      </c>
      <c r="C8" s="2075">
        <f>SUM(C9:C12)</f>
        <v>0</v>
      </c>
      <c r="D8" s="1913" t="s">
        <v>5887</v>
      </c>
      <c r="E8" s="1627">
        <f>'A100000中华人民共和国企业所得税年度纳税申报表（A类）'!D35</f>
        <v>0</v>
      </c>
    </row>
    <row r="9" spans="1:7" s="1627" customFormat="1" ht="14.25" customHeight="1">
      <c r="A9" s="1910">
        <v>6</v>
      </c>
      <c r="B9" s="1914" t="s">
        <v>5888</v>
      </c>
      <c r="C9" s="2076"/>
      <c r="D9" s="1913"/>
    </row>
    <row r="10" spans="1:7" s="1627" customFormat="1" ht="14.25" customHeight="1">
      <c r="A10" s="1910">
        <v>7</v>
      </c>
      <c r="B10" s="1914" t="s">
        <v>5889</v>
      </c>
      <c r="C10" s="2076"/>
      <c r="D10" s="1913"/>
    </row>
    <row r="11" spans="1:7" s="1627" customFormat="1" ht="14.25" customHeight="1">
      <c r="A11" s="1910">
        <v>8</v>
      </c>
      <c r="B11" s="1914" t="s">
        <v>5890</v>
      </c>
      <c r="C11" s="2076"/>
      <c r="D11" s="1913"/>
    </row>
    <row r="12" spans="1:7" s="1627" customFormat="1" ht="14.25" customHeight="1">
      <c r="A12" s="1910">
        <v>9</v>
      </c>
      <c r="B12" s="1914" t="s">
        <v>5891</v>
      </c>
      <c r="C12" s="2076"/>
      <c r="D12" s="1913"/>
    </row>
    <row r="13" spans="1:7" s="1627" customFormat="1" ht="14.25" customHeight="1">
      <c r="A13" s="1910">
        <v>10</v>
      </c>
      <c r="B13" s="1914" t="s">
        <v>5892</v>
      </c>
      <c r="C13" s="2076"/>
      <c r="D13" s="1913"/>
    </row>
    <row r="14" spans="1:7" s="1627" customFormat="1" ht="14.25" customHeight="1">
      <c r="A14" s="1910">
        <v>11</v>
      </c>
      <c r="B14" s="1914" t="s">
        <v>5893</v>
      </c>
      <c r="C14" s="2075">
        <f>C7-C8</f>
        <v>0</v>
      </c>
      <c r="D14" s="1913"/>
    </row>
    <row r="15" spans="1:7" s="1627" customFormat="1" ht="14.25" customHeight="1">
      <c r="A15" s="1910">
        <v>12</v>
      </c>
      <c r="B15" s="1914" t="s">
        <v>5894</v>
      </c>
      <c r="C15" s="2075">
        <f>ROUND(C14*0.25,2)</f>
        <v>0</v>
      </c>
      <c r="D15" s="1913" t="s">
        <v>5895</v>
      </c>
      <c r="E15" s="1627">
        <f>C15+C19</f>
        <v>0</v>
      </c>
      <c r="F15" s="1627">
        <f>'A100000中华人民共和国企业所得税年度纳税申报表（A类）'!D37</f>
        <v>0</v>
      </c>
    </row>
    <row r="16" spans="1:7" s="1627" customFormat="1" ht="14.25" customHeight="1">
      <c r="A16" s="1910">
        <v>13</v>
      </c>
      <c r="B16" s="1914" t="s">
        <v>5896</v>
      </c>
      <c r="C16" s="2075">
        <f>ROUND(C14*0.25,2)</f>
        <v>0</v>
      </c>
      <c r="D16" s="1913" t="s">
        <v>5897</v>
      </c>
      <c r="E16" s="1627">
        <f>'A100000中华人民共和国企业所得税年度纳税申报表（A类）'!D38</f>
        <v>0</v>
      </c>
    </row>
    <row r="17" spans="1:5" s="1627" customFormat="1" ht="14.25" customHeight="1">
      <c r="A17" s="1910">
        <v>14</v>
      </c>
      <c r="B17" s="1902" t="s">
        <v>5898</v>
      </c>
      <c r="C17" s="2075">
        <f>ROUND(C14*0.5,2)</f>
        <v>0</v>
      </c>
      <c r="D17" s="1913"/>
    </row>
    <row r="18" spans="1:5" s="1627" customFormat="1" ht="28.5" customHeight="1">
      <c r="A18" s="1910">
        <v>15</v>
      </c>
      <c r="B18" s="1902" t="s">
        <v>5899</v>
      </c>
      <c r="C18" s="2076"/>
      <c r="D18" s="1987" t="s">
        <v>5900</v>
      </c>
    </row>
    <row r="19" spans="1:5" s="1627" customFormat="1" ht="14.25" customHeight="1">
      <c r="A19" s="1910">
        <v>16</v>
      </c>
      <c r="B19" s="1914" t="s">
        <v>5901</v>
      </c>
      <c r="C19" s="2075">
        <f>C5-C6</f>
        <v>0</v>
      </c>
      <c r="D19" s="1913"/>
    </row>
    <row r="20" spans="1:5" s="1627" customFormat="1" ht="14.25" customHeight="1">
      <c r="A20" s="1910">
        <v>17</v>
      </c>
      <c r="B20" s="1914" t="s">
        <v>5902</v>
      </c>
      <c r="C20" s="2075">
        <f>C15+C16+C18+C19</f>
        <v>0</v>
      </c>
      <c r="D20" s="1913"/>
      <c r="E20" s="1770" t="s">
        <v>6483</v>
      </c>
    </row>
  </sheetData>
  <mergeCells count="2">
    <mergeCell ref="A1:C1"/>
    <mergeCell ref="A2:C2"/>
  </mergeCells>
  <phoneticPr fontId="51" type="noConversion"/>
  <hyperlinks>
    <hyperlink ref="E20" location="A109000跨地区经营汇总纳税企业年度分摊企业所得税明细表!A1" display="A109000跨地区经营汇总纳税企业年度分摊企业所得税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tabColor rgb="FFFFFF00"/>
  </sheetPr>
  <dimension ref="A1:J556"/>
  <sheetViews>
    <sheetView workbookViewId="0">
      <selection activeCell="C9" sqref="C9"/>
    </sheetView>
  </sheetViews>
  <sheetFormatPr defaultColWidth="8" defaultRowHeight="0" customHeight="1" zeroHeight="1"/>
  <cols>
    <col min="1" max="1" width="5.19921875" style="1554" customWidth="1"/>
    <col min="2" max="2" width="20.3984375" style="1630" customWidth="1"/>
    <col min="3" max="3" width="17.59765625" style="1630" customWidth="1"/>
    <col min="4" max="6" width="12.3984375" style="1630" customWidth="1"/>
    <col min="7" max="7" width="8.69921875" style="1630" customWidth="1"/>
    <col min="8" max="8" width="12.3984375" style="1630" customWidth="1"/>
    <col min="9" max="9" width="14.09765625" style="1630" customWidth="1"/>
    <col min="10" max="256" width="8" style="1630"/>
    <col min="257" max="257" width="5.19921875" style="1630" customWidth="1"/>
    <col min="258" max="258" width="20.3984375" style="1630" customWidth="1"/>
    <col min="259" max="259" width="17.59765625" style="1630" customWidth="1"/>
    <col min="260" max="260" width="12.09765625" style="1630" customWidth="1"/>
    <col min="261" max="261" width="11.8984375" style="1630" customWidth="1"/>
    <col min="262" max="262" width="12.19921875" style="1630" customWidth="1"/>
    <col min="263" max="263" width="8.69921875" style="1630" customWidth="1"/>
    <col min="264" max="264" width="17.5" style="1630" customWidth="1"/>
    <col min="265" max="265" width="14.09765625" style="1630" customWidth="1"/>
    <col min="266" max="512" width="8" style="1630"/>
    <col min="513" max="513" width="5.19921875" style="1630" customWidth="1"/>
    <col min="514" max="514" width="20.3984375" style="1630" customWidth="1"/>
    <col min="515" max="515" width="17.59765625" style="1630" customWidth="1"/>
    <col min="516" max="516" width="12.09765625" style="1630" customWidth="1"/>
    <col min="517" max="517" width="11.8984375" style="1630" customWidth="1"/>
    <col min="518" max="518" width="12.19921875" style="1630" customWidth="1"/>
    <col min="519" max="519" width="8.69921875" style="1630" customWidth="1"/>
    <col min="520" max="520" width="17.5" style="1630" customWidth="1"/>
    <col min="521" max="521" width="14.09765625" style="1630" customWidth="1"/>
    <col min="522" max="768" width="8" style="1630"/>
    <col min="769" max="769" width="5.19921875" style="1630" customWidth="1"/>
    <col min="770" max="770" width="20.3984375" style="1630" customWidth="1"/>
    <col min="771" max="771" width="17.59765625" style="1630" customWidth="1"/>
    <col min="772" max="772" width="12.09765625" style="1630" customWidth="1"/>
    <col min="773" max="773" width="11.8984375" style="1630" customWidth="1"/>
    <col min="774" max="774" width="12.19921875" style="1630" customWidth="1"/>
    <col min="775" max="775" width="8.69921875" style="1630" customWidth="1"/>
    <col min="776" max="776" width="17.5" style="1630" customWidth="1"/>
    <col min="777" max="777" width="14.09765625" style="1630" customWidth="1"/>
    <col min="778" max="1024" width="8" style="1630"/>
    <col min="1025" max="1025" width="5.19921875" style="1630" customWidth="1"/>
    <col min="1026" max="1026" width="20.3984375" style="1630" customWidth="1"/>
    <col min="1027" max="1027" width="17.59765625" style="1630" customWidth="1"/>
    <col min="1028" max="1028" width="12.09765625" style="1630" customWidth="1"/>
    <col min="1029" max="1029" width="11.8984375" style="1630" customWidth="1"/>
    <col min="1030" max="1030" width="12.19921875" style="1630" customWidth="1"/>
    <col min="1031" max="1031" width="8.69921875" style="1630" customWidth="1"/>
    <col min="1032" max="1032" width="17.5" style="1630" customWidth="1"/>
    <col min="1033" max="1033" width="14.09765625" style="1630" customWidth="1"/>
    <col min="1034" max="1280" width="8" style="1630"/>
    <col min="1281" max="1281" width="5.19921875" style="1630" customWidth="1"/>
    <col min="1282" max="1282" width="20.3984375" style="1630" customWidth="1"/>
    <col min="1283" max="1283" width="17.59765625" style="1630" customWidth="1"/>
    <col min="1284" max="1284" width="12.09765625" style="1630" customWidth="1"/>
    <col min="1285" max="1285" width="11.8984375" style="1630" customWidth="1"/>
    <col min="1286" max="1286" width="12.19921875" style="1630" customWidth="1"/>
    <col min="1287" max="1287" width="8.69921875" style="1630" customWidth="1"/>
    <col min="1288" max="1288" width="17.5" style="1630" customWidth="1"/>
    <col min="1289" max="1289" width="14.09765625" style="1630" customWidth="1"/>
    <col min="1290" max="1536" width="8" style="1630"/>
    <col min="1537" max="1537" width="5.19921875" style="1630" customWidth="1"/>
    <col min="1538" max="1538" width="20.3984375" style="1630" customWidth="1"/>
    <col min="1539" max="1539" width="17.59765625" style="1630" customWidth="1"/>
    <col min="1540" max="1540" width="12.09765625" style="1630" customWidth="1"/>
    <col min="1541" max="1541" width="11.8984375" style="1630" customWidth="1"/>
    <col min="1542" max="1542" width="12.19921875" style="1630" customWidth="1"/>
    <col min="1543" max="1543" width="8.69921875" style="1630" customWidth="1"/>
    <col min="1544" max="1544" width="17.5" style="1630" customWidth="1"/>
    <col min="1545" max="1545" width="14.09765625" style="1630" customWidth="1"/>
    <col min="1546" max="1792" width="8" style="1630"/>
    <col min="1793" max="1793" width="5.19921875" style="1630" customWidth="1"/>
    <col min="1794" max="1794" width="20.3984375" style="1630" customWidth="1"/>
    <col min="1795" max="1795" width="17.59765625" style="1630" customWidth="1"/>
    <col min="1796" max="1796" width="12.09765625" style="1630" customWidth="1"/>
    <col min="1797" max="1797" width="11.8984375" style="1630" customWidth="1"/>
    <col min="1798" max="1798" width="12.19921875" style="1630" customWidth="1"/>
    <col min="1799" max="1799" width="8.69921875" style="1630" customWidth="1"/>
    <col min="1800" max="1800" width="17.5" style="1630" customWidth="1"/>
    <col min="1801" max="1801" width="14.09765625" style="1630" customWidth="1"/>
    <col min="1802" max="2048" width="8" style="1630"/>
    <col min="2049" max="2049" width="5.19921875" style="1630" customWidth="1"/>
    <col min="2050" max="2050" width="20.3984375" style="1630" customWidth="1"/>
    <col min="2051" max="2051" width="17.59765625" style="1630" customWidth="1"/>
    <col min="2052" max="2052" width="12.09765625" style="1630" customWidth="1"/>
    <col min="2053" max="2053" width="11.8984375" style="1630" customWidth="1"/>
    <col min="2054" max="2054" width="12.19921875" style="1630" customWidth="1"/>
    <col min="2055" max="2055" width="8.69921875" style="1630" customWidth="1"/>
    <col min="2056" max="2056" width="17.5" style="1630" customWidth="1"/>
    <col min="2057" max="2057" width="14.09765625" style="1630" customWidth="1"/>
    <col min="2058" max="2304" width="8" style="1630"/>
    <col min="2305" max="2305" width="5.19921875" style="1630" customWidth="1"/>
    <col min="2306" max="2306" width="20.3984375" style="1630" customWidth="1"/>
    <col min="2307" max="2307" width="17.59765625" style="1630" customWidth="1"/>
    <col min="2308" max="2308" width="12.09765625" style="1630" customWidth="1"/>
    <col min="2309" max="2309" width="11.8984375" style="1630" customWidth="1"/>
    <col min="2310" max="2310" width="12.19921875" style="1630" customWidth="1"/>
    <col min="2311" max="2311" width="8.69921875" style="1630" customWidth="1"/>
    <col min="2312" max="2312" width="17.5" style="1630" customWidth="1"/>
    <col min="2313" max="2313" width="14.09765625" style="1630" customWidth="1"/>
    <col min="2314" max="2560" width="8" style="1630"/>
    <col min="2561" max="2561" width="5.19921875" style="1630" customWidth="1"/>
    <col min="2562" max="2562" width="20.3984375" style="1630" customWidth="1"/>
    <col min="2563" max="2563" width="17.59765625" style="1630" customWidth="1"/>
    <col min="2564" max="2564" width="12.09765625" style="1630" customWidth="1"/>
    <col min="2565" max="2565" width="11.8984375" style="1630" customWidth="1"/>
    <col min="2566" max="2566" width="12.19921875" style="1630" customWidth="1"/>
    <col min="2567" max="2567" width="8.69921875" style="1630" customWidth="1"/>
    <col min="2568" max="2568" width="17.5" style="1630" customWidth="1"/>
    <col min="2569" max="2569" width="14.09765625" style="1630" customWidth="1"/>
    <col min="2570" max="2816" width="8" style="1630"/>
    <col min="2817" max="2817" width="5.19921875" style="1630" customWidth="1"/>
    <col min="2818" max="2818" width="20.3984375" style="1630" customWidth="1"/>
    <col min="2819" max="2819" width="17.59765625" style="1630" customWidth="1"/>
    <col min="2820" max="2820" width="12.09765625" style="1630" customWidth="1"/>
    <col min="2821" max="2821" width="11.8984375" style="1630" customWidth="1"/>
    <col min="2822" max="2822" width="12.19921875" style="1630" customWidth="1"/>
    <col min="2823" max="2823" width="8.69921875" style="1630" customWidth="1"/>
    <col min="2824" max="2824" width="17.5" style="1630" customWidth="1"/>
    <col min="2825" max="2825" width="14.09765625" style="1630" customWidth="1"/>
    <col min="2826" max="3072" width="8" style="1630"/>
    <col min="3073" max="3073" width="5.19921875" style="1630" customWidth="1"/>
    <col min="3074" max="3074" width="20.3984375" style="1630" customWidth="1"/>
    <col min="3075" max="3075" width="17.59765625" style="1630" customWidth="1"/>
    <col min="3076" max="3076" width="12.09765625" style="1630" customWidth="1"/>
    <col min="3077" max="3077" width="11.8984375" style="1630" customWidth="1"/>
    <col min="3078" max="3078" width="12.19921875" style="1630" customWidth="1"/>
    <col min="3079" max="3079" width="8.69921875" style="1630" customWidth="1"/>
    <col min="3080" max="3080" width="17.5" style="1630" customWidth="1"/>
    <col min="3081" max="3081" width="14.09765625" style="1630" customWidth="1"/>
    <col min="3082" max="3328" width="8" style="1630"/>
    <col min="3329" max="3329" width="5.19921875" style="1630" customWidth="1"/>
    <col min="3330" max="3330" width="20.3984375" style="1630" customWidth="1"/>
    <col min="3331" max="3331" width="17.59765625" style="1630" customWidth="1"/>
    <col min="3332" max="3332" width="12.09765625" style="1630" customWidth="1"/>
    <col min="3333" max="3333" width="11.8984375" style="1630" customWidth="1"/>
    <col min="3334" max="3334" width="12.19921875" style="1630" customWidth="1"/>
    <col min="3335" max="3335" width="8.69921875" style="1630" customWidth="1"/>
    <col min="3336" max="3336" width="17.5" style="1630" customWidth="1"/>
    <col min="3337" max="3337" width="14.09765625" style="1630" customWidth="1"/>
    <col min="3338" max="3584" width="8" style="1630"/>
    <col min="3585" max="3585" width="5.19921875" style="1630" customWidth="1"/>
    <col min="3586" max="3586" width="20.3984375" style="1630" customWidth="1"/>
    <col min="3587" max="3587" width="17.59765625" style="1630" customWidth="1"/>
    <col min="3588" max="3588" width="12.09765625" style="1630" customWidth="1"/>
    <col min="3589" max="3589" width="11.8984375" style="1630" customWidth="1"/>
    <col min="3590" max="3590" width="12.19921875" style="1630" customWidth="1"/>
    <col min="3591" max="3591" width="8.69921875" style="1630" customWidth="1"/>
    <col min="3592" max="3592" width="17.5" style="1630" customWidth="1"/>
    <col min="3593" max="3593" width="14.09765625" style="1630" customWidth="1"/>
    <col min="3594" max="3840" width="8" style="1630"/>
    <col min="3841" max="3841" width="5.19921875" style="1630" customWidth="1"/>
    <col min="3842" max="3842" width="20.3984375" style="1630" customWidth="1"/>
    <col min="3843" max="3843" width="17.59765625" style="1630" customWidth="1"/>
    <col min="3844" max="3844" width="12.09765625" style="1630" customWidth="1"/>
    <col min="3845" max="3845" width="11.8984375" style="1630" customWidth="1"/>
    <col min="3846" max="3846" width="12.19921875" style="1630" customWidth="1"/>
    <col min="3847" max="3847" width="8.69921875" style="1630" customWidth="1"/>
    <col min="3848" max="3848" width="17.5" style="1630" customWidth="1"/>
    <col min="3849" max="3849" width="14.09765625" style="1630" customWidth="1"/>
    <col min="3850" max="4096" width="8" style="1630"/>
    <col min="4097" max="4097" width="5.19921875" style="1630" customWidth="1"/>
    <col min="4098" max="4098" width="20.3984375" style="1630" customWidth="1"/>
    <col min="4099" max="4099" width="17.59765625" style="1630" customWidth="1"/>
    <col min="4100" max="4100" width="12.09765625" style="1630" customWidth="1"/>
    <col min="4101" max="4101" width="11.8984375" style="1630" customWidth="1"/>
    <col min="4102" max="4102" width="12.19921875" style="1630" customWidth="1"/>
    <col min="4103" max="4103" width="8.69921875" style="1630" customWidth="1"/>
    <col min="4104" max="4104" width="17.5" style="1630" customWidth="1"/>
    <col min="4105" max="4105" width="14.09765625" style="1630" customWidth="1"/>
    <col min="4106" max="4352" width="8" style="1630"/>
    <col min="4353" max="4353" width="5.19921875" style="1630" customWidth="1"/>
    <col min="4354" max="4354" width="20.3984375" style="1630" customWidth="1"/>
    <col min="4355" max="4355" width="17.59765625" style="1630" customWidth="1"/>
    <col min="4356" max="4356" width="12.09765625" style="1630" customWidth="1"/>
    <col min="4357" max="4357" width="11.8984375" style="1630" customWidth="1"/>
    <col min="4358" max="4358" width="12.19921875" style="1630" customWidth="1"/>
    <col min="4359" max="4359" width="8.69921875" style="1630" customWidth="1"/>
    <col min="4360" max="4360" width="17.5" style="1630" customWidth="1"/>
    <col min="4361" max="4361" width="14.09765625" style="1630" customWidth="1"/>
    <col min="4362" max="4608" width="8" style="1630"/>
    <col min="4609" max="4609" width="5.19921875" style="1630" customWidth="1"/>
    <col min="4610" max="4610" width="20.3984375" style="1630" customWidth="1"/>
    <col min="4611" max="4611" width="17.59765625" style="1630" customWidth="1"/>
    <col min="4612" max="4612" width="12.09765625" style="1630" customWidth="1"/>
    <col min="4613" max="4613" width="11.8984375" style="1630" customWidth="1"/>
    <col min="4614" max="4614" width="12.19921875" style="1630" customWidth="1"/>
    <col min="4615" max="4615" width="8.69921875" style="1630" customWidth="1"/>
    <col min="4616" max="4616" width="17.5" style="1630" customWidth="1"/>
    <col min="4617" max="4617" width="14.09765625" style="1630" customWidth="1"/>
    <col min="4618" max="4864" width="8" style="1630"/>
    <col min="4865" max="4865" width="5.19921875" style="1630" customWidth="1"/>
    <col min="4866" max="4866" width="20.3984375" style="1630" customWidth="1"/>
    <col min="4867" max="4867" width="17.59765625" style="1630" customWidth="1"/>
    <col min="4868" max="4868" width="12.09765625" style="1630" customWidth="1"/>
    <col min="4869" max="4869" width="11.8984375" style="1630" customWidth="1"/>
    <col min="4870" max="4870" width="12.19921875" style="1630" customWidth="1"/>
    <col min="4871" max="4871" width="8.69921875" style="1630" customWidth="1"/>
    <col min="4872" max="4872" width="17.5" style="1630" customWidth="1"/>
    <col min="4873" max="4873" width="14.09765625" style="1630" customWidth="1"/>
    <col min="4874" max="5120" width="8" style="1630"/>
    <col min="5121" max="5121" width="5.19921875" style="1630" customWidth="1"/>
    <col min="5122" max="5122" width="20.3984375" style="1630" customWidth="1"/>
    <col min="5123" max="5123" width="17.59765625" style="1630" customWidth="1"/>
    <col min="5124" max="5124" width="12.09765625" style="1630" customWidth="1"/>
    <col min="5125" max="5125" width="11.8984375" style="1630" customWidth="1"/>
    <col min="5126" max="5126" width="12.19921875" style="1630" customWidth="1"/>
    <col min="5127" max="5127" width="8.69921875" style="1630" customWidth="1"/>
    <col min="5128" max="5128" width="17.5" style="1630" customWidth="1"/>
    <col min="5129" max="5129" width="14.09765625" style="1630" customWidth="1"/>
    <col min="5130" max="5376" width="8" style="1630"/>
    <col min="5377" max="5377" width="5.19921875" style="1630" customWidth="1"/>
    <col min="5378" max="5378" width="20.3984375" style="1630" customWidth="1"/>
    <col min="5379" max="5379" width="17.59765625" style="1630" customWidth="1"/>
    <col min="5380" max="5380" width="12.09765625" style="1630" customWidth="1"/>
    <col min="5381" max="5381" width="11.8984375" style="1630" customWidth="1"/>
    <col min="5382" max="5382" width="12.19921875" style="1630" customWidth="1"/>
    <col min="5383" max="5383" width="8.69921875" style="1630" customWidth="1"/>
    <col min="5384" max="5384" width="17.5" style="1630" customWidth="1"/>
    <col min="5385" max="5385" width="14.09765625" style="1630" customWidth="1"/>
    <col min="5386" max="5632" width="8" style="1630"/>
    <col min="5633" max="5633" width="5.19921875" style="1630" customWidth="1"/>
    <col min="5634" max="5634" width="20.3984375" style="1630" customWidth="1"/>
    <col min="5635" max="5635" width="17.59765625" style="1630" customWidth="1"/>
    <col min="5636" max="5636" width="12.09765625" style="1630" customWidth="1"/>
    <col min="5637" max="5637" width="11.8984375" style="1630" customWidth="1"/>
    <col min="5638" max="5638" width="12.19921875" style="1630" customWidth="1"/>
    <col min="5639" max="5639" width="8.69921875" style="1630" customWidth="1"/>
    <col min="5640" max="5640" width="17.5" style="1630" customWidth="1"/>
    <col min="5641" max="5641" width="14.09765625" style="1630" customWidth="1"/>
    <col min="5642" max="5888" width="8" style="1630"/>
    <col min="5889" max="5889" width="5.19921875" style="1630" customWidth="1"/>
    <col min="5890" max="5890" width="20.3984375" style="1630" customWidth="1"/>
    <col min="5891" max="5891" width="17.59765625" style="1630" customWidth="1"/>
    <col min="5892" max="5892" width="12.09765625" style="1630" customWidth="1"/>
    <col min="5893" max="5893" width="11.8984375" style="1630" customWidth="1"/>
    <col min="5894" max="5894" width="12.19921875" style="1630" customWidth="1"/>
    <col min="5895" max="5895" width="8.69921875" style="1630" customWidth="1"/>
    <col min="5896" max="5896" width="17.5" style="1630" customWidth="1"/>
    <col min="5897" max="5897" width="14.09765625" style="1630" customWidth="1"/>
    <col min="5898" max="6144" width="8" style="1630"/>
    <col min="6145" max="6145" width="5.19921875" style="1630" customWidth="1"/>
    <col min="6146" max="6146" width="20.3984375" style="1630" customWidth="1"/>
    <col min="6147" max="6147" width="17.59765625" style="1630" customWidth="1"/>
    <col min="6148" max="6148" width="12.09765625" style="1630" customWidth="1"/>
    <col min="6149" max="6149" width="11.8984375" style="1630" customWidth="1"/>
    <col min="6150" max="6150" width="12.19921875" style="1630" customWidth="1"/>
    <col min="6151" max="6151" width="8.69921875" style="1630" customWidth="1"/>
    <col min="6152" max="6152" width="17.5" style="1630" customWidth="1"/>
    <col min="6153" max="6153" width="14.09765625" style="1630" customWidth="1"/>
    <col min="6154" max="6400" width="8" style="1630"/>
    <col min="6401" max="6401" width="5.19921875" style="1630" customWidth="1"/>
    <col min="6402" max="6402" width="20.3984375" style="1630" customWidth="1"/>
    <col min="6403" max="6403" width="17.59765625" style="1630" customWidth="1"/>
    <col min="6404" max="6404" width="12.09765625" style="1630" customWidth="1"/>
    <col min="6405" max="6405" width="11.8984375" style="1630" customWidth="1"/>
    <col min="6406" max="6406" width="12.19921875" style="1630" customWidth="1"/>
    <col min="6407" max="6407" width="8.69921875" style="1630" customWidth="1"/>
    <col min="6408" max="6408" width="17.5" style="1630" customWidth="1"/>
    <col min="6409" max="6409" width="14.09765625" style="1630" customWidth="1"/>
    <col min="6410" max="6656" width="8" style="1630"/>
    <col min="6657" max="6657" width="5.19921875" style="1630" customWidth="1"/>
    <col min="6658" max="6658" width="20.3984375" style="1630" customWidth="1"/>
    <col min="6659" max="6659" width="17.59765625" style="1630" customWidth="1"/>
    <col min="6660" max="6660" width="12.09765625" style="1630" customWidth="1"/>
    <col min="6661" max="6661" width="11.8984375" style="1630" customWidth="1"/>
    <col min="6662" max="6662" width="12.19921875" style="1630" customWidth="1"/>
    <col min="6663" max="6663" width="8.69921875" style="1630" customWidth="1"/>
    <col min="6664" max="6664" width="17.5" style="1630" customWidth="1"/>
    <col min="6665" max="6665" width="14.09765625" style="1630" customWidth="1"/>
    <col min="6666" max="6912" width="8" style="1630"/>
    <col min="6913" max="6913" width="5.19921875" style="1630" customWidth="1"/>
    <col min="6914" max="6914" width="20.3984375" style="1630" customWidth="1"/>
    <col min="6915" max="6915" width="17.59765625" style="1630" customWidth="1"/>
    <col min="6916" max="6916" width="12.09765625" style="1630" customWidth="1"/>
    <col min="6917" max="6917" width="11.8984375" style="1630" customWidth="1"/>
    <col min="6918" max="6918" width="12.19921875" style="1630" customWidth="1"/>
    <col min="6919" max="6919" width="8.69921875" style="1630" customWidth="1"/>
    <col min="6920" max="6920" width="17.5" style="1630" customWidth="1"/>
    <col min="6921" max="6921" width="14.09765625" style="1630" customWidth="1"/>
    <col min="6922" max="7168" width="8" style="1630"/>
    <col min="7169" max="7169" width="5.19921875" style="1630" customWidth="1"/>
    <col min="7170" max="7170" width="20.3984375" style="1630" customWidth="1"/>
    <col min="7171" max="7171" width="17.59765625" style="1630" customWidth="1"/>
    <col min="7172" max="7172" width="12.09765625" style="1630" customWidth="1"/>
    <col min="7173" max="7173" width="11.8984375" style="1630" customWidth="1"/>
    <col min="7174" max="7174" width="12.19921875" style="1630" customWidth="1"/>
    <col min="7175" max="7175" width="8.69921875" style="1630" customWidth="1"/>
    <col min="7176" max="7176" width="17.5" style="1630" customWidth="1"/>
    <col min="7177" max="7177" width="14.09765625" style="1630" customWidth="1"/>
    <col min="7178" max="7424" width="8" style="1630"/>
    <col min="7425" max="7425" width="5.19921875" style="1630" customWidth="1"/>
    <col min="7426" max="7426" width="20.3984375" style="1630" customWidth="1"/>
    <col min="7427" max="7427" width="17.59765625" style="1630" customWidth="1"/>
    <col min="7428" max="7428" width="12.09765625" style="1630" customWidth="1"/>
    <col min="7429" max="7429" width="11.8984375" style="1630" customWidth="1"/>
    <col min="7430" max="7430" width="12.19921875" style="1630" customWidth="1"/>
    <col min="7431" max="7431" width="8.69921875" style="1630" customWidth="1"/>
    <col min="7432" max="7432" width="17.5" style="1630" customWidth="1"/>
    <col min="7433" max="7433" width="14.09765625" style="1630" customWidth="1"/>
    <col min="7434" max="7680" width="8" style="1630"/>
    <col min="7681" max="7681" width="5.19921875" style="1630" customWidth="1"/>
    <col min="7682" max="7682" width="20.3984375" style="1630" customWidth="1"/>
    <col min="7683" max="7683" width="17.59765625" style="1630" customWidth="1"/>
    <col min="7684" max="7684" width="12.09765625" style="1630" customWidth="1"/>
    <col min="7685" max="7685" width="11.8984375" style="1630" customWidth="1"/>
    <col min="7686" max="7686" width="12.19921875" style="1630" customWidth="1"/>
    <col min="7687" max="7687" width="8.69921875" style="1630" customWidth="1"/>
    <col min="7688" max="7688" width="17.5" style="1630" customWidth="1"/>
    <col min="7689" max="7689" width="14.09765625" style="1630" customWidth="1"/>
    <col min="7690" max="7936" width="8" style="1630"/>
    <col min="7937" max="7937" width="5.19921875" style="1630" customWidth="1"/>
    <col min="7938" max="7938" width="20.3984375" style="1630" customWidth="1"/>
    <col min="7939" max="7939" width="17.59765625" style="1630" customWidth="1"/>
    <col min="7940" max="7940" width="12.09765625" style="1630" customWidth="1"/>
    <col min="7941" max="7941" width="11.8984375" style="1630" customWidth="1"/>
    <col min="7942" max="7942" width="12.19921875" style="1630" customWidth="1"/>
    <col min="7943" max="7943" width="8.69921875" style="1630" customWidth="1"/>
    <col min="7944" max="7944" width="17.5" style="1630" customWidth="1"/>
    <col min="7945" max="7945" width="14.09765625" style="1630" customWidth="1"/>
    <col min="7946" max="8192" width="8" style="1630"/>
    <col min="8193" max="8193" width="5.19921875" style="1630" customWidth="1"/>
    <col min="8194" max="8194" width="20.3984375" style="1630" customWidth="1"/>
    <col min="8195" max="8195" width="17.59765625" style="1630" customWidth="1"/>
    <col min="8196" max="8196" width="12.09765625" style="1630" customWidth="1"/>
    <col min="8197" max="8197" width="11.8984375" style="1630" customWidth="1"/>
    <col min="8198" max="8198" width="12.19921875" style="1630" customWidth="1"/>
    <col min="8199" max="8199" width="8.69921875" style="1630" customWidth="1"/>
    <col min="8200" max="8200" width="17.5" style="1630" customWidth="1"/>
    <col min="8201" max="8201" width="14.09765625" style="1630" customWidth="1"/>
    <col min="8202" max="8448" width="8" style="1630"/>
    <col min="8449" max="8449" width="5.19921875" style="1630" customWidth="1"/>
    <col min="8450" max="8450" width="20.3984375" style="1630" customWidth="1"/>
    <col min="8451" max="8451" width="17.59765625" style="1630" customWidth="1"/>
    <col min="8452" max="8452" width="12.09765625" style="1630" customWidth="1"/>
    <col min="8453" max="8453" width="11.8984375" style="1630" customWidth="1"/>
    <col min="8454" max="8454" width="12.19921875" style="1630" customWidth="1"/>
    <col min="8455" max="8455" width="8.69921875" style="1630" customWidth="1"/>
    <col min="8456" max="8456" width="17.5" style="1630" customWidth="1"/>
    <col min="8457" max="8457" width="14.09765625" style="1630" customWidth="1"/>
    <col min="8458" max="8704" width="8" style="1630"/>
    <col min="8705" max="8705" width="5.19921875" style="1630" customWidth="1"/>
    <col min="8706" max="8706" width="20.3984375" style="1630" customWidth="1"/>
    <col min="8707" max="8707" width="17.59765625" style="1630" customWidth="1"/>
    <col min="8708" max="8708" width="12.09765625" style="1630" customWidth="1"/>
    <col min="8709" max="8709" width="11.8984375" style="1630" customWidth="1"/>
    <col min="8710" max="8710" width="12.19921875" style="1630" customWidth="1"/>
    <col min="8711" max="8711" width="8.69921875" style="1630" customWidth="1"/>
    <col min="8712" max="8712" width="17.5" style="1630" customWidth="1"/>
    <col min="8713" max="8713" width="14.09765625" style="1630" customWidth="1"/>
    <col min="8714" max="8960" width="8" style="1630"/>
    <col min="8961" max="8961" width="5.19921875" style="1630" customWidth="1"/>
    <col min="8962" max="8962" width="20.3984375" style="1630" customWidth="1"/>
    <col min="8963" max="8963" width="17.59765625" style="1630" customWidth="1"/>
    <col min="8964" max="8964" width="12.09765625" style="1630" customWidth="1"/>
    <col min="8965" max="8965" width="11.8984375" style="1630" customWidth="1"/>
    <col min="8966" max="8966" width="12.19921875" style="1630" customWidth="1"/>
    <col min="8967" max="8967" width="8.69921875" style="1630" customWidth="1"/>
    <col min="8968" max="8968" width="17.5" style="1630" customWidth="1"/>
    <col min="8969" max="8969" width="14.09765625" style="1630" customWidth="1"/>
    <col min="8970" max="9216" width="8" style="1630"/>
    <col min="9217" max="9217" width="5.19921875" style="1630" customWidth="1"/>
    <col min="9218" max="9218" width="20.3984375" style="1630" customWidth="1"/>
    <col min="9219" max="9219" width="17.59765625" style="1630" customWidth="1"/>
    <col min="9220" max="9220" width="12.09765625" style="1630" customWidth="1"/>
    <col min="9221" max="9221" width="11.8984375" style="1630" customWidth="1"/>
    <col min="9222" max="9222" width="12.19921875" style="1630" customWidth="1"/>
    <col min="9223" max="9223" width="8.69921875" style="1630" customWidth="1"/>
    <col min="9224" max="9224" width="17.5" style="1630" customWidth="1"/>
    <col min="9225" max="9225" width="14.09765625" style="1630" customWidth="1"/>
    <col min="9226" max="9472" width="8" style="1630"/>
    <col min="9473" max="9473" width="5.19921875" style="1630" customWidth="1"/>
    <col min="9474" max="9474" width="20.3984375" style="1630" customWidth="1"/>
    <col min="9475" max="9475" width="17.59765625" style="1630" customWidth="1"/>
    <col min="9476" max="9476" width="12.09765625" style="1630" customWidth="1"/>
    <col min="9477" max="9477" width="11.8984375" style="1630" customWidth="1"/>
    <col min="9478" max="9478" width="12.19921875" style="1630" customWidth="1"/>
    <col min="9479" max="9479" width="8.69921875" style="1630" customWidth="1"/>
    <col min="9480" max="9480" width="17.5" style="1630" customWidth="1"/>
    <col min="9481" max="9481" width="14.09765625" style="1630" customWidth="1"/>
    <col min="9482" max="9728" width="8" style="1630"/>
    <col min="9729" max="9729" width="5.19921875" style="1630" customWidth="1"/>
    <col min="9730" max="9730" width="20.3984375" style="1630" customWidth="1"/>
    <col min="9731" max="9731" width="17.59765625" style="1630" customWidth="1"/>
    <col min="9732" max="9732" width="12.09765625" style="1630" customWidth="1"/>
    <col min="9733" max="9733" width="11.8984375" style="1630" customWidth="1"/>
    <col min="9734" max="9734" width="12.19921875" style="1630" customWidth="1"/>
    <col min="9735" max="9735" width="8.69921875" style="1630" customWidth="1"/>
    <col min="9736" max="9736" width="17.5" style="1630" customWidth="1"/>
    <col min="9737" max="9737" width="14.09765625" style="1630" customWidth="1"/>
    <col min="9738" max="9984" width="8" style="1630"/>
    <col min="9985" max="9985" width="5.19921875" style="1630" customWidth="1"/>
    <col min="9986" max="9986" width="20.3984375" style="1630" customWidth="1"/>
    <col min="9987" max="9987" width="17.59765625" style="1630" customWidth="1"/>
    <col min="9988" max="9988" width="12.09765625" style="1630" customWidth="1"/>
    <col min="9989" max="9989" width="11.8984375" style="1630" customWidth="1"/>
    <col min="9990" max="9990" width="12.19921875" style="1630" customWidth="1"/>
    <col min="9991" max="9991" width="8.69921875" style="1630" customWidth="1"/>
    <col min="9992" max="9992" width="17.5" style="1630" customWidth="1"/>
    <col min="9993" max="9993" width="14.09765625" style="1630" customWidth="1"/>
    <col min="9994" max="10240" width="8" style="1630"/>
    <col min="10241" max="10241" width="5.19921875" style="1630" customWidth="1"/>
    <col min="10242" max="10242" width="20.3984375" style="1630" customWidth="1"/>
    <col min="10243" max="10243" width="17.59765625" style="1630" customWidth="1"/>
    <col min="10244" max="10244" width="12.09765625" style="1630" customWidth="1"/>
    <col min="10245" max="10245" width="11.8984375" style="1630" customWidth="1"/>
    <col min="10246" max="10246" width="12.19921875" style="1630" customWidth="1"/>
    <col min="10247" max="10247" width="8.69921875" style="1630" customWidth="1"/>
    <col min="10248" max="10248" width="17.5" style="1630" customWidth="1"/>
    <col min="10249" max="10249" width="14.09765625" style="1630" customWidth="1"/>
    <col min="10250" max="10496" width="8" style="1630"/>
    <col min="10497" max="10497" width="5.19921875" style="1630" customWidth="1"/>
    <col min="10498" max="10498" width="20.3984375" style="1630" customWidth="1"/>
    <col min="10499" max="10499" width="17.59765625" style="1630" customWidth="1"/>
    <col min="10500" max="10500" width="12.09765625" style="1630" customWidth="1"/>
    <col min="10501" max="10501" width="11.8984375" style="1630" customWidth="1"/>
    <col min="10502" max="10502" width="12.19921875" style="1630" customWidth="1"/>
    <col min="10503" max="10503" width="8.69921875" style="1630" customWidth="1"/>
    <col min="10504" max="10504" width="17.5" style="1630" customWidth="1"/>
    <col min="10505" max="10505" width="14.09765625" style="1630" customWidth="1"/>
    <col min="10506" max="10752" width="8" style="1630"/>
    <col min="10753" max="10753" width="5.19921875" style="1630" customWidth="1"/>
    <col min="10754" max="10754" width="20.3984375" style="1630" customWidth="1"/>
    <col min="10755" max="10755" width="17.59765625" style="1630" customWidth="1"/>
    <col min="10756" max="10756" width="12.09765625" style="1630" customWidth="1"/>
    <col min="10757" max="10757" width="11.8984375" style="1630" customWidth="1"/>
    <col min="10758" max="10758" width="12.19921875" style="1630" customWidth="1"/>
    <col min="10759" max="10759" width="8.69921875" style="1630" customWidth="1"/>
    <col min="10760" max="10760" width="17.5" style="1630" customWidth="1"/>
    <col min="10761" max="10761" width="14.09765625" style="1630" customWidth="1"/>
    <col min="10762" max="11008" width="8" style="1630"/>
    <col min="11009" max="11009" width="5.19921875" style="1630" customWidth="1"/>
    <col min="11010" max="11010" width="20.3984375" style="1630" customWidth="1"/>
    <col min="11011" max="11011" width="17.59765625" style="1630" customWidth="1"/>
    <col min="11012" max="11012" width="12.09765625" style="1630" customWidth="1"/>
    <col min="11013" max="11013" width="11.8984375" style="1630" customWidth="1"/>
    <col min="11014" max="11014" width="12.19921875" style="1630" customWidth="1"/>
    <col min="11015" max="11015" width="8.69921875" style="1630" customWidth="1"/>
    <col min="11016" max="11016" width="17.5" style="1630" customWidth="1"/>
    <col min="11017" max="11017" width="14.09765625" style="1630" customWidth="1"/>
    <col min="11018" max="11264" width="8" style="1630"/>
    <col min="11265" max="11265" width="5.19921875" style="1630" customWidth="1"/>
    <col min="11266" max="11266" width="20.3984375" style="1630" customWidth="1"/>
    <col min="11267" max="11267" width="17.59765625" style="1630" customWidth="1"/>
    <col min="11268" max="11268" width="12.09765625" style="1630" customWidth="1"/>
    <col min="11269" max="11269" width="11.8984375" style="1630" customWidth="1"/>
    <col min="11270" max="11270" width="12.19921875" style="1630" customWidth="1"/>
    <col min="11271" max="11271" width="8.69921875" style="1630" customWidth="1"/>
    <col min="11272" max="11272" width="17.5" style="1630" customWidth="1"/>
    <col min="11273" max="11273" width="14.09765625" style="1630" customWidth="1"/>
    <col min="11274" max="11520" width="8" style="1630"/>
    <col min="11521" max="11521" width="5.19921875" style="1630" customWidth="1"/>
    <col min="11522" max="11522" width="20.3984375" style="1630" customWidth="1"/>
    <col min="11523" max="11523" width="17.59765625" style="1630" customWidth="1"/>
    <col min="11524" max="11524" width="12.09765625" style="1630" customWidth="1"/>
    <col min="11525" max="11525" width="11.8984375" style="1630" customWidth="1"/>
    <col min="11526" max="11526" width="12.19921875" style="1630" customWidth="1"/>
    <col min="11527" max="11527" width="8.69921875" style="1630" customWidth="1"/>
    <col min="11528" max="11528" width="17.5" style="1630" customWidth="1"/>
    <col min="11529" max="11529" width="14.09765625" style="1630" customWidth="1"/>
    <col min="11530" max="11776" width="8" style="1630"/>
    <col min="11777" max="11777" width="5.19921875" style="1630" customWidth="1"/>
    <col min="11778" max="11778" width="20.3984375" style="1630" customWidth="1"/>
    <col min="11779" max="11779" width="17.59765625" style="1630" customWidth="1"/>
    <col min="11780" max="11780" width="12.09765625" style="1630" customWidth="1"/>
    <col min="11781" max="11781" width="11.8984375" style="1630" customWidth="1"/>
    <col min="11782" max="11782" width="12.19921875" style="1630" customWidth="1"/>
    <col min="11783" max="11783" width="8.69921875" style="1630" customWidth="1"/>
    <col min="11784" max="11784" width="17.5" style="1630" customWidth="1"/>
    <col min="11785" max="11785" width="14.09765625" style="1630" customWidth="1"/>
    <col min="11786" max="12032" width="8" style="1630"/>
    <col min="12033" max="12033" width="5.19921875" style="1630" customWidth="1"/>
    <col min="12034" max="12034" width="20.3984375" style="1630" customWidth="1"/>
    <col min="12035" max="12035" width="17.59765625" style="1630" customWidth="1"/>
    <col min="12036" max="12036" width="12.09765625" style="1630" customWidth="1"/>
    <col min="12037" max="12037" width="11.8984375" style="1630" customWidth="1"/>
    <col min="12038" max="12038" width="12.19921875" style="1630" customWidth="1"/>
    <col min="12039" max="12039" width="8.69921875" style="1630" customWidth="1"/>
    <col min="12040" max="12040" width="17.5" style="1630" customWidth="1"/>
    <col min="12041" max="12041" width="14.09765625" style="1630" customWidth="1"/>
    <col min="12042" max="12288" width="8" style="1630"/>
    <col min="12289" max="12289" width="5.19921875" style="1630" customWidth="1"/>
    <col min="12290" max="12290" width="20.3984375" style="1630" customWidth="1"/>
    <col min="12291" max="12291" width="17.59765625" style="1630" customWidth="1"/>
    <col min="12292" max="12292" width="12.09765625" style="1630" customWidth="1"/>
    <col min="12293" max="12293" width="11.8984375" style="1630" customWidth="1"/>
    <col min="12294" max="12294" width="12.19921875" style="1630" customWidth="1"/>
    <col min="12295" max="12295" width="8.69921875" style="1630" customWidth="1"/>
    <col min="12296" max="12296" width="17.5" style="1630" customWidth="1"/>
    <col min="12297" max="12297" width="14.09765625" style="1630" customWidth="1"/>
    <col min="12298" max="12544" width="8" style="1630"/>
    <col min="12545" max="12545" width="5.19921875" style="1630" customWidth="1"/>
    <col min="12546" max="12546" width="20.3984375" style="1630" customWidth="1"/>
    <col min="12547" max="12547" width="17.59765625" style="1630" customWidth="1"/>
    <col min="12548" max="12548" width="12.09765625" style="1630" customWidth="1"/>
    <col min="12549" max="12549" width="11.8984375" style="1630" customWidth="1"/>
    <col min="12550" max="12550" width="12.19921875" style="1630" customWidth="1"/>
    <col min="12551" max="12551" width="8.69921875" style="1630" customWidth="1"/>
    <col min="12552" max="12552" width="17.5" style="1630" customWidth="1"/>
    <col min="12553" max="12553" width="14.09765625" style="1630" customWidth="1"/>
    <col min="12554" max="12800" width="8" style="1630"/>
    <col min="12801" max="12801" width="5.19921875" style="1630" customWidth="1"/>
    <col min="12802" max="12802" width="20.3984375" style="1630" customWidth="1"/>
    <col min="12803" max="12803" width="17.59765625" style="1630" customWidth="1"/>
    <col min="12804" max="12804" width="12.09765625" style="1630" customWidth="1"/>
    <col min="12805" max="12805" width="11.8984375" style="1630" customWidth="1"/>
    <col min="12806" max="12806" width="12.19921875" style="1630" customWidth="1"/>
    <col min="12807" max="12807" width="8.69921875" style="1630" customWidth="1"/>
    <col min="12808" max="12808" width="17.5" style="1630" customWidth="1"/>
    <col min="12809" max="12809" width="14.09765625" style="1630" customWidth="1"/>
    <col min="12810" max="13056" width="8" style="1630"/>
    <col min="13057" max="13057" width="5.19921875" style="1630" customWidth="1"/>
    <col min="13058" max="13058" width="20.3984375" style="1630" customWidth="1"/>
    <col min="13059" max="13059" width="17.59765625" style="1630" customWidth="1"/>
    <col min="13060" max="13060" width="12.09765625" style="1630" customWidth="1"/>
    <col min="13061" max="13061" width="11.8984375" style="1630" customWidth="1"/>
    <col min="13062" max="13062" width="12.19921875" style="1630" customWidth="1"/>
    <col min="13063" max="13063" width="8.69921875" style="1630" customWidth="1"/>
    <col min="13064" max="13064" width="17.5" style="1630" customWidth="1"/>
    <col min="13065" max="13065" width="14.09765625" style="1630" customWidth="1"/>
    <col min="13066" max="13312" width="8" style="1630"/>
    <col min="13313" max="13313" width="5.19921875" style="1630" customWidth="1"/>
    <col min="13314" max="13314" width="20.3984375" style="1630" customWidth="1"/>
    <col min="13315" max="13315" width="17.59765625" style="1630" customWidth="1"/>
    <col min="13316" max="13316" width="12.09765625" style="1630" customWidth="1"/>
    <col min="13317" max="13317" width="11.8984375" style="1630" customWidth="1"/>
    <col min="13318" max="13318" width="12.19921875" style="1630" customWidth="1"/>
    <col min="13319" max="13319" width="8.69921875" style="1630" customWidth="1"/>
    <col min="13320" max="13320" width="17.5" style="1630" customWidth="1"/>
    <col min="13321" max="13321" width="14.09765625" style="1630" customWidth="1"/>
    <col min="13322" max="13568" width="8" style="1630"/>
    <col min="13569" max="13569" width="5.19921875" style="1630" customWidth="1"/>
    <col min="13570" max="13570" width="20.3984375" style="1630" customWidth="1"/>
    <col min="13571" max="13571" width="17.59765625" style="1630" customWidth="1"/>
    <col min="13572" max="13572" width="12.09765625" style="1630" customWidth="1"/>
    <col min="13573" max="13573" width="11.8984375" style="1630" customWidth="1"/>
    <col min="13574" max="13574" width="12.19921875" style="1630" customWidth="1"/>
    <col min="13575" max="13575" width="8.69921875" style="1630" customWidth="1"/>
    <col min="13576" max="13576" width="17.5" style="1630" customWidth="1"/>
    <col min="13577" max="13577" width="14.09765625" style="1630" customWidth="1"/>
    <col min="13578" max="13824" width="8" style="1630"/>
    <col min="13825" max="13825" width="5.19921875" style="1630" customWidth="1"/>
    <col min="13826" max="13826" width="20.3984375" style="1630" customWidth="1"/>
    <col min="13827" max="13827" width="17.59765625" style="1630" customWidth="1"/>
    <col min="13828" max="13828" width="12.09765625" style="1630" customWidth="1"/>
    <col min="13829" max="13829" width="11.8984375" style="1630" customWidth="1"/>
    <col min="13830" max="13830" width="12.19921875" style="1630" customWidth="1"/>
    <col min="13831" max="13831" width="8.69921875" style="1630" customWidth="1"/>
    <col min="13832" max="13832" width="17.5" style="1630" customWidth="1"/>
    <col min="13833" max="13833" width="14.09765625" style="1630" customWidth="1"/>
    <col min="13834" max="14080" width="8" style="1630"/>
    <col min="14081" max="14081" width="5.19921875" style="1630" customWidth="1"/>
    <col min="14082" max="14082" width="20.3984375" style="1630" customWidth="1"/>
    <col min="14083" max="14083" width="17.59765625" style="1630" customWidth="1"/>
    <col min="14084" max="14084" width="12.09765625" style="1630" customWidth="1"/>
    <col min="14085" max="14085" width="11.8984375" style="1630" customWidth="1"/>
    <col min="14086" max="14086" width="12.19921875" style="1630" customWidth="1"/>
    <col min="14087" max="14087" width="8.69921875" style="1630" customWidth="1"/>
    <col min="14088" max="14088" width="17.5" style="1630" customWidth="1"/>
    <col min="14089" max="14089" width="14.09765625" style="1630" customWidth="1"/>
    <col min="14090" max="14336" width="8" style="1630"/>
    <col min="14337" max="14337" width="5.19921875" style="1630" customWidth="1"/>
    <col min="14338" max="14338" width="20.3984375" style="1630" customWidth="1"/>
    <col min="14339" max="14339" width="17.59765625" style="1630" customWidth="1"/>
    <col min="14340" max="14340" width="12.09765625" style="1630" customWidth="1"/>
    <col min="14341" max="14341" width="11.8984375" style="1630" customWidth="1"/>
    <col min="14342" max="14342" width="12.19921875" style="1630" customWidth="1"/>
    <col min="14343" max="14343" width="8.69921875" style="1630" customWidth="1"/>
    <col min="14344" max="14344" width="17.5" style="1630" customWidth="1"/>
    <col min="14345" max="14345" width="14.09765625" style="1630" customWidth="1"/>
    <col min="14346" max="14592" width="8" style="1630"/>
    <col min="14593" max="14593" width="5.19921875" style="1630" customWidth="1"/>
    <col min="14594" max="14594" width="20.3984375" style="1630" customWidth="1"/>
    <col min="14595" max="14595" width="17.59765625" style="1630" customWidth="1"/>
    <col min="14596" max="14596" width="12.09765625" style="1630" customWidth="1"/>
    <col min="14597" max="14597" width="11.8984375" style="1630" customWidth="1"/>
    <col min="14598" max="14598" width="12.19921875" style="1630" customWidth="1"/>
    <col min="14599" max="14599" width="8.69921875" style="1630" customWidth="1"/>
    <col min="14600" max="14600" width="17.5" style="1630" customWidth="1"/>
    <col min="14601" max="14601" width="14.09765625" style="1630" customWidth="1"/>
    <col min="14602" max="14848" width="8" style="1630"/>
    <col min="14849" max="14849" width="5.19921875" style="1630" customWidth="1"/>
    <col min="14850" max="14850" width="20.3984375" style="1630" customWidth="1"/>
    <col min="14851" max="14851" width="17.59765625" style="1630" customWidth="1"/>
    <col min="14852" max="14852" width="12.09765625" style="1630" customWidth="1"/>
    <col min="14853" max="14853" width="11.8984375" style="1630" customWidth="1"/>
    <col min="14854" max="14854" width="12.19921875" style="1630" customWidth="1"/>
    <col min="14855" max="14855" width="8.69921875" style="1630" customWidth="1"/>
    <col min="14856" max="14856" width="17.5" style="1630" customWidth="1"/>
    <col min="14857" max="14857" width="14.09765625" style="1630" customWidth="1"/>
    <col min="14858" max="15104" width="8" style="1630"/>
    <col min="15105" max="15105" width="5.19921875" style="1630" customWidth="1"/>
    <col min="15106" max="15106" width="20.3984375" style="1630" customWidth="1"/>
    <col min="15107" max="15107" width="17.59765625" style="1630" customWidth="1"/>
    <col min="15108" max="15108" width="12.09765625" style="1630" customWidth="1"/>
    <col min="15109" max="15109" width="11.8984375" style="1630" customWidth="1"/>
    <col min="15110" max="15110" width="12.19921875" style="1630" customWidth="1"/>
    <col min="15111" max="15111" width="8.69921875" style="1630" customWidth="1"/>
    <col min="15112" max="15112" width="17.5" style="1630" customWidth="1"/>
    <col min="15113" max="15113" width="14.09765625" style="1630" customWidth="1"/>
    <col min="15114" max="15360" width="8" style="1630"/>
    <col min="15361" max="15361" width="5.19921875" style="1630" customWidth="1"/>
    <col min="15362" max="15362" width="20.3984375" style="1630" customWidth="1"/>
    <col min="15363" max="15363" width="17.59765625" style="1630" customWidth="1"/>
    <col min="15364" max="15364" width="12.09765625" style="1630" customWidth="1"/>
    <col min="15365" max="15365" width="11.8984375" style="1630" customWidth="1"/>
    <col min="15366" max="15366" width="12.19921875" style="1630" customWidth="1"/>
    <col min="15367" max="15367" width="8.69921875" style="1630" customWidth="1"/>
    <col min="15368" max="15368" width="17.5" style="1630" customWidth="1"/>
    <col min="15369" max="15369" width="14.09765625" style="1630" customWidth="1"/>
    <col min="15370" max="15616" width="8" style="1630"/>
    <col min="15617" max="15617" width="5.19921875" style="1630" customWidth="1"/>
    <col min="15618" max="15618" width="20.3984375" style="1630" customWidth="1"/>
    <col min="15619" max="15619" width="17.59765625" style="1630" customWidth="1"/>
    <col min="15620" max="15620" width="12.09765625" style="1630" customWidth="1"/>
    <col min="15621" max="15621" width="11.8984375" style="1630" customWidth="1"/>
    <col min="15622" max="15622" width="12.19921875" style="1630" customWidth="1"/>
    <col min="15623" max="15623" width="8.69921875" style="1630" customWidth="1"/>
    <col min="15624" max="15624" width="17.5" style="1630" customWidth="1"/>
    <col min="15625" max="15625" width="14.09765625" style="1630" customWidth="1"/>
    <col min="15626" max="15872" width="8" style="1630"/>
    <col min="15873" max="15873" width="5.19921875" style="1630" customWidth="1"/>
    <col min="15874" max="15874" width="20.3984375" style="1630" customWidth="1"/>
    <col min="15875" max="15875" width="17.59765625" style="1630" customWidth="1"/>
    <col min="15876" max="15876" width="12.09765625" style="1630" customWidth="1"/>
    <col min="15877" max="15877" width="11.8984375" style="1630" customWidth="1"/>
    <col min="15878" max="15878" width="12.19921875" style="1630" customWidth="1"/>
    <col min="15879" max="15879" width="8.69921875" style="1630" customWidth="1"/>
    <col min="15880" max="15880" width="17.5" style="1630" customWidth="1"/>
    <col min="15881" max="15881" width="14.09765625" style="1630" customWidth="1"/>
    <col min="15882" max="16128" width="8" style="1630"/>
    <col min="16129" max="16129" width="5.19921875" style="1630" customWidth="1"/>
    <col min="16130" max="16130" width="20.3984375" style="1630" customWidth="1"/>
    <col min="16131" max="16131" width="17.59765625" style="1630" customWidth="1"/>
    <col min="16132" max="16132" width="12.09765625" style="1630" customWidth="1"/>
    <col min="16133" max="16133" width="11.8984375" style="1630" customWidth="1"/>
    <col min="16134" max="16134" width="12.19921875" style="1630" customWidth="1"/>
    <col min="16135" max="16135" width="8.69921875" style="1630" customWidth="1"/>
    <col min="16136" max="16136" width="17.5" style="1630" customWidth="1"/>
    <col min="16137" max="16137" width="14.09765625" style="1630" customWidth="1"/>
    <col min="16138" max="16384" width="8" style="1630"/>
  </cols>
  <sheetData>
    <row r="1" spans="1:9" ht="20.100000000000001" customHeight="1">
      <c r="A1" s="3463"/>
      <c r="B1" s="3463"/>
      <c r="C1" s="3463"/>
      <c r="D1" s="3463"/>
      <c r="E1" s="3463"/>
      <c r="F1" s="3463"/>
      <c r="G1" s="3463"/>
      <c r="H1" s="3463"/>
      <c r="I1" s="1802" t="str">
        <f>"索引号："&amp;档案索引!A46</f>
        <v>索引号：2A-26</v>
      </c>
    </row>
    <row r="2" spans="1:9" ht="25.5" customHeight="1">
      <c r="A2" s="3508" t="s">
        <v>2409</v>
      </c>
      <c r="B2" s="3508"/>
      <c r="C2" s="3508"/>
      <c r="D2" s="3508"/>
      <c r="E2" s="3508"/>
      <c r="F2" s="3508"/>
      <c r="G2" s="3508"/>
      <c r="H2" s="3508"/>
      <c r="I2" s="1802"/>
    </row>
    <row r="3" spans="1:9" s="1554" customFormat="1" ht="14.25" customHeight="1">
      <c r="A3" s="3509" t="str">
        <f>"税款所属期间： "&amp;基本情况!B7</f>
        <v>税款所属期间： 2016年01月01日至2016年12月31日</v>
      </c>
      <c r="B3" s="3509"/>
      <c r="C3" s="3509"/>
      <c r="D3" s="3509"/>
      <c r="E3" s="3509"/>
      <c r="F3" s="3509"/>
      <c r="G3" s="3509"/>
      <c r="H3" s="3509"/>
      <c r="I3" s="1803"/>
    </row>
    <row r="4" spans="1:9" s="1554" customFormat="1" ht="14.25" customHeight="1">
      <c r="A4" s="3510" t="str">
        <f>"总机构名称（盖章）: "&amp;基本情况!B23</f>
        <v xml:space="preserve">总机构名称（盖章）: </v>
      </c>
      <c r="B4" s="3510"/>
      <c r="C4" s="3511"/>
      <c r="D4" s="3511"/>
      <c r="E4" s="1803"/>
      <c r="F4" s="1804"/>
      <c r="G4" s="1804"/>
      <c r="H4" s="1805" t="s">
        <v>5904</v>
      </c>
      <c r="I4" s="1803"/>
    </row>
    <row r="5" spans="1:9" s="1554" customFormat="1" ht="21" customHeight="1">
      <c r="A5" s="3407" t="s">
        <v>5905</v>
      </c>
      <c r="B5" s="3407"/>
      <c r="C5" s="1806" t="s">
        <v>1622</v>
      </c>
      <c r="D5" s="3407" t="s">
        <v>2415</v>
      </c>
      <c r="E5" s="3407"/>
      <c r="F5" s="3407" t="s">
        <v>2416</v>
      </c>
      <c r="G5" s="3407"/>
      <c r="H5" s="1807" t="s">
        <v>2417</v>
      </c>
      <c r="I5" s="1807" t="s">
        <v>4899</v>
      </c>
    </row>
    <row r="6" spans="1:9" s="1631" customFormat="1" ht="24" customHeight="1">
      <c r="A6" s="3505"/>
      <c r="B6" s="3505"/>
      <c r="C6" s="2072">
        <f>跨地区经营汇总纳税企业年度分摊企业所得税审核表!C14</f>
        <v>0</v>
      </c>
      <c r="D6" s="3506">
        <f>跨地区经营汇总纳税企业年度分摊企业所得税审核表!C15</f>
        <v>0</v>
      </c>
      <c r="E6" s="3506"/>
      <c r="F6" s="3506">
        <f>跨地区经营汇总纳税企业年度分摊企业所得税审核表!C16</f>
        <v>0</v>
      </c>
      <c r="G6" s="3506"/>
      <c r="H6" s="2072">
        <f>跨地区经营汇总纳税企业年度分摊企业所得税审核表!C17</f>
        <v>0</v>
      </c>
      <c r="I6" s="1988" t="s">
        <v>5906</v>
      </c>
    </row>
    <row r="7" spans="1:9" s="1631" customFormat="1" ht="14.25" customHeight="1">
      <c r="A7" s="3507" t="s">
        <v>2419</v>
      </c>
      <c r="B7" s="3399" t="s">
        <v>5907</v>
      </c>
      <c r="C7" s="3407" t="s">
        <v>2421</v>
      </c>
      <c r="D7" s="3399" t="s">
        <v>2422</v>
      </c>
      <c r="E7" s="3399"/>
      <c r="F7" s="3399"/>
      <c r="G7" s="3407" t="s">
        <v>5908</v>
      </c>
      <c r="H7" s="3407" t="s">
        <v>2471</v>
      </c>
      <c r="I7" s="3407"/>
    </row>
    <row r="8" spans="1:9" s="1631" customFormat="1" ht="14.25" customHeight="1">
      <c r="A8" s="3507"/>
      <c r="B8" s="3399"/>
      <c r="C8" s="3407"/>
      <c r="D8" s="1849" t="s">
        <v>2439</v>
      </c>
      <c r="E8" s="1849" t="s">
        <v>5909</v>
      </c>
      <c r="F8" s="1849" t="s">
        <v>5910</v>
      </c>
      <c r="G8" s="3407"/>
      <c r="H8" s="3407"/>
      <c r="I8" s="3407"/>
    </row>
    <row r="9" spans="1:9" s="1554" customFormat="1" ht="14.25" customHeight="1">
      <c r="A9" s="3507"/>
      <c r="B9" s="1657"/>
      <c r="C9" s="1657"/>
      <c r="D9" s="2077"/>
      <c r="E9" s="2077"/>
      <c r="F9" s="2077"/>
      <c r="G9" s="2075">
        <f>IFERROR(ROUND((D9/D$23*0.35+E9/E$23*0.35+F9/F$23*0.3)*100,4),0)</f>
        <v>0</v>
      </c>
      <c r="H9" s="2075">
        <f>ROUND(H$6*G9/100,2)</f>
        <v>0</v>
      </c>
      <c r="I9" s="1989"/>
    </row>
    <row r="10" spans="1:9" s="1554" customFormat="1" ht="14.25" customHeight="1">
      <c r="A10" s="3507"/>
      <c r="B10" s="1657"/>
      <c r="C10" s="1657"/>
      <c r="D10" s="2077"/>
      <c r="E10" s="2077"/>
      <c r="F10" s="2077"/>
      <c r="G10" s="2075">
        <f t="shared" ref="G10:G22" si="0">IFERROR(ROUND((D10/D$23*0.35+E10/E$23*0.35+F10/F$23*0.3)*100,4),0)</f>
        <v>0</v>
      </c>
      <c r="H10" s="2075">
        <f t="shared" ref="H10:H22" si="1">ROUND(H$6*G10/100,2)</f>
        <v>0</v>
      </c>
      <c r="I10" s="1989"/>
    </row>
    <row r="11" spans="1:9" s="1554" customFormat="1" ht="14.25" customHeight="1">
      <c r="A11" s="3507"/>
      <c r="B11" s="1657"/>
      <c r="C11" s="1657"/>
      <c r="D11" s="2077"/>
      <c r="E11" s="2077"/>
      <c r="F11" s="2077"/>
      <c r="G11" s="2075">
        <f t="shared" si="0"/>
        <v>0</v>
      </c>
      <c r="H11" s="2075">
        <f t="shared" si="1"/>
        <v>0</v>
      </c>
      <c r="I11" s="1989"/>
    </row>
    <row r="12" spans="1:9" s="1554" customFormat="1" ht="14.25" customHeight="1">
      <c r="A12" s="3507"/>
      <c r="B12" s="1658"/>
      <c r="C12" s="1658"/>
      <c r="D12" s="2077"/>
      <c r="E12" s="2077"/>
      <c r="F12" s="2077"/>
      <c r="G12" s="2075">
        <f t="shared" si="0"/>
        <v>0</v>
      </c>
      <c r="H12" s="2075">
        <f t="shared" si="1"/>
        <v>0</v>
      </c>
      <c r="I12" s="1989"/>
    </row>
    <row r="13" spans="1:9" s="1554" customFormat="1" ht="14.25" customHeight="1">
      <c r="A13" s="3507"/>
      <c r="B13" s="1658"/>
      <c r="C13" s="1658"/>
      <c r="D13" s="2077"/>
      <c r="E13" s="2077"/>
      <c r="F13" s="2077"/>
      <c r="G13" s="2075">
        <f t="shared" si="0"/>
        <v>0</v>
      </c>
      <c r="H13" s="2075">
        <f t="shared" si="1"/>
        <v>0</v>
      </c>
      <c r="I13" s="1989"/>
    </row>
    <row r="14" spans="1:9" s="1554" customFormat="1" ht="14.25" customHeight="1">
      <c r="A14" s="3507"/>
      <c r="B14" s="1658"/>
      <c r="C14" s="1658"/>
      <c r="D14" s="2077"/>
      <c r="E14" s="2077"/>
      <c r="F14" s="2077"/>
      <c r="G14" s="2075">
        <f t="shared" si="0"/>
        <v>0</v>
      </c>
      <c r="H14" s="2075">
        <f t="shared" si="1"/>
        <v>0</v>
      </c>
      <c r="I14" s="1989"/>
    </row>
    <row r="15" spans="1:9" s="1554" customFormat="1" ht="14.25" customHeight="1">
      <c r="A15" s="3507"/>
      <c r="B15" s="1658"/>
      <c r="C15" s="1658"/>
      <c r="D15" s="2077"/>
      <c r="E15" s="2077"/>
      <c r="F15" s="2077"/>
      <c r="G15" s="2075">
        <f t="shared" si="0"/>
        <v>0</v>
      </c>
      <c r="H15" s="2075">
        <f t="shared" si="1"/>
        <v>0</v>
      </c>
      <c r="I15" s="1989"/>
    </row>
    <row r="16" spans="1:9" s="1554" customFormat="1" ht="14.25" customHeight="1">
      <c r="A16" s="3507"/>
      <c r="B16" s="1658"/>
      <c r="C16" s="1658"/>
      <c r="D16" s="2077"/>
      <c r="E16" s="2077"/>
      <c r="F16" s="2077"/>
      <c r="G16" s="2075">
        <f t="shared" si="0"/>
        <v>0</v>
      </c>
      <c r="H16" s="2075">
        <f t="shared" si="1"/>
        <v>0</v>
      </c>
      <c r="I16" s="1989"/>
    </row>
    <row r="17" spans="1:10" s="1554" customFormat="1" ht="14.25" customHeight="1">
      <c r="A17" s="3507"/>
      <c r="B17" s="1658"/>
      <c r="C17" s="1658"/>
      <c r="D17" s="2077"/>
      <c r="E17" s="2077"/>
      <c r="F17" s="2077"/>
      <c r="G17" s="2075">
        <f t="shared" si="0"/>
        <v>0</v>
      </c>
      <c r="H17" s="2075">
        <f t="shared" si="1"/>
        <v>0</v>
      </c>
      <c r="I17" s="1989"/>
    </row>
    <row r="18" spans="1:10" s="1554" customFormat="1" ht="14.25" customHeight="1">
      <c r="A18" s="3507"/>
      <c r="B18" s="1658"/>
      <c r="C18" s="1658"/>
      <c r="D18" s="2077"/>
      <c r="E18" s="2077"/>
      <c r="F18" s="2077"/>
      <c r="G18" s="2075">
        <f t="shared" si="0"/>
        <v>0</v>
      </c>
      <c r="H18" s="2075">
        <f t="shared" si="1"/>
        <v>0</v>
      </c>
      <c r="I18" s="1989"/>
    </row>
    <row r="19" spans="1:10" s="1554" customFormat="1" ht="14.25" customHeight="1">
      <c r="A19" s="3507"/>
      <c r="B19" s="1658"/>
      <c r="C19" s="1658"/>
      <c r="D19" s="2077"/>
      <c r="E19" s="2077"/>
      <c r="F19" s="2077"/>
      <c r="G19" s="2075">
        <f t="shared" si="0"/>
        <v>0</v>
      </c>
      <c r="H19" s="2075">
        <f t="shared" si="1"/>
        <v>0</v>
      </c>
      <c r="I19" s="1989"/>
    </row>
    <row r="20" spans="1:10" s="1554" customFormat="1" ht="14.25" customHeight="1">
      <c r="A20" s="3507"/>
      <c r="B20" s="1658"/>
      <c r="C20" s="1658"/>
      <c r="D20" s="2077"/>
      <c r="E20" s="2077"/>
      <c r="F20" s="2077"/>
      <c r="G20" s="2075">
        <f t="shared" si="0"/>
        <v>0</v>
      </c>
      <c r="H20" s="2075">
        <f t="shared" si="1"/>
        <v>0</v>
      </c>
      <c r="I20" s="1989"/>
    </row>
    <row r="21" spans="1:10" s="1554" customFormat="1" ht="14.25" customHeight="1">
      <c r="A21" s="3507"/>
      <c r="B21" s="1658"/>
      <c r="C21" s="1658"/>
      <c r="D21" s="2077"/>
      <c r="E21" s="2077"/>
      <c r="F21" s="2077"/>
      <c r="G21" s="2075">
        <f t="shared" si="0"/>
        <v>0</v>
      </c>
      <c r="H21" s="2075">
        <f t="shared" si="1"/>
        <v>0</v>
      </c>
      <c r="I21" s="1989"/>
    </row>
    <row r="22" spans="1:10" s="1554" customFormat="1" ht="14.25" customHeight="1">
      <c r="A22" s="3507"/>
      <c r="B22" s="1658"/>
      <c r="C22" s="1658"/>
      <c r="D22" s="2077"/>
      <c r="E22" s="2077"/>
      <c r="F22" s="2077"/>
      <c r="G22" s="2075">
        <f t="shared" si="0"/>
        <v>0</v>
      </c>
      <c r="H22" s="2075">
        <f t="shared" si="1"/>
        <v>0</v>
      </c>
      <c r="I22" s="1989"/>
    </row>
    <row r="23" spans="1:10" s="1554" customFormat="1" ht="14.25" customHeight="1">
      <c r="A23" s="3507"/>
      <c r="B23" s="1806" t="s">
        <v>5482</v>
      </c>
      <c r="C23" s="1916" t="s">
        <v>1242</v>
      </c>
      <c r="D23" s="2075">
        <f>SUM(D9:D22)</f>
        <v>0</v>
      </c>
      <c r="E23" s="2075">
        <f t="shared" ref="E23:H23" si="2">SUM(E9:E22)</f>
        <v>0</v>
      </c>
      <c r="F23" s="2075">
        <f t="shared" si="2"/>
        <v>0</v>
      </c>
      <c r="G23" s="2075">
        <f t="shared" si="2"/>
        <v>0</v>
      </c>
      <c r="H23" s="2075">
        <f t="shared" si="2"/>
        <v>0</v>
      </c>
      <c r="I23" s="1989"/>
      <c r="J23" s="1770" t="s">
        <v>6485</v>
      </c>
    </row>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5.6"/>
    <row r="453" ht="15.6"/>
    <row r="454" ht="15.6"/>
    <row r="455" ht="15.6"/>
    <row r="456" ht="15.6"/>
    <row r="457" ht="15.6"/>
    <row r="458" ht="15.6"/>
    <row r="459" ht="15.6"/>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8">
    <mergeCell ref="A5:B5"/>
    <mergeCell ref="D5:E5"/>
    <mergeCell ref="F5:G5"/>
    <mergeCell ref="A1:H1"/>
    <mergeCell ref="A2:H2"/>
    <mergeCell ref="A3:H3"/>
    <mergeCell ref="A4:B4"/>
    <mergeCell ref="C4:D4"/>
    <mergeCell ref="H7:H8"/>
    <mergeCell ref="I7:I8"/>
    <mergeCell ref="A6:B6"/>
    <mergeCell ref="D6:E6"/>
    <mergeCell ref="F6:G6"/>
    <mergeCell ref="A7:A23"/>
    <mergeCell ref="B7:B8"/>
    <mergeCell ref="C7:C8"/>
    <mergeCell ref="D7:F7"/>
    <mergeCell ref="G7:G8"/>
  </mergeCells>
  <phoneticPr fontId="51" type="noConversion"/>
  <hyperlinks>
    <hyperlink ref="J23" location="A109010企业所得税汇总纳税分支机构所得税分配表!A1" display="A109010企业所得税汇总纳税分支机构所得税分配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dimension ref="A1:L64"/>
  <sheetViews>
    <sheetView topLeftCell="A13" workbookViewId="0">
      <selection activeCell="E10" sqref="E10"/>
    </sheetView>
  </sheetViews>
  <sheetFormatPr defaultRowHeight="15.6"/>
  <cols>
    <col min="1" max="1" width="5" style="500" customWidth="1"/>
    <col min="2" max="2" width="31.09765625" style="500" customWidth="1"/>
    <col min="3" max="8" width="13.59765625" style="500" customWidth="1"/>
    <col min="9" max="9" width="30.5" customWidth="1"/>
  </cols>
  <sheetData>
    <row r="1" spans="1:12">
      <c r="A1" s="470"/>
      <c r="B1" s="470"/>
      <c r="C1" s="470"/>
      <c r="D1" s="470"/>
      <c r="E1" s="470"/>
      <c r="F1" s="470"/>
      <c r="G1" s="470"/>
      <c r="H1" s="2183" t="str">
        <f>"索引号："&amp;档案索引!A47</f>
        <v>索引号：2A-27</v>
      </c>
      <c r="I1" s="84"/>
      <c r="J1" s="84"/>
      <c r="K1" s="84"/>
    </row>
    <row r="2" spans="1:12" ht="22.2">
      <c r="A2" s="2729" t="s">
        <v>6499</v>
      </c>
      <c r="B2" s="2729"/>
      <c r="C2" s="2729"/>
      <c r="D2" s="2729"/>
      <c r="E2" s="2729"/>
      <c r="F2" s="2729"/>
      <c r="G2" s="2729"/>
      <c r="H2" s="2729"/>
      <c r="I2" s="84"/>
      <c r="J2" s="84"/>
      <c r="K2" s="84"/>
    </row>
    <row r="3" spans="1:12" ht="27.75" customHeight="1">
      <c r="A3" s="470"/>
      <c r="B3" s="3512" t="str">
        <f>"税款所属期间："&amp;基本情况!B7</f>
        <v>税款所属期间：2016年01月01日至2016年12月31日</v>
      </c>
      <c r="C3" s="3512"/>
      <c r="D3" s="3512"/>
      <c r="E3" s="3512"/>
      <c r="F3" s="2988" t="s">
        <v>932</v>
      </c>
      <c r="G3" s="2988"/>
      <c r="H3" s="2988"/>
      <c r="I3" s="84"/>
      <c r="J3" s="84"/>
      <c r="K3" s="84"/>
    </row>
    <row r="4" spans="1:12" ht="19.5" customHeight="1">
      <c r="A4" s="2926" t="s">
        <v>645</v>
      </c>
      <c r="B4" s="2926" t="s">
        <v>933</v>
      </c>
      <c r="C4" s="1717" t="s">
        <v>1251</v>
      </c>
      <c r="D4" s="1717" t="s">
        <v>934</v>
      </c>
      <c r="E4" s="1717" t="s">
        <v>935</v>
      </c>
      <c r="F4" s="1717" t="s">
        <v>1254</v>
      </c>
      <c r="G4" s="1717"/>
      <c r="H4" s="1717" t="s">
        <v>1522</v>
      </c>
      <c r="I4" s="84"/>
      <c r="J4" s="84"/>
      <c r="K4" s="84"/>
    </row>
    <row r="5" spans="1:12" ht="19.5" customHeight="1">
      <c r="A5" s="2926"/>
      <c r="B5" s="2926"/>
      <c r="C5" s="1717">
        <v>1</v>
      </c>
      <c r="D5" s="1717">
        <v>2</v>
      </c>
      <c r="E5" s="1717">
        <v>3</v>
      </c>
      <c r="F5" s="1717">
        <v>4</v>
      </c>
      <c r="G5" s="1717">
        <v>5</v>
      </c>
      <c r="H5" s="1717">
        <v>6</v>
      </c>
      <c r="I5" s="1060" t="s">
        <v>395</v>
      </c>
      <c r="J5" s="84"/>
      <c r="K5" s="84"/>
    </row>
    <row r="6" spans="1:12" ht="19.5" customHeight="1">
      <c r="A6" s="1717">
        <v>1</v>
      </c>
      <c r="B6" s="794" t="s">
        <v>936</v>
      </c>
      <c r="C6" s="1223"/>
      <c r="D6" s="1223"/>
      <c r="E6" s="1223"/>
      <c r="F6" s="1223"/>
      <c r="G6" s="1223"/>
      <c r="H6" s="1061">
        <f>E6-D6-G6</f>
        <v>0</v>
      </c>
      <c r="I6" s="84"/>
      <c r="J6" s="84"/>
      <c r="K6" s="84"/>
    </row>
    <row r="7" spans="1:12" ht="19.5" customHeight="1">
      <c r="A7" s="1717">
        <v>2</v>
      </c>
      <c r="B7" s="794" t="s">
        <v>1000</v>
      </c>
      <c r="C7" s="1223"/>
      <c r="D7" s="1223"/>
      <c r="E7" s="1223"/>
      <c r="F7" s="1223"/>
      <c r="G7" s="1223"/>
      <c r="H7" s="1061">
        <f>E7-D7-G7</f>
        <v>0</v>
      </c>
      <c r="I7" s="84"/>
      <c r="J7" s="84"/>
      <c r="K7" s="84"/>
    </row>
    <row r="8" spans="1:12" ht="19.5" customHeight="1">
      <c r="A8" s="1717">
        <v>3</v>
      </c>
      <c r="B8" s="794" t="s">
        <v>937</v>
      </c>
      <c r="C8" s="1223"/>
      <c r="D8" s="1223"/>
      <c r="E8" s="1223"/>
      <c r="F8" s="1223"/>
      <c r="G8" s="1223"/>
      <c r="H8" s="1061">
        <f t="shared" ref="H8:H21" si="0">E8-D8-G8</f>
        <v>0</v>
      </c>
      <c r="I8" s="84"/>
      <c r="J8" s="84"/>
      <c r="K8" s="84"/>
    </row>
    <row r="9" spans="1:12" ht="19.5" customHeight="1">
      <c r="A9" s="1717">
        <v>4</v>
      </c>
      <c r="B9" s="794" t="s">
        <v>938</v>
      </c>
      <c r="C9" s="1223"/>
      <c r="D9" s="1223"/>
      <c r="E9" s="1223"/>
      <c r="F9" s="1223"/>
      <c r="G9" s="1223"/>
      <c r="H9" s="1061">
        <f t="shared" si="0"/>
        <v>0</v>
      </c>
      <c r="I9" s="84"/>
      <c r="J9" s="84"/>
      <c r="K9" s="84"/>
    </row>
    <row r="10" spans="1:12" ht="19.5" customHeight="1">
      <c r="A10" s="1717">
        <v>5</v>
      </c>
      <c r="B10" s="794" t="s">
        <v>939</v>
      </c>
      <c r="C10" s="1223"/>
      <c r="D10" s="1062" t="s">
        <v>509</v>
      </c>
      <c r="E10" s="1223"/>
      <c r="F10" s="1223"/>
      <c r="G10" s="1223"/>
      <c r="H10" s="1224"/>
      <c r="I10" s="493" t="s">
        <v>940</v>
      </c>
      <c r="J10" s="84"/>
      <c r="K10" s="84"/>
    </row>
    <row r="11" spans="1:12" ht="19.5" customHeight="1">
      <c r="A11" s="1717">
        <v>6</v>
      </c>
      <c r="B11" s="794" t="s">
        <v>941</v>
      </c>
      <c r="C11" s="1223"/>
      <c r="D11" s="1223"/>
      <c r="E11" s="1223"/>
      <c r="F11" s="1223"/>
      <c r="G11" s="1223"/>
      <c r="H11" s="1061">
        <f t="shared" si="0"/>
        <v>0</v>
      </c>
      <c r="I11" s="84"/>
      <c r="J11" s="84"/>
      <c r="K11" s="84"/>
    </row>
    <row r="12" spans="1:12" ht="19.5" customHeight="1">
      <c r="A12" s="1717">
        <v>7</v>
      </c>
      <c r="B12" s="794" t="s">
        <v>942</v>
      </c>
      <c r="C12" s="1223"/>
      <c r="D12" s="1223"/>
      <c r="E12" s="1223"/>
      <c r="F12" s="1223"/>
      <c r="G12" s="1223"/>
      <c r="H12" s="1061">
        <f t="shared" si="0"/>
        <v>0</v>
      </c>
      <c r="I12" s="1725" t="s">
        <v>943</v>
      </c>
      <c r="J12" s="84"/>
      <c r="K12" s="84"/>
    </row>
    <row r="13" spans="1:12" ht="19.5" customHeight="1">
      <c r="A13" s="1717">
        <v>8</v>
      </c>
      <c r="B13" s="794" t="s">
        <v>944</v>
      </c>
      <c r="C13" s="1223"/>
      <c r="D13" s="1223"/>
      <c r="E13" s="1223"/>
      <c r="F13" s="1223"/>
      <c r="G13" s="1223"/>
      <c r="H13" s="1061">
        <f t="shared" si="0"/>
        <v>0</v>
      </c>
      <c r="I13" s="84" t="s">
        <v>456</v>
      </c>
      <c r="J13" s="84"/>
      <c r="K13" s="84"/>
    </row>
    <row r="14" spans="1:12" ht="19.5" customHeight="1">
      <c r="A14" s="1717">
        <v>9</v>
      </c>
      <c r="B14" s="794" t="s">
        <v>945</v>
      </c>
      <c r="C14" s="1223"/>
      <c r="D14" s="1223"/>
      <c r="E14" s="1223"/>
      <c r="F14" s="1223"/>
      <c r="G14" s="1223"/>
      <c r="H14" s="1061">
        <f t="shared" si="0"/>
        <v>0</v>
      </c>
      <c r="I14" s="3107" t="s">
        <v>946</v>
      </c>
      <c r="J14" s="3107"/>
      <c r="K14" s="3107"/>
      <c r="L14" s="673"/>
    </row>
    <row r="15" spans="1:12" ht="19.5" customHeight="1">
      <c r="A15" s="1717">
        <v>10</v>
      </c>
      <c r="B15" s="794" t="s">
        <v>947</v>
      </c>
      <c r="C15" s="1223"/>
      <c r="D15" s="1223"/>
      <c r="E15" s="1223"/>
      <c r="F15" s="1223"/>
      <c r="G15" s="1223"/>
      <c r="H15" s="1061">
        <f t="shared" si="0"/>
        <v>0</v>
      </c>
      <c r="I15" s="3107"/>
      <c r="J15" s="3107"/>
      <c r="K15" s="3107"/>
      <c r="L15" s="673"/>
    </row>
    <row r="16" spans="1:12" ht="19.5" customHeight="1">
      <c r="A16" s="1717">
        <v>11</v>
      </c>
      <c r="B16" s="794" t="s">
        <v>948</v>
      </c>
      <c r="C16" s="1223"/>
      <c r="D16" s="1223"/>
      <c r="E16" s="1223"/>
      <c r="F16" s="1223"/>
      <c r="G16" s="1223"/>
      <c r="H16" s="1061">
        <f t="shared" si="0"/>
        <v>0</v>
      </c>
      <c r="I16" s="1719"/>
      <c r="J16" s="592"/>
      <c r="K16" s="592"/>
      <c r="L16" s="673"/>
    </row>
    <row r="17" spans="1:11" ht="19.5" customHeight="1">
      <c r="A17" s="1717">
        <v>12</v>
      </c>
      <c r="B17" s="794" t="s">
        <v>949</v>
      </c>
      <c r="C17" s="1223"/>
      <c r="D17" s="1223"/>
      <c r="E17" s="1223"/>
      <c r="F17" s="1223"/>
      <c r="G17" s="1223"/>
      <c r="H17" s="1061">
        <f t="shared" si="0"/>
        <v>0</v>
      </c>
      <c r="I17" s="84"/>
      <c r="J17" s="84"/>
      <c r="K17" s="84"/>
    </row>
    <row r="18" spans="1:11" ht="19.5" customHeight="1">
      <c r="A18" s="1717">
        <v>13</v>
      </c>
      <c r="B18" s="794" t="s">
        <v>950</v>
      </c>
      <c r="C18" s="1223"/>
      <c r="D18" s="1223"/>
      <c r="E18" s="1223"/>
      <c r="F18" s="1223"/>
      <c r="G18" s="1223"/>
      <c r="H18" s="1061">
        <f t="shared" si="0"/>
        <v>0</v>
      </c>
      <c r="I18" s="84"/>
      <c r="J18" s="84"/>
      <c r="K18" s="84"/>
    </row>
    <row r="19" spans="1:11" ht="19.5" customHeight="1">
      <c r="A19" s="1717">
        <v>14</v>
      </c>
      <c r="B19" s="794" t="s">
        <v>951</v>
      </c>
      <c r="C19" s="1223"/>
      <c r="D19" s="1223"/>
      <c r="E19" s="1223"/>
      <c r="F19" s="1223"/>
      <c r="G19" s="1223"/>
      <c r="H19" s="1061">
        <f t="shared" si="0"/>
        <v>0</v>
      </c>
      <c r="I19" s="84"/>
      <c r="J19" s="84"/>
      <c r="K19" s="84"/>
    </row>
    <row r="20" spans="1:11" ht="19.5" customHeight="1">
      <c r="A20" s="1717">
        <v>15</v>
      </c>
      <c r="B20" s="794" t="s">
        <v>952</v>
      </c>
      <c r="C20" s="1223"/>
      <c r="D20" s="1223"/>
      <c r="E20" s="1223"/>
      <c r="F20" s="1223"/>
      <c r="G20" s="1223"/>
      <c r="H20" s="1061">
        <f t="shared" si="0"/>
        <v>0</v>
      </c>
      <c r="I20" s="84"/>
      <c r="J20" s="84"/>
      <c r="K20" s="84"/>
    </row>
    <row r="21" spans="1:11" ht="19.5" customHeight="1">
      <c r="A21" s="1717">
        <v>16</v>
      </c>
      <c r="B21" s="794" t="s">
        <v>1295</v>
      </c>
      <c r="C21" s="1223"/>
      <c r="D21" s="1223"/>
      <c r="E21" s="1223"/>
      <c r="F21" s="1223"/>
      <c r="G21" s="1223"/>
      <c r="H21" s="1061">
        <f t="shared" si="0"/>
        <v>0</v>
      </c>
      <c r="I21" s="84"/>
      <c r="J21" s="84"/>
      <c r="K21" s="84"/>
    </row>
    <row r="22" spans="1:11" ht="19.5" customHeight="1">
      <c r="A22" s="1717">
        <v>17</v>
      </c>
      <c r="B22" s="794" t="s">
        <v>702</v>
      </c>
      <c r="C22" s="1061">
        <f>SUM(C6:C21)</f>
        <v>0</v>
      </c>
      <c r="D22" s="1061">
        <f>SUM(D6:D21)</f>
        <v>0</v>
      </c>
      <c r="E22" s="1061">
        <f>SUM(E6:E21)</f>
        <v>0</v>
      </c>
      <c r="F22" s="1061">
        <f>SUM(F6:F21)</f>
        <v>0</v>
      </c>
      <c r="G22" s="2315"/>
      <c r="H22" s="1061">
        <f>SUM(H6:H21)</f>
        <v>0</v>
      </c>
      <c r="I22" s="84"/>
      <c r="J22" s="84"/>
      <c r="K22" s="84"/>
    </row>
    <row r="23" spans="1:11" s="501" customFormat="1">
      <c r="A23" s="1031"/>
      <c r="B23" s="1031"/>
      <c r="C23" s="1031"/>
      <c r="D23" s="1031"/>
      <c r="E23" s="1031"/>
      <c r="F23" s="1031"/>
      <c r="G23" s="1031"/>
      <c r="H23" s="1031"/>
    </row>
    <row r="24" spans="1:11" s="501" customFormat="1">
      <c r="A24" s="1031"/>
      <c r="B24" s="1031"/>
      <c r="C24" s="1031"/>
      <c r="D24" s="1031"/>
      <c r="E24" s="1031"/>
      <c r="F24" s="1031"/>
      <c r="G24" s="1031"/>
      <c r="H24" s="1031"/>
    </row>
    <row r="25" spans="1:11" s="501" customFormat="1">
      <c r="A25" s="1031"/>
      <c r="B25" s="1031"/>
      <c r="C25" s="1031"/>
      <c r="D25" s="1031"/>
      <c r="E25" s="1031"/>
      <c r="F25" s="1031"/>
      <c r="G25" s="1031"/>
      <c r="H25" s="1031"/>
    </row>
    <row r="26" spans="1:11" s="501" customFormat="1">
      <c r="A26" s="1031"/>
      <c r="B26" s="1031"/>
      <c r="C26" s="1031"/>
      <c r="D26" s="1031"/>
      <c r="E26" s="1031"/>
      <c r="F26" s="1031"/>
      <c r="G26" s="1031"/>
      <c r="H26" s="1031"/>
    </row>
    <row r="27" spans="1:11" s="501" customFormat="1">
      <c r="A27" s="1031"/>
      <c r="B27" s="1031"/>
      <c r="C27" s="1031"/>
      <c r="D27" s="1031"/>
      <c r="E27" s="1031"/>
      <c r="F27" s="1031"/>
      <c r="G27" s="1031"/>
      <c r="H27" s="1031"/>
    </row>
    <row r="28" spans="1:11" s="501" customFormat="1">
      <c r="A28" s="1031"/>
      <c r="B28" s="1031"/>
      <c r="C28" s="1031"/>
      <c r="D28" s="1031"/>
      <c r="E28" s="1031"/>
      <c r="F28" s="1031"/>
      <c r="G28" s="1031"/>
      <c r="H28" s="1031"/>
    </row>
    <row r="29" spans="1:11" s="501" customFormat="1">
      <c r="A29" s="1031"/>
      <c r="B29" s="1031"/>
      <c r="C29" s="1031"/>
      <c r="D29" s="1031"/>
      <c r="E29" s="1031"/>
      <c r="F29" s="1031"/>
      <c r="G29" s="1031"/>
      <c r="H29" s="1031"/>
    </row>
    <row r="30" spans="1:11" s="501" customFormat="1">
      <c r="A30" s="1031"/>
      <c r="B30" s="1031"/>
      <c r="C30" s="1031"/>
      <c r="D30" s="1031"/>
      <c r="E30" s="1031"/>
      <c r="F30" s="1031"/>
      <c r="G30" s="1031"/>
      <c r="H30" s="1031"/>
    </row>
    <row r="31" spans="1:11" s="501" customFormat="1">
      <c r="A31" s="1031"/>
      <c r="B31" s="1031"/>
      <c r="C31" s="1031"/>
      <c r="D31" s="1031"/>
      <c r="E31" s="1031"/>
      <c r="F31" s="1031"/>
      <c r="G31" s="1031"/>
      <c r="H31" s="1031"/>
    </row>
    <row r="32" spans="1:11" s="501" customFormat="1">
      <c r="A32" s="1031"/>
      <c r="B32" s="1031"/>
      <c r="C32" s="1031"/>
      <c r="D32" s="1031"/>
      <c r="E32" s="1031"/>
      <c r="F32" s="1031"/>
      <c r="G32" s="1031"/>
      <c r="H32" s="1031"/>
    </row>
    <row r="33" spans="1:8" s="501" customFormat="1">
      <c r="A33" s="1031"/>
      <c r="B33" s="1031"/>
      <c r="C33" s="1031"/>
      <c r="D33" s="1031"/>
      <c r="E33" s="1031"/>
      <c r="F33" s="1031"/>
      <c r="G33" s="1031"/>
      <c r="H33" s="1031"/>
    </row>
    <row r="34" spans="1:8" s="501" customFormat="1">
      <c r="A34" s="1031"/>
      <c r="B34" s="1031"/>
      <c r="C34" s="1031"/>
      <c r="D34" s="1031"/>
      <c r="E34" s="1031"/>
      <c r="F34" s="1031"/>
      <c r="G34" s="1031"/>
      <c r="H34" s="1031"/>
    </row>
    <row r="35" spans="1:8" s="501" customFormat="1">
      <c r="A35" s="1031"/>
      <c r="B35" s="1031"/>
      <c r="C35" s="1031"/>
      <c r="D35" s="1031"/>
      <c r="E35" s="1031"/>
      <c r="F35" s="1031"/>
      <c r="G35" s="1031"/>
      <c r="H35" s="1031"/>
    </row>
    <row r="36" spans="1:8" s="501" customFormat="1">
      <c r="A36" s="1031"/>
      <c r="B36" s="1031"/>
      <c r="C36" s="1031"/>
      <c r="D36" s="1031"/>
      <c r="E36" s="1031"/>
      <c r="F36" s="1031"/>
      <c r="G36" s="1031"/>
      <c r="H36" s="1031"/>
    </row>
    <row r="37" spans="1:8" s="501" customFormat="1">
      <c r="A37" s="1031"/>
      <c r="B37" s="1031"/>
      <c r="C37" s="1031"/>
      <c r="D37" s="1031"/>
      <c r="E37" s="1031"/>
      <c r="F37" s="1031"/>
      <c r="G37" s="1031"/>
      <c r="H37" s="1031"/>
    </row>
    <row r="38" spans="1:8" s="501" customFormat="1">
      <c r="A38" s="1031"/>
      <c r="B38" s="1031"/>
      <c r="C38" s="1031"/>
      <c r="D38" s="1031"/>
      <c r="E38" s="1031"/>
      <c r="F38" s="1031"/>
      <c r="G38" s="1031"/>
      <c r="H38" s="1031"/>
    </row>
    <row r="39" spans="1:8" s="501" customFormat="1">
      <c r="A39" s="1031"/>
      <c r="B39" s="1031"/>
      <c r="C39" s="1031"/>
      <c r="D39" s="1031"/>
      <c r="E39" s="1031"/>
      <c r="F39" s="1031"/>
      <c r="G39" s="1031"/>
      <c r="H39" s="1031"/>
    </row>
    <row r="40" spans="1:8" s="501" customFormat="1">
      <c r="A40" s="1031"/>
      <c r="B40" s="1031"/>
      <c r="C40" s="1031"/>
      <c r="D40" s="1031"/>
      <c r="E40" s="1031"/>
      <c r="F40" s="1031"/>
      <c r="G40" s="1031"/>
      <c r="H40" s="1031"/>
    </row>
    <row r="41" spans="1:8" s="501" customFormat="1">
      <c r="A41" s="1031"/>
      <c r="B41" s="1031"/>
      <c r="C41" s="1031"/>
      <c r="D41" s="1031"/>
      <c r="E41" s="1031"/>
      <c r="F41" s="1031"/>
      <c r="G41" s="1031"/>
      <c r="H41" s="1031"/>
    </row>
    <row r="42" spans="1:8" s="501" customFormat="1">
      <c r="A42" s="1031"/>
      <c r="B42" s="1031"/>
      <c r="C42" s="1031"/>
      <c r="D42" s="1031"/>
      <c r="E42" s="1031"/>
      <c r="F42" s="1031"/>
      <c r="G42" s="1031"/>
      <c r="H42" s="1031"/>
    </row>
    <row r="43" spans="1:8" s="501" customFormat="1">
      <c r="A43" s="1031"/>
      <c r="B43" s="1031"/>
      <c r="C43" s="1031"/>
      <c r="D43" s="1031"/>
      <c r="E43" s="1031"/>
      <c r="F43" s="1031"/>
      <c r="G43" s="1031"/>
      <c r="H43" s="1031"/>
    </row>
    <row r="44" spans="1:8" s="501" customFormat="1">
      <c r="A44" s="1031"/>
      <c r="B44" s="1031"/>
      <c r="C44" s="1031"/>
      <c r="D44" s="1031"/>
      <c r="E44" s="1031"/>
      <c r="F44" s="1031"/>
      <c r="G44" s="1031"/>
      <c r="H44" s="1031"/>
    </row>
    <row r="45" spans="1:8" s="501" customFormat="1">
      <c r="A45" s="1031"/>
      <c r="B45" s="1031"/>
      <c r="C45" s="1031"/>
      <c r="D45" s="1031"/>
      <c r="E45" s="1031"/>
      <c r="F45" s="1031"/>
      <c r="G45" s="1031"/>
      <c r="H45" s="1031"/>
    </row>
    <row r="46" spans="1:8" s="501" customFormat="1">
      <c r="A46" s="1031"/>
      <c r="B46" s="1031"/>
      <c r="C46" s="1031"/>
      <c r="D46" s="1031"/>
      <c r="E46" s="1031"/>
      <c r="F46" s="1031"/>
      <c r="G46" s="1031"/>
      <c r="H46" s="1031"/>
    </row>
    <row r="47" spans="1:8" s="501" customFormat="1">
      <c r="A47" s="1031"/>
      <c r="B47" s="1031"/>
      <c r="C47" s="1031"/>
      <c r="D47" s="1031"/>
      <c r="E47" s="1031"/>
      <c r="F47" s="1031"/>
      <c r="G47" s="1031"/>
      <c r="H47" s="1031"/>
    </row>
    <row r="48" spans="1:8" s="501" customFormat="1">
      <c r="A48" s="1031"/>
      <c r="B48" s="1031"/>
      <c r="C48" s="1031"/>
      <c r="D48" s="1031"/>
      <c r="E48" s="1031"/>
      <c r="F48" s="1031"/>
      <c r="G48" s="1031"/>
      <c r="H48" s="1031"/>
    </row>
    <row r="49" spans="1:8" s="501" customFormat="1">
      <c r="A49" s="1031"/>
      <c r="B49" s="1031"/>
      <c r="C49" s="1031"/>
      <c r="D49" s="1031"/>
      <c r="E49" s="1031"/>
      <c r="F49" s="1031"/>
      <c r="G49" s="1031"/>
      <c r="H49" s="1031"/>
    </row>
    <row r="50" spans="1:8" s="501" customFormat="1">
      <c r="A50" s="1031"/>
      <c r="B50" s="1031"/>
      <c r="C50" s="1031"/>
      <c r="D50" s="1031"/>
      <c r="E50" s="1031"/>
      <c r="F50" s="1031"/>
      <c r="G50" s="1031"/>
      <c r="H50" s="1031"/>
    </row>
    <row r="51" spans="1:8" s="501" customFormat="1">
      <c r="A51" s="1031"/>
      <c r="B51" s="1031"/>
      <c r="C51" s="1031"/>
      <c r="D51" s="1031"/>
      <c r="E51" s="1031"/>
      <c r="F51" s="1031"/>
      <c r="G51" s="1031"/>
      <c r="H51" s="1031"/>
    </row>
    <row r="52" spans="1:8" s="501" customFormat="1">
      <c r="A52" s="1031"/>
      <c r="B52" s="1031"/>
      <c r="C52" s="1031"/>
      <c r="D52" s="1031"/>
      <c r="E52" s="1031"/>
      <c r="F52" s="1031"/>
      <c r="G52" s="1031"/>
      <c r="H52" s="1031"/>
    </row>
    <row r="53" spans="1:8" s="501" customFormat="1">
      <c r="A53" s="1031"/>
      <c r="B53" s="1031"/>
      <c r="C53" s="1031"/>
      <c r="D53" s="1031"/>
      <c r="E53" s="1031"/>
      <c r="F53" s="1031"/>
      <c r="G53" s="1031"/>
      <c r="H53" s="1031"/>
    </row>
    <row r="54" spans="1:8" s="501" customFormat="1">
      <c r="A54" s="1031"/>
      <c r="B54" s="1031"/>
      <c r="C54" s="1031"/>
      <c r="D54" s="1031"/>
      <c r="E54" s="1031"/>
      <c r="F54" s="1031"/>
      <c r="G54" s="1031"/>
      <c r="H54" s="1031"/>
    </row>
    <row r="55" spans="1:8" s="501" customFormat="1">
      <c r="A55" s="1031"/>
      <c r="B55" s="1031"/>
      <c r="C55" s="1031"/>
      <c r="D55" s="1031"/>
      <c r="E55" s="1031"/>
      <c r="F55" s="1031"/>
      <c r="G55" s="1031"/>
      <c r="H55" s="1031"/>
    </row>
    <row r="56" spans="1:8" s="501" customFormat="1">
      <c r="A56" s="1031"/>
      <c r="B56" s="1031"/>
      <c r="C56" s="1031"/>
      <c r="D56" s="1031"/>
      <c r="E56" s="1031"/>
      <c r="F56" s="1031"/>
      <c r="G56" s="1031"/>
      <c r="H56" s="1031"/>
    </row>
    <row r="57" spans="1:8" s="501" customFormat="1">
      <c r="A57" s="1031"/>
      <c r="B57" s="1031"/>
      <c r="C57" s="1031"/>
      <c r="D57" s="1031"/>
      <c r="E57" s="1031"/>
      <c r="F57" s="1031"/>
      <c r="G57" s="1031"/>
      <c r="H57" s="1031"/>
    </row>
    <row r="58" spans="1:8" s="501" customFormat="1">
      <c r="A58" s="1031"/>
      <c r="B58" s="1031"/>
      <c r="C58" s="1031"/>
      <c r="D58" s="1031"/>
      <c r="E58" s="1031"/>
      <c r="F58" s="1031"/>
      <c r="G58" s="1031"/>
      <c r="H58" s="1031"/>
    </row>
    <row r="59" spans="1:8" s="501" customFormat="1">
      <c r="A59" s="1031"/>
      <c r="B59" s="1031"/>
      <c r="C59" s="1031"/>
      <c r="D59" s="1031"/>
      <c r="E59" s="1031"/>
      <c r="F59" s="1031"/>
      <c r="G59" s="1031"/>
      <c r="H59" s="1031"/>
    </row>
    <row r="60" spans="1:8" s="501" customFormat="1">
      <c r="A60" s="1031"/>
      <c r="B60" s="1031"/>
      <c r="C60" s="1031"/>
      <c r="D60" s="1031"/>
      <c r="E60" s="1031"/>
      <c r="F60" s="1031"/>
      <c r="G60" s="1031"/>
      <c r="H60" s="1031"/>
    </row>
    <row r="61" spans="1:8" s="501" customFormat="1">
      <c r="A61" s="1031"/>
      <c r="B61" s="1031"/>
      <c r="C61" s="1031"/>
      <c r="D61" s="1031"/>
      <c r="E61" s="1031"/>
      <c r="F61" s="1031"/>
      <c r="G61" s="1031"/>
      <c r="H61" s="1031"/>
    </row>
    <row r="62" spans="1:8" s="501" customFormat="1">
      <c r="A62" s="1031"/>
      <c r="B62" s="1031"/>
      <c r="C62" s="1031"/>
      <c r="D62" s="1031"/>
      <c r="E62" s="1031"/>
      <c r="F62" s="1031"/>
      <c r="G62" s="1031"/>
      <c r="H62" s="1031"/>
    </row>
    <row r="63" spans="1:8" s="501" customFormat="1">
      <c r="A63" s="1031"/>
      <c r="B63" s="1031"/>
      <c r="C63" s="1031"/>
      <c r="D63" s="1031"/>
      <c r="E63" s="1031"/>
      <c r="F63" s="1031"/>
      <c r="G63" s="1031"/>
      <c r="H63" s="1031"/>
    </row>
    <row r="64" spans="1:8" s="501" customFormat="1">
      <c r="A64" s="1031"/>
      <c r="B64" s="1031"/>
      <c r="C64" s="1031"/>
      <c r="D64" s="1031"/>
      <c r="E64" s="1031"/>
      <c r="F64" s="1031"/>
      <c r="G64" s="1031"/>
      <c r="H64" s="1031"/>
    </row>
  </sheetData>
  <sheetProtection selectLockedCells="1" selectUnlockedCells="1"/>
  <mergeCells count="6">
    <mergeCell ref="I14:K15"/>
    <mergeCell ref="A2:H2"/>
    <mergeCell ref="B3:E3"/>
    <mergeCell ref="F3:H3"/>
    <mergeCell ref="A4:A5"/>
    <mergeCell ref="B4:B5"/>
  </mergeCells>
  <phoneticPr fontId="51" type="noConversion"/>
  <hyperlinks>
    <hyperlink ref="I10" location="其他事项!B17" display="其他事项!B17"/>
    <hyperlink ref="I12" location="纳税调整明细表!G56" display="纳税调整明细表!G56"/>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dimension ref="A1:M17"/>
  <sheetViews>
    <sheetView workbookViewId="0">
      <selection activeCell="F9" sqref="F9"/>
    </sheetView>
  </sheetViews>
  <sheetFormatPr defaultRowHeight="15.6"/>
  <cols>
    <col min="1" max="1" width="3.69921875" customWidth="1"/>
    <col min="2" max="2" width="46.19921875" customWidth="1"/>
    <col min="3" max="7" width="14.69921875" customWidth="1"/>
    <col min="8" max="8" width="12.19921875" customWidth="1"/>
  </cols>
  <sheetData>
    <row r="1" spans="1:13">
      <c r="A1" s="470"/>
      <c r="B1" s="470"/>
      <c r="C1" s="470"/>
      <c r="D1" s="470"/>
      <c r="E1" s="470"/>
      <c r="F1" s="470"/>
      <c r="G1" s="2183" t="str">
        <f>"索引号："&amp;档案索引!A48</f>
        <v>索引号：2A-28</v>
      </c>
      <c r="H1" s="84"/>
      <c r="I1" s="84"/>
      <c r="J1" s="84"/>
      <c r="K1" s="84"/>
      <c r="L1" s="84"/>
      <c r="M1" s="84"/>
    </row>
    <row r="2" spans="1:13" ht="22.2">
      <c r="A2" s="2729" t="s">
        <v>6100</v>
      </c>
      <c r="B2" s="2729"/>
      <c r="C2" s="2729"/>
      <c r="D2" s="2729"/>
      <c r="E2" s="2729"/>
      <c r="F2" s="2729"/>
      <c r="G2" s="2729"/>
      <c r="H2" s="84"/>
      <c r="I2" s="84"/>
      <c r="J2" s="84"/>
      <c r="K2" s="84"/>
      <c r="L2" s="84"/>
      <c r="M2" s="84"/>
    </row>
    <row r="3" spans="1:13">
      <c r="A3" s="470"/>
      <c r="B3" s="3243"/>
      <c r="C3" s="3243"/>
      <c r="D3" s="3243"/>
      <c r="E3" s="3243"/>
      <c r="F3" s="470"/>
      <c r="G3" s="470"/>
      <c r="H3" s="84"/>
      <c r="I3" s="84"/>
      <c r="J3" s="84"/>
      <c r="K3" s="84"/>
      <c r="L3" s="84"/>
      <c r="M3" s="84"/>
    </row>
    <row r="4" spans="1:13">
      <c r="A4" s="470"/>
      <c r="B4" s="3513" t="str">
        <f>"税款所属期间："&amp;基本情况!B7</f>
        <v>税款所属期间：2016年01月01日至2016年12月31日</v>
      </c>
      <c r="C4" s="3513"/>
      <c r="D4" s="3513"/>
      <c r="E4" s="3513"/>
      <c r="F4" s="3514" t="s">
        <v>109</v>
      </c>
      <c r="G4" s="3514"/>
      <c r="H4" s="84"/>
      <c r="I4" s="84"/>
      <c r="J4" s="84"/>
      <c r="K4" s="84"/>
      <c r="L4" s="84"/>
      <c r="M4" s="84"/>
    </row>
    <row r="5" spans="1:13" ht="15.15" customHeight="1">
      <c r="A5" s="2926" t="s">
        <v>645</v>
      </c>
      <c r="B5" s="2926" t="s">
        <v>110</v>
      </c>
      <c r="C5" s="2926" t="s">
        <v>111</v>
      </c>
      <c r="D5" s="2926"/>
      <c r="E5" s="2926" t="s">
        <v>112</v>
      </c>
      <c r="F5" s="2926"/>
      <c r="G5" s="2955" t="s">
        <v>113</v>
      </c>
      <c r="H5" s="84"/>
      <c r="I5" s="84"/>
      <c r="J5" s="84"/>
      <c r="K5" s="84"/>
      <c r="L5" s="84"/>
      <c r="M5" s="84"/>
    </row>
    <row r="6" spans="1:13" ht="35.25" customHeight="1">
      <c r="A6" s="2926"/>
      <c r="B6" s="2926"/>
      <c r="C6" s="1678" t="s">
        <v>114</v>
      </c>
      <c r="D6" s="1677" t="s">
        <v>1255</v>
      </c>
      <c r="E6" s="1678" t="s">
        <v>114</v>
      </c>
      <c r="F6" s="1677" t="s">
        <v>1255</v>
      </c>
      <c r="G6" s="2955"/>
      <c r="H6" s="84"/>
      <c r="I6" s="84"/>
      <c r="J6" s="84"/>
      <c r="K6" s="84"/>
      <c r="L6" s="84"/>
      <c r="M6" s="84"/>
    </row>
    <row r="7" spans="1:13" ht="21" customHeight="1">
      <c r="A7" s="2926"/>
      <c r="B7" s="2926"/>
      <c r="C7" s="1677">
        <v>1</v>
      </c>
      <c r="D7" s="1677">
        <v>2</v>
      </c>
      <c r="E7" s="1677">
        <v>3</v>
      </c>
      <c r="F7" s="1677">
        <v>4</v>
      </c>
      <c r="G7" s="1677">
        <v>5</v>
      </c>
      <c r="H7" s="1060" t="s">
        <v>395</v>
      </c>
      <c r="I7" s="84"/>
      <c r="J7" s="84"/>
      <c r="K7" s="84"/>
      <c r="L7" s="84"/>
      <c r="M7" s="84"/>
    </row>
    <row r="8" spans="1:13" ht="25.5" customHeight="1">
      <c r="A8" s="1677">
        <v>1</v>
      </c>
      <c r="B8" s="794" t="s">
        <v>115</v>
      </c>
      <c r="C8" s="1061">
        <f>SUM(C9:C11)</f>
        <v>0</v>
      </c>
      <c r="D8" s="1061">
        <f>SUM(D9:D11)</f>
        <v>0</v>
      </c>
      <c r="E8" s="1061">
        <f>SUM(E9:E11)</f>
        <v>0</v>
      </c>
      <c r="F8" s="1061">
        <f>SUM(F9:F11)</f>
        <v>0</v>
      </c>
      <c r="G8" s="1061">
        <f>(F8-D8)-(E8-C8)</f>
        <v>0</v>
      </c>
      <c r="H8" s="84"/>
      <c r="I8" s="84"/>
      <c r="J8" s="84"/>
      <c r="K8" s="84"/>
      <c r="L8" s="84"/>
      <c r="M8" s="84"/>
    </row>
    <row r="9" spans="1:13" ht="25.5" customHeight="1">
      <c r="A9" s="1677">
        <v>2</v>
      </c>
      <c r="B9" s="794" t="s">
        <v>116</v>
      </c>
      <c r="C9" s="1225"/>
      <c r="D9" s="1225"/>
      <c r="E9" s="1225"/>
      <c r="F9" s="1225"/>
      <c r="G9" s="1061">
        <f t="shared" ref="G9:G16" si="0">(F9-D9)-(E9-C9)</f>
        <v>0</v>
      </c>
      <c r="H9" s="2443" t="s">
        <v>5987</v>
      </c>
      <c r="I9" s="84"/>
      <c r="J9" s="84"/>
      <c r="K9" s="84"/>
      <c r="L9" s="84"/>
      <c r="M9" s="84"/>
    </row>
    <row r="10" spans="1:13" ht="25.5" customHeight="1">
      <c r="A10" s="1677">
        <v>3</v>
      </c>
      <c r="B10" s="794" t="s">
        <v>117</v>
      </c>
      <c r="C10" s="1225"/>
      <c r="D10" s="1225"/>
      <c r="E10" s="1225"/>
      <c r="F10" s="1225"/>
      <c r="G10" s="1061">
        <f t="shared" si="0"/>
        <v>0</v>
      </c>
      <c r="H10" s="84"/>
      <c r="I10" s="84"/>
      <c r="J10" s="84"/>
      <c r="K10" s="84"/>
      <c r="L10" s="84"/>
      <c r="M10" s="84"/>
    </row>
    <row r="11" spans="1:13" ht="25.5" customHeight="1">
      <c r="A11" s="1677">
        <v>4</v>
      </c>
      <c r="B11" s="794" t="s">
        <v>118</v>
      </c>
      <c r="C11" s="1225"/>
      <c r="D11" s="1225"/>
      <c r="E11" s="1225"/>
      <c r="F11" s="1225"/>
      <c r="G11" s="1061">
        <f t="shared" si="0"/>
        <v>0</v>
      </c>
      <c r="H11" s="84" t="s">
        <v>456</v>
      </c>
      <c r="I11" s="84"/>
      <c r="J11" s="84"/>
      <c r="K11" s="84"/>
      <c r="L11" s="84"/>
      <c r="M11" s="84"/>
    </row>
    <row r="12" spans="1:13" ht="25.5" customHeight="1">
      <c r="A12" s="1677">
        <v>5</v>
      </c>
      <c r="B12" s="794" t="s">
        <v>119</v>
      </c>
      <c r="C12" s="1061">
        <f>SUM(C13:C15)</f>
        <v>0</v>
      </c>
      <c r="D12" s="1061">
        <f>SUM(D13:D15)</f>
        <v>0</v>
      </c>
      <c r="E12" s="1061">
        <f>SUM(E13:E15)</f>
        <v>0</v>
      </c>
      <c r="F12" s="1061">
        <f>SUM(F13:F15)</f>
        <v>0</v>
      </c>
      <c r="G12" s="1061">
        <f>(D12-F12)-(C12-E12)</f>
        <v>0</v>
      </c>
      <c r="H12" s="3107" t="s">
        <v>120</v>
      </c>
      <c r="I12" s="3107"/>
      <c r="J12" s="3107"/>
      <c r="K12" s="3107"/>
      <c r="L12" s="3107"/>
      <c r="M12" s="3107"/>
    </row>
    <row r="13" spans="1:13" ht="25.5" customHeight="1">
      <c r="A13" s="1677">
        <v>6</v>
      </c>
      <c r="B13" s="794" t="s">
        <v>121</v>
      </c>
      <c r="C13" s="1225"/>
      <c r="D13" s="1225"/>
      <c r="E13" s="1225"/>
      <c r="F13" s="1225"/>
      <c r="G13" s="1061">
        <f>(D13-F13)-(C13-E13)</f>
        <v>0</v>
      </c>
      <c r="H13" s="3107"/>
      <c r="I13" s="3107"/>
      <c r="J13" s="3107"/>
      <c r="K13" s="3107"/>
      <c r="L13" s="3107"/>
      <c r="M13" s="3107"/>
    </row>
    <row r="14" spans="1:13" ht="25.5" customHeight="1">
      <c r="A14" s="1677">
        <v>7</v>
      </c>
      <c r="B14" s="794" t="s">
        <v>117</v>
      </c>
      <c r="C14" s="1225"/>
      <c r="D14" s="1225"/>
      <c r="E14" s="1225"/>
      <c r="F14" s="1225"/>
      <c r="G14" s="1061">
        <f>(D14-F14)-(C14-E14)</f>
        <v>0</v>
      </c>
      <c r="H14" s="3107" t="s">
        <v>122</v>
      </c>
      <c r="I14" s="3107"/>
      <c r="J14" s="3107"/>
      <c r="K14" s="3107"/>
      <c r="L14" s="3107"/>
      <c r="M14" s="3107"/>
    </row>
    <row r="15" spans="1:13" ht="25.5" customHeight="1">
      <c r="A15" s="1677">
        <v>8</v>
      </c>
      <c r="B15" s="794" t="s">
        <v>123</v>
      </c>
      <c r="C15" s="1225"/>
      <c r="D15" s="1225"/>
      <c r="E15" s="1225"/>
      <c r="F15" s="1225"/>
      <c r="G15" s="1061">
        <f>(D15-F15)-(C15-E15)</f>
        <v>0</v>
      </c>
      <c r="H15" s="84"/>
      <c r="I15" s="84"/>
      <c r="J15" s="84"/>
      <c r="K15" s="84"/>
      <c r="L15" s="84"/>
      <c r="M15" s="84"/>
    </row>
    <row r="16" spans="1:13" ht="25.5" customHeight="1">
      <c r="A16" s="1677">
        <v>9</v>
      </c>
      <c r="B16" s="794" t="s">
        <v>124</v>
      </c>
      <c r="C16" s="1225"/>
      <c r="D16" s="1225"/>
      <c r="E16" s="1225"/>
      <c r="F16" s="1225"/>
      <c r="G16" s="1061">
        <f t="shared" si="0"/>
        <v>0</v>
      </c>
      <c r="H16" s="84"/>
      <c r="I16" s="84"/>
      <c r="J16" s="84"/>
      <c r="K16" s="84"/>
      <c r="L16" s="84"/>
      <c r="M16" s="84"/>
    </row>
    <row r="17" spans="1:13" ht="29.25" customHeight="1">
      <c r="A17" s="1677">
        <v>10</v>
      </c>
      <c r="B17" s="794" t="s">
        <v>702</v>
      </c>
      <c r="C17" s="1061">
        <f>C8+C12+C16</f>
        <v>0</v>
      </c>
      <c r="D17" s="1061">
        <f>D8+D12+D16</f>
        <v>0</v>
      </c>
      <c r="E17" s="1061">
        <f>E8+E12+E16</f>
        <v>0</v>
      </c>
      <c r="F17" s="1061">
        <f>F8+F12+F16</f>
        <v>0</v>
      </c>
      <c r="G17" s="1061">
        <f>G8+G12+G16</f>
        <v>0</v>
      </c>
      <c r="H17" s="84"/>
      <c r="I17" s="84"/>
      <c r="J17" s="84"/>
      <c r="K17" s="84"/>
      <c r="L17" s="84"/>
      <c r="M17" s="84"/>
    </row>
  </sheetData>
  <sheetProtection selectLockedCells="1" selectUnlockedCells="1"/>
  <mergeCells count="11">
    <mergeCell ref="H12:M13"/>
    <mergeCell ref="H14:M14"/>
    <mergeCell ref="A2:G2"/>
    <mergeCell ref="B3:E3"/>
    <mergeCell ref="B4:E4"/>
    <mergeCell ref="F4:G4"/>
    <mergeCell ref="A5:A7"/>
    <mergeCell ref="B5:B7"/>
    <mergeCell ref="C5:D5"/>
    <mergeCell ref="E5:F5"/>
    <mergeCell ref="G5:G6"/>
  </mergeCells>
  <phoneticPr fontId="51" type="noConversion"/>
  <hyperlinks>
    <hyperlink ref="H9" location="利润!A25" display="利润"/>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M67"/>
  <sheetViews>
    <sheetView showGridLines="0" showRowColHeaders="0" workbookViewId="0">
      <selection activeCell="D17" sqref="D17"/>
    </sheetView>
  </sheetViews>
  <sheetFormatPr defaultColWidth="9" defaultRowHeight="15.6"/>
  <cols>
    <col min="1" max="1" width="3.8984375" style="796" customWidth="1"/>
    <col min="2" max="2" width="16.5" style="797" customWidth="1"/>
    <col min="3" max="3" width="22.8984375" style="797" customWidth="1"/>
    <col min="4" max="4" width="27.5" style="797" customWidth="1"/>
    <col min="5" max="5" width="20.3984375" style="797" customWidth="1"/>
    <col min="6" max="7" width="21.19921875" style="797" customWidth="1"/>
    <col min="8" max="8" width="18.59765625" style="797" customWidth="1"/>
    <col min="9" max="9" width="21.19921875" style="797" customWidth="1"/>
    <col min="10" max="10" width="16.8984375" style="797" customWidth="1"/>
    <col min="11" max="12" width="25.5" style="796" customWidth="1"/>
    <col min="13" max="16384" width="9" style="796"/>
  </cols>
  <sheetData>
    <row r="1" spans="1:13" ht="25.8">
      <c r="C1" s="798"/>
      <c r="D1" s="798"/>
      <c r="E1" s="798"/>
      <c r="F1" s="798"/>
      <c r="G1" s="798"/>
      <c r="H1" s="798"/>
      <c r="I1" s="798"/>
      <c r="J1" s="1092"/>
      <c r="K1" s="799"/>
      <c r="L1" s="799"/>
      <c r="M1" s="799"/>
    </row>
    <row r="3" spans="1:13" ht="17.399999999999999">
      <c r="H3" s="2462" t="str">
        <f>首页!A1</f>
        <v>V20170517</v>
      </c>
    </row>
    <row r="4" spans="1:13" ht="14.25" customHeight="1" thickBot="1">
      <c r="B4" s="800" t="s">
        <v>50</v>
      </c>
      <c r="C4" s="3515" t="s">
        <v>51</v>
      </c>
      <c r="D4" s="3515"/>
      <c r="E4" s="3515"/>
      <c r="F4" s="3515"/>
      <c r="G4" s="3515"/>
      <c r="H4" s="3515"/>
      <c r="I4" s="3515"/>
      <c r="J4" s="801"/>
      <c r="K4" s="802"/>
      <c r="L4" s="803"/>
    </row>
    <row r="5" spans="1:13" s="804" customFormat="1" ht="19.5" customHeight="1" thickBot="1">
      <c r="B5" s="3516" t="s">
        <v>52</v>
      </c>
      <c r="C5" s="3527" t="s">
        <v>53</v>
      </c>
      <c r="D5" s="3525"/>
      <c r="E5" s="3526"/>
      <c r="F5" s="3521" t="s">
        <v>6432</v>
      </c>
      <c r="G5" s="3522"/>
      <c r="H5" s="3525" t="s">
        <v>53</v>
      </c>
      <c r="I5" s="3526"/>
      <c r="J5" s="3517" t="s">
        <v>6429</v>
      </c>
      <c r="K5" s="805"/>
      <c r="L5" s="806"/>
    </row>
    <row r="6" spans="1:13" s="804" customFormat="1" ht="19.5" customHeight="1">
      <c r="B6" s="3516"/>
      <c r="C6" s="3519" t="s">
        <v>54</v>
      </c>
      <c r="D6" s="3520"/>
      <c r="E6" s="807" t="s">
        <v>55</v>
      </c>
      <c r="F6" s="3523"/>
      <c r="G6" s="3524"/>
      <c r="H6" s="1768" t="s">
        <v>33</v>
      </c>
      <c r="I6" s="808" t="s">
        <v>56</v>
      </c>
      <c r="J6" s="3518"/>
      <c r="K6" s="805"/>
      <c r="L6" s="806"/>
    </row>
    <row r="7" spans="1:13" s="804" customFormat="1" ht="14.25" customHeight="1">
      <c r="A7" s="809"/>
      <c r="B7" s="2112" t="s">
        <v>57</v>
      </c>
      <c r="C7" s="2113" t="s">
        <v>58</v>
      </c>
      <c r="D7" s="2113" t="s">
        <v>5950</v>
      </c>
      <c r="E7" s="2114" t="s">
        <v>296</v>
      </c>
      <c r="F7" s="2115" t="s">
        <v>7695</v>
      </c>
      <c r="G7" s="2115" t="s">
        <v>4896</v>
      </c>
      <c r="H7" s="2116" t="s">
        <v>339</v>
      </c>
      <c r="I7" s="2114" t="s">
        <v>362</v>
      </c>
      <c r="J7" s="2117" t="s">
        <v>59</v>
      </c>
      <c r="K7" s="796"/>
      <c r="L7" s="806"/>
    </row>
    <row r="8" spans="1:13" s="804" customFormat="1" ht="14.25" customHeight="1">
      <c r="A8" s="809"/>
      <c r="B8" s="2112" t="s">
        <v>60</v>
      </c>
      <c r="C8" s="2113" t="s">
        <v>1329</v>
      </c>
      <c r="D8" s="2113" t="s">
        <v>5951</v>
      </c>
      <c r="E8" s="2114" t="s">
        <v>669</v>
      </c>
      <c r="F8" s="2118" t="s">
        <v>2476</v>
      </c>
      <c r="G8" s="2115" t="s">
        <v>4972</v>
      </c>
      <c r="H8" s="2116" t="s">
        <v>61</v>
      </c>
      <c r="I8" s="2113" t="s">
        <v>366</v>
      </c>
      <c r="J8" s="2117" t="s">
        <v>650</v>
      </c>
      <c r="K8" s="796"/>
      <c r="L8" s="806"/>
    </row>
    <row r="9" spans="1:13" s="804" customFormat="1" ht="14.25" customHeight="1">
      <c r="A9" s="809"/>
      <c r="B9" s="2112" t="s">
        <v>62</v>
      </c>
      <c r="C9" s="2113" t="s">
        <v>63</v>
      </c>
      <c r="D9" s="2113" t="s">
        <v>5952</v>
      </c>
      <c r="E9" s="2114" t="s">
        <v>64</v>
      </c>
      <c r="F9" s="2119" t="s">
        <v>1631</v>
      </c>
      <c r="G9" s="2115" t="s">
        <v>5012</v>
      </c>
      <c r="H9" s="2116" t="s">
        <v>343</v>
      </c>
      <c r="I9" s="2113" t="s">
        <v>370</v>
      </c>
      <c r="J9" s="2117" t="s">
        <v>399</v>
      </c>
      <c r="K9" s="796"/>
      <c r="L9" s="806"/>
    </row>
    <row r="10" spans="1:13" s="804" customFormat="1" ht="14.25" customHeight="1">
      <c r="A10" s="809"/>
      <c r="B10" s="2112" t="s">
        <v>446</v>
      </c>
      <c r="C10" s="2113" t="s">
        <v>65</v>
      </c>
      <c r="D10" s="2113" t="s">
        <v>5953</v>
      </c>
      <c r="E10" s="2114" t="s">
        <v>1296</v>
      </c>
      <c r="F10" s="2115" t="s">
        <v>1856</v>
      </c>
      <c r="G10" s="2115" t="s">
        <v>5452</v>
      </c>
      <c r="H10" s="2116" t="s">
        <v>347</v>
      </c>
      <c r="I10" s="2120" t="s">
        <v>66</v>
      </c>
      <c r="J10" s="2117" t="s">
        <v>1538</v>
      </c>
      <c r="K10" s="796"/>
      <c r="L10" s="806"/>
    </row>
    <row r="11" spans="1:13" s="804" customFormat="1" ht="14.25" customHeight="1">
      <c r="A11" s="809"/>
      <c r="B11" s="2112" t="s">
        <v>67</v>
      </c>
      <c r="C11" s="2113" t="s">
        <v>353</v>
      </c>
      <c r="D11" s="2113" t="s">
        <v>5954</v>
      </c>
      <c r="E11" s="2114" t="s">
        <v>68</v>
      </c>
      <c r="F11" s="2115" t="s">
        <v>4944</v>
      </c>
      <c r="G11" s="2115" t="s">
        <v>5545</v>
      </c>
      <c r="H11" s="2116" t="s">
        <v>351</v>
      </c>
      <c r="I11" s="2113" t="s">
        <v>378</v>
      </c>
      <c r="J11" s="2117" t="s">
        <v>676</v>
      </c>
      <c r="K11" s="796"/>
      <c r="L11" s="806"/>
    </row>
    <row r="12" spans="1:13" s="804" customFormat="1" ht="14.25" customHeight="1">
      <c r="A12" s="809"/>
      <c r="B12" s="2112" t="s">
        <v>69</v>
      </c>
      <c r="C12" s="2113" t="s">
        <v>70</v>
      </c>
      <c r="D12" s="2113" t="s">
        <v>5955</v>
      </c>
      <c r="E12" s="2114" t="s">
        <v>71</v>
      </c>
      <c r="F12" s="2115" t="s">
        <v>5049</v>
      </c>
      <c r="G12" s="2115" t="s">
        <v>5562</v>
      </c>
      <c r="H12" s="2116" t="s">
        <v>355</v>
      </c>
      <c r="I12" s="1" t="s">
        <v>10133</v>
      </c>
      <c r="J12" s="2117" t="s">
        <v>7147</v>
      </c>
      <c r="K12" s="796"/>
      <c r="L12" s="806"/>
    </row>
    <row r="13" spans="1:13" s="804" customFormat="1" ht="14.25" customHeight="1">
      <c r="A13" s="809"/>
      <c r="B13" s="2112" t="s">
        <v>298</v>
      </c>
      <c r="C13" s="2113" t="s">
        <v>73</v>
      </c>
      <c r="D13" s="2113" t="s">
        <v>5956</v>
      </c>
      <c r="E13" s="2114" t="s">
        <v>673</v>
      </c>
      <c r="F13" s="2115" t="s">
        <v>921</v>
      </c>
      <c r="G13" s="2115" t="s">
        <v>5610</v>
      </c>
      <c r="H13" s="2116" t="s">
        <v>74</v>
      </c>
      <c r="J13" s="2117" t="s">
        <v>6023</v>
      </c>
      <c r="K13" s="796"/>
      <c r="L13" s="806"/>
    </row>
    <row r="14" spans="1:13" s="804" customFormat="1" ht="14.25" customHeight="1">
      <c r="A14" s="809"/>
      <c r="B14" s="2112" t="s">
        <v>76</v>
      </c>
      <c r="C14" s="2113" t="s">
        <v>77</v>
      </c>
      <c r="D14" s="2121" t="s">
        <v>5959</v>
      </c>
      <c r="E14" s="2114" t="s">
        <v>78</v>
      </c>
      <c r="F14" s="2115" t="s">
        <v>5149</v>
      </c>
      <c r="G14" s="2115" t="s">
        <v>5658</v>
      </c>
      <c r="H14" s="2116" t="s">
        <v>1263</v>
      </c>
      <c r="I14" s="810"/>
      <c r="J14" s="2117" t="s">
        <v>6024</v>
      </c>
      <c r="K14" s="796"/>
      <c r="L14" s="806"/>
    </row>
    <row r="15" spans="1:13" s="804" customFormat="1" ht="14.25" customHeight="1">
      <c r="A15" s="809"/>
      <c r="B15" s="2112" t="s">
        <v>79</v>
      </c>
      <c r="C15" s="2113" t="s">
        <v>80</v>
      </c>
      <c r="D15" s="2121" t="s">
        <v>5957</v>
      </c>
      <c r="E15" s="2114" t="s">
        <v>679</v>
      </c>
      <c r="F15" s="2115" t="s">
        <v>5185</v>
      </c>
      <c r="G15" s="2115" t="s">
        <v>5667</v>
      </c>
      <c r="H15" s="2116" t="s">
        <v>10120</v>
      </c>
      <c r="I15" s="810"/>
      <c r="J15" s="2117" t="s">
        <v>6025</v>
      </c>
      <c r="K15" s="796"/>
      <c r="L15" s="806"/>
    </row>
    <row r="16" spans="1:13" s="804" customFormat="1" ht="14.25" customHeight="1">
      <c r="A16" s="809"/>
      <c r="B16" s="2112" t="s">
        <v>81</v>
      </c>
      <c r="C16" s="2113" t="s">
        <v>368</v>
      </c>
      <c r="D16" s="2113" t="s">
        <v>5958</v>
      </c>
      <c r="E16" s="2114" t="s">
        <v>320</v>
      </c>
      <c r="F16" s="2115" t="s">
        <v>5207</v>
      </c>
      <c r="G16" s="2115" t="s">
        <v>5765</v>
      </c>
      <c r="H16" s="2116"/>
      <c r="I16" s="810"/>
      <c r="J16" s="2117" t="s">
        <v>6026</v>
      </c>
      <c r="K16" s="796"/>
      <c r="L16" s="806"/>
    </row>
    <row r="17" spans="1:12" s="804" customFormat="1" ht="14.25" customHeight="1">
      <c r="A17" s="809"/>
      <c r="B17" s="2112" t="s">
        <v>318</v>
      </c>
      <c r="C17" s="2113" t="s">
        <v>372</v>
      </c>
      <c r="D17" s="2121" t="s">
        <v>10293</v>
      </c>
      <c r="E17" s="2114" t="s">
        <v>324</v>
      </c>
      <c r="F17" s="2115" t="s">
        <v>5233</v>
      </c>
      <c r="G17" s="2115" t="s">
        <v>5786</v>
      </c>
      <c r="H17" s="1763"/>
      <c r="I17" s="811"/>
      <c r="J17" s="2117" t="s">
        <v>6027</v>
      </c>
      <c r="K17" s="796"/>
      <c r="L17" s="806"/>
    </row>
    <row r="18" spans="1:12" s="804" customFormat="1" ht="14.25" customHeight="1">
      <c r="A18" s="809"/>
      <c r="B18" s="2112" t="s">
        <v>322</v>
      </c>
      <c r="C18" s="2121" t="s">
        <v>376</v>
      </c>
      <c r="D18" s="2121" t="s">
        <v>5960</v>
      </c>
      <c r="E18" s="2114" t="s">
        <v>328</v>
      </c>
      <c r="F18" s="2115" t="s">
        <v>5256</v>
      </c>
      <c r="G18" s="2122" t="s">
        <v>5816</v>
      </c>
      <c r="H18" s="1763"/>
      <c r="I18" s="811"/>
      <c r="J18" s="2117" t="s">
        <v>6028</v>
      </c>
      <c r="K18" s="796"/>
      <c r="L18" s="806"/>
    </row>
    <row r="19" spans="1:12" s="804" customFormat="1" ht="14.25" customHeight="1">
      <c r="A19" s="809"/>
      <c r="B19" s="2112" t="s">
        <v>326</v>
      </c>
      <c r="C19" s="2121" t="s">
        <v>83</v>
      </c>
      <c r="D19" s="2121" t="s">
        <v>5961</v>
      </c>
      <c r="E19" s="2114" t="s">
        <v>332</v>
      </c>
      <c r="F19" s="2115" t="s">
        <v>5277</v>
      </c>
      <c r="G19" s="2115" t="s">
        <v>5841</v>
      </c>
      <c r="H19" s="1763"/>
      <c r="I19" s="811"/>
      <c r="J19" s="2117" t="s">
        <v>6029</v>
      </c>
      <c r="K19" s="796"/>
      <c r="L19" s="805"/>
    </row>
    <row r="20" spans="1:12" s="804" customFormat="1" ht="14.25" customHeight="1">
      <c r="A20" s="809"/>
      <c r="B20" s="2112" t="s">
        <v>330</v>
      </c>
      <c r="C20" s="2113" t="s">
        <v>653</v>
      </c>
      <c r="D20" s="2123" t="s">
        <v>5962</v>
      </c>
      <c r="E20" s="2114" t="s">
        <v>6020</v>
      </c>
      <c r="F20" s="2115" t="s">
        <v>5296</v>
      </c>
      <c r="G20" s="2115" t="s">
        <v>5864</v>
      </c>
      <c r="H20" s="1763"/>
      <c r="I20" s="811"/>
      <c r="J20" s="2117" t="s">
        <v>6042</v>
      </c>
      <c r="K20" s="796"/>
      <c r="L20" s="805"/>
    </row>
    <row r="21" spans="1:12" s="804" customFormat="1" ht="14.25" customHeight="1">
      <c r="A21" s="809"/>
      <c r="B21" s="2112" t="s">
        <v>87</v>
      </c>
      <c r="C21" s="2113" t="s">
        <v>86</v>
      </c>
      <c r="D21" s="2123" t="s">
        <v>5963</v>
      </c>
      <c r="E21" s="2114"/>
      <c r="F21" s="2115" t="s">
        <v>6430</v>
      </c>
      <c r="G21" s="2115" t="s">
        <v>10288</v>
      </c>
      <c r="H21" s="1763"/>
      <c r="I21" s="811"/>
      <c r="J21" s="2117" t="s">
        <v>2431</v>
      </c>
      <c r="K21" s="796"/>
      <c r="L21" s="805"/>
    </row>
    <row r="22" spans="1:12" s="804" customFormat="1" ht="14.25" customHeight="1">
      <c r="A22" s="809"/>
      <c r="B22" s="2124" t="s">
        <v>90</v>
      </c>
      <c r="C22" s="2121" t="s">
        <v>88</v>
      </c>
      <c r="D22" s="2125" t="s">
        <v>6667</v>
      </c>
      <c r="E22" s="2114"/>
      <c r="F22" s="2115" t="s">
        <v>6431</v>
      </c>
      <c r="G22" s="2115" t="s">
        <v>7420</v>
      </c>
      <c r="H22" s="1763"/>
      <c r="I22" s="811"/>
      <c r="J22" s="2117" t="s">
        <v>6043</v>
      </c>
      <c r="K22" s="796"/>
      <c r="L22" s="805"/>
    </row>
    <row r="23" spans="1:12" ht="14.25" customHeight="1">
      <c r="A23" s="809"/>
      <c r="B23" s="2126" t="s">
        <v>92</v>
      </c>
      <c r="C23" s="2121" t="s">
        <v>469</v>
      </c>
      <c r="D23" s="2123" t="s">
        <v>5966</v>
      </c>
      <c r="E23" s="2114"/>
      <c r="F23" s="2115" t="s">
        <v>5357</v>
      </c>
      <c r="G23" s="2115" t="s">
        <v>10289</v>
      </c>
      <c r="H23" s="1763"/>
      <c r="I23" s="811"/>
      <c r="J23" s="2117" t="s">
        <v>6044</v>
      </c>
      <c r="L23" s="802"/>
    </row>
    <row r="24" spans="1:12">
      <c r="A24" s="809"/>
      <c r="B24" s="2124" t="s">
        <v>1288</v>
      </c>
      <c r="C24" s="2123" t="s">
        <v>1430</v>
      </c>
      <c r="D24" s="2123" t="s">
        <v>5967</v>
      </c>
      <c r="E24" s="2114"/>
      <c r="F24" s="2115" t="s">
        <v>5383</v>
      </c>
      <c r="G24" s="2115" t="s">
        <v>10290</v>
      </c>
      <c r="H24" s="1763"/>
      <c r="I24" s="811"/>
      <c r="J24" s="2115" t="s">
        <v>7696</v>
      </c>
    </row>
    <row r="25" spans="1:12">
      <c r="A25" s="809"/>
      <c r="B25" s="2126" t="s">
        <v>642</v>
      </c>
      <c r="C25" s="2113" t="s">
        <v>5948</v>
      </c>
      <c r="D25" s="2123" t="s">
        <v>5944</v>
      </c>
      <c r="E25" s="2114"/>
      <c r="F25" s="2115" t="s">
        <v>5402</v>
      </c>
      <c r="G25" s="2115" t="s">
        <v>10291</v>
      </c>
      <c r="H25" s="1763"/>
      <c r="I25" s="811"/>
      <c r="J25" s="2115" t="s">
        <v>7697</v>
      </c>
    </row>
    <row r="26" spans="1:12">
      <c r="A26" s="809"/>
      <c r="B26" s="2127" t="s">
        <v>93</v>
      </c>
      <c r="C26" s="2113" t="s">
        <v>5949</v>
      </c>
      <c r="D26" s="2123" t="s">
        <v>5964</v>
      </c>
      <c r="E26" s="2128"/>
      <c r="F26" s="2115" t="s">
        <v>5424</v>
      </c>
      <c r="G26" s="2115"/>
      <c r="H26" s="1764"/>
      <c r="I26" s="1667"/>
      <c r="J26" s="1668"/>
    </row>
    <row r="27" spans="1:12">
      <c r="A27" s="809"/>
      <c r="B27" s="2126" t="s">
        <v>7151</v>
      </c>
      <c r="C27" s="2113" t="s">
        <v>5925</v>
      </c>
      <c r="D27" s="2123" t="s">
        <v>5965</v>
      </c>
      <c r="E27" s="1761"/>
      <c r="F27" s="2115" t="s">
        <v>1347</v>
      </c>
      <c r="G27" s="2115"/>
      <c r="H27" s="1765"/>
      <c r="I27" s="1670"/>
      <c r="J27" s="1671"/>
    </row>
    <row r="28" spans="1:12">
      <c r="A28" s="809"/>
      <c r="B28" s="2127" t="s">
        <v>6019</v>
      </c>
      <c r="C28" s="2113" t="s">
        <v>5926</v>
      </c>
      <c r="D28" s="2123" t="s">
        <v>5969</v>
      </c>
      <c r="E28" s="1761"/>
      <c r="F28" s="2115" t="s">
        <v>5487</v>
      </c>
      <c r="G28" s="2115"/>
      <c r="H28" s="1765"/>
      <c r="I28" s="1670"/>
      <c r="J28" s="1671"/>
    </row>
    <row r="29" spans="1:12">
      <c r="A29" s="809"/>
      <c r="B29" s="2127" t="s">
        <v>6021</v>
      </c>
      <c r="C29" s="1670"/>
      <c r="D29" s="2125" t="s">
        <v>5968</v>
      </c>
      <c r="E29" s="1761"/>
      <c r="F29" s="2122" t="s">
        <v>5522</v>
      </c>
      <c r="G29" s="2115"/>
      <c r="H29" s="1765"/>
      <c r="I29" s="1670"/>
      <c r="J29" s="1671"/>
    </row>
    <row r="30" spans="1:12">
      <c r="A30" s="809"/>
      <c r="B30" s="1669"/>
      <c r="C30" s="1670"/>
      <c r="D30" s="2123" t="s">
        <v>6500</v>
      </c>
      <c r="E30" s="1761"/>
      <c r="F30" s="2115" t="s">
        <v>5579</v>
      </c>
      <c r="G30" s="2115"/>
      <c r="H30" s="1765"/>
      <c r="I30" s="1670"/>
      <c r="J30" s="1671"/>
    </row>
    <row r="31" spans="1:12">
      <c r="A31" s="809"/>
      <c r="B31" s="1669"/>
      <c r="C31" s="1670"/>
      <c r="D31" s="2123" t="s">
        <v>6501</v>
      </c>
      <c r="E31" s="1761"/>
      <c r="F31" s="2115" t="s">
        <v>5670</v>
      </c>
      <c r="G31" s="2115"/>
      <c r="H31" s="1765"/>
      <c r="I31" s="1670"/>
      <c r="J31" s="1671"/>
    </row>
    <row r="32" spans="1:12">
      <c r="A32" s="809"/>
      <c r="B32" s="1669"/>
      <c r="C32" s="1670"/>
      <c r="D32" s="2123"/>
      <c r="E32" s="1761"/>
      <c r="F32" s="2115" t="s">
        <v>5709</v>
      </c>
      <c r="G32" s="2129"/>
      <c r="H32" s="1765"/>
      <c r="I32" s="1670"/>
      <c r="J32" s="1671"/>
    </row>
    <row r="33" spans="1:10">
      <c r="A33" s="809"/>
      <c r="B33" s="2046"/>
      <c r="C33" s="2047"/>
      <c r="D33" s="2125"/>
      <c r="E33" s="2048"/>
      <c r="F33" s="2115" t="s">
        <v>5877</v>
      </c>
      <c r="G33" s="2130"/>
      <c r="H33" s="2049"/>
      <c r="I33" s="2047"/>
      <c r="J33" s="2050"/>
    </row>
    <row r="34" spans="1:10" ht="16.2" thickBot="1">
      <c r="A34" s="809"/>
      <c r="B34" s="1672"/>
      <c r="C34" s="1673"/>
      <c r="D34" s="2131"/>
      <c r="E34" s="1762"/>
      <c r="F34" s="2132" t="s">
        <v>2409</v>
      </c>
      <c r="G34" s="2133"/>
      <c r="H34" s="1766"/>
      <c r="I34" s="1673"/>
      <c r="J34" s="1674"/>
    </row>
    <row r="35" spans="1:10">
      <c r="F35" s="1767"/>
      <c r="J35" s="796"/>
    </row>
    <row r="36" spans="1:10">
      <c r="G36" s="796"/>
      <c r="H36" s="796"/>
      <c r="I36" s="796"/>
      <c r="J36" s="796"/>
    </row>
    <row r="37" spans="1:10">
      <c r="G37" s="796"/>
      <c r="H37" s="796"/>
      <c r="I37" s="796"/>
      <c r="J37" s="796"/>
    </row>
    <row r="38" spans="1:10">
      <c r="G38" s="796"/>
      <c r="H38" s="796"/>
      <c r="I38" s="796"/>
      <c r="J38" s="796"/>
    </row>
    <row r="39" spans="1:10">
      <c r="G39" s="796"/>
      <c r="H39" s="796"/>
      <c r="I39" s="796"/>
      <c r="J39" s="796"/>
    </row>
    <row r="40" spans="1:10">
      <c r="G40" s="796"/>
      <c r="H40" s="796"/>
      <c r="I40" s="796"/>
      <c r="J40" s="796"/>
    </row>
    <row r="41" spans="1:10">
      <c r="G41" s="796"/>
      <c r="H41" s="796"/>
      <c r="I41" s="796"/>
      <c r="J41" s="796"/>
    </row>
    <row r="42" spans="1:10">
      <c r="G42" s="796"/>
      <c r="H42" s="796"/>
      <c r="I42" s="796"/>
      <c r="J42" s="796"/>
    </row>
    <row r="43" spans="1:10">
      <c r="G43" s="796"/>
      <c r="H43" s="796"/>
      <c r="I43" s="796"/>
      <c r="J43" s="796"/>
    </row>
    <row r="44" spans="1:10">
      <c r="G44" s="796"/>
      <c r="H44" s="796"/>
      <c r="I44" s="796"/>
      <c r="J44" s="796"/>
    </row>
    <row r="45" spans="1:10">
      <c r="G45" s="796"/>
      <c r="H45" s="796"/>
      <c r="I45" s="796"/>
      <c r="J45" s="796"/>
    </row>
    <row r="46" spans="1:10">
      <c r="G46" s="796"/>
      <c r="H46" s="796"/>
      <c r="I46" s="796"/>
      <c r="J46" s="796"/>
    </row>
    <row r="47" spans="1:10">
      <c r="G47" s="796"/>
      <c r="H47" s="796"/>
      <c r="I47" s="796"/>
      <c r="J47" s="796"/>
    </row>
    <row r="48" spans="1:10">
      <c r="G48" s="796"/>
      <c r="H48" s="796"/>
      <c r="I48" s="796"/>
      <c r="J48" s="796"/>
    </row>
    <row r="49" spans="7:10">
      <c r="G49" s="796"/>
      <c r="H49" s="796"/>
      <c r="I49" s="796"/>
      <c r="J49" s="796"/>
    </row>
    <row r="50" spans="7:10">
      <c r="G50" s="796"/>
      <c r="H50" s="796"/>
      <c r="I50" s="796"/>
      <c r="J50" s="796"/>
    </row>
    <row r="51" spans="7:10">
      <c r="G51" s="796"/>
      <c r="H51" s="796"/>
      <c r="I51" s="796"/>
      <c r="J51" s="796"/>
    </row>
    <row r="52" spans="7:10">
      <c r="G52" s="796"/>
      <c r="H52" s="796"/>
      <c r="I52" s="796"/>
      <c r="J52" s="796"/>
    </row>
    <row r="53" spans="7:10">
      <c r="G53" s="796"/>
      <c r="H53" s="796"/>
      <c r="I53" s="796"/>
      <c r="J53" s="796"/>
    </row>
    <row r="54" spans="7:10">
      <c r="G54" s="796"/>
      <c r="H54" s="796"/>
      <c r="I54" s="796"/>
      <c r="J54" s="796"/>
    </row>
    <row r="55" spans="7:10">
      <c r="G55" s="796"/>
      <c r="H55" s="796"/>
      <c r="I55" s="796"/>
      <c r="J55" s="796"/>
    </row>
    <row r="56" spans="7:10">
      <c r="G56" s="796"/>
      <c r="H56" s="796"/>
      <c r="I56" s="796"/>
      <c r="J56" s="796"/>
    </row>
    <row r="57" spans="7:10">
      <c r="G57" s="796"/>
      <c r="H57" s="796"/>
      <c r="I57" s="796"/>
      <c r="J57" s="796"/>
    </row>
    <row r="58" spans="7:10">
      <c r="G58" s="796"/>
      <c r="H58" s="796"/>
      <c r="I58" s="796"/>
      <c r="J58" s="796"/>
    </row>
    <row r="59" spans="7:10">
      <c r="G59" s="796"/>
      <c r="H59" s="796"/>
      <c r="I59" s="796"/>
      <c r="J59" s="796"/>
    </row>
    <row r="60" spans="7:10">
      <c r="G60" s="796"/>
      <c r="H60" s="796"/>
      <c r="I60" s="796"/>
      <c r="J60" s="796"/>
    </row>
    <row r="61" spans="7:10">
      <c r="G61" s="796"/>
      <c r="H61" s="796"/>
      <c r="I61" s="796"/>
      <c r="J61" s="796"/>
    </row>
    <row r="62" spans="7:10">
      <c r="G62" s="796"/>
      <c r="H62" s="796"/>
      <c r="I62" s="796"/>
      <c r="J62" s="796"/>
    </row>
    <row r="63" spans="7:10">
      <c r="G63" s="796"/>
      <c r="H63" s="796"/>
      <c r="I63" s="796"/>
      <c r="J63" s="796"/>
    </row>
    <row r="64" spans="7:10">
      <c r="G64" s="796"/>
      <c r="H64" s="796"/>
      <c r="I64" s="796"/>
      <c r="J64" s="796"/>
    </row>
    <row r="65" spans="7:10">
      <c r="G65" s="796"/>
      <c r="H65" s="796"/>
      <c r="I65" s="796"/>
      <c r="J65" s="796"/>
    </row>
    <row r="66" spans="7:10">
      <c r="G66" s="796"/>
      <c r="H66" s="796"/>
      <c r="I66" s="796"/>
      <c r="J66" s="796"/>
    </row>
    <row r="67" spans="7:10">
      <c r="G67" s="796"/>
      <c r="H67" s="796"/>
      <c r="I67" s="796"/>
      <c r="J67" s="796"/>
    </row>
  </sheetData>
  <sheetProtection selectLockedCells="1" selectUnlockedCells="1"/>
  <mergeCells count="7">
    <mergeCell ref="C4:I4"/>
    <mergeCell ref="B5:B6"/>
    <mergeCell ref="J5:J6"/>
    <mergeCell ref="C6:D6"/>
    <mergeCell ref="F5:G6"/>
    <mergeCell ref="H5:I5"/>
    <mergeCell ref="C5:E5"/>
  </mergeCells>
  <phoneticPr fontId="51" type="noConversion"/>
  <hyperlinks>
    <hyperlink ref="B7" location="档案封面!A1" display="档案封面"/>
    <hyperlink ref="C7" location="工资福利!A1" display="工资三项经费审核表"/>
    <hyperlink ref="E7" location="主营收支!A1" display="主营业务收支审核表"/>
    <hyperlink ref="H7" location="货币资金!A1" display="货币资金审核表"/>
    <hyperlink ref="I7" location="应付!A1" display="应付账款审核表"/>
    <hyperlink ref="J7" location="报告封面!a1" display="报告封面"/>
    <hyperlink ref="B8" location="档案索引!A1" display="档案索引"/>
    <hyperlink ref="C8" location="招待!A1" display="业务招待费审核表"/>
    <hyperlink ref="E8" location="收入与申报核对表!A1" display="收入与申报核对表"/>
    <hyperlink ref="H8" location="银行调节!A1" display="银行存款余额调节表"/>
    <hyperlink ref="I8" location="预收!A1" display="预收账款审核表"/>
    <hyperlink ref="B9" location="基本情况!A1" display="基本情况表"/>
    <hyperlink ref="C9" location="固资折旧!A1" display="固定资产累计折旧审核表"/>
    <hyperlink ref="E9" location="毛利分析!A1" display="主营业务毛利分析表"/>
    <hyperlink ref="H9" location="应收!A1" display="应收账款审核表"/>
    <hyperlink ref="I9" location="其他应付!A1" display="其他应付款审核表"/>
    <hyperlink ref="J9" location="企业情况表!a1" display="企业情况表"/>
    <hyperlink ref="B10" location="待办事项!A1" display="待办事项"/>
    <hyperlink ref="C10" location="折旧测算!A1" display="折旧测算表"/>
    <hyperlink ref="E10" location="制造费用、生产成本!A1" display="制造费用、生产成本审核表"/>
    <hyperlink ref="H10" location="预付!A1" display="预付账款审核表"/>
    <hyperlink ref="I10" location="实收公积!A1" display="实收资本资本公积盈余公积审核表"/>
    <hyperlink ref="J10" location="事项说明!a1" display="事项说明"/>
    <hyperlink ref="B11" location="签发单!A1" display="签发单"/>
    <hyperlink ref="C11" location="无形长摊!A1" display="无形资产、长期待摊费用审核表"/>
    <hyperlink ref="E11" location="成本倒轧!A1" display="成本倒轧表"/>
    <hyperlink ref="H11" location="其他应收!A1" display="其他应收款审核表"/>
    <hyperlink ref="I11" location="未分利润!A1" display="未分配利润审核表"/>
    <hyperlink ref="B12" location="三级复核!A1" display="三级复核"/>
    <hyperlink ref="C12" location="社保!A1" display="社保住房公积金审核表"/>
    <hyperlink ref="E12" location="存货计价测试!A1" display="存货计价测试表"/>
    <hyperlink ref="H12" location="存货!A1" display="存货审核表"/>
    <hyperlink ref="B13" location="业务约定!A1" display="业务约定书"/>
    <hyperlink ref="C13" location="社保明细工资人数!A1" display="社保明细工资人数审核表"/>
    <hyperlink ref="E13" location="主营税金!A1" display="主营税金审核表"/>
    <hyperlink ref="H13" location="待摊预提!A1" display="待摊费用预提费用审核表"/>
    <hyperlink ref="B14" location="当局声明!A1" display="管理当局声明"/>
    <hyperlink ref="C14" location="广宣!A1" display="广告费业务宣传费审核表"/>
    <hyperlink ref="E14" location="税费缴纳测算!A1" display="税费缴纳测算审核表"/>
    <hyperlink ref="H14" location="在建工程审核表!A1" display="在建工程审核表"/>
    <hyperlink ref="B15" location="计划!A1" display="整体工作计划"/>
    <hyperlink ref="C15" location="捐赠!A1" display="捐赠赞助支出审核表"/>
    <hyperlink ref="E15" location="其他业务!A1" display="其他业务利润审核表"/>
    <hyperlink ref="B16" location="内控!A1" display="内控调查问卷"/>
    <hyperlink ref="C16" location="利息!A1" display="利息支出审核表"/>
    <hyperlink ref="E16" location="营业费用!A1" display="营业费用审核表"/>
    <hyperlink ref="B17" location="审核问卷!A1" display="审核调查问卷"/>
    <hyperlink ref="C17" location="租金!A1" display="租金支出审核表"/>
    <hyperlink ref="E17" location="管理费用!A1" display="管理费用审核表"/>
    <hyperlink ref="B18" location="重大问题!A1" display="重大问题请示报告"/>
    <hyperlink ref="C18" location="补亏!A1" display="弥补亏损审核表"/>
    <hyperlink ref="E18" location="财务费用!A1" display="财务费用审核表"/>
    <hyperlink ref="B19" location="交换意见!A1" display="与客户交换意见记录"/>
    <hyperlink ref="E19" location="营外收支!A1" display="营业外收支审核表"/>
    <hyperlink ref="B20" location="资料清单!A1" display="客户提供资料一览表"/>
    <hyperlink ref="B21" location="审核标识!A1" display="审核标识说明书"/>
    <hyperlink ref="B22" location="现金证明!A1" display="现金证明书"/>
    <hyperlink ref="B23" location="盘点表!A1" display="资产盘点表"/>
    <hyperlink ref="B24" location="资产负债!A1" display="资产负债表"/>
    <hyperlink ref="B25" location="利润!A1" display="利润及利润分配表"/>
    <hyperlink ref="B26" location="使用说明!A1" display="使用说明"/>
    <hyperlink ref="C19" location="其他事项!A1" display="其他事项"/>
    <hyperlink ref="C20" location="纳税申报数据!A1" display="纳税申报数据"/>
    <hyperlink ref="C21" location="通用记录!A1" display="通用工作记录"/>
    <hyperlink ref="C22" location="凭证检查!A1" display="凭证检查底稿"/>
    <hyperlink ref="C23" location="无限期结转扣除项目审核表!A1" display="无限期结转扣除项目审核表"/>
    <hyperlink ref="C24" location="跨年度确认所得情况表!A1" display="跨年度确认所得情况表"/>
    <hyperlink ref="J8" location="报告正文!a1" display="报告正文"/>
    <hyperlink ref="G7" location="A101020金融企业收入明细表!A1" display="    金融企业收入明细表"/>
    <hyperlink ref="G8" location="A102020金融企业支出明细表!A1" display="    金融企业支出明细表"/>
    <hyperlink ref="G9" location="A103000事业单位、民间非营利组织收入、支出明细表!A1" display="    事业单位、民间非营利组织收入、支出明细表"/>
    <hyperlink ref="G10" location="A105120特殊行业准备金纳税调整明细表!A1" display="        特殊行业准备金纳税调整明细表"/>
    <hyperlink ref="G12" location="A107013金融保险等机构取得涉农利息保费收入优惠明细表!A1" display="        金融、保险等机构取得的涉农利息、保费收入优惠明细表"/>
    <hyperlink ref="G11" location="A107012综合利用资源生产产品取得的收入优惠明细表!A1" display="        综合利用资源生产产品取得的收入优惠明细表"/>
    <hyperlink ref="G15" location="A107040减免所得税优惠明细表!A1" display="    减免所得税优惠明细表"/>
    <hyperlink ref="G14" location="A107030抵扣应纳税所得额明细表!A1" display="    抵扣应纳税所得额明细表"/>
    <hyperlink ref="G13" location="A107020所得减免优惠明细表!A1" display="    所得减免优惠明细表"/>
    <hyperlink ref="G20" location="A108030跨年度结转抵免境外所得税明细表!A1" display="        跨年度结转抵免境外所得税明细表"/>
    <hyperlink ref="G19" location="A108020境外分支机构弥补亏损明细表!A1" display="        境外分支机构弥补亏损明细表"/>
    <hyperlink ref="G17" location="A108000境外所得税收抵免明细表!A1" display="    境外所得税收抵免明细表"/>
    <hyperlink ref="G18" location="A108010境外所得纳税调整后所得明细表!A1" display="        境外所得纳税调整后所得明细表"/>
    <hyperlink ref="G16" location="A107050税额抵免优惠明细表!A1" display="    税额抵免优惠明细表"/>
    <hyperlink ref="C25" location="视同销售和房地产开发企业特定业务审核表!A1" display="视同销售和房开企业特定业务"/>
    <hyperlink ref="C26" location="未按权责发生制确认收入审核表!A1" display="未按权责发生制确认收入审核表"/>
    <hyperlink ref="C27" location="投资收益审核表!A1" display="投资收益审核表"/>
    <hyperlink ref="C28" location="专项用途财政性资金审核表!A1" display="专项用途财政性资金审核表"/>
    <hyperlink ref="D7" location="固定资产加速折旧审核表!A1" display="固定资产加速折旧审核表"/>
    <hyperlink ref="D8" location="资产损失税前扣除审核表!A1" display="资产损失税前扣除审核表"/>
    <hyperlink ref="D9" location="'资产损失（专项申报）税前扣除审核表'!A1" display="资产损失（专项申报）审核表"/>
    <hyperlink ref="D10" location="企业重组审核表!A1" display="企业重组审核表"/>
    <hyperlink ref="D11" location="政策性搬迁审核表!A1" display="政策性搬迁审核表"/>
    <hyperlink ref="D12" location="特殊行业准备金审核表!A1" display="特殊行业准备金审核表"/>
    <hyperlink ref="D13" location="免税、减计收入及加计扣除优惠审核表!A1" display="免税、减计收入及加计扣除优惠"/>
    <hyperlink ref="D14" location="股息红利优惠审核表!A1" display="股息红利优惠审核表"/>
    <hyperlink ref="D15" location="综合利用资源生产产品取得的收入优惠审核表!A1" display="综合利用资源生产产品取得收入"/>
    <hyperlink ref="D16" location="金融保险等机构取得涉农利息保费收入优惠审核表!A1" display="金融保险机构涉农利息保费收入"/>
    <hyperlink ref="D17" location="研发加计扣除归集审核表!A1" tooltip="#研发加计扣除归集审核表!A1" display="研发加计扣除归集审核表"/>
    <hyperlink ref="D18" location="所得减免优惠审核表!A1" display="所得减免优惠审核表"/>
    <hyperlink ref="D19" location="抵扣应纳税所得额审核表!A1" display="抵扣应纳税所得额审核表"/>
    <hyperlink ref="D20" location="减免所得税优惠审核表!A1" display="减免所得税优惠审核表"/>
    <hyperlink ref="D21" location="高新技术企业优惠情况审核表!A1" display="高新技术企业优惠情况审核表"/>
    <hyperlink ref="D22" location="软件、集成电路企业优惠情况审核表!A1" display="软件、集成电路企业优惠情况审核"/>
    <hyperlink ref="D23" location="税额抵免优惠审核表!A1" display="税额抵免优惠审核表"/>
    <hyperlink ref="D24" location="境外所得税收抵免审核表!A1" display="境外所得税收抵免审核表"/>
    <hyperlink ref="D25" location="境外所得纳税调整后所得审核表!A1" display="境外所得纳税调整后所得审核表"/>
    <hyperlink ref="D26" location="境外分支机构弥补亏损审核表!A1" display="境外分支机构弥补亏损审核表"/>
    <hyperlink ref="D27" location="跨年度结转抵免境外所得税审核表!A1" display="跨年度结转抵免境外所得税审核表"/>
    <hyperlink ref="D28" location="跨地区经营汇总纳税企业年度分摊企业所得税审核表!A1" display="汇总纳税分摊企业所得税审核表"/>
    <hyperlink ref="D29" location="企业所得税汇总纳税分支机构所得税分配表!A1" display="汇总纳税分支机构所得税分配表"/>
    <hyperlink ref="D31" location="公允价值变动审定表!A1" display="公允价值变动审定表"/>
    <hyperlink ref="D30" location="减值准备审核表!A1" display="减值准备审核表"/>
    <hyperlink ref="F7" location="'（三）企业所得税年度纳税申报表填报表单'!A1" display="'（三）企业所得税年度纳税申报表填报表单'!A1"/>
    <hyperlink ref="F32" location="A107042软件、集成电路企业优惠情况及明细表!A1" display="        软件、集成电路企业优惠情况及明细表"/>
    <hyperlink ref="F31" location="A107041高新技术企业优惠情况及明细表!A1" display="        高新技术企业优惠情况及明细表"/>
    <hyperlink ref="F30" location="A107014研发费用加计扣除优惠明细表!A1" display="        研发费用加计扣除优惠明细表"/>
    <hyperlink ref="F27" location="A106000企业所得税弥补亏损明细表!A1" display="    企业所得税弥补亏损明细表"/>
    <hyperlink ref="F28" location="A107010免税、减计收入及加计扣除优惠明细表!A1" display="    免税、减计收入及加计扣除优惠明细表"/>
    <hyperlink ref="F29" location="A107011股息红利优惠明细表!A1" display="        符合条件的居民企业之间的股息、红利等权益性投资收益优惠明细表"/>
    <hyperlink ref="F12" location="A104000期间费用明细表!A1" display="    期间费用明细表"/>
    <hyperlink ref="F13" location="A105000纳税调整项目明细表!A1" display="    纳税调整项目明细表"/>
    <hyperlink ref="F14" location="A105010视同销售和房地产开发企业特定业务纳税调整明细表!A1" display="        视同销售和房地产开发企业特定业务纳税调整明细表"/>
    <hyperlink ref="F15" location="A105020未按权责发生制确认收入纳税调整明细表!A1" display="        未按权责发生制确认收入纳税调整明细表"/>
    <hyperlink ref="F16" location="A105030投资收益纳税调整明细表!A1" display="        投资收益纳税调整明细表"/>
    <hyperlink ref="F17" location="A105040专项用途财政性资金纳税调整表!A1" display="        专项用途财政性资金纳税调整明细表"/>
    <hyperlink ref="F18" location="A105050职工薪酬纳税调整明细表!A1" display="        职工薪酬纳税调整明细表"/>
    <hyperlink ref="F19" location="A105060广告费和业务宣传费跨年度纳税调整明细表!A1" display="        广告费和业务宣传费跨年度纳税调整明细表"/>
    <hyperlink ref="F20" location="A105070捐赠支出纳税调整明细表!A1" display="        捐赠支出纳税调整明细表"/>
    <hyperlink ref="F21" location="A105080资产折旧、摊销情况及纳税调整明细表!A1" display="        资产折旧、摊销情况及纳税调整明细表"/>
    <hyperlink ref="F22" location="A105081固定资产加速折旧、扣除明细表!A1" display="            固定资产加速折旧、扣除明细表"/>
    <hyperlink ref="F23" location="A105090资产损失税前扣除及纳税调整明细表!A1" display="        资产损失税前扣除及纳税调整明细表"/>
    <hyperlink ref="F24" location="'A105091资产损失（专项申报）税前扣除及纳税调整明细表'!A1" display="            资产损失（专项申报）税前扣除及纳税调整明细表"/>
    <hyperlink ref="F26" location="A105110政策性搬迁纳税调整明细表!A1" display="        政策性搬迁纳税调整明细表"/>
    <hyperlink ref="F25" location="A105100企业重组纳税调整明细表!A1" display="        企业重组纳税调整明细表"/>
    <hyperlink ref="F11" location="A102010一般企业成本支出明细表!A1" display="    一般企业成本支出明细表"/>
    <hyperlink ref="F10" location="A101010一般企业收入明细表!A1" display="    一般企业收入明细表"/>
    <hyperlink ref="F9" location="'A100000中华人民共和国企业所得税年度纳税申报表（A类）'!A1" display="中华人民共和国企业所得税年度纳税申报表（A类）"/>
    <hyperlink ref="F34" location="A109010企业所得税汇总纳税分支机构所得税分配表!A1" display="        企业所得税汇总纳税分支机构所得税分配表"/>
    <hyperlink ref="F33" location="A109000跨地区经营汇总纳税企业年度分摊企业所得税明细表!A1" display="    跨地区经营汇总纳税企业年度分摊企业所得税明细表"/>
    <hyperlink ref="F8" location="A000000企业基础信息表!A1" display="企业基础信息表"/>
    <hyperlink ref="B27" location="地税、基本情况!A1" display="地税、基本情况"/>
    <hyperlink ref="B28" location="余额表!A1" display="余额表"/>
    <hyperlink ref="B29" location="检查表!A1" display="检查表"/>
    <hyperlink ref="E20" location="税金申报明细!A1" display="税金申报明细"/>
    <hyperlink ref="J11" location="企业各税审核汇总表!A1" display="企业各税审核汇总表"/>
    <hyperlink ref="J12" location="'基本情况（封面）'!A1" display="'基本情况（封面）'"/>
    <hyperlink ref="J13" location="'1.保留意见'!A1" display="1.保留意见"/>
    <hyperlink ref="J14" location="'2.否定意见'!A1" display="2.否定意见"/>
    <hyperlink ref="J15" location="'3.无保留意见'!A1" display="3.无保留意见"/>
    <hyperlink ref="J16" location="'4.无法表明意见'!A1" display="4.无法表明意见"/>
    <hyperlink ref="J17" location="'(二)企业基本情况和审核事项说明'!A1" display="(二)企业基本情况和审核事项说明"/>
    <hyperlink ref="J18" location="'(二)附表-科目说明'!A1" display="(二)附表-科目说明"/>
    <hyperlink ref="J19" location="'(二)附表-纳税调整额的审核'!A1" display="(二)附表-纳税调整额的审核"/>
    <hyperlink ref="J20" location="'(三)子表12.企业所得税汇总纳税分支机构所得税分配表'!A1" display="(三)子表12.企业所得税汇总纳税分支机构所得税分配表"/>
    <hyperlink ref="J21" location="'分支机构企业所得税申报表（A类）'!A1" display="分支机构企业所得税申报表（A类）"/>
    <hyperlink ref="J22" location="'(四)无限期结转扣除项目情况表'!A1" display="(四)无限期结转扣除项目情况表"/>
    <hyperlink ref="J23" location="'(五)跨年度确认所得情况表'!A1" display="(五)跨年度确认所得情况表"/>
    <hyperlink ref="J24" location="'（四）企业各税（费）审核汇总表'!A1" display="（六）企业各税（费）审核汇总表"/>
    <hyperlink ref="J25" location="'（五）社会保险费明细表'!A1" display="（七）社会保险费明细表"/>
    <hyperlink ref="H15" location="对外投资!A1" display="对外投资!A1"/>
    <hyperlink ref="I12" location="借款!A1" display="借款!A1"/>
    <hyperlink ref="G25" location="研发项目可加计扣除研究开发费用情况归集表!A1" tooltip="#研发项目可加计扣除研究开发费用情况归集表!A1" display="研发项目可加计扣除研究开发费用情况归集表"/>
  </hyperlinks>
  <pageMargins left="0.78740157480314998" right="0.35433070866141703" top="0.511811023622047" bottom="0.11811023622047198" header="0.511811023622047" footer="0.511811023622047"/>
  <pageSetup paperSize="9" firstPageNumber="0" orientation="landscape" blackAndWhite="1" r:id="rId1"/>
  <headerFooter alignWithMargins="0"/>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dimension ref="A1:H183"/>
  <sheetViews>
    <sheetView workbookViewId="0">
      <selection activeCell="C8" sqref="C8"/>
    </sheetView>
  </sheetViews>
  <sheetFormatPr defaultRowHeight="15.6"/>
  <cols>
    <col min="1" max="1" width="12.59765625" customWidth="1"/>
    <col min="3" max="3" width="19.8984375" customWidth="1"/>
    <col min="4" max="4" width="63" customWidth="1"/>
  </cols>
  <sheetData>
    <row r="1" spans="1:8">
      <c r="A1" t="s">
        <v>5972</v>
      </c>
      <c r="B1" s="1675"/>
      <c r="C1" s="1681"/>
      <c r="D1" s="1681" t="s">
        <v>2474</v>
      </c>
    </row>
    <row r="2" spans="1:8">
      <c r="A2" t="s">
        <v>57</v>
      </c>
      <c r="C2" s="1680" t="s">
        <v>6110</v>
      </c>
      <c r="D2" s="1518" t="s">
        <v>2476</v>
      </c>
      <c r="E2" t="e">
        <f ca="1">VLOOKUP(TRIM(C2),H:H,1,0)</f>
        <v>#N/A</v>
      </c>
      <c r="G2" t="s">
        <v>5989</v>
      </c>
      <c r="H2" t="str">
        <f ca="1">TRIM(INDIRECT("'"&amp;G2&amp;"'!A1"))</f>
        <v>视同销售和房地产开发企业特定业务审核表</v>
      </c>
    </row>
    <row r="3" spans="1:8">
      <c r="A3" t="s">
        <v>446</v>
      </c>
      <c r="C3" s="1680" t="s">
        <v>6109</v>
      </c>
      <c r="D3" s="1518" t="s">
        <v>2478</v>
      </c>
      <c r="E3" t="e">
        <f t="shared" ref="E3:E42" ca="1" si="0">VLOOKUP(TRIM(C3),H:H,1,0)</f>
        <v>#N/A</v>
      </c>
      <c r="G3" t="s">
        <v>5990</v>
      </c>
      <c r="H3" t="str">
        <f t="shared" ref="H3:H28" ca="1" si="1">TRIM(INDIRECT("'"&amp;G3&amp;"'!A1"))</f>
        <v/>
      </c>
    </row>
    <row r="4" spans="1:8">
      <c r="A4" t="s">
        <v>60</v>
      </c>
      <c r="C4" s="1680" t="s">
        <v>6108</v>
      </c>
      <c r="D4" s="1518" t="s">
        <v>2479</v>
      </c>
      <c r="E4" t="e">
        <f t="shared" ca="1" si="0"/>
        <v>#N/A</v>
      </c>
      <c r="G4" t="s">
        <v>5991</v>
      </c>
      <c r="H4" t="str">
        <f t="shared" ca="1" si="1"/>
        <v/>
      </c>
    </row>
    <row r="5" spans="1:8">
      <c r="A5" t="s">
        <v>67</v>
      </c>
      <c r="C5" s="1680" t="s">
        <v>2480</v>
      </c>
      <c r="D5" s="1518" t="s">
        <v>2481</v>
      </c>
      <c r="E5" t="e">
        <f t="shared" ca="1" si="0"/>
        <v>#N/A</v>
      </c>
      <c r="G5" t="s">
        <v>5992</v>
      </c>
      <c r="H5" t="str">
        <f t="shared" ca="1" si="1"/>
        <v/>
      </c>
    </row>
    <row r="6" spans="1:8">
      <c r="A6" t="s">
        <v>69</v>
      </c>
      <c r="C6" s="1680" t="s">
        <v>2482</v>
      </c>
      <c r="D6" s="1518" t="s">
        <v>2483</v>
      </c>
      <c r="E6" t="e">
        <f t="shared" ca="1" si="0"/>
        <v>#N/A</v>
      </c>
      <c r="G6" t="s">
        <v>5993</v>
      </c>
      <c r="H6" t="str">
        <f t="shared" ca="1" si="1"/>
        <v/>
      </c>
    </row>
    <row r="7" spans="1:8">
      <c r="A7" t="s">
        <v>5973</v>
      </c>
      <c r="C7" s="1680" t="s">
        <v>2484</v>
      </c>
      <c r="D7" s="1518" t="s">
        <v>2485</v>
      </c>
      <c r="E7" t="e">
        <f t="shared" ca="1" si="0"/>
        <v>#N/A</v>
      </c>
      <c r="G7" t="s">
        <v>5994</v>
      </c>
      <c r="H7" t="str">
        <f t="shared" ca="1" si="1"/>
        <v/>
      </c>
    </row>
    <row r="8" spans="1:8">
      <c r="A8" t="s">
        <v>5974</v>
      </c>
      <c r="C8" s="1680" t="s">
        <v>2486</v>
      </c>
      <c r="D8" s="1518" t="s">
        <v>2487</v>
      </c>
      <c r="E8" t="e">
        <f t="shared" ca="1" si="0"/>
        <v>#N/A</v>
      </c>
      <c r="G8" t="s">
        <v>5995</v>
      </c>
      <c r="H8" t="str">
        <f t="shared" ca="1" si="1"/>
        <v/>
      </c>
    </row>
    <row r="9" spans="1:8">
      <c r="A9" t="s">
        <v>5975</v>
      </c>
      <c r="C9" s="1680" t="s">
        <v>2488</v>
      </c>
      <c r="D9" s="1518" t="s">
        <v>2489</v>
      </c>
      <c r="E9" t="e">
        <f t="shared" ca="1" si="0"/>
        <v>#N/A</v>
      </c>
      <c r="G9" t="s">
        <v>5996</v>
      </c>
      <c r="H9" t="str">
        <f t="shared" ca="1" si="1"/>
        <v/>
      </c>
    </row>
    <row r="10" spans="1:8">
      <c r="A10" t="s">
        <v>5976</v>
      </c>
      <c r="C10" s="1680" t="s">
        <v>2490</v>
      </c>
      <c r="D10" s="1518" t="s">
        <v>2491</v>
      </c>
      <c r="E10" t="e">
        <f t="shared" ca="1" si="0"/>
        <v>#N/A</v>
      </c>
      <c r="G10" t="s">
        <v>5997</v>
      </c>
      <c r="H10" t="str">
        <f t="shared" ca="1" si="1"/>
        <v/>
      </c>
    </row>
    <row r="11" spans="1:8">
      <c r="A11" t="s">
        <v>5977</v>
      </c>
      <c r="C11" s="1680" t="s">
        <v>2492</v>
      </c>
      <c r="D11" s="1518" t="s">
        <v>2493</v>
      </c>
      <c r="E11" t="e">
        <f t="shared" ca="1" si="0"/>
        <v>#N/A</v>
      </c>
      <c r="G11" t="s">
        <v>5998</v>
      </c>
      <c r="H11" t="str">
        <f t="shared" ca="1" si="1"/>
        <v/>
      </c>
    </row>
    <row r="12" spans="1:8">
      <c r="A12" t="s">
        <v>5978</v>
      </c>
      <c r="C12" s="1680" t="s">
        <v>2494</v>
      </c>
      <c r="D12" s="1518" t="s">
        <v>2495</v>
      </c>
      <c r="E12" t="e">
        <f t="shared" ca="1" si="0"/>
        <v>#N/A</v>
      </c>
      <c r="G12" t="s">
        <v>5999</v>
      </c>
      <c r="H12" t="str">
        <f t="shared" ca="1" si="1"/>
        <v/>
      </c>
    </row>
    <row r="13" spans="1:8">
      <c r="A13" t="s">
        <v>5979</v>
      </c>
      <c r="C13" s="1680" t="s">
        <v>2496</v>
      </c>
      <c r="D13" s="1518" t="s">
        <v>2497</v>
      </c>
      <c r="E13" t="e">
        <f t="shared" ca="1" si="0"/>
        <v>#N/A</v>
      </c>
      <c r="G13" t="s">
        <v>6000</v>
      </c>
      <c r="H13" t="str">
        <f t="shared" ca="1" si="1"/>
        <v>索引号：2B-2</v>
      </c>
    </row>
    <row r="14" spans="1:8">
      <c r="A14" t="s">
        <v>5980</v>
      </c>
      <c r="C14" s="1680" t="s">
        <v>2498</v>
      </c>
      <c r="D14" s="1518" t="s">
        <v>2499</v>
      </c>
      <c r="E14" t="e">
        <f t="shared" ca="1" si="0"/>
        <v>#N/A</v>
      </c>
      <c r="G14" t="s">
        <v>6001</v>
      </c>
      <c r="H14" t="str">
        <f t="shared" ca="1" si="1"/>
        <v/>
      </c>
    </row>
    <row r="15" spans="1:8">
      <c r="A15" t="s">
        <v>5981</v>
      </c>
      <c r="C15" s="1680" t="s">
        <v>2500</v>
      </c>
      <c r="D15" s="1518" t="s">
        <v>2501</v>
      </c>
      <c r="E15" s="1695" t="e">
        <f t="shared" ca="1" si="0"/>
        <v>#N/A</v>
      </c>
      <c r="G15" t="s">
        <v>6002</v>
      </c>
      <c r="H15" t="str">
        <f t="shared" ca="1" si="1"/>
        <v/>
      </c>
    </row>
    <row r="16" spans="1:8">
      <c r="A16" t="s">
        <v>5982</v>
      </c>
      <c r="C16" s="1680" t="s">
        <v>2502</v>
      </c>
      <c r="D16" s="1518" t="s">
        <v>2503</v>
      </c>
      <c r="E16" s="1684" t="e">
        <f t="shared" ca="1" si="0"/>
        <v>#N/A</v>
      </c>
      <c r="G16" t="s">
        <v>6003</v>
      </c>
      <c r="H16" t="str">
        <f t="shared" ca="1" si="1"/>
        <v/>
      </c>
    </row>
    <row r="17" spans="1:8">
      <c r="A17" t="s">
        <v>5983</v>
      </c>
      <c r="C17" s="1680" t="s">
        <v>2504</v>
      </c>
      <c r="D17" s="1518" t="s">
        <v>2505</v>
      </c>
      <c r="E17" s="1684" t="e">
        <f t="shared" ca="1" si="0"/>
        <v>#N/A</v>
      </c>
      <c r="G17" t="s">
        <v>6004</v>
      </c>
      <c r="H17" t="str">
        <f t="shared" ca="1" si="1"/>
        <v/>
      </c>
    </row>
    <row r="18" spans="1:8">
      <c r="A18" t="s">
        <v>5984</v>
      </c>
      <c r="C18" s="1680" t="s">
        <v>2506</v>
      </c>
      <c r="D18" s="1518" t="s">
        <v>2507</v>
      </c>
      <c r="E18" s="1684" t="e">
        <f t="shared" ca="1" si="0"/>
        <v>#N/A</v>
      </c>
      <c r="G18" t="s">
        <v>6005</v>
      </c>
      <c r="H18" t="str">
        <f t="shared" ca="1" si="1"/>
        <v/>
      </c>
    </row>
    <row r="19" spans="1:8">
      <c r="A19" t="s">
        <v>5985</v>
      </c>
      <c r="C19" s="1680" t="s">
        <v>2508</v>
      </c>
      <c r="D19" s="1518" t="s">
        <v>2509</v>
      </c>
      <c r="E19" t="e">
        <f t="shared" ca="1" si="0"/>
        <v>#N/A</v>
      </c>
      <c r="G19" t="s">
        <v>6006</v>
      </c>
      <c r="H19" t="str">
        <f t="shared" ca="1" si="1"/>
        <v/>
      </c>
    </row>
    <row r="20" spans="1:8">
      <c r="A20" t="s">
        <v>1335</v>
      </c>
      <c r="C20" s="1680" t="s">
        <v>2510</v>
      </c>
      <c r="D20" s="1518" t="s">
        <v>2511</v>
      </c>
      <c r="E20" t="e">
        <f t="shared" ca="1" si="0"/>
        <v>#N/A</v>
      </c>
      <c r="G20" t="s">
        <v>6007</v>
      </c>
      <c r="H20" t="str">
        <f t="shared" ca="1" si="1"/>
        <v/>
      </c>
    </row>
    <row r="21" spans="1:8">
      <c r="A21" t="s">
        <v>93</v>
      </c>
      <c r="C21" s="1680" t="s">
        <v>2512</v>
      </c>
      <c r="D21" s="1518" t="s">
        <v>2513</v>
      </c>
      <c r="E21" t="e">
        <f t="shared" ca="1" si="0"/>
        <v>#N/A</v>
      </c>
      <c r="G21" t="s">
        <v>6008</v>
      </c>
      <c r="H21" t="str">
        <f t="shared" ca="1" si="1"/>
        <v/>
      </c>
    </row>
    <row r="22" spans="1:8">
      <c r="A22" t="s">
        <v>5986</v>
      </c>
      <c r="C22" s="1680" t="s">
        <v>2514</v>
      </c>
      <c r="D22" s="1518" t="s">
        <v>2515</v>
      </c>
      <c r="E22" t="e">
        <f t="shared" ca="1" si="0"/>
        <v>#N/A</v>
      </c>
      <c r="G22" t="s">
        <v>6009</v>
      </c>
      <c r="H22" t="str">
        <f t="shared" ca="1" si="1"/>
        <v/>
      </c>
    </row>
    <row r="23" spans="1:8">
      <c r="A23" t="s">
        <v>5987</v>
      </c>
      <c r="C23" s="1680" t="s">
        <v>2516</v>
      </c>
      <c r="D23" s="1518" t="s">
        <v>2517</v>
      </c>
      <c r="E23" t="e">
        <f t="shared" ca="1" si="0"/>
        <v>#N/A</v>
      </c>
      <c r="G23" t="s">
        <v>6010</v>
      </c>
      <c r="H23" t="str">
        <f t="shared" ca="1" si="1"/>
        <v/>
      </c>
    </row>
    <row r="24" spans="1:8">
      <c r="A24" t="s">
        <v>653</v>
      </c>
      <c r="C24" s="1680" t="s">
        <v>2518</v>
      </c>
      <c r="D24" s="1518" t="s">
        <v>2519</v>
      </c>
      <c r="E24" t="e">
        <f t="shared" ca="1" si="0"/>
        <v>#N/A</v>
      </c>
      <c r="G24" t="s">
        <v>6011</v>
      </c>
      <c r="H24" t="str">
        <f t="shared" ca="1" si="1"/>
        <v>索引号：2B-13</v>
      </c>
    </row>
    <row r="25" spans="1:8">
      <c r="A25" t="s">
        <v>1484</v>
      </c>
      <c r="C25" s="1680" t="s">
        <v>2520</v>
      </c>
      <c r="D25" s="1518" t="s">
        <v>2521</v>
      </c>
      <c r="E25" s="1684" t="e">
        <f t="shared" ca="1" si="0"/>
        <v>#N/A</v>
      </c>
      <c r="G25" t="s">
        <v>6012</v>
      </c>
      <c r="H25" t="str">
        <f t="shared" ca="1" si="1"/>
        <v>索引号：2B-14</v>
      </c>
    </row>
    <row r="26" spans="1:8">
      <c r="A26" t="s">
        <v>1657</v>
      </c>
      <c r="C26" s="1680" t="s">
        <v>2522</v>
      </c>
      <c r="D26" s="1518" t="s">
        <v>2523</v>
      </c>
      <c r="E26" t="e">
        <f t="shared" ca="1" si="0"/>
        <v>#N/A</v>
      </c>
      <c r="G26" t="s">
        <v>6013</v>
      </c>
      <c r="H26" t="str">
        <f t="shared" ca="1" si="1"/>
        <v>索引号：2B-15</v>
      </c>
    </row>
    <row r="27" spans="1:8">
      <c r="A27" t="s">
        <v>1629</v>
      </c>
      <c r="C27" s="1680" t="s">
        <v>2524</v>
      </c>
      <c r="D27" s="1519" t="s">
        <v>2525</v>
      </c>
      <c r="E27" t="e">
        <f t="shared" ca="1" si="0"/>
        <v>#N/A</v>
      </c>
      <c r="G27" t="s">
        <v>6014</v>
      </c>
      <c r="H27" t="str">
        <f t="shared" ca="1" si="1"/>
        <v/>
      </c>
    </row>
    <row r="28" spans="1:8">
      <c r="A28" t="s">
        <v>1658</v>
      </c>
      <c r="C28" s="1680" t="s">
        <v>2526</v>
      </c>
      <c r="D28" s="1518" t="s">
        <v>2527</v>
      </c>
      <c r="E28" t="e">
        <f t="shared" ca="1" si="0"/>
        <v>#N/A</v>
      </c>
      <c r="G28" t="s">
        <v>2409</v>
      </c>
      <c r="H28" t="str">
        <f t="shared" ca="1" si="1"/>
        <v/>
      </c>
    </row>
    <row r="29" spans="1:8">
      <c r="A29" t="s">
        <v>1659</v>
      </c>
      <c r="C29" s="1680" t="s">
        <v>2528</v>
      </c>
      <c r="D29" s="1518" t="s">
        <v>2529</v>
      </c>
      <c r="E29" t="e">
        <f t="shared" ca="1" si="0"/>
        <v>#N/A</v>
      </c>
    </row>
    <row r="30" spans="1:8">
      <c r="A30" t="s">
        <v>1479</v>
      </c>
      <c r="C30" s="1680" t="s">
        <v>2530</v>
      </c>
      <c r="D30" s="1518" t="s">
        <v>2531</v>
      </c>
      <c r="E30" t="e">
        <f t="shared" ca="1" si="0"/>
        <v>#N/A</v>
      </c>
    </row>
    <row r="31" spans="1:8">
      <c r="A31" t="s">
        <v>262</v>
      </c>
      <c r="C31" s="1680" t="s">
        <v>2532</v>
      </c>
      <c r="D31" s="1518" t="s">
        <v>2533</v>
      </c>
      <c r="E31" t="e">
        <f t="shared" ca="1" si="0"/>
        <v>#N/A</v>
      </c>
    </row>
    <row r="32" spans="1:8">
      <c r="A32" t="s">
        <v>1660</v>
      </c>
      <c r="C32" s="1680" t="s">
        <v>2534</v>
      </c>
      <c r="D32" s="1518" t="s">
        <v>2535</v>
      </c>
      <c r="E32" t="e">
        <f t="shared" ca="1" si="0"/>
        <v>#N/A</v>
      </c>
    </row>
    <row r="33" spans="1:5">
      <c r="A33" t="s">
        <v>1360</v>
      </c>
      <c r="C33" s="1680" t="s">
        <v>2536</v>
      </c>
      <c r="D33" s="1518" t="s">
        <v>2537</v>
      </c>
      <c r="E33" t="e">
        <f t="shared" ca="1" si="0"/>
        <v>#N/A</v>
      </c>
    </row>
    <row r="34" spans="1:5">
      <c r="A34" t="s">
        <v>1661</v>
      </c>
      <c r="C34" s="1680" t="s">
        <v>2538</v>
      </c>
      <c r="D34" s="1518" t="s">
        <v>2539</v>
      </c>
      <c r="E34" t="e">
        <f t="shared" ca="1" si="0"/>
        <v>#N/A</v>
      </c>
    </row>
    <row r="35" spans="1:5">
      <c r="A35" t="s">
        <v>472</v>
      </c>
      <c r="C35" s="1680" t="s">
        <v>2540</v>
      </c>
      <c r="D35" s="1518" t="s">
        <v>2541</v>
      </c>
      <c r="E35" t="e">
        <f t="shared" ca="1" si="0"/>
        <v>#N/A</v>
      </c>
    </row>
    <row r="36" spans="1:5">
      <c r="A36" t="s">
        <v>5988</v>
      </c>
      <c r="C36" s="1680" t="s">
        <v>2542</v>
      </c>
      <c r="D36" s="1518" t="s">
        <v>2543</v>
      </c>
      <c r="E36" t="e">
        <f t="shared" ca="1" si="0"/>
        <v>#N/A</v>
      </c>
    </row>
    <row r="37" spans="1:5">
      <c r="A37" t="s">
        <v>469</v>
      </c>
      <c r="C37" s="1680" t="s">
        <v>2544</v>
      </c>
      <c r="D37" s="1518" t="s">
        <v>2545</v>
      </c>
      <c r="E37" t="e">
        <f t="shared" ca="1" si="0"/>
        <v>#N/A</v>
      </c>
    </row>
    <row r="38" spans="1:5">
      <c r="A38" t="s">
        <v>1430</v>
      </c>
      <c r="C38" s="1680" t="s">
        <v>2546</v>
      </c>
      <c r="D38" s="1519" t="s">
        <v>2547</v>
      </c>
      <c r="E38" t="e">
        <f t="shared" ca="1" si="0"/>
        <v>#N/A</v>
      </c>
    </row>
    <row r="39" spans="1:5">
      <c r="A39" t="s">
        <v>5989</v>
      </c>
      <c r="C39" s="1680" t="s">
        <v>2548</v>
      </c>
      <c r="D39" s="1518" t="s">
        <v>2549</v>
      </c>
      <c r="E39" t="e">
        <f t="shared" ca="1" si="0"/>
        <v>#N/A</v>
      </c>
    </row>
    <row r="40" spans="1:5">
      <c r="A40" t="s">
        <v>5990</v>
      </c>
      <c r="C40" s="1680" t="s">
        <v>2550</v>
      </c>
      <c r="D40" s="1518" t="s">
        <v>2551</v>
      </c>
      <c r="E40" t="e">
        <f t="shared" ca="1" si="0"/>
        <v>#N/A</v>
      </c>
    </row>
    <row r="41" spans="1:5">
      <c r="A41" t="s">
        <v>5991</v>
      </c>
      <c r="C41" s="1680" t="s">
        <v>2552</v>
      </c>
      <c r="D41" s="1518" t="s">
        <v>2553</v>
      </c>
      <c r="E41" t="e">
        <f t="shared" ca="1" si="0"/>
        <v>#N/A</v>
      </c>
    </row>
    <row r="42" spans="1:5">
      <c r="A42" t="s">
        <v>5992</v>
      </c>
      <c r="C42" s="1680" t="s">
        <v>2554</v>
      </c>
      <c r="D42" s="1520" t="s">
        <v>2555</v>
      </c>
      <c r="E42" t="e">
        <f t="shared" ca="1" si="0"/>
        <v>#N/A</v>
      </c>
    </row>
    <row r="43" spans="1:5">
      <c r="A43" t="s">
        <v>5993</v>
      </c>
    </row>
    <row r="44" spans="1:5">
      <c r="A44" t="s">
        <v>5994</v>
      </c>
    </row>
    <row r="45" spans="1:5">
      <c r="A45" t="s">
        <v>5995</v>
      </c>
    </row>
    <row r="46" spans="1:5">
      <c r="A46" t="s">
        <v>5996</v>
      </c>
    </row>
    <row r="47" spans="1:5">
      <c r="A47" t="s">
        <v>5997</v>
      </c>
    </row>
    <row r="48" spans="1:5">
      <c r="A48" t="s">
        <v>5998</v>
      </c>
    </row>
    <row r="49" spans="1:1">
      <c r="A49" t="s">
        <v>5999</v>
      </c>
    </row>
    <row r="50" spans="1:1">
      <c r="A50" t="s">
        <v>6000</v>
      </c>
    </row>
    <row r="51" spans="1:1">
      <c r="A51" t="s">
        <v>6001</v>
      </c>
    </row>
    <row r="52" spans="1:1">
      <c r="A52" t="s">
        <v>6002</v>
      </c>
    </row>
    <row r="53" spans="1:1">
      <c r="A53" t="s">
        <v>6003</v>
      </c>
    </row>
    <row r="54" spans="1:1">
      <c r="A54" t="s">
        <v>6004</v>
      </c>
    </row>
    <row r="55" spans="1:1">
      <c r="A55" t="s">
        <v>6005</v>
      </c>
    </row>
    <row r="56" spans="1:1">
      <c r="A56" t="s">
        <v>6006</v>
      </c>
    </row>
    <row r="57" spans="1:1">
      <c r="A57" t="s">
        <v>6007</v>
      </c>
    </row>
    <row r="58" spans="1:1">
      <c r="A58" t="s">
        <v>6008</v>
      </c>
    </row>
    <row r="59" spans="1:1">
      <c r="A59" t="s">
        <v>6009</v>
      </c>
    </row>
    <row r="60" spans="1:1">
      <c r="A60" t="s">
        <v>6010</v>
      </c>
    </row>
    <row r="61" spans="1:1">
      <c r="A61" t="s">
        <v>6011</v>
      </c>
    </row>
    <row r="62" spans="1:1">
      <c r="A62" t="s">
        <v>6012</v>
      </c>
    </row>
    <row r="63" spans="1:1">
      <c r="A63" t="s">
        <v>6013</v>
      </c>
    </row>
    <row r="64" spans="1:1">
      <c r="A64" t="s">
        <v>6014</v>
      </c>
    </row>
    <row r="65" spans="1:1">
      <c r="A65" t="s">
        <v>2409</v>
      </c>
    </row>
    <row r="66" spans="1:1">
      <c r="A66" t="s">
        <v>83</v>
      </c>
    </row>
    <row r="67" spans="1:1">
      <c r="A67" t="s">
        <v>6015</v>
      </c>
    </row>
    <row r="68" spans="1:1">
      <c r="A68" t="s">
        <v>6016</v>
      </c>
    </row>
    <row r="69" spans="1:1">
      <c r="A69" t="s">
        <v>1662</v>
      </c>
    </row>
    <row r="70" spans="1:1">
      <c r="A70" t="s">
        <v>669</v>
      </c>
    </row>
    <row r="71" spans="1:1">
      <c r="A71" t="s">
        <v>1663</v>
      </c>
    </row>
    <row r="72" spans="1:1">
      <c r="A72" t="s">
        <v>1664</v>
      </c>
    </row>
    <row r="73" spans="1:1">
      <c r="A73" t="s">
        <v>1665</v>
      </c>
    </row>
    <row r="74" spans="1:1">
      <c r="A74" t="s">
        <v>1666</v>
      </c>
    </row>
    <row r="75" spans="1:1">
      <c r="A75" t="s">
        <v>6017</v>
      </c>
    </row>
    <row r="76" spans="1:1">
      <c r="A76" t="s">
        <v>252</v>
      </c>
    </row>
    <row r="77" spans="1:1">
      <c r="A77" t="s">
        <v>1667</v>
      </c>
    </row>
    <row r="78" spans="1:1">
      <c r="A78" t="s">
        <v>855</v>
      </c>
    </row>
    <row r="79" spans="1:1">
      <c r="A79" t="s">
        <v>1292</v>
      </c>
    </row>
    <row r="80" spans="1:1">
      <c r="A80" t="s">
        <v>966</v>
      </c>
    </row>
    <row r="81" spans="1:1">
      <c r="A81" t="s">
        <v>1668</v>
      </c>
    </row>
    <row r="82" spans="1:1">
      <c r="A82" t="s">
        <v>1669</v>
      </c>
    </row>
    <row r="83" spans="1:1">
      <c r="A83" t="s">
        <v>1380</v>
      </c>
    </row>
    <row r="84" spans="1:1">
      <c r="A84" t="s">
        <v>6018</v>
      </c>
    </row>
    <row r="85" spans="1:1">
      <c r="A85" t="s">
        <v>1670</v>
      </c>
    </row>
    <row r="86" spans="1:1">
      <c r="A86" t="s">
        <v>1671</v>
      </c>
    </row>
    <row r="87" spans="1:1">
      <c r="A87" t="s">
        <v>1672</v>
      </c>
    </row>
    <row r="88" spans="1:1">
      <c r="A88" t="s">
        <v>1673</v>
      </c>
    </row>
    <row r="89" spans="1:1">
      <c r="A89" t="s">
        <v>1674</v>
      </c>
    </row>
    <row r="90" spans="1:1">
      <c r="A90" t="s">
        <v>1263</v>
      </c>
    </row>
    <row r="91" spans="1:1">
      <c r="A91" t="s">
        <v>1675</v>
      </c>
    </row>
    <row r="92" spans="1:1">
      <c r="A92" t="s">
        <v>1676</v>
      </c>
    </row>
    <row r="93" spans="1:1">
      <c r="A93" t="s">
        <v>1677</v>
      </c>
    </row>
    <row r="94" spans="1:1">
      <c r="A94" t="s">
        <v>1678</v>
      </c>
    </row>
    <row r="95" spans="1:1">
      <c r="A95" t="s">
        <v>1679</v>
      </c>
    </row>
    <row r="96" spans="1:1">
      <c r="A96" s="1684" t="s">
        <v>59</v>
      </c>
    </row>
    <row r="97" spans="1:1">
      <c r="A97" s="1684" t="s">
        <v>650</v>
      </c>
    </row>
    <row r="98" spans="1:1">
      <c r="A98" s="1684" t="s">
        <v>399</v>
      </c>
    </row>
    <row r="99" spans="1:1">
      <c r="A99" s="1684" t="s">
        <v>1538</v>
      </c>
    </row>
    <row r="100" spans="1:1">
      <c r="A100" t="s">
        <v>648</v>
      </c>
    </row>
    <row r="101" spans="1:1">
      <c r="A101" t="s">
        <v>72</v>
      </c>
    </row>
    <row r="102" spans="1:1">
      <c r="A102" t="s">
        <v>75</v>
      </c>
    </row>
    <row r="103" spans="1:1">
      <c r="A103" t="s">
        <v>1291</v>
      </c>
    </row>
    <row r="104" spans="1:1">
      <c r="A104" t="s">
        <v>22</v>
      </c>
    </row>
    <row r="105" spans="1:1">
      <c r="A105" t="s">
        <v>1485</v>
      </c>
    </row>
    <row r="106" spans="1:1">
      <c r="A106" t="s">
        <v>82</v>
      </c>
    </row>
    <row r="107" spans="1:1">
      <c r="A107" t="s">
        <v>84</v>
      </c>
    </row>
    <row r="108" spans="1:1">
      <c r="A108" t="s">
        <v>85</v>
      </c>
    </row>
    <row r="109" spans="1:1">
      <c r="A109" t="s">
        <v>619</v>
      </c>
    </row>
    <row r="110" spans="1:1">
      <c r="A110" t="s">
        <v>89</v>
      </c>
    </row>
    <row r="111" spans="1:1">
      <c r="A111" t="s">
        <v>91</v>
      </c>
    </row>
    <row r="112" spans="1:1">
      <c r="A112" t="s">
        <v>676</v>
      </c>
    </row>
    <row r="113" spans="1:1">
      <c r="A113" t="s">
        <v>6019</v>
      </c>
    </row>
    <row r="114" spans="1:1">
      <c r="A114" t="s">
        <v>6020</v>
      </c>
    </row>
    <row r="115" spans="1:1">
      <c r="A115" t="s">
        <v>6021</v>
      </c>
    </row>
    <row r="116" spans="1:1">
      <c r="A116" t="s">
        <v>6022</v>
      </c>
    </row>
    <row r="117" spans="1:1">
      <c r="A117" t="s">
        <v>6023</v>
      </c>
    </row>
    <row r="118" spans="1:1">
      <c r="A118" t="s">
        <v>6024</v>
      </c>
    </row>
    <row r="119" spans="1:1">
      <c r="A119" t="s">
        <v>6025</v>
      </c>
    </row>
    <row r="120" spans="1:1">
      <c r="A120" t="s">
        <v>6026</v>
      </c>
    </row>
    <row r="121" spans="1:1">
      <c r="A121" t="s">
        <v>6027</v>
      </c>
    </row>
    <row r="122" spans="1:1">
      <c r="A122" t="s">
        <v>6028</v>
      </c>
    </row>
    <row r="123" spans="1:1">
      <c r="A123" t="s">
        <v>6029</v>
      </c>
    </row>
    <row r="124" spans="1:1">
      <c r="A124" t="s">
        <v>6030</v>
      </c>
    </row>
    <row r="125" spans="1:1">
      <c r="A125" t="s">
        <v>6031</v>
      </c>
    </row>
    <row r="126" spans="1:1">
      <c r="A126" t="s">
        <v>6032</v>
      </c>
    </row>
    <row r="127" spans="1:1">
      <c r="A127" t="s">
        <v>6033</v>
      </c>
    </row>
    <row r="128" spans="1:1">
      <c r="A128" t="s">
        <v>6034</v>
      </c>
    </row>
    <row r="129" spans="1:1">
      <c r="A129" t="s">
        <v>6035</v>
      </c>
    </row>
    <row r="130" spans="1:1">
      <c r="A130" t="s">
        <v>6036</v>
      </c>
    </row>
    <row r="131" spans="1:1">
      <c r="A131" t="s">
        <v>6037</v>
      </c>
    </row>
    <row r="132" spans="1:1">
      <c r="A132" t="s">
        <v>6038</v>
      </c>
    </row>
    <row r="133" spans="1:1">
      <c r="A133" t="s">
        <v>6039</v>
      </c>
    </row>
    <row r="134" spans="1:1">
      <c r="A134" t="s">
        <v>6040</v>
      </c>
    </row>
    <row r="135" spans="1:1">
      <c r="A135" t="s">
        <v>6041</v>
      </c>
    </row>
    <row r="136" spans="1:1">
      <c r="A136" t="s">
        <v>6042</v>
      </c>
    </row>
    <row r="137" spans="1:1">
      <c r="A137" t="s">
        <v>2431</v>
      </c>
    </row>
    <row r="138" spans="1:1">
      <c r="A138" t="s">
        <v>6043</v>
      </c>
    </row>
    <row r="139" spans="1:1">
      <c r="A139" t="s">
        <v>6044</v>
      </c>
    </row>
    <row r="140" spans="1:1">
      <c r="A140" t="s">
        <v>6045</v>
      </c>
    </row>
    <row r="141" spans="1:1">
      <c r="A141" t="s">
        <v>6046</v>
      </c>
    </row>
    <row r="142" spans="1:1">
      <c r="A142" t="s">
        <v>5971</v>
      </c>
    </row>
    <row r="143" spans="1:1">
      <c r="A143" t="s">
        <v>6047</v>
      </c>
    </row>
    <row r="144" spans="1:1">
      <c r="A144" t="s">
        <v>6048</v>
      </c>
    </row>
    <row r="145" spans="1:1">
      <c r="A145" t="s">
        <v>6049</v>
      </c>
    </row>
    <row r="146" spans="1:1">
      <c r="A146" t="s">
        <v>6050</v>
      </c>
    </row>
    <row r="147" spans="1:1">
      <c r="A147" t="s">
        <v>6051</v>
      </c>
    </row>
    <row r="148" spans="1:1">
      <c r="A148" t="s">
        <v>6052</v>
      </c>
    </row>
    <row r="149" spans="1:1">
      <c r="A149" t="s">
        <v>6053</v>
      </c>
    </row>
    <row r="150" spans="1:1">
      <c r="A150" t="s">
        <v>6054</v>
      </c>
    </row>
    <row r="151" spans="1:1">
      <c r="A151" t="s">
        <v>6055</v>
      </c>
    </row>
    <row r="152" spans="1:1">
      <c r="A152" t="s">
        <v>6056</v>
      </c>
    </row>
    <row r="153" spans="1:1">
      <c r="A153" t="s">
        <v>6057</v>
      </c>
    </row>
    <row r="154" spans="1:1">
      <c r="A154" t="s">
        <v>6058</v>
      </c>
    </row>
    <row r="155" spans="1:1">
      <c r="A155" t="s">
        <v>6059</v>
      </c>
    </row>
    <row r="156" spans="1:1">
      <c r="A156" t="s">
        <v>6060</v>
      </c>
    </row>
    <row r="157" spans="1:1">
      <c r="A157" t="s">
        <v>6061</v>
      </c>
    </row>
    <row r="158" spans="1:1">
      <c r="A158" t="s">
        <v>6062</v>
      </c>
    </row>
    <row r="159" spans="1:1">
      <c r="A159" t="s">
        <v>6063</v>
      </c>
    </row>
    <row r="160" spans="1:1">
      <c r="A160" t="s">
        <v>6064</v>
      </c>
    </row>
    <row r="161" spans="1:1">
      <c r="A161" t="s">
        <v>6065</v>
      </c>
    </row>
    <row r="162" spans="1:1">
      <c r="A162" t="s">
        <v>6066</v>
      </c>
    </row>
    <row r="163" spans="1:1">
      <c r="A163" t="s">
        <v>6067</v>
      </c>
    </row>
    <row r="164" spans="1:1">
      <c r="A164" t="s">
        <v>6068</v>
      </c>
    </row>
    <row r="165" spans="1:1">
      <c r="A165" t="s">
        <v>6069</v>
      </c>
    </row>
    <row r="166" spans="1:1">
      <c r="A166" t="s">
        <v>6070</v>
      </c>
    </row>
    <row r="167" spans="1:1">
      <c r="A167" t="s">
        <v>6071</v>
      </c>
    </row>
    <row r="168" spans="1:1">
      <c r="A168" t="s">
        <v>6072</v>
      </c>
    </row>
    <row r="169" spans="1:1">
      <c r="A169" t="s">
        <v>6073</v>
      </c>
    </row>
    <row r="170" spans="1:1">
      <c r="A170" t="s">
        <v>6074</v>
      </c>
    </row>
    <row r="171" spans="1:1">
      <c r="A171" t="s">
        <v>6075</v>
      </c>
    </row>
    <row r="172" spans="1:1">
      <c r="A172" t="s">
        <v>6076</v>
      </c>
    </row>
    <row r="173" spans="1:1">
      <c r="A173" t="s">
        <v>6077</v>
      </c>
    </row>
    <row r="174" spans="1:1">
      <c r="A174" t="s">
        <v>6078</v>
      </c>
    </row>
    <row r="175" spans="1:1">
      <c r="A175" t="s">
        <v>6079</v>
      </c>
    </row>
    <row r="176" spans="1:1">
      <c r="A176" t="s">
        <v>6080</v>
      </c>
    </row>
    <row r="177" spans="1:1">
      <c r="A177" t="s">
        <v>6081</v>
      </c>
    </row>
    <row r="178" spans="1:1">
      <c r="A178" t="s">
        <v>6082</v>
      </c>
    </row>
    <row r="179" spans="1:1">
      <c r="A179" t="s">
        <v>6083</v>
      </c>
    </row>
    <row r="180" spans="1:1">
      <c r="A180" t="s">
        <v>6084</v>
      </c>
    </row>
    <row r="181" spans="1:1">
      <c r="A181" t="s">
        <v>6085</v>
      </c>
    </row>
    <row r="182" spans="1:1">
      <c r="A182" t="s">
        <v>6086</v>
      </c>
    </row>
    <row r="183" spans="1:1">
      <c r="A183" t="s">
        <v>6087</v>
      </c>
    </row>
  </sheetData>
  <phoneticPr fontId="51" type="noConversion"/>
  <hyperlinks>
    <hyperlink ref="D2" location="A000000企业基础信息表!A1" display="企业基础信息表"/>
    <hyperlink ref="D3" location="'A100000中华人民共和国企业所得税年度纳税申报表（A类）'!A1" display="中华人民共和国企业所得税年度纳税申报表（A类）"/>
    <hyperlink ref="D4" location="A101010一般企业收入明细表!A1" display="    一般企业收入明细表"/>
    <hyperlink ref="D5" location="A101020金融企业收入明细表!A1" display="    金融企业收入明细表"/>
    <hyperlink ref="D6" location="A102010一般企业成本支出明细表!A1" display="    一般企业成本支出明细表"/>
    <hyperlink ref="D7" location="A102020金融企业支出明细表!A1" display="    金融企业支出明细表"/>
    <hyperlink ref="D8" location="A103000事业单位、民间非营利组织收入、支出明细表!A1" display="    事业单位、民间非营利组织收入、支出明细表"/>
    <hyperlink ref="D9" location="A104000期间费用明细表!A1" display="    期间费用明细表"/>
    <hyperlink ref="D10" location="A105000纳税调整项目明细表!A1" display="    纳税调整项目明细表"/>
    <hyperlink ref="D11" location="A105010视同销售和房地产开发企业特定业务纳税调整明细表!A1" display="        视同销售和房地产开发企业特定业务纳税调整明细表"/>
    <hyperlink ref="D12" location="A105020未按权责发生制确认收入纳税调整明细表!A1" display="        未按权责发生制确认收入纳税调整明细表"/>
    <hyperlink ref="D13" location="A105030投资收益纳税调整明细表!A1" display="        投资收益纳税调整明细表"/>
    <hyperlink ref="D14" location="A105040专项用途财政性资金纳税调整表!A1" display="        专项用途财政性资金纳税调整明细表"/>
    <hyperlink ref="D15" location="A105050职工薪酬纳税调整明细表!A1" display="        职工薪酬纳税调整明细表"/>
    <hyperlink ref="D16" location="A105060广告费和业务宣传费跨年度纳税调整明细表!A1" display="        广告费和业务宣传费跨年度纳税调整明细表"/>
    <hyperlink ref="D17" location="A105070捐赠支出纳税调整明细表!A1" display="        捐赠支出纳税调整明细表"/>
    <hyperlink ref="D18" location="A105080资产折旧、摊销情况及纳税调整明细表!A1" display="        资产折旧、摊销情况及纳税调整明细表"/>
    <hyperlink ref="D19" location="A105081固定资产加速折旧、扣除明细表!A1" display="            固定资产加速折旧、扣除明细表"/>
    <hyperlink ref="D20" location="A105090资产损失税前扣除及纳税调整明细表!A1" display="        资产损失税前扣除及纳税调整明细表"/>
    <hyperlink ref="D21" location="'A105091资产损失（专项申报）税前扣除及纳税调整明细表'!A1" display="            资产损失（专项申报）税前扣除及纳税调整明细表"/>
    <hyperlink ref="D42" location="A109010企业所得税汇总纳税分支机构所得税分配表!A1" display="        企业所得税汇总纳税分支机构所得税分配表"/>
    <hyperlink ref="D41" location="A109000跨地区经营汇总纳税企业年度分摊企业所得税明细表!A1" display="    跨地区经营汇总纳税企业年度分摊企业所得税明细表"/>
    <hyperlink ref="D40" location="A108030跨年度结转抵免境外所得税明细表!A1" display="        跨年度结转抵免境外所得税明细表"/>
    <hyperlink ref="D39" location="A108020境外分支机构弥补亏损明细表!A1" display="        境外分支机构弥补亏损明细表"/>
    <hyperlink ref="D37" location="A108000境外所得税收抵免明细表!A1" display="    境外所得税收抵免明细表"/>
    <hyperlink ref="D38" location="A108010境外所得纳税调整后所得明细表!A1" display="        境外所得纳税调整后所得明细表"/>
    <hyperlink ref="D36" location="A107050税额抵免优惠明细表!A1" display="    税额抵免优惠明细表"/>
    <hyperlink ref="D35" location="A107042软件、集成电路企业优惠情况及明细表!A1" display="        软件、集成电路企业优惠情况及明细表"/>
    <hyperlink ref="D34" location="A107041高新技术企业优惠情况及明细表!A1" display="        高新技术企业优惠情况及明细表"/>
    <hyperlink ref="D33" location="A107040减免所得税优惠明细表!A1" display="    减免所得税优惠明细表"/>
    <hyperlink ref="D32" location="A107030抵扣应纳税所得额明细表!A1" display="    抵扣应纳税所得额明细表"/>
    <hyperlink ref="D31" location="A107020所得减免优惠明细表!A1" display="    所得减免优惠明细表"/>
    <hyperlink ref="D30" location="A107014研发费用加计扣除优惠明细表!A1" display="        研发费用加计扣除优惠明细表"/>
    <hyperlink ref="D29" location="A107013金融保险等机构取得涉农利息保费收入优惠明细表!A1" display="        金融、保险等机构取得的涉农利息、保费收入优惠明细表"/>
    <hyperlink ref="D28" location="A107012综合利用资源生产产品取得的收入优惠明细表!A1" display="        综合利用资源生产产品取得的收入优惠明细表"/>
    <hyperlink ref="D26" location="A107010免税、减计收入及加计扣除优惠明细表!A1" display="    免税、减计收入及加计扣除优惠明细表"/>
    <hyperlink ref="D25" location="A106000企业所得税弥补亏损明细表!A1" display="    企业所得税弥补亏损明细表"/>
    <hyperlink ref="D24" location="A105120特殊行业准备金纳税调整明细表!A1" display="        特殊行业准备金纳税调整明细表"/>
    <hyperlink ref="D23" location="A105110政策性搬迁纳税调整明细表!A1" display="        政策性搬迁纳税调整明细表"/>
    <hyperlink ref="D22" location="A105100企业重组纳税调整明细表!A1" display="        企业重组纳税调整明细表"/>
    <hyperlink ref="D27" location="A107011股息红利优惠明细表!A1" display="        符合条件的居民企业之间的股息、红利等权益性投资收益优惠明细表"/>
  </hyperlinks>
  <pageMargins left="0.78740157480314998" right="0.35433070866141703" top="0.511811023622047" bottom="0.11811023622047198" header="0.511811023622047" footer="0.511811023622047"/>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M94"/>
  <sheetViews>
    <sheetView workbookViewId="0">
      <selection activeCell="C41" sqref="C41:H41"/>
    </sheetView>
  </sheetViews>
  <sheetFormatPr defaultRowHeight="15.6"/>
  <cols>
    <col min="1" max="1" width="3.59765625" style="771" customWidth="1"/>
    <col min="2" max="2" width="6.8984375" style="771" customWidth="1"/>
    <col min="3" max="3" width="13.09765625" style="771" customWidth="1"/>
    <col min="4" max="4" width="12.5" style="771" customWidth="1"/>
    <col min="5" max="6" width="12.69921875" style="771" customWidth="1"/>
    <col min="7" max="8" width="13.09765625" style="771" customWidth="1"/>
    <col min="9" max="9" width="34.69921875" style="131" customWidth="1"/>
    <col min="10" max="10" width="17.19921875" customWidth="1"/>
  </cols>
  <sheetData>
    <row r="1" spans="1:13" ht="30.75" customHeight="1">
      <c r="A1" s="2729" t="s">
        <v>296</v>
      </c>
      <c r="B1" s="2729"/>
      <c r="C1" s="2729"/>
      <c r="D1" s="2729"/>
      <c r="E1" s="2729"/>
      <c r="F1" s="2729"/>
      <c r="G1" s="2729"/>
      <c r="H1" s="2729"/>
      <c r="I1" s="812"/>
      <c r="J1" s="84"/>
      <c r="K1" s="84"/>
      <c r="L1" s="84"/>
    </row>
    <row r="2" spans="1:13" s="502" customFormat="1" ht="13.5" customHeight="1">
      <c r="A2" s="813"/>
      <c r="B2" s="813"/>
      <c r="C2" s="813"/>
      <c r="D2" s="813"/>
      <c r="E2" s="813"/>
      <c r="F2" s="813"/>
      <c r="G2" s="133" t="s">
        <v>1052</v>
      </c>
      <c r="H2" s="814" t="str">
        <f>档案索引!D22</f>
        <v>3-1</v>
      </c>
      <c r="I2" s="815"/>
      <c r="J2" s="144"/>
      <c r="K2" s="144"/>
      <c r="L2" s="144"/>
    </row>
    <row r="3" spans="1:13" s="502" customFormat="1" ht="20.25" customHeight="1">
      <c r="A3" s="3147" t="s">
        <v>447</v>
      </c>
      <c r="B3" s="3147"/>
      <c r="C3" s="3535">
        <f>基本情况!B2</f>
        <v>0</v>
      </c>
      <c r="D3" s="3535"/>
      <c r="E3" s="136"/>
      <c r="F3" s="3540" t="s">
        <v>1066</v>
      </c>
      <c r="G3" s="3541"/>
      <c r="H3" s="485" t="s">
        <v>449</v>
      </c>
      <c r="I3" s="815"/>
      <c r="J3" s="144"/>
      <c r="K3" s="144"/>
      <c r="L3" s="144"/>
    </row>
    <row r="4" spans="1:13" s="502" customFormat="1" ht="20.25" customHeight="1">
      <c r="A4" s="3147"/>
      <c r="B4" s="3147"/>
      <c r="C4" s="3535"/>
      <c r="D4" s="3535"/>
      <c r="E4" s="158" t="s">
        <v>450</v>
      </c>
      <c r="F4" s="3538">
        <f>基本情况!B12</f>
        <v>0</v>
      </c>
      <c r="G4" s="3539"/>
      <c r="H4" s="816" t="str">
        <f>TEXT(基本情况!B21,"yyyy-mm-dd")</f>
        <v>2017-03-16</v>
      </c>
      <c r="I4" s="817" t="s">
        <v>395</v>
      </c>
      <c r="J4" s="144"/>
      <c r="K4" s="144"/>
      <c r="L4" s="144"/>
    </row>
    <row r="5" spans="1:13" s="502" customFormat="1" ht="20.25" customHeight="1">
      <c r="A5" s="3172" t="s">
        <v>451</v>
      </c>
      <c r="B5" s="3172"/>
      <c r="C5" s="2930" t="str">
        <f>基本情况!B7</f>
        <v>2016年01月01日至2016年12月31日</v>
      </c>
      <c r="D5" s="2930"/>
      <c r="E5" s="140" t="s">
        <v>452</v>
      </c>
      <c r="F5" s="3536">
        <f>基本情况!B11</f>
        <v>0</v>
      </c>
      <c r="G5" s="3537"/>
      <c r="H5" s="816" t="str">
        <f>TEXT(基本情况!B22,"yyyy-mm-dd")</f>
        <v>2017-05-04</v>
      </c>
      <c r="I5" s="232" t="s">
        <v>653</v>
      </c>
      <c r="J5" s="144"/>
      <c r="K5" s="144"/>
      <c r="L5" s="144"/>
    </row>
    <row r="6" spans="1:13" s="502" customFormat="1" ht="7.5" customHeight="1">
      <c r="A6" s="2955"/>
      <c r="B6" s="2955"/>
      <c r="C6" s="2955"/>
      <c r="D6" s="2955"/>
      <c r="E6" s="2955"/>
      <c r="F6" s="2955"/>
      <c r="G6" s="2955"/>
      <c r="H6" s="2955"/>
      <c r="I6" s="815"/>
      <c r="J6" s="144"/>
      <c r="K6" s="144"/>
      <c r="L6" s="144"/>
    </row>
    <row r="7" spans="1:13" s="502" customFormat="1" ht="20.25" customHeight="1">
      <c r="A7" s="3051" t="s">
        <v>665</v>
      </c>
      <c r="B7" s="3051"/>
      <c r="C7" s="818" t="s">
        <v>94</v>
      </c>
      <c r="D7" s="819" t="s">
        <v>95</v>
      </c>
      <c r="E7" s="819" t="s">
        <v>5915</v>
      </c>
      <c r="F7" s="819" t="s">
        <v>96</v>
      </c>
      <c r="G7" s="1641" t="s">
        <v>5911</v>
      </c>
      <c r="H7" s="772" t="s">
        <v>702</v>
      </c>
      <c r="I7" s="493"/>
      <c r="J7" s="144"/>
      <c r="K7" s="144"/>
      <c r="L7" s="144"/>
    </row>
    <row r="8" spans="1:13" s="502" customFormat="1" ht="15.75" customHeight="1">
      <c r="A8" s="3163" t="s">
        <v>955</v>
      </c>
      <c r="B8" s="136" t="s">
        <v>667</v>
      </c>
      <c r="C8" s="1635"/>
      <c r="D8" s="1635"/>
      <c r="E8" s="1635"/>
      <c r="F8" s="1635"/>
      <c r="G8" s="1642"/>
      <c r="H8" s="1636">
        <f>SUM(C8:G8)</f>
        <v>0</v>
      </c>
      <c r="I8" s="232" t="s">
        <v>673</v>
      </c>
      <c r="J8" s="144"/>
      <c r="K8" s="144"/>
      <c r="L8" s="144"/>
    </row>
    <row r="9" spans="1:13" s="502" customFormat="1" ht="15.75" customHeight="1">
      <c r="A9" s="3163"/>
      <c r="B9" s="158" t="s">
        <v>671</v>
      </c>
      <c r="C9" s="1634"/>
      <c r="D9" s="1634"/>
      <c r="E9" s="1634"/>
      <c r="F9" s="1634"/>
      <c r="G9" s="1643"/>
      <c r="H9" s="1637">
        <f t="shared" ref="H9:H22" si="0">SUM(C9:G9)</f>
        <v>0</v>
      </c>
      <c r="I9" s="232" t="s">
        <v>669</v>
      </c>
      <c r="J9" s="144"/>
      <c r="K9" s="144"/>
      <c r="L9" s="144"/>
    </row>
    <row r="10" spans="1:13" s="502" customFormat="1" ht="15.75" customHeight="1">
      <c r="A10" s="3163"/>
      <c r="B10" s="158" t="s">
        <v>675</v>
      </c>
      <c r="C10" s="1634"/>
      <c r="D10" s="1634"/>
      <c r="E10" s="1634"/>
      <c r="F10" s="1634"/>
      <c r="G10" s="1643"/>
      <c r="H10" s="1637">
        <f t="shared" si="0"/>
        <v>0</v>
      </c>
      <c r="I10" s="493" t="s">
        <v>72</v>
      </c>
      <c r="J10" s="144"/>
      <c r="K10" s="144"/>
      <c r="L10" s="144"/>
    </row>
    <row r="11" spans="1:13" s="502" customFormat="1" ht="15.75" customHeight="1">
      <c r="A11" s="3163"/>
      <c r="B11" s="158" t="s">
        <v>678</v>
      </c>
      <c r="C11" s="1634"/>
      <c r="D11" s="1634"/>
      <c r="E11" s="1634"/>
      <c r="F11" s="1634"/>
      <c r="G11" s="1643"/>
      <c r="H11" s="1637">
        <f t="shared" si="0"/>
        <v>0</v>
      </c>
      <c r="I11" s="232" t="s">
        <v>642</v>
      </c>
      <c r="J11" s="144"/>
      <c r="K11" s="144"/>
      <c r="L11" s="144"/>
    </row>
    <row r="12" spans="1:13" s="502" customFormat="1" ht="15.75" customHeight="1">
      <c r="A12" s="3163"/>
      <c r="B12" s="158" t="s">
        <v>681</v>
      </c>
      <c r="C12" s="1634"/>
      <c r="D12" s="1634"/>
      <c r="E12" s="1634"/>
      <c r="F12" s="1634"/>
      <c r="G12" s="1643"/>
      <c r="H12" s="1637">
        <f t="shared" si="0"/>
        <v>0</v>
      </c>
      <c r="I12" s="493" t="s">
        <v>676</v>
      </c>
      <c r="J12" s="144"/>
      <c r="K12" s="144"/>
      <c r="L12" s="144"/>
    </row>
    <row r="13" spans="1:13" s="502" customFormat="1" ht="15.75" customHeight="1">
      <c r="A13" s="3163"/>
      <c r="B13" s="158" t="s">
        <v>685</v>
      </c>
      <c r="C13" s="1634"/>
      <c r="D13" s="1634"/>
      <c r="E13" s="1634"/>
      <c r="F13" s="1634"/>
      <c r="G13" s="1643"/>
      <c r="H13" s="1637">
        <f t="shared" si="0"/>
        <v>0</v>
      </c>
      <c r="I13" s="493" t="s">
        <v>956</v>
      </c>
      <c r="J13" s="144"/>
      <c r="K13" s="144"/>
      <c r="L13" s="144"/>
    </row>
    <row r="14" spans="1:13" s="502" customFormat="1" ht="15.75" customHeight="1">
      <c r="A14" s="3163"/>
      <c r="B14" s="158" t="s">
        <v>687</v>
      </c>
      <c r="C14" s="1634"/>
      <c r="D14" s="1634"/>
      <c r="E14" s="1634"/>
      <c r="F14" s="1634"/>
      <c r="G14" s="1643"/>
      <c r="H14" s="1637">
        <f t="shared" si="0"/>
        <v>0</v>
      </c>
      <c r="I14" s="815"/>
      <c r="J14" s="144"/>
      <c r="K14" s="144"/>
      <c r="L14" s="144"/>
    </row>
    <row r="15" spans="1:13" s="502" customFormat="1" ht="15.75" customHeight="1">
      <c r="A15" s="3163"/>
      <c r="B15" s="158" t="s">
        <v>690</v>
      </c>
      <c r="C15" s="1634"/>
      <c r="D15" s="1634"/>
      <c r="E15" s="1634"/>
      <c r="F15" s="1634"/>
      <c r="G15" s="1643"/>
      <c r="H15" s="1637">
        <f t="shared" si="0"/>
        <v>0</v>
      </c>
      <c r="I15" s="3530" t="s">
        <v>975</v>
      </c>
      <c r="J15" s="3530"/>
      <c r="K15" s="3530"/>
      <c r="L15" s="3530"/>
      <c r="M15" s="749"/>
    </row>
    <row r="16" spans="1:13" s="502" customFormat="1" ht="15.75" customHeight="1">
      <c r="A16" s="3163"/>
      <c r="B16" s="158" t="s">
        <v>693</v>
      </c>
      <c r="C16" s="1634"/>
      <c r="D16" s="1634"/>
      <c r="E16" s="1634"/>
      <c r="F16" s="1634"/>
      <c r="G16" s="1643"/>
      <c r="H16" s="1637">
        <f t="shared" si="0"/>
        <v>0</v>
      </c>
      <c r="I16" s="3530"/>
      <c r="J16" s="3530"/>
      <c r="K16" s="3530"/>
      <c r="L16" s="3530"/>
      <c r="M16" s="749"/>
    </row>
    <row r="17" spans="1:13" s="502" customFormat="1" ht="15.75" customHeight="1">
      <c r="A17" s="3163"/>
      <c r="B17" s="821" t="s">
        <v>976</v>
      </c>
      <c r="C17" s="1634"/>
      <c r="D17" s="1634"/>
      <c r="E17" s="1634"/>
      <c r="F17" s="1634"/>
      <c r="G17" s="1643"/>
      <c r="H17" s="1637">
        <f t="shared" si="0"/>
        <v>0</v>
      </c>
      <c r="I17" s="3530"/>
      <c r="J17" s="3530"/>
      <c r="K17" s="3530"/>
      <c r="L17" s="3530"/>
      <c r="M17" s="749"/>
    </row>
    <row r="18" spans="1:13" s="502" customFormat="1" ht="15.75" customHeight="1">
      <c r="A18" s="3163"/>
      <c r="B18" s="822" t="s">
        <v>977</v>
      </c>
      <c r="C18" s="1634"/>
      <c r="D18" s="1634"/>
      <c r="E18" s="1634"/>
      <c r="F18" s="1634"/>
      <c r="G18" s="1643"/>
      <c r="H18" s="1637">
        <f t="shared" si="0"/>
        <v>0</v>
      </c>
      <c r="I18" s="3530"/>
      <c r="J18" s="3530"/>
      <c r="K18" s="3530"/>
      <c r="L18" s="3530"/>
      <c r="M18" s="749"/>
    </row>
    <row r="19" spans="1:13" s="502" customFormat="1" ht="15.75" customHeight="1">
      <c r="A19" s="3163"/>
      <c r="B19" s="822" t="s">
        <v>978</v>
      </c>
      <c r="C19" s="1634"/>
      <c r="D19" s="1634"/>
      <c r="E19" s="1634"/>
      <c r="F19" s="1634"/>
      <c r="G19" s="1643"/>
      <c r="H19" s="1637">
        <f t="shared" si="0"/>
        <v>0</v>
      </c>
      <c r="I19" s="3530"/>
      <c r="J19" s="3530"/>
      <c r="K19" s="3530"/>
      <c r="L19" s="3530"/>
      <c r="M19" s="749"/>
    </row>
    <row r="20" spans="1:13" s="502" customFormat="1" ht="15.75" customHeight="1">
      <c r="A20" s="3163"/>
      <c r="B20" s="158" t="s">
        <v>979</v>
      </c>
      <c r="C20" s="1638">
        <f>SUM(C8:C19)</f>
        <v>0</v>
      </c>
      <c r="D20" s="1638">
        <f>SUM(D8:D19)</f>
        <v>0</v>
      </c>
      <c r="E20" s="1638">
        <f>SUM(E8:E19)</f>
        <v>0</v>
      </c>
      <c r="F20" s="1638">
        <f>SUM(F8:F19)</f>
        <v>0</v>
      </c>
      <c r="G20" s="1638">
        <f>SUM(G8:G19)</f>
        <v>0</v>
      </c>
      <c r="H20" s="1637">
        <f t="shared" si="0"/>
        <v>0</v>
      </c>
      <c r="I20" s="3530"/>
      <c r="J20" s="3530"/>
      <c r="K20" s="3530"/>
      <c r="L20" s="3530"/>
      <c r="M20" s="749"/>
    </row>
    <row r="21" spans="1:13" s="502" customFormat="1" ht="15.75" customHeight="1">
      <c r="A21" s="3163"/>
      <c r="B21" s="2184" t="s">
        <v>6505</v>
      </c>
      <c r="C21" s="1796"/>
      <c r="D21" s="1797" t="s">
        <v>6506</v>
      </c>
      <c r="E21" s="1797" t="s">
        <v>6507</v>
      </c>
      <c r="F21" s="1797" t="s">
        <v>6507</v>
      </c>
      <c r="G21" s="1798" t="s">
        <v>6507</v>
      </c>
      <c r="H21" s="1789">
        <f>SUM(C21:G21)</f>
        <v>0</v>
      </c>
      <c r="I21" s="3530"/>
      <c r="J21" s="3530"/>
      <c r="K21" s="3530"/>
      <c r="L21" s="3530"/>
      <c r="M21" s="749"/>
    </row>
    <row r="22" spans="1:13" s="502" customFormat="1" ht="15.75" customHeight="1">
      <c r="A22" s="3163"/>
      <c r="B22" s="1718" t="s">
        <v>980</v>
      </c>
      <c r="C22" s="1634"/>
      <c r="D22" s="1634"/>
      <c r="E22" s="1634"/>
      <c r="F22" s="1634"/>
      <c r="G22" s="1643"/>
      <c r="H22" s="1637">
        <f t="shared" si="0"/>
        <v>0</v>
      </c>
      <c r="I22" s="3530"/>
      <c r="J22" s="3530"/>
      <c r="K22" s="3530"/>
      <c r="L22" s="3530"/>
      <c r="M22" s="749"/>
    </row>
    <row r="23" spans="1:13" s="502" customFormat="1" ht="15.75" customHeight="1">
      <c r="A23" s="3202"/>
      <c r="B23" s="605" t="s">
        <v>502</v>
      </c>
      <c r="C23" s="1788">
        <f t="shared" ref="C23:H23" si="1">C20+C22</f>
        <v>0</v>
      </c>
      <c r="D23" s="1788">
        <f t="shared" si="1"/>
        <v>0</v>
      </c>
      <c r="E23" s="1788">
        <f t="shared" si="1"/>
        <v>0</v>
      </c>
      <c r="F23" s="1788">
        <f t="shared" si="1"/>
        <v>0</v>
      </c>
      <c r="G23" s="1788">
        <f t="shared" si="1"/>
        <v>0</v>
      </c>
      <c r="H23" s="1789">
        <f t="shared" si="1"/>
        <v>0</v>
      </c>
      <c r="I23" s="3530"/>
      <c r="J23" s="3530"/>
      <c r="K23" s="3530"/>
      <c r="L23" s="3530"/>
      <c r="M23" s="749"/>
    </row>
    <row r="24" spans="1:13" s="502" customFormat="1" ht="15.75" hidden="1" customHeight="1">
      <c r="A24" s="1720"/>
      <c r="B24" s="1790"/>
      <c r="C24" s="1791"/>
      <c r="D24" s="1792"/>
      <c r="E24" s="1792"/>
      <c r="F24" s="1792"/>
      <c r="G24" s="1793"/>
      <c r="H24" s="1640"/>
      <c r="I24" s="3530"/>
      <c r="J24" s="3530"/>
      <c r="K24" s="3530"/>
      <c r="L24" s="3530"/>
      <c r="M24" s="749"/>
    </row>
    <row r="25" spans="1:13" s="502" customFormat="1" ht="15.75" customHeight="1">
      <c r="A25" s="3163" t="s">
        <v>981</v>
      </c>
      <c r="B25" s="824" t="s">
        <v>982</v>
      </c>
      <c r="C25" s="1635"/>
      <c r="D25" s="1635"/>
      <c r="E25" s="1635"/>
      <c r="F25" s="1635"/>
      <c r="G25" s="1642"/>
      <c r="H25" s="1636">
        <f>SUM(C25:G25)</f>
        <v>0</v>
      </c>
      <c r="I25" s="3530"/>
      <c r="J25" s="3530"/>
      <c r="K25" s="3530"/>
      <c r="L25" s="3530"/>
      <c r="M25" s="749"/>
    </row>
    <row r="26" spans="1:13" s="502" customFormat="1" ht="15.75" customHeight="1">
      <c r="A26" s="3163"/>
      <c r="B26" s="822" t="s">
        <v>983</v>
      </c>
      <c r="C26" s="1634"/>
      <c r="D26" s="1634"/>
      <c r="E26" s="1634"/>
      <c r="F26" s="1634"/>
      <c r="G26" s="1643"/>
      <c r="H26" s="1637">
        <f t="shared" ref="H26:H39" si="2">SUM(C26:G26)</f>
        <v>0</v>
      </c>
      <c r="I26" s="3530"/>
      <c r="J26" s="3530"/>
      <c r="K26" s="3530"/>
      <c r="L26" s="3530"/>
      <c r="M26" s="749"/>
    </row>
    <row r="27" spans="1:13" s="502" customFormat="1" ht="15.75" customHeight="1">
      <c r="A27" s="3163"/>
      <c r="B27" s="822" t="s">
        <v>984</v>
      </c>
      <c r="C27" s="1634"/>
      <c r="D27" s="1634"/>
      <c r="E27" s="1634"/>
      <c r="F27" s="1634"/>
      <c r="G27" s="1643"/>
      <c r="H27" s="1637">
        <f t="shared" si="2"/>
        <v>0</v>
      </c>
      <c r="I27" s="3530"/>
      <c r="J27" s="3530"/>
      <c r="K27" s="3530"/>
      <c r="L27" s="3530"/>
    </row>
    <row r="28" spans="1:13" s="502" customFormat="1" ht="15.75" customHeight="1">
      <c r="A28" s="3163"/>
      <c r="B28" s="822" t="s">
        <v>985</v>
      </c>
      <c r="C28" s="1634"/>
      <c r="D28" s="1634"/>
      <c r="E28" s="1634"/>
      <c r="F28" s="1634"/>
      <c r="G28" s="1643"/>
      <c r="H28" s="1637">
        <f t="shared" si="2"/>
        <v>0</v>
      </c>
      <c r="I28" s="3530"/>
      <c r="J28" s="3530"/>
      <c r="K28" s="3530"/>
      <c r="L28" s="3530"/>
    </row>
    <row r="29" spans="1:13" s="502" customFormat="1" ht="15.75" customHeight="1">
      <c r="A29" s="3163"/>
      <c r="B29" s="822" t="s">
        <v>986</v>
      </c>
      <c r="C29" s="1634"/>
      <c r="D29" s="1634"/>
      <c r="E29" s="1634"/>
      <c r="F29" s="1634"/>
      <c r="G29" s="1643"/>
      <c r="H29" s="1637">
        <f t="shared" si="2"/>
        <v>0</v>
      </c>
      <c r="I29" s="3107" t="s">
        <v>1639</v>
      </c>
      <c r="J29" s="3107"/>
      <c r="K29" s="3107"/>
      <c r="L29" s="3107"/>
      <c r="M29" s="587"/>
    </row>
    <row r="30" spans="1:13" s="502" customFormat="1" ht="15.75" customHeight="1">
      <c r="A30" s="3163"/>
      <c r="B30" s="822" t="s">
        <v>1640</v>
      </c>
      <c r="C30" s="1634"/>
      <c r="D30" s="1634"/>
      <c r="E30" s="1634"/>
      <c r="F30" s="1634"/>
      <c r="G30" s="1643"/>
      <c r="H30" s="1637">
        <f t="shared" si="2"/>
        <v>0</v>
      </c>
      <c r="I30" s="3107"/>
      <c r="J30" s="3107"/>
      <c r="K30" s="3107"/>
      <c r="L30" s="3107"/>
      <c r="M30" s="587"/>
    </row>
    <row r="31" spans="1:13" s="502" customFormat="1" ht="15.75" customHeight="1">
      <c r="A31" s="3163"/>
      <c r="B31" s="822" t="s">
        <v>1641</v>
      </c>
      <c r="C31" s="1634"/>
      <c r="D31" s="1634"/>
      <c r="E31" s="1634"/>
      <c r="F31" s="1634"/>
      <c r="G31" s="1643"/>
      <c r="H31" s="1637">
        <f t="shared" si="2"/>
        <v>0</v>
      </c>
      <c r="I31" s="3107"/>
      <c r="J31" s="3107"/>
      <c r="K31" s="3107"/>
      <c r="L31" s="3107"/>
      <c r="M31" s="587"/>
    </row>
    <row r="32" spans="1:13" s="502" customFormat="1" ht="15.75" customHeight="1">
      <c r="A32" s="3163"/>
      <c r="B32" s="822" t="s">
        <v>1642</v>
      </c>
      <c r="C32" s="1634"/>
      <c r="D32" s="1634"/>
      <c r="E32" s="1634"/>
      <c r="F32" s="1634"/>
      <c r="G32" s="1643"/>
      <c r="H32" s="1637">
        <f t="shared" si="2"/>
        <v>0</v>
      </c>
      <c r="I32" s="3107"/>
      <c r="J32" s="3107"/>
      <c r="K32" s="3107"/>
      <c r="L32" s="3107"/>
      <c r="M32" s="587"/>
    </row>
    <row r="33" spans="1:13" s="502" customFormat="1" ht="15.75" customHeight="1">
      <c r="A33" s="3163"/>
      <c r="B33" s="822" t="s">
        <v>1643</v>
      </c>
      <c r="C33" s="1634"/>
      <c r="D33" s="1634"/>
      <c r="E33" s="1634"/>
      <c r="F33" s="1634"/>
      <c r="G33" s="1643"/>
      <c r="H33" s="1637">
        <f t="shared" si="2"/>
        <v>0</v>
      </c>
      <c r="I33" s="3107"/>
      <c r="J33" s="3107"/>
      <c r="K33" s="3107"/>
      <c r="L33" s="3107"/>
      <c r="M33" s="587"/>
    </row>
    <row r="34" spans="1:13" s="502" customFormat="1" ht="15.75" customHeight="1">
      <c r="A34" s="3163"/>
      <c r="B34" s="821" t="s">
        <v>976</v>
      </c>
      <c r="C34" s="1634"/>
      <c r="D34" s="1634"/>
      <c r="E34" s="1634"/>
      <c r="F34" s="1634"/>
      <c r="G34" s="1643"/>
      <c r="H34" s="1637">
        <f t="shared" si="2"/>
        <v>0</v>
      </c>
      <c r="I34" s="3107"/>
      <c r="J34" s="3107"/>
      <c r="K34" s="3107"/>
      <c r="L34" s="3107"/>
      <c r="M34" s="587"/>
    </row>
    <row r="35" spans="1:13" s="502" customFormat="1" ht="15.75" customHeight="1">
      <c r="A35" s="3163"/>
      <c r="B35" s="822" t="s">
        <v>977</v>
      </c>
      <c r="C35" s="1634"/>
      <c r="D35" s="1634"/>
      <c r="E35" s="1634"/>
      <c r="F35" s="1634"/>
      <c r="G35" s="1643"/>
      <c r="H35" s="1637">
        <f t="shared" si="2"/>
        <v>0</v>
      </c>
      <c r="I35" s="3107"/>
      <c r="J35" s="3107"/>
      <c r="K35" s="3107"/>
      <c r="L35" s="3107"/>
      <c r="M35" s="587"/>
    </row>
    <row r="36" spans="1:13" s="502" customFormat="1" ht="15.75" customHeight="1">
      <c r="A36" s="3163"/>
      <c r="B36" s="822" t="s">
        <v>978</v>
      </c>
      <c r="C36" s="1634"/>
      <c r="D36" s="1634"/>
      <c r="E36" s="1634"/>
      <c r="F36" s="1634"/>
      <c r="G36" s="1643"/>
      <c r="H36" s="1637">
        <f t="shared" si="2"/>
        <v>0</v>
      </c>
      <c r="I36" s="3107"/>
      <c r="J36" s="3107"/>
      <c r="K36" s="3107"/>
      <c r="L36" s="3107"/>
      <c r="M36" s="587"/>
    </row>
    <row r="37" spans="1:13" s="502" customFormat="1" ht="15.75" customHeight="1">
      <c r="A37" s="3163"/>
      <c r="B37" s="158" t="s">
        <v>979</v>
      </c>
      <c r="C37" s="1638">
        <f>SUM(C25:C36)</f>
        <v>0</v>
      </c>
      <c r="D37" s="1638">
        <f>SUM(D25:D36)</f>
        <v>0</v>
      </c>
      <c r="E37" s="1638">
        <f>SUM(E25:E36)</f>
        <v>0</v>
      </c>
      <c r="F37" s="1638">
        <f>SUM(F25:F36)</f>
        <v>0</v>
      </c>
      <c r="G37" s="1638">
        <f>SUM(G25:G36)</f>
        <v>0</v>
      </c>
      <c r="H37" s="1637">
        <f t="shared" si="2"/>
        <v>0</v>
      </c>
      <c r="I37" s="3107"/>
      <c r="J37" s="3107"/>
      <c r="K37" s="3107"/>
      <c r="L37" s="3107"/>
      <c r="M37" s="587"/>
    </row>
    <row r="38" spans="1:13" s="502" customFormat="1" ht="15.75" customHeight="1">
      <c r="A38" s="3163"/>
      <c r="B38" s="2184" t="s">
        <v>6505</v>
      </c>
      <c r="C38" s="1796"/>
      <c r="D38" s="1797" t="s">
        <v>6506</v>
      </c>
      <c r="E38" s="1797" t="s">
        <v>6507</v>
      </c>
      <c r="F38" s="1797" t="s">
        <v>6507</v>
      </c>
      <c r="G38" s="1798" t="s">
        <v>6507</v>
      </c>
      <c r="H38" s="1789">
        <f>SUM(C38:G38)</f>
        <v>0</v>
      </c>
      <c r="I38" s="3107"/>
      <c r="J38" s="3107"/>
      <c r="K38" s="3107"/>
      <c r="L38" s="3107"/>
      <c r="M38" s="1722"/>
    </row>
    <row r="39" spans="1:13" s="502" customFormat="1" ht="15.75" customHeight="1">
      <c r="A39" s="3163"/>
      <c r="B39" s="158" t="s">
        <v>980</v>
      </c>
      <c r="C39" s="1634"/>
      <c r="D39" s="1634"/>
      <c r="E39" s="1634"/>
      <c r="F39" s="1634"/>
      <c r="G39" s="1634"/>
      <c r="H39" s="1637">
        <f t="shared" si="2"/>
        <v>0</v>
      </c>
      <c r="I39" s="3107"/>
      <c r="J39" s="3107"/>
      <c r="K39" s="3107"/>
      <c r="L39" s="3107"/>
      <c r="M39" s="587"/>
    </row>
    <row r="40" spans="1:13" s="502" customFormat="1" ht="15.75" customHeight="1">
      <c r="A40" s="3163"/>
      <c r="B40" s="140" t="s">
        <v>502</v>
      </c>
      <c r="C40" s="1639">
        <f t="shared" ref="C40:H40" si="3">C37+C39</f>
        <v>0</v>
      </c>
      <c r="D40" s="1639">
        <f t="shared" si="3"/>
        <v>0</v>
      </c>
      <c r="E40" s="1639">
        <f t="shared" si="3"/>
        <v>0</v>
      </c>
      <c r="F40" s="1639">
        <f t="shared" si="3"/>
        <v>0</v>
      </c>
      <c r="G40" s="1639">
        <f t="shared" si="3"/>
        <v>0</v>
      </c>
      <c r="H40" s="1640">
        <f t="shared" si="3"/>
        <v>0</v>
      </c>
      <c r="I40" s="3107"/>
      <c r="J40" s="3107"/>
      <c r="K40" s="3107"/>
      <c r="L40" s="3107"/>
    </row>
    <row r="41" spans="1:13" s="502" customFormat="1" ht="20.25" customHeight="1">
      <c r="A41" s="3163" t="s">
        <v>641</v>
      </c>
      <c r="B41" s="3163"/>
      <c r="C41" s="3532" t="str">
        <f>IF(其他业务!$C$18+主营收支!$H$20&lt;&gt;利润!$C$5,"营业收入账载数与报表数相差"&amp;DOLLAR(其他业务!$C$18+主营收支!$H$20-利润!$C$5,2)&amp;"元！","营业收入账载数与报表数相符！")</f>
        <v>营业收入账载数与报表数相符！</v>
      </c>
      <c r="D41" s="3532"/>
      <c r="E41" s="3532"/>
      <c r="F41" s="3532"/>
      <c r="G41" s="3532"/>
      <c r="H41" s="3532"/>
      <c r="I41" s="144"/>
      <c r="J41" s="144"/>
      <c r="K41" s="144"/>
      <c r="L41" s="144"/>
    </row>
    <row r="42" spans="1:13" s="502" customFormat="1" ht="20.25" customHeight="1">
      <c r="A42" s="3163"/>
      <c r="B42" s="3163"/>
      <c r="C42" s="3529" t="str">
        <f>IF(其他业务!$H$18+主营收支!$H$37&lt;&gt;利润!$C$6,"营业成本账载数与报表数相差"&amp;DOLLAR(其他业务!$H$18+主营收支!$H$37-利润!$C$6,2)&amp;"元！","营业成本账载数与报表数相符！")</f>
        <v>营业成本账载数与报表数相符！</v>
      </c>
      <c r="D42" s="3529"/>
      <c r="E42" s="3529"/>
      <c r="F42" s="3529"/>
      <c r="G42" s="3529"/>
      <c r="H42" s="3529"/>
      <c r="I42" s="144" t="s">
        <v>456</v>
      </c>
      <c r="J42" s="144"/>
      <c r="K42" s="144"/>
      <c r="L42" s="144"/>
    </row>
    <row r="43" spans="1:13" s="502" customFormat="1" ht="15" customHeight="1">
      <c r="A43" s="3147" t="s">
        <v>1323</v>
      </c>
      <c r="B43" s="3147"/>
      <c r="C43" s="3533" t="s">
        <v>1644</v>
      </c>
      <c r="D43" s="3533"/>
      <c r="E43" s="3531" t="str">
        <f>IF(OR(H20&lt;&gt;利润!C5,H37&lt;&gt;利润!C6),"、E","")</f>
        <v/>
      </c>
      <c r="F43" s="3531"/>
      <c r="G43" s="3531"/>
      <c r="H43" s="3531"/>
      <c r="I43" s="144" t="s">
        <v>1645</v>
      </c>
      <c r="J43" s="144"/>
      <c r="K43" s="144"/>
      <c r="L43" s="144"/>
    </row>
    <row r="44" spans="1:13" s="502" customFormat="1" ht="20.25" customHeight="1">
      <c r="A44" s="3147"/>
      <c r="B44" s="3147"/>
      <c r="C44" s="3534"/>
      <c r="D44" s="3534"/>
      <c r="E44" s="3534"/>
      <c r="F44" s="3534"/>
      <c r="G44" s="3534"/>
      <c r="H44" s="3534"/>
      <c r="I44" s="3107" t="s">
        <v>1646</v>
      </c>
      <c r="J44" s="3107"/>
      <c r="K44" s="3107"/>
      <c r="L44" s="3107"/>
    </row>
    <row r="45" spans="1:13" s="502" customFormat="1" ht="6.75" customHeight="1">
      <c r="A45" s="3147"/>
      <c r="B45" s="3147"/>
      <c r="C45" s="3534"/>
      <c r="D45" s="3534"/>
      <c r="E45" s="3534"/>
      <c r="F45" s="3534"/>
      <c r="G45" s="3534"/>
      <c r="H45" s="3534"/>
      <c r="I45" s="3107"/>
      <c r="J45" s="3107"/>
      <c r="K45" s="3107"/>
      <c r="L45" s="3107"/>
    </row>
    <row r="46" spans="1:13" s="502" customFormat="1" ht="12" customHeight="1">
      <c r="A46" s="3147"/>
      <c r="B46" s="3147"/>
      <c r="C46" s="3534"/>
      <c r="D46" s="3534"/>
      <c r="E46" s="3534"/>
      <c r="F46" s="3534"/>
      <c r="G46" s="3534"/>
      <c r="H46" s="3534"/>
      <c r="I46" s="3107" t="s">
        <v>1647</v>
      </c>
      <c r="J46" s="3107"/>
      <c r="K46" s="3107"/>
      <c r="L46" s="3107"/>
    </row>
    <row r="47" spans="1:13" s="502" customFormat="1" ht="20.25" customHeight="1">
      <c r="A47" s="3147"/>
      <c r="B47" s="3147"/>
      <c r="C47" s="3534"/>
      <c r="D47" s="3534"/>
      <c r="E47" s="3534"/>
      <c r="F47" s="3534"/>
      <c r="G47" s="3534"/>
      <c r="H47" s="3534"/>
      <c r="I47" s="3107"/>
      <c r="J47" s="3107"/>
      <c r="K47" s="3107"/>
      <c r="L47" s="3107"/>
    </row>
    <row r="48" spans="1:13" s="502" customFormat="1" ht="20.25" customHeight="1">
      <c r="A48" s="3528" t="s">
        <v>574</v>
      </c>
      <c r="B48" s="3528"/>
      <c r="C48" s="3529" t="str">
        <f>IF(AND(H22=0,H39=0),"不存在调整事项,认可！","调整后认可！")</f>
        <v>不存在调整事项,认可！</v>
      </c>
      <c r="D48" s="3529"/>
      <c r="E48" s="3529"/>
      <c r="F48" s="3529"/>
      <c r="G48" s="3529"/>
      <c r="H48" s="3529"/>
      <c r="I48" s="3142" t="s">
        <v>1648</v>
      </c>
      <c r="J48" s="3142"/>
      <c r="K48" s="3142"/>
      <c r="L48" s="3142"/>
    </row>
    <row r="49" spans="1:12" s="502" customFormat="1" ht="14.4">
      <c r="A49" s="771"/>
      <c r="B49" s="771"/>
      <c r="C49" s="771"/>
      <c r="D49" s="771"/>
      <c r="E49" s="771"/>
      <c r="F49" s="771"/>
      <c r="G49" s="771"/>
      <c r="H49" s="771"/>
      <c r="I49" s="3142"/>
      <c r="J49" s="3142"/>
      <c r="K49" s="3142"/>
      <c r="L49" s="3142"/>
    </row>
    <row r="50" spans="1:12" s="502" customFormat="1" ht="40.5" customHeight="1">
      <c r="A50" s="771"/>
      <c r="B50" s="771"/>
      <c r="C50" s="771"/>
      <c r="D50" s="771"/>
      <c r="E50" s="771"/>
      <c r="F50" s="771"/>
      <c r="G50" s="771"/>
      <c r="H50" s="771"/>
      <c r="I50" s="3142"/>
      <c r="J50" s="3142"/>
      <c r="K50" s="3142"/>
      <c r="L50" s="3142"/>
    </row>
    <row r="51" spans="1:12" s="502" customFormat="1" ht="33.75" customHeight="1">
      <c r="A51" s="771"/>
      <c r="B51" s="771"/>
      <c r="C51" s="771"/>
      <c r="D51" s="771"/>
      <c r="E51" s="771"/>
      <c r="F51" s="771"/>
      <c r="G51" s="771"/>
      <c r="H51" s="771"/>
      <c r="I51" s="3142" t="s">
        <v>1635</v>
      </c>
      <c r="J51" s="3142"/>
      <c r="K51" s="3142"/>
      <c r="L51" s="3142"/>
    </row>
    <row r="52" spans="1:12" s="502" customFormat="1" ht="43.5" customHeight="1">
      <c r="A52" s="771"/>
      <c r="B52" s="771"/>
      <c r="C52" s="771"/>
      <c r="D52" s="771"/>
      <c r="E52" s="771"/>
      <c r="F52" s="771"/>
      <c r="G52" s="771"/>
      <c r="H52" s="771"/>
      <c r="I52" s="3142"/>
      <c r="J52" s="3142"/>
      <c r="K52" s="3142"/>
      <c r="L52" s="3142"/>
    </row>
    <row r="53" spans="1:12" s="502" customFormat="1" ht="27.75" customHeight="1">
      <c r="A53" s="771"/>
      <c r="B53" s="771"/>
      <c r="C53" s="771"/>
      <c r="D53" s="771"/>
      <c r="E53" s="771"/>
      <c r="F53" s="771"/>
      <c r="G53" s="771"/>
      <c r="H53" s="771"/>
      <c r="I53" s="3142"/>
      <c r="J53" s="3142"/>
      <c r="K53" s="3142"/>
      <c r="L53" s="3142"/>
    </row>
    <row r="54" spans="1:12" s="502" customFormat="1" ht="27.75" customHeight="1">
      <c r="A54" s="771"/>
      <c r="B54" s="771"/>
      <c r="C54" s="771"/>
      <c r="D54" s="771"/>
      <c r="E54" s="771"/>
      <c r="F54" s="771"/>
      <c r="G54" s="771"/>
      <c r="H54" s="771"/>
      <c r="I54" s="3142"/>
      <c r="J54" s="3142"/>
      <c r="K54" s="3142"/>
      <c r="L54" s="3142"/>
    </row>
    <row r="55" spans="1:12" s="502" customFormat="1" ht="27.75" customHeight="1">
      <c r="A55" s="771"/>
      <c r="B55" s="771"/>
      <c r="C55" s="771"/>
      <c r="D55" s="771"/>
      <c r="E55" s="771"/>
      <c r="F55" s="771"/>
      <c r="G55" s="771"/>
      <c r="H55" s="771"/>
      <c r="I55" s="3142" t="s">
        <v>1636</v>
      </c>
      <c r="J55" s="3142"/>
      <c r="K55" s="3142"/>
      <c r="L55" s="3142"/>
    </row>
    <row r="56" spans="1:12" s="502" customFormat="1" ht="39" customHeight="1">
      <c r="A56" s="771"/>
      <c r="B56" s="771"/>
      <c r="C56" s="771"/>
      <c r="D56" s="771"/>
      <c r="E56" s="771"/>
      <c r="F56" s="771"/>
      <c r="G56" s="771"/>
      <c r="H56" s="771"/>
      <c r="I56" s="748"/>
      <c r="J56" s="748"/>
      <c r="K56" s="748"/>
      <c r="L56" s="748"/>
    </row>
    <row r="57" spans="1:12" s="502" customFormat="1" ht="27.75" customHeight="1">
      <c r="A57" s="771"/>
      <c r="B57" s="771"/>
      <c r="C57" s="771"/>
      <c r="D57" s="771"/>
      <c r="E57" s="771"/>
      <c r="F57" s="771"/>
      <c r="G57" s="771"/>
      <c r="H57" s="771"/>
      <c r="I57" s="815"/>
      <c r="J57" s="144"/>
      <c r="K57" s="144"/>
      <c r="L57" s="144"/>
    </row>
    <row r="58" spans="1:12" s="502" customFormat="1" ht="44.25" customHeight="1">
      <c r="A58" s="771"/>
      <c r="B58" s="771"/>
      <c r="C58" s="771"/>
      <c r="D58" s="771"/>
      <c r="E58" s="771"/>
      <c r="F58" s="771"/>
      <c r="G58" s="771"/>
      <c r="H58" s="771"/>
      <c r="I58" s="815"/>
      <c r="J58" s="144"/>
      <c r="K58" s="144"/>
      <c r="L58" s="144"/>
    </row>
    <row r="59" spans="1:12" s="502" customFormat="1" ht="46.5" customHeight="1">
      <c r="A59" s="771"/>
      <c r="B59" s="771"/>
      <c r="C59" s="771"/>
      <c r="D59" s="771"/>
      <c r="E59" s="771"/>
      <c r="F59" s="771"/>
      <c r="G59" s="771"/>
      <c r="H59" s="771"/>
      <c r="I59" s="815"/>
      <c r="J59" s="144"/>
      <c r="K59" s="144"/>
      <c r="L59" s="144"/>
    </row>
    <row r="60" spans="1:12" s="502" customFormat="1" ht="30" customHeight="1">
      <c r="A60" s="771"/>
      <c r="B60" s="771"/>
      <c r="C60" s="771"/>
      <c r="D60" s="771"/>
      <c r="E60" s="771"/>
      <c r="F60" s="771"/>
      <c r="G60" s="771"/>
      <c r="H60" s="771"/>
      <c r="I60" s="815"/>
      <c r="J60" s="144"/>
      <c r="K60" s="144"/>
      <c r="L60" s="144"/>
    </row>
    <row r="61" spans="1:12" s="502" customFormat="1" ht="22.5" customHeight="1">
      <c r="A61" s="771"/>
      <c r="B61" s="771"/>
      <c r="C61" s="771"/>
      <c r="D61" s="771"/>
      <c r="E61" s="771"/>
      <c r="F61" s="771"/>
      <c r="G61" s="771"/>
      <c r="H61" s="771"/>
      <c r="I61" s="687"/>
    </row>
    <row r="62" spans="1:12" s="502" customFormat="1" ht="22.5" customHeight="1">
      <c r="A62" s="771"/>
      <c r="B62" s="771"/>
      <c r="C62" s="771"/>
      <c r="D62" s="771"/>
      <c r="E62" s="771"/>
      <c r="F62" s="771"/>
      <c r="G62" s="771"/>
      <c r="H62" s="771"/>
      <c r="I62" s="687"/>
    </row>
    <row r="63" spans="1:12" s="502" customFormat="1" ht="22.5" customHeight="1">
      <c r="A63" s="771"/>
      <c r="B63" s="771"/>
      <c r="C63" s="771"/>
      <c r="D63" s="771"/>
      <c r="E63" s="771"/>
      <c r="F63" s="771"/>
      <c r="G63" s="771"/>
      <c r="H63" s="771"/>
      <c r="I63" s="687"/>
    </row>
    <row r="64" spans="1:12" s="502" customFormat="1" ht="22.5" customHeight="1">
      <c r="A64" s="771"/>
      <c r="B64" s="771"/>
      <c r="C64" s="771"/>
      <c r="D64" s="771"/>
      <c r="E64" s="771"/>
      <c r="F64" s="771"/>
      <c r="G64" s="771"/>
      <c r="H64" s="771"/>
      <c r="I64" s="687"/>
    </row>
    <row r="65" spans="1:9" s="502" customFormat="1" ht="22.5" customHeight="1">
      <c r="A65" s="771"/>
      <c r="B65" s="771"/>
      <c r="C65" s="771"/>
      <c r="D65" s="771"/>
      <c r="E65" s="771"/>
      <c r="F65" s="771"/>
      <c r="G65" s="771"/>
      <c r="H65" s="771"/>
      <c r="I65" s="687"/>
    </row>
    <row r="66" spans="1:9" s="502" customFormat="1" ht="22.5" customHeight="1">
      <c r="A66" s="771"/>
      <c r="B66" s="771"/>
      <c r="C66" s="771"/>
      <c r="D66" s="771"/>
      <c r="E66" s="771"/>
      <c r="F66" s="771"/>
      <c r="G66" s="771"/>
      <c r="H66" s="771"/>
      <c r="I66" s="687"/>
    </row>
    <row r="67" spans="1:9" s="502" customFormat="1" ht="22.5" customHeight="1">
      <c r="A67" s="771"/>
      <c r="B67" s="771"/>
      <c r="C67" s="771"/>
      <c r="D67" s="771"/>
      <c r="E67" s="771"/>
      <c r="F67" s="771"/>
      <c r="G67" s="771"/>
      <c r="H67" s="771"/>
      <c r="I67" s="687"/>
    </row>
    <row r="68" spans="1:9" s="502" customFormat="1" ht="22.5" customHeight="1">
      <c r="A68" s="771"/>
      <c r="B68" s="771"/>
      <c r="C68" s="771"/>
      <c r="D68" s="771"/>
      <c r="E68" s="771"/>
      <c r="F68" s="771"/>
      <c r="G68" s="771"/>
      <c r="H68" s="771"/>
      <c r="I68" s="687"/>
    </row>
    <row r="69" spans="1:9" s="502" customFormat="1" ht="22.5" customHeight="1">
      <c r="A69" s="771"/>
      <c r="B69" s="771"/>
      <c r="C69" s="771"/>
      <c r="D69" s="771"/>
      <c r="E69" s="771"/>
      <c r="F69" s="771"/>
      <c r="G69" s="771"/>
      <c r="H69" s="771"/>
      <c r="I69" s="687"/>
    </row>
    <row r="70" spans="1:9" s="502" customFormat="1" ht="22.5" customHeight="1">
      <c r="A70" s="771"/>
      <c r="B70" s="771"/>
      <c r="C70" s="771"/>
      <c r="D70" s="771"/>
      <c r="E70" s="771"/>
      <c r="F70" s="771"/>
      <c r="G70" s="771"/>
      <c r="H70" s="771"/>
      <c r="I70" s="687"/>
    </row>
    <row r="71" spans="1:9" s="502" customFormat="1" ht="22.5" customHeight="1">
      <c r="A71" s="771"/>
      <c r="B71" s="771"/>
      <c r="C71" s="771"/>
      <c r="D71" s="771"/>
      <c r="E71" s="771"/>
      <c r="F71" s="771"/>
      <c r="G71" s="771"/>
      <c r="H71" s="771"/>
      <c r="I71" s="687"/>
    </row>
    <row r="72" spans="1:9" s="502" customFormat="1" ht="22.5" customHeight="1">
      <c r="A72" s="771"/>
      <c r="B72" s="771"/>
      <c r="C72" s="771"/>
      <c r="D72" s="771"/>
      <c r="E72" s="771"/>
      <c r="F72" s="771"/>
      <c r="G72" s="771"/>
      <c r="H72" s="771"/>
      <c r="I72" s="687"/>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selectUnlockedCells="1"/>
  <mergeCells count="28">
    <mergeCell ref="A6:H6"/>
    <mergeCell ref="A1:H1"/>
    <mergeCell ref="A3:B4"/>
    <mergeCell ref="C3:D4"/>
    <mergeCell ref="A5:B5"/>
    <mergeCell ref="C5:D5"/>
    <mergeCell ref="F5:G5"/>
    <mergeCell ref="F4:G4"/>
    <mergeCell ref="F3:G3"/>
    <mergeCell ref="A7:B7"/>
    <mergeCell ref="A8:A23"/>
    <mergeCell ref="I46:L47"/>
    <mergeCell ref="I15:L28"/>
    <mergeCell ref="A25:A40"/>
    <mergeCell ref="I29:L40"/>
    <mergeCell ref="I44:L45"/>
    <mergeCell ref="E43:H43"/>
    <mergeCell ref="A41:B42"/>
    <mergeCell ref="C41:H41"/>
    <mergeCell ref="C42:H42"/>
    <mergeCell ref="A43:B47"/>
    <mergeCell ref="C43:D43"/>
    <mergeCell ref="C44:H47"/>
    <mergeCell ref="I48:L50"/>
    <mergeCell ref="A48:B48"/>
    <mergeCell ref="C48:H48"/>
    <mergeCell ref="I51:L54"/>
    <mergeCell ref="I55:L55"/>
  </mergeCells>
  <phoneticPr fontId="51" type="noConversion"/>
  <dataValidations count="2">
    <dataValidation allowBlank="1" showErrorMessage="1" sqref="F4">
      <formula1>0</formula1>
      <formula2>0</formula2>
    </dataValidation>
    <dataValidation allowBlank="1" showErrorMessage="1" promptTitle="存在调整事项时" prompt="_x000a_选择 “E”" sqref="E43:H43">
      <formula1>0</formula1>
      <formula2>0</formula2>
    </dataValidation>
  </dataValidations>
  <hyperlinks>
    <hyperlink ref="I5" location="纳税申报数据!A1" display="纳税申报数据"/>
    <hyperlink ref="I8" location="主营税金!A1" display="主营税金审核表"/>
    <hyperlink ref="I9" location="收入与申报核对表!A1" display="收入与申报核对表"/>
    <hyperlink ref="I10" location="收入明细表!A1" display="收入明细表"/>
    <hyperlink ref="I11" location="利润!A1" display="利润及利润分配表"/>
    <hyperlink ref="I12" location="企业各税审核汇总表!A1" display="企业各税审核汇总表"/>
    <hyperlink ref="I13" location="成本费用明细表!A1" display="成本费用明细表!A1"/>
  </hyperlinks>
  <pageMargins left="0.78740157480314998" right="0.35433070866141703" top="0.511811023622047" bottom="0.11811023622047198" header="0.511811023622047" footer="0.511811023622047"/>
  <pageSetup paperSize="9" scale="97" firstPageNumber="0" fitToHeight="0" orientation="portrait" blackAndWhite="1"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N28"/>
  <sheetViews>
    <sheetView workbookViewId="0">
      <selection activeCell="F17" sqref="F17"/>
    </sheetView>
  </sheetViews>
  <sheetFormatPr defaultColWidth="9" defaultRowHeight="12"/>
  <cols>
    <col min="1" max="1" width="3.09765625" style="502" customWidth="1"/>
    <col min="2" max="2" width="1.8984375" style="502" customWidth="1"/>
    <col min="3" max="3" width="25.5" style="502" customWidth="1"/>
    <col min="4" max="11" width="11.59765625" style="502" customWidth="1"/>
    <col min="12" max="12" width="27.19921875" style="502" customWidth="1"/>
    <col min="13" max="16384" width="9" style="502"/>
  </cols>
  <sheetData>
    <row r="1" spans="1:14" ht="33.75" customHeight="1">
      <c r="A1" s="2729" t="s">
        <v>300</v>
      </c>
      <c r="B1" s="2729"/>
      <c r="C1" s="2729"/>
      <c r="D1" s="2729"/>
      <c r="E1" s="2729"/>
      <c r="F1" s="2729"/>
      <c r="G1" s="2729"/>
      <c r="H1" s="2729"/>
      <c r="I1" s="2729"/>
      <c r="J1" s="2729"/>
      <c r="K1" s="2729"/>
      <c r="L1" s="3548"/>
      <c r="M1" s="144"/>
      <c r="N1" s="144"/>
    </row>
    <row r="2" spans="1:14" ht="15" customHeight="1">
      <c r="A2" s="3147" t="s">
        <v>237</v>
      </c>
      <c r="B2" s="3147"/>
      <c r="C2" s="2928">
        <f>主营收支!C3</f>
        <v>0</v>
      </c>
      <c r="D2" s="2928"/>
      <c r="E2" s="2928"/>
      <c r="F2" s="2928"/>
      <c r="G2" s="2928"/>
      <c r="H2" s="825"/>
      <c r="I2" s="136" t="s">
        <v>1282</v>
      </c>
      <c r="J2" s="136" t="s">
        <v>1053</v>
      </c>
      <c r="K2" s="485" t="s">
        <v>283</v>
      </c>
      <c r="L2" s="3548"/>
      <c r="M2" s="144"/>
      <c r="N2" s="144"/>
    </row>
    <row r="3" spans="1:14" ht="15" customHeight="1">
      <c r="A3" s="3147"/>
      <c r="B3" s="3147"/>
      <c r="C3" s="2928"/>
      <c r="D3" s="2928"/>
      <c r="E3" s="2928"/>
      <c r="F3" s="2928"/>
      <c r="G3" s="2928"/>
      <c r="H3" s="158" t="s">
        <v>450</v>
      </c>
      <c r="I3" s="510">
        <f>基本情况!B12</f>
        <v>0</v>
      </c>
      <c r="J3" s="559" t="str">
        <f>TEXT(基本情况!B21,"yyyy-mm-dd")</f>
        <v>2017-03-16</v>
      </c>
      <c r="K3" s="3549" t="str">
        <f>档案索引!D23</f>
        <v>3-2</v>
      </c>
      <c r="L3" s="3548"/>
      <c r="M3" s="144"/>
      <c r="N3" s="144"/>
    </row>
    <row r="4" spans="1:14" ht="15" customHeight="1">
      <c r="A4" s="3172" t="s">
        <v>238</v>
      </c>
      <c r="B4" s="3172"/>
      <c r="C4" s="2930" t="str">
        <f>主营收支!C5</f>
        <v>2016年01月01日至2016年12月31日</v>
      </c>
      <c r="D4" s="2930"/>
      <c r="E4" s="2930"/>
      <c r="F4" s="2930"/>
      <c r="G4" s="2930"/>
      <c r="H4" s="140" t="s">
        <v>452</v>
      </c>
      <c r="I4" s="513">
        <f>基本情况!B11</f>
        <v>0</v>
      </c>
      <c r="J4" s="513" t="str">
        <f>TEXT(基本情况!B22,"yyyy-mm-dd")</f>
        <v>2017-05-04</v>
      </c>
      <c r="K4" s="3549"/>
      <c r="L4" s="3548"/>
      <c r="M4" s="144"/>
      <c r="N4" s="144"/>
    </row>
    <row r="5" spans="1:14" ht="7.5" customHeight="1">
      <c r="A5" s="2926"/>
      <c r="B5" s="2926"/>
      <c r="C5" s="2926"/>
      <c r="D5" s="2926"/>
      <c r="E5" s="2926"/>
      <c r="F5" s="2926"/>
      <c r="G5" s="2926"/>
      <c r="H5" s="2926"/>
      <c r="I5" s="2926"/>
      <c r="J5" s="2926"/>
      <c r="K5" s="2926"/>
      <c r="L5" s="3548"/>
      <c r="M5" s="144"/>
      <c r="N5" s="144"/>
    </row>
    <row r="6" spans="1:14" ht="18" customHeight="1">
      <c r="A6" s="3051" t="s">
        <v>665</v>
      </c>
      <c r="B6" s="3051"/>
      <c r="C6" s="3063" t="s">
        <v>239</v>
      </c>
      <c r="D6" s="2929" t="s">
        <v>240</v>
      </c>
      <c r="E6" s="2929"/>
      <c r="F6" s="2929"/>
      <c r="G6" s="3063" t="s">
        <v>241</v>
      </c>
      <c r="H6" s="3064" t="s">
        <v>242</v>
      </c>
      <c r="I6" s="3064" t="s">
        <v>1491</v>
      </c>
      <c r="J6" s="3064" t="s">
        <v>243</v>
      </c>
      <c r="K6" s="2995" t="s">
        <v>244</v>
      </c>
      <c r="L6" s="90" t="s">
        <v>395</v>
      </c>
      <c r="M6" s="144"/>
      <c r="N6" s="144"/>
    </row>
    <row r="7" spans="1:14" ht="18" customHeight="1">
      <c r="A7" s="3051"/>
      <c r="B7" s="3051"/>
      <c r="C7" s="3063"/>
      <c r="D7" s="140" t="s">
        <v>245</v>
      </c>
      <c r="E7" s="826" t="s">
        <v>246</v>
      </c>
      <c r="F7" s="140" t="s">
        <v>247</v>
      </c>
      <c r="G7" s="3063"/>
      <c r="H7" s="3064"/>
      <c r="I7" s="3064"/>
      <c r="J7" s="3064"/>
      <c r="K7" s="2995"/>
      <c r="L7" s="232" t="s">
        <v>653</v>
      </c>
      <c r="M7" s="144"/>
      <c r="N7" s="144"/>
    </row>
    <row r="8" spans="1:14" ht="14.4" customHeight="1">
      <c r="A8" s="3163" t="s">
        <v>12</v>
      </c>
      <c r="B8" s="509">
        <v>1</v>
      </c>
      <c r="C8" s="509" t="s">
        <v>248</v>
      </c>
      <c r="D8" s="1165"/>
      <c r="E8" s="1165"/>
      <c r="F8" s="1166"/>
      <c r="G8" s="827">
        <f>纳税申报数据!D6</f>
        <v>0</v>
      </c>
      <c r="H8" s="827">
        <f>G8-D8-E8-F8</f>
        <v>0</v>
      </c>
      <c r="I8" s="1166"/>
      <c r="J8" s="827">
        <f t="shared" ref="J8:J23" si="0">D8+E8+F8+I8</f>
        <v>0</v>
      </c>
      <c r="K8" s="1701"/>
      <c r="L8" s="493" t="s">
        <v>249</v>
      </c>
      <c r="M8" s="144"/>
      <c r="N8" s="144"/>
    </row>
    <row r="9" spans="1:14" ht="14.4" customHeight="1">
      <c r="A9" s="3163"/>
      <c r="B9" s="828">
        <v>2</v>
      </c>
      <c r="C9" s="828" t="s">
        <v>6111</v>
      </c>
      <c r="D9" s="1121"/>
      <c r="E9" s="1121"/>
      <c r="F9" s="1121"/>
      <c r="G9" s="588">
        <f>纳税申报数据!F23</f>
        <v>0</v>
      </c>
      <c r="H9" s="588">
        <f>G9-D9-E9-F9</f>
        <v>0</v>
      </c>
      <c r="I9" s="1121"/>
      <c r="J9" s="588">
        <f t="shared" si="0"/>
        <v>0</v>
      </c>
      <c r="K9" s="694" t="s">
        <v>509</v>
      </c>
      <c r="L9" s="232" t="s">
        <v>673</v>
      </c>
      <c r="M9" s="144"/>
      <c r="N9" s="144"/>
    </row>
    <row r="10" spans="1:14" ht="14.4" customHeight="1">
      <c r="A10" s="3163"/>
      <c r="B10" s="828">
        <v>3</v>
      </c>
      <c r="C10" s="828" t="s">
        <v>250</v>
      </c>
      <c r="D10" s="1121"/>
      <c r="E10" s="829">
        <f>纳税申报数据!H18</f>
        <v>0</v>
      </c>
      <c r="F10" s="1121"/>
      <c r="G10" s="588">
        <f>纳税申报数据!H23</f>
        <v>0</v>
      </c>
      <c r="H10" s="588">
        <f>G10-D10-E10-F10</f>
        <v>0</v>
      </c>
      <c r="I10" s="1121"/>
      <c r="J10" s="588">
        <f t="shared" si="0"/>
        <v>0</v>
      </c>
      <c r="K10" s="1700"/>
      <c r="L10" s="493" t="s">
        <v>676</v>
      </c>
      <c r="M10" s="144"/>
      <c r="N10" s="144"/>
    </row>
    <row r="11" spans="1:14" ht="14.4" customHeight="1">
      <c r="A11" s="3163"/>
      <c r="B11" s="828">
        <v>4</v>
      </c>
      <c r="C11" s="828" t="s">
        <v>251</v>
      </c>
      <c r="D11" s="1121"/>
      <c r="E11" s="1121"/>
      <c r="F11" s="1121"/>
      <c r="G11" s="588">
        <f>纳税申报数据!D9+纳税申报数据!D8</f>
        <v>0</v>
      </c>
      <c r="H11" s="588">
        <f>G11-D11-E11-F11</f>
        <v>0</v>
      </c>
      <c r="I11" s="1121"/>
      <c r="J11" s="588">
        <f t="shared" si="0"/>
        <v>0</v>
      </c>
      <c r="K11" s="694" t="s">
        <v>509</v>
      </c>
      <c r="L11" s="232" t="s">
        <v>296</v>
      </c>
      <c r="M11" s="144"/>
      <c r="N11" s="144"/>
    </row>
    <row r="12" spans="1:14" ht="14.4" customHeight="1">
      <c r="A12" s="3163"/>
      <c r="B12" s="830">
        <v>5</v>
      </c>
      <c r="C12" s="830" t="s">
        <v>247</v>
      </c>
      <c r="D12" s="1123"/>
      <c r="E12" s="1123"/>
      <c r="F12" s="1123"/>
      <c r="G12" s="1167"/>
      <c r="H12" s="588">
        <f>G12-D12-E12-F12</f>
        <v>0</v>
      </c>
      <c r="I12" s="1123"/>
      <c r="J12" s="588">
        <f t="shared" si="0"/>
        <v>0</v>
      </c>
      <c r="K12" s="694" t="s">
        <v>509</v>
      </c>
      <c r="L12" s="232" t="s">
        <v>252</v>
      </c>
      <c r="M12" s="144"/>
      <c r="N12" s="144"/>
    </row>
    <row r="13" spans="1:14" ht="18" customHeight="1">
      <c r="A13" s="3163"/>
      <c r="B13" s="831"/>
      <c r="C13" s="140" t="s">
        <v>1280</v>
      </c>
      <c r="D13" s="823">
        <f t="shared" ref="D13:J13" si="1">SUM(D8:D12)</f>
        <v>0</v>
      </c>
      <c r="E13" s="823">
        <f t="shared" si="1"/>
        <v>0</v>
      </c>
      <c r="F13" s="823">
        <f t="shared" si="1"/>
        <v>0</v>
      </c>
      <c r="G13" s="823">
        <f t="shared" si="1"/>
        <v>0</v>
      </c>
      <c r="H13" s="823">
        <f t="shared" si="1"/>
        <v>0</v>
      </c>
      <c r="I13" s="823">
        <f t="shared" si="1"/>
        <v>0</v>
      </c>
      <c r="J13" s="823">
        <f t="shared" si="1"/>
        <v>0</v>
      </c>
      <c r="K13" s="694" t="s">
        <v>509</v>
      </c>
      <c r="L13" s="232" t="s">
        <v>679</v>
      </c>
      <c r="M13" s="144"/>
      <c r="N13" s="144"/>
    </row>
    <row r="14" spans="1:14" ht="14.4" customHeight="1">
      <c r="A14" s="3163" t="s">
        <v>1270</v>
      </c>
      <c r="B14" s="509">
        <v>1</v>
      </c>
      <c r="C14" s="832" t="s">
        <v>253</v>
      </c>
      <c r="D14" s="1166"/>
      <c r="E14" s="1166"/>
      <c r="F14" s="1166"/>
      <c r="G14" s="833">
        <f t="shared" ref="G14:G21" si="2">SUM(D14:F14)-K14</f>
        <v>0</v>
      </c>
      <c r="H14" s="833">
        <f t="shared" ref="H14:H23" si="3">G14-D14-E14-F14</f>
        <v>0</v>
      </c>
      <c r="I14" s="1168"/>
      <c r="J14" s="833">
        <f t="shared" si="0"/>
        <v>0</v>
      </c>
      <c r="K14" s="1169"/>
      <c r="L14" s="232" t="s">
        <v>642</v>
      </c>
      <c r="M14" s="144"/>
      <c r="N14" s="144"/>
    </row>
    <row r="15" spans="1:14" ht="14.4" customHeight="1">
      <c r="A15" s="3163"/>
      <c r="B15" s="834"/>
      <c r="C15" s="828" t="s">
        <v>254</v>
      </c>
      <c r="D15" s="1119"/>
      <c r="E15" s="1119"/>
      <c r="F15" s="1119"/>
      <c r="G15" s="588">
        <f t="shared" si="2"/>
        <v>0</v>
      </c>
      <c r="H15" s="588">
        <f t="shared" si="3"/>
        <v>0</v>
      </c>
      <c r="I15" s="1121"/>
      <c r="J15" s="588">
        <f t="shared" si="0"/>
        <v>0</v>
      </c>
      <c r="K15" s="1170"/>
      <c r="L15" s="232"/>
      <c r="M15" s="144"/>
      <c r="N15" s="144"/>
    </row>
    <row r="16" spans="1:14" ht="14.4" customHeight="1">
      <c r="A16" s="3163"/>
      <c r="B16" s="834">
        <v>2</v>
      </c>
      <c r="C16" s="828" t="s">
        <v>255</v>
      </c>
      <c r="D16" s="1119"/>
      <c r="E16" s="1119"/>
      <c r="F16" s="1119"/>
      <c r="G16" s="588">
        <f t="shared" si="2"/>
        <v>0</v>
      </c>
      <c r="H16" s="588">
        <f t="shared" si="3"/>
        <v>0</v>
      </c>
      <c r="I16" s="1121"/>
      <c r="J16" s="588">
        <f t="shared" si="0"/>
        <v>0</v>
      </c>
      <c r="K16" s="1170"/>
      <c r="L16" s="232"/>
      <c r="M16" s="144"/>
      <c r="N16" s="144"/>
    </row>
    <row r="17" spans="1:14" ht="14.4" customHeight="1">
      <c r="A17" s="3163"/>
      <c r="B17" s="828">
        <v>3</v>
      </c>
      <c r="C17" s="828" t="s">
        <v>256</v>
      </c>
      <c r="D17" s="1121"/>
      <c r="E17" s="1121"/>
      <c r="F17" s="1121"/>
      <c r="G17" s="588">
        <f t="shared" si="2"/>
        <v>0</v>
      </c>
      <c r="H17" s="588">
        <f t="shared" si="3"/>
        <v>0</v>
      </c>
      <c r="I17" s="1121"/>
      <c r="J17" s="588">
        <f t="shared" si="0"/>
        <v>0</v>
      </c>
      <c r="K17" s="1106"/>
      <c r="L17" s="232"/>
      <c r="M17" s="144"/>
      <c r="N17" s="144"/>
    </row>
    <row r="18" spans="1:14" ht="14.4" customHeight="1">
      <c r="A18" s="3163"/>
      <c r="B18" s="828"/>
      <c r="C18" s="158" t="s">
        <v>257</v>
      </c>
      <c r="D18" s="1121"/>
      <c r="E18" s="1121"/>
      <c r="F18" s="1121"/>
      <c r="G18" s="588">
        <f t="shared" si="2"/>
        <v>0</v>
      </c>
      <c r="H18" s="588">
        <f t="shared" si="3"/>
        <v>0</v>
      </c>
      <c r="I18" s="1121"/>
      <c r="J18" s="588">
        <f t="shared" si="0"/>
        <v>0</v>
      </c>
      <c r="K18" s="1106"/>
      <c r="L18" s="232"/>
      <c r="M18" s="144"/>
      <c r="N18" s="144"/>
    </row>
    <row r="19" spans="1:14" ht="14.4" customHeight="1">
      <c r="A19" s="3163"/>
      <c r="B19" s="828"/>
      <c r="C19" s="158" t="s">
        <v>5913</v>
      </c>
      <c r="D19" s="1121"/>
      <c r="E19" s="1121"/>
      <c r="F19" s="1121"/>
      <c r="G19" s="588">
        <f t="shared" si="2"/>
        <v>0</v>
      </c>
      <c r="H19" s="588">
        <f t="shared" si="3"/>
        <v>0</v>
      </c>
      <c r="I19" s="1121"/>
      <c r="J19" s="588">
        <f t="shared" si="0"/>
        <v>0</v>
      </c>
      <c r="K19" s="1106"/>
      <c r="L19" s="232"/>
      <c r="M19" s="144"/>
      <c r="N19" s="144"/>
    </row>
    <row r="20" spans="1:14" ht="14.4" customHeight="1">
      <c r="A20" s="3163"/>
      <c r="B20" s="828">
        <v>4</v>
      </c>
      <c r="C20" s="828" t="s">
        <v>258</v>
      </c>
      <c r="D20" s="1121"/>
      <c r="E20" s="1121"/>
      <c r="F20" s="1121"/>
      <c r="G20" s="588">
        <f t="shared" si="2"/>
        <v>0</v>
      </c>
      <c r="H20" s="588">
        <f t="shared" si="3"/>
        <v>0</v>
      </c>
      <c r="I20" s="1121"/>
      <c r="J20" s="588">
        <f t="shared" si="0"/>
        <v>0</v>
      </c>
      <c r="K20" s="1106"/>
      <c r="L20" s="144"/>
      <c r="M20" s="144"/>
      <c r="N20" s="144"/>
    </row>
    <row r="21" spans="1:14" ht="14.4" customHeight="1">
      <c r="A21" s="3163"/>
      <c r="B21" s="828">
        <v>5</v>
      </c>
      <c r="C21" s="828" t="s">
        <v>259</v>
      </c>
      <c r="D21" s="1121"/>
      <c r="E21" s="1121"/>
      <c r="F21" s="1121"/>
      <c r="G21" s="588">
        <f t="shared" si="2"/>
        <v>0</v>
      </c>
      <c r="H21" s="588">
        <f t="shared" si="3"/>
        <v>0</v>
      </c>
      <c r="I21" s="1121"/>
      <c r="J21" s="588">
        <f t="shared" si="0"/>
        <v>0</v>
      </c>
      <c r="K21" s="1107"/>
      <c r="L21" s="144" t="s">
        <v>456</v>
      </c>
      <c r="M21" s="144"/>
      <c r="N21" s="144"/>
    </row>
    <row r="22" spans="1:14" ht="14.4" customHeight="1">
      <c r="A22" s="3163"/>
      <c r="B22" s="828">
        <v>6</v>
      </c>
      <c r="C22" s="828" t="s">
        <v>251</v>
      </c>
      <c r="D22" s="1121"/>
      <c r="E22" s="1121"/>
      <c r="F22" s="1121"/>
      <c r="G22" s="588">
        <f>SUM(D22:F22)</f>
        <v>0</v>
      </c>
      <c r="H22" s="588">
        <f t="shared" si="3"/>
        <v>0</v>
      </c>
      <c r="I22" s="1121"/>
      <c r="J22" s="588">
        <f t="shared" si="0"/>
        <v>0</v>
      </c>
      <c r="K22" s="694" t="s">
        <v>509</v>
      </c>
      <c r="L22" s="835"/>
      <c r="M22" s="144"/>
      <c r="N22" s="144"/>
    </row>
    <row r="23" spans="1:14" ht="14.4" customHeight="1">
      <c r="A23" s="3163"/>
      <c r="B23" s="828">
        <v>7</v>
      </c>
      <c r="C23" s="830" t="s">
        <v>247</v>
      </c>
      <c r="D23" s="1123"/>
      <c r="E23" s="1123"/>
      <c r="F23" s="1123"/>
      <c r="G23" s="1167"/>
      <c r="H23" s="588">
        <f t="shared" si="3"/>
        <v>0</v>
      </c>
      <c r="I23" s="1123"/>
      <c r="J23" s="588">
        <f t="shared" si="0"/>
        <v>0</v>
      </c>
      <c r="K23" s="1171"/>
      <c r="L23" s="835"/>
      <c r="M23" s="144"/>
      <c r="N23" s="144"/>
    </row>
    <row r="24" spans="1:14" ht="19.5" customHeight="1">
      <c r="A24" s="3163"/>
      <c r="B24" s="2931" t="s">
        <v>1280</v>
      </c>
      <c r="C24" s="2931"/>
      <c r="D24" s="823">
        <f t="shared" ref="D24:J24" si="4">SUM(D14:D17)+SUM(D20:D23)</f>
        <v>0</v>
      </c>
      <c r="E24" s="823">
        <f t="shared" si="4"/>
        <v>0</v>
      </c>
      <c r="F24" s="823">
        <f t="shared" si="4"/>
        <v>0</v>
      </c>
      <c r="G24" s="823">
        <f t="shared" si="4"/>
        <v>0</v>
      </c>
      <c r="H24" s="823">
        <f t="shared" si="4"/>
        <v>0</v>
      </c>
      <c r="I24" s="823">
        <f t="shared" si="4"/>
        <v>0</v>
      </c>
      <c r="J24" s="823">
        <f t="shared" si="4"/>
        <v>0</v>
      </c>
      <c r="K24" s="596">
        <f>SUM(K14:K17)+SUM(K20:K21)+K23</f>
        <v>0</v>
      </c>
      <c r="L24" s="835"/>
      <c r="M24" s="144"/>
      <c r="N24" s="144"/>
    </row>
    <row r="25" spans="1:14" ht="18" customHeight="1">
      <c r="A25" s="3051" t="s">
        <v>702</v>
      </c>
      <c r="B25" s="3051"/>
      <c r="C25" s="3051"/>
      <c r="D25" s="590">
        <f t="shared" ref="D25:J25" si="5">D13+D24</f>
        <v>0</v>
      </c>
      <c r="E25" s="590">
        <f t="shared" si="5"/>
        <v>0</v>
      </c>
      <c r="F25" s="590">
        <f t="shared" si="5"/>
        <v>0</v>
      </c>
      <c r="G25" s="590">
        <f t="shared" si="5"/>
        <v>0</v>
      </c>
      <c r="H25" s="590">
        <f t="shared" si="5"/>
        <v>0</v>
      </c>
      <c r="I25" s="590">
        <f t="shared" si="5"/>
        <v>0</v>
      </c>
      <c r="J25" s="590">
        <f t="shared" si="5"/>
        <v>0</v>
      </c>
      <c r="K25" s="533">
        <f>K24</f>
        <v>0</v>
      </c>
      <c r="L25" s="836"/>
      <c r="M25" s="144"/>
      <c r="N25" s="144"/>
    </row>
    <row r="26" spans="1:14" ht="18" customHeight="1">
      <c r="A26" s="3176" t="s">
        <v>260</v>
      </c>
      <c r="B26" s="3176"/>
      <c r="C26" s="3176"/>
      <c r="D26" s="3544" t="str">
        <f>IF(AND(D13&lt;&gt;0,D25&lt;&gt;主营收支!H20),"主营业务收入申报数与账载数相差"&amp;DOLLAR(主营收支!H20-D13,2)&amp;"元！，请检查！","")</f>
        <v/>
      </c>
      <c r="E26" s="3544"/>
      <c r="F26" s="3544"/>
      <c r="G26" s="3544"/>
      <c r="H26" s="3545" t="str">
        <f>IF(AND(E13&lt;&gt;0,E25&lt;&gt;其他业务!C18),"其他业务收入申报数与账载数相差"&amp;DOLLAR(其他业务!C18-E13,2)&amp;"元！，请检查！","")</f>
        <v/>
      </c>
      <c r="I26" s="3545"/>
      <c r="J26" s="3545"/>
      <c r="K26" s="3545"/>
      <c r="L26" s="493"/>
      <c r="M26" s="144"/>
      <c r="N26" s="144"/>
    </row>
    <row r="27" spans="1:14" ht="18" customHeight="1">
      <c r="A27" s="3154" t="s">
        <v>261</v>
      </c>
      <c r="B27" s="3154"/>
      <c r="C27" s="3154"/>
      <c r="D27" s="3546" t="str">
        <f>IF(AND(D24&lt;&gt;0,D25&lt;&gt;主营收支!H20),"主营业务收入申报数与账载数相差"&amp;DOLLAR(主营收支!H20-D24,2)&amp;"元！，请检查！","")</f>
        <v/>
      </c>
      <c r="E27" s="3546"/>
      <c r="F27" s="3546"/>
      <c r="G27" s="3546"/>
      <c r="H27" s="3547" t="str">
        <f>IF(AND(E24&lt;&gt;0,E25&lt;&gt;其他业务!C18),"其他业务收入申报数与账载数相差"&amp;DOLLAR(其他业务!C18-E24,2)&amp;"元！，请检查！","")</f>
        <v/>
      </c>
      <c r="I27" s="3547"/>
      <c r="J27" s="3547"/>
      <c r="K27" s="3547"/>
      <c r="L27" s="493"/>
      <c r="M27" s="144"/>
      <c r="N27" s="144"/>
    </row>
    <row r="28" spans="1:14" ht="43.5" customHeight="1">
      <c r="A28" s="837" t="s">
        <v>1281</v>
      </c>
      <c r="B28" s="3542"/>
      <c r="C28" s="3543"/>
      <c r="D28" s="3543"/>
      <c r="E28" s="3543"/>
      <c r="F28" s="3543"/>
      <c r="G28" s="3543"/>
      <c r="H28" s="3543"/>
      <c r="I28" s="3543"/>
      <c r="J28" s="3543"/>
      <c r="K28" s="3543"/>
      <c r="L28" s="493"/>
      <c r="M28" s="144"/>
      <c r="N28" s="144"/>
    </row>
  </sheetData>
  <sheetProtection selectLockedCells="1" selectUnlockedCells="1"/>
  <mergeCells count="27">
    <mergeCell ref="G6:G7"/>
    <mergeCell ref="J6:J7"/>
    <mergeCell ref="K6:K7"/>
    <mergeCell ref="A1:K1"/>
    <mergeCell ref="H6:H7"/>
    <mergeCell ref="I6:I7"/>
    <mergeCell ref="L1:L5"/>
    <mergeCell ref="A2:B3"/>
    <mergeCell ref="C2:G3"/>
    <mergeCell ref="K3:K4"/>
    <mergeCell ref="A4:B4"/>
    <mergeCell ref="C4:G4"/>
    <mergeCell ref="A5:K5"/>
    <mergeCell ref="A25:C25"/>
    <mergeCell ref="A6:B7"/>
    <mergeCell ref="C6:C7"/>
    <mergeCell ref="D6:F6"/>
    <mergeCell ref="A8:A13"/>
    <mergeCell ref="A14:A24"/>
    <mergeCell ref="B24:C24"/>
    <mergeCell ref="B28:K28"/>
    <mergeCell ref="A26:C26"/>
    <mergeCell ref="D26:G26"/>
    <mergeCell ref="H26:K26"/>
    <mergeCell ref="A27:C27"/>
    <mergeCell ref="D27:G27"/>
    <mergeCell ref="H27:K27"/>
  </mergeCells>
  <phoneticPr fontId="51" type="noConversion"/>
  <dataValidations disablePrompts="1" count="1">
    <dataValidation allowBlank="1" showErrorMessage="1" sqref="I3">
      <formula1>0</formula1>
      <formula2>0</formula2>
    </dataValidation>
  </dataValidations>
  <hyperlinks>
    <hyperlink ref="L7" location="纳税申报数据!A1" display="纳税申报数据"/>
    <hyperlink ref="L8" location="地税申报数据!A1" display="地税申报数据"/>
    <hyperlink ref="L9" location="主营税金!A1" display="主营税金审核表"/>
    <hyperlink ref="L10" location="企业各税审核汇总表!A1" display="企业各税审核汇总表"/>
    <hyperlink ref="L11" location="主营收支!A1" display="主营业务收支审核表"/>
    <hyperlink ref="L12" location="税费缴纳测算!A1" display="税费缴纳测算"/>
    <hyperlink ref="L13" location="其他业务!A1" display="其他业务利润审核表"/>
    <hyperlink ref="L14" location="利润!A1" display="利润及利润分配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A168"/>
  <sheetViews>
    <sheetView workbookViewId="0">
      <selection activeCell="I21" sqref="I21"/>
    </sheetView>
  </sheetViews>
  <sheetFormatPr defaultRowHeight="15.6"/>
  <cols>
    <col min="1" max="1" width="4.59765625" customWidth="1"/>
    <col min="2" max="2" width="6.8984375" customWidth="1"/>
    <col min="3" max="6" width="13" customWidth="1"/>
    <col min="7" max="7" width="13.59765625" customWidth="1"/>
  </cols>
  <sheetData>
    <row r="1" spans="1:27" ht="22.2">
      <c r="A1" s="2729" t="s">
        <v>64</v>
      </c>
      <c r="B1" s="2729"/>
      <c r="C1" s="2729"/>
      <c r="D1" s="2729"/>
      <c r="E1" s="2729"/>
      <c r="F1" s="2729"/>
      <c r="G1" s="2729"/>
      <c r="H1" s="706"/>
      <c r="I1" s="706"/>
      <c r="J1" s="706"/>
      <c r="K1" s="706"/>
      <c r="L1" s="706"/>
      <c r="M1" s="706"/>
      <c r="N1" s="706"/>
      <c r="O1" s="705"/>
      <c r="P1" s="705"/>
      <c r="Q1" s="705"/>
      <c r="R1" s="705"/>
      <c r="S1" s="705"/>
      <c r="T1" s="705"/>
      <c r="U1" s="705"/>
      <c r="V1" s="705"/>
      <c r="W1" s="705"/>
      <c r="X1" s="705"/>
      <c r="Y1" s="705"/>
      <c r="Z1" s="705"/>
      <c r="AA1" s="705"/>
    </row>
    <row r="2" spans="1:27">
      <c r="A2" s="813"/>
      <c r="B2" s="813"/>
      <c r="C2" s="813"/>
      <c r="D2" s="813"/>
      <c r="E2" s="813"/>
      <c r="F2" s="133" t="s">
        <v>1052</v>
      </c>
      <c r="G2" s="838"/>
      <c r="H2" s="706"/>
      <c r="I2" s="706"/>
      <c r="J2" s="706"/>
      <c r="K2" s="706"/>
      <c r="L2" s="706"/>
      <c r="M2" s="706"/>
      <c r="N2" s="706"/>
      <c r="O2" s="705"/>
      <c r="P2" s="705"/>
      <c r="Q2" s="705"/>
      <c r="R2" s="705"/>
      <c r="S2" s="705"/>
      <c r="T2" s="705"/>
      <c r="U2" s="705"/>
      <c r="V2" s="705"/>
      <c r="W2" s="705"/>
      <c r="X2" s="705"/>
      <c r="Y2" s="705"/>
      <c r="Z2" s="705"/>
      <c r="AA2" s="705"/>
    </row>
    <row r="3" spans="1:27" ht="15.15" customHeight="1">
      <c r="A3" s="3147" t="s">
        <v>447</v>
      </c>
      <c r="B3" s="3147"/>
      <c r="C3" s="3535">
        <f>基本情况!B2</f>
        <v>0</v>
      </c>
      <c r="D3" s="3535"/>
      <c r="E3" s="136"/>
      <c r="F3" s="136" t="s">
        <v>1066</v>
      </c>
      <c r="G3" s="485" t="s">
        <v>449</v>
      </c>
      <c r="H3" s="706"/>
      <c r="I3" s="706"/>
      <c r="J3" s="706"/>
      <c r="K3" s="706"/>
      <c r="L3" s="706"/>
      <c r="M3" s="706"/>
      <c r="N3" s="706"/>
      <c r="O3" s="705"/>
      <c r="P3" s="705"/>
      <c r="Q3" s="705"/>
      <c r="R3" s="705"/>
      <c r="S3" s="705"/>
      <c r="T3" s="705"/>
      <c r="U3" s="705"/>
      <c r="V3" s="705"/>
      <c r="W3" s="705"/>
      <c r="X3" s="705"/>
      <c r="Y3" s="705"/>
      <c r="Z3" s="705"/>
      <c r="AA3" s="705"/>
    </row>
    <row r="4" spans="1:27">
      <c r="A4" s="3147"/>
      <c r="B4" s="3147"/>
      <c r="C4" s="3535"/>
      <c r="D4" s="3535"/>
      <c r="E4" s="158" t="s">
        <v>450</v>
      </c>
      <c r="F4" s="510">
        <f>基本情况!B12</f>
        <v>0</v>
      </c>
      <c r="G4" s="816" t="str">
        <f>TEXT(基本情况!B21,"yyyy-mm-dd")</f>
        <v>2017-03-16</v>
      </c>
      <c r="H4" s="706"/>
      <c r="I4" s="706"/>
      <c r="J4" s="706"/>
      <c r="K4" s="706"/>
      <c r="L4" s="706"/>
      <c r="M4" s="706"/>
      <c r="N4" s="706"/>
      <c r="O4" s="705"/>
      <c r="P4" s="705"/>
      <c r="Q4" s="705"/>
      <c r="R4" s="705"/>
      <c r="S4" s="705"/>
      <c r="T4" s="705"/>
      <c r="U4" s="705"/>
      <c r="V4" s="705"/>
      <c r="W4" s="705"/>
      <c r="X4" s="705"/>
      <c r="Y4" s="705"/>
      <c r="Z4" s="705"/>
      <c r="AA4" s="705"/>
    </row>
    <row r="5" spans="1:27" ht="17.25" customHeight="1">
      <c r="A5" s="3172" t="s">
        <v>451</v>
      </c>
      <c r="B5" s="3172"/>
      <c r="C5" s="2930" t="str">
        <f>基本情况!B7</f>
        <v>2016年01月01日至2016年12月31日</v>
      </c>
      <c r="D5" s="2930"/>
      <c r="E5" s="140" t="s">
        <v>452</v>
      </c>
      <c r="F5" s="513">
        <f>基本情况!B11</f>
        <v>0</v>
      </c>
      <c r="G5" s="816" t="str">
        <f>TEXT(基本情况!B22,"yyyy-mm-dd")</f>
        <v>2017-05-04</v>
      </c>
      <c r="H5" s="839"/>
      <c r="I5" s="706"/>
      <c r="J5" s="706"/>
      <c r="K5" s="706"/>
      <c r="L5" s="706"/>
      <c r="M5" s="706"/>
      <c r="N5" s="706"/>
      <c r="O5" s="705"/>
      <c r="P5" s="705"/>
      <c r="Q5" s="705"/>
      <c r="R5" s="705"/>
      <c r="S5" s="705"/>
      <c r="T5" s="705"/>
      <c r="U5" s="705"/>
      <c r="V5" s="705"/>
      <c r="W5" s="705"/>
      <c r="X5" s="705"/>
      <c r="Y5" s="705"/>
      <c r="Z5" s="705"/>
      <c r="AA5" s="705"/>
    </row>
    <row r="6" spans="1:27" ht="7.5" customHeight="1">
      <c r="A6" s="2955"/>
      <c r="B6" s="2955"/>
      <c r="C6" s="2955"/>
      <c r="D6" s="2955"/>
      <c r="E6" s="2955"/>
      <c r="F6" s="2955"/>
      <c r="G6" s="2955"/>
      <c r="H6" s="706"/>
      <c r="I6" s="706"/>
      <c r="J6" s="706"/>
      <c r="K6" s="706"/>
      <c r="L6" s="706"/>
      <c r="M6" s="706"/>
      <c r="N6" s="706"/>
      <c r="O6" s="705"/>
      <c r="P6" s="705"/>
      <c r="Q6" s="705"/>
      <c r="R6" s="705"/>
      <c r="S6" s="705"/>
      <c r="T6" s="705"/>
      <c r="U6" s="705"/>
      <c r="V6" s="705"/>
      <c r="W6" s="705"/>
      <c r="X6" s="705"/>
      <c r="Y6" s="705"/>
      <c r="Z6" s="705"/>
      <c r="AA6" s="705"/>
    </row>
    <row r="7" spans="1:27" ht="24" customHeight="1">
      <c r="A7" s="3051" t="s">
        <v>665</v>
      </c>
      <c r="B7" s="3051"/>
      <c r="C7" s="840" t="s">
        <v>94</v>
      </c>
      <c r="D7" s="841" t="s">
        <v>95</v>
      </c>
      <c r="E7" s="841" t="s">
        <v>96</v>
      </c>
      <c r="F7" s="841" t="s">
        <v>97</v>
      </c>
      <c r="G7" s="568" t="s">
        <v>455</v>
      </c>
      <c r="H7" s="839" t="s">
        <v>395</v>
      </c>
      <c r="I7" s="706"/>
      <c r="J7" s="706"/>
      <c r="K7" s="706"/>
      <c r="L7" s="706"/>
      <c r="M7" s="706"/>
      <c r="N7" s="706"/>
      <c r="O7" s="705"/>
      <c r="P7" s="705"/>
      <c r="Q7" s="705"/>
      <c r="R7" s="705"/>
      <c r="S7" s="705"/>
      <c r="T7" s="705"/>
      <c r="U7" s="705"/>
      <c r="V7" s="705"/>
      <c r="W7" s="705"/>
      <c r="X7" s="705"/>
      <c r="Y7" s="705"/>
      <c r="Z7" s="705"/>
      <c r="AA7" s="705"/>
    </row>
    <row r="8" spans="1:27" ht="17.25" customHeight="1">
      <c r="A8" s="3163" t="s">
        <v>1147</v>
      </c>
      <c r="B8" s="136" t="s">
        <v>667</v>
      </c>
      <c r="C8" s="1172" t="str">
        <f>IF(ISERROR(ROUND(1-主营收支!C25/主营收支!C8,4)),"",ROUND(1-主营收支!C25/主营收支!C8,4))</f>
        <v/>
      </c>
      <c r="D8" s="1172" t="str">
        <f>IF(ISERROR(ROUND(1-主营收支!D25/主营收支!D8,4)),"",ROUND(1-主营收支!D25/主营收支!D8,4))</f>
        <v/>
      </c>
      <c r="E8" s="1172" t="str">
        <f>IF(ISERROR(ROUND(1-主营收支!E25/主营收支!E8,4)),"",ROUND(1-主营收支!E25/主营收支!E8,4))</f>
        <v/>
      </c>
      <c r="F8" s="1172" t="str">
        <f>IF(ISERROR(ROUND(1-主营收支!F25/主营收支!F8,4)),"",ROUND(1-主营收支!F25/主营收支!F8,4))</f>
        <v/>
      </c>
      <c r="G8" s="842"/>
      <c r="H8" s="706"/>
      <c r="I8" s="706"/>
      <c r="J8" s="706"/>
      <c r="K8" s="706"/>
      <c r="L8" s="706"/>
      <c r="M8" s="706"/>
      <c r="N8" s="706"/>
      <c r="O8" s="705"/>
      <c r="P8" s="705"/>
      <c r="Q8" s="705"/>
      <c r="R8" s="705"/>
      <c r="S8" s="705"/>
      <c r="T8" s="705"/>
      <c r="U8" s="705"/>
      <c r="V8" s="705"/>
      <c r="W8" s="705"/>
      <c r="X8" s="705"/>
      <c r="Y8" s="705"/>
      <c r="Z8" s="705"/>
      <c r="AA8" s="705"/>
    </row>
    <row r="9" spans="1:27" ht="17.25" customHeight="1">
      <c r="A9" s="3163"/>
      <c r="B9" s="158" t="s">
        <v>671</v>
      </c>
      <c r="C9" s="1173" t="str">
        <f>IF(ISERROR(ROUND(1-主营收支!C26/主营收支!C9,4)),"",ROUND(1-主营收支!C26/主营收支!C9,4))</f>
        <v/>
      </c>
      <c r="D9" s="1173" t="str">
        <f>IF(ISERROR(ROUND(1-主营收支!D26/主营收支!D9,4)),"",ROUND(1-主营收支!D26/主营收支!D9,4))</f>
        <v/>
      </c>
      <c r="E9" s="1173" t="str">
        <f>IF(ISERROR(ROUND(1-主营收支!E26/主营收支!E9,4)),"",ROUND(1-主营收支!E26/主营收支!E9,4))</f>
        <v/>
      </c>
      <c r="F9" s="1173" t="str">
        <f>IF(ISERROR(ROUND(1-主营收支!F26/主营收支!F9,4)),"",ROUND(1-主营收支!F26/主营收支!F9,4))</f>
        <v/>
      </c>
      <c r="G9" s="530"/>
      <c r="H9" s="706"/>
      <c r="I9" s="706"/>
      <c r="J9" s="706"/>
      <c r="K9" s="706"/>
      <c r="L9" s="706"/>
      <c r="M9" s="706"/>
      <c r="N9" s="706"/>
      <c r="O9" s="705"/>
      <c r="P9" s="705"/>
      <c r="Q9" s="705"/>
      <c r="R9" s="705"/>
      <c r="S9" s="705"/>
      <c r="T9" s="705"/>
      <c r="U9" s="705"/>
      <c r="V9" s="705"/>
      <c r="W9" s="705"/>
      <c r="X9" s="705"/>
      <c r="Y9" s="705"/>
      <c r="Z9" s="705"/>
      <c r="AA9" s="705"/>
    </row>
    <row r="10" spans="1:27" ht="17.25" customHeight="1">
      <c r="A10" s="3163"/>
      <c r="B10" s="158" t="s">
        <v>675</v>
      </c>
      <c r="C10" s="1173" t="str">
        <f>IF(ISERROR(ROUND(1-主营收支!C27/主营收支!C10,4)),"",ROUND(1-主营收支!C27/主营收支!C10,4))</f>
        <v/>
      </c>
      <c r="D10" s="1173" t="str">
        <f>IF(ISERROR(ROUND(1-主营收支!D27/主营收支!D10,4)),"",ROUND(1-主营收支!D27/主营收支!D10,4))</f>
        <v/>
      </c>
      <c r="E10" s="1173" t="str">
        <f>IF(ISERROR(ROUND(1-主营收支!E27/主营收支!E10,4)),"",ROUND(1-主营收支!E27/主营收支!E10,4))</f>
        <v/>
      </c>
      <c r="F10" s="1173" t="str">
        <f>IF(ISERROR(ROUND(1-主营收支!F27/主营收支!F10,4)),"",ROUND(1-主营收支!F27/主营收支!F10,4))</f>
        <v/>
      </c>
      <c r="G10" s="530"/>
      <c r="H10" s="706"/>
      <c r="I10" s="706"/>
      <c r="J10" s="706"/>
      <c r="K10" s="706"/>
      <c r="L10" s="706"/>
      <c r="M10" s="706"/>
      <c r="N10" s="706"/>
      <c r="O10" s="705"/>
      <c r="P10" s="705"/>
      <c r="Q10" s="705"/>
      <c r="R10" s="705"/>
      <c r="S10" s="705"/>
      <c r="T10" s="705"/>
      <c r="U10" s="705"/>
      <c r="V10" s="705"/>
      <c r="W10" s="705"/>
      <c r="X10" s="705"/>
      <c r="Y10" s="705"/>
      <c r="Z10" s="705"/>
      <c r="AA10" s="705"/>
    </row>
    <row r="11" spans="1:27" ht="17.25" customHeight="1">
      <c r="A11" s="3163"/>
      <c r="B11" s="158" t="s">
        <v>678</v>
      </c>
      <c r="C11" s="1173" t="str">
        <f>IF(ISERROR(ROUND(1-主营收支!C28/主营收支!C11,4)),"",ROUND(1-主营收支!C28/主营收支!C11,4))</f>
        <v/>
      </c>
      <c r="D11" s="1173" t="str">
        <f>IF(ISERROR(ROUND(1-主营收支!D28/主营收支!D11,4)),"",ROUND(1-主营收支!D28/主营收支!D11,4))</f>
        <v/>
      </c>
      <c r="E11" s="1173" t="str">
        <f>IF(ISERROR(ROUND(1-主营收支!E28/主营收支!E11,4)),"",ROUND(1-主营收支!E28/主营收支!E11,4))</f>
        <v/>
      </c>
      <c r="F11" s="1173" t="str">
        <f>IF(ISERROR(ROUND(1-主营收支!F28/主营收支!F11,4)),"",ROUND(1-主营收支!F28/主营收支!F11,4))</f>
        <v/>
      </c>
      <c r="G11" s="530"/>
      <c r="H11" s="706"/>
      <c r="I11" s="706"/>
      <c r="J11" s="706"/>
      <c r="K11" s="706"/>
      <c r="L11" s="706"/>
      <c r="M11" s="706"/>
      <c r="N11" s="706"/>
      <c r="O11" s="705"/>
      <c r="P11" s="705"/>
      <c r="Q11" s="705"/>
      <c r="R11" s="705"/>
      <c r="S11" s="705"/>
      <c r="T11" s="705"/>
      <c r="U11" s="705"/>
      <c r="V11" s="705"/>
      <c r="W11" s="705"/>
      <c r="X11" s="705"/>
      <c r="Y11" s="705"/>
      <c r="Z11" s="705"/>
      <c r="AA11" s="705"/>
    </row>
    <row r="12" spans="1:27" ht="17.25" customHeight="1">
      <c r="A12" s="3163"/>
      <c r="B12" s="158" t="s">
        <v>681</v>
      </c>
      <c r="C12" s="1173" t="str">
        <f>IF(ISERROR(ROUND(1-主营收支!C29/主营收支!C12,4)),"",ROUND(1-主营收支!C29/主营收支!C12,4))</f>
        <v/>
      </c>
      <c r="D12" s="1173" t="str">
        <f>IF(ISERROR(ROUND(1-主营收支!D29/主营收支!D12,4)),"",ROUND(1-主营收支!D29/主营收支!D12,4))</f>
        <v/>
      </c>
      <c r="E12" s="1173" t="str">
        <f>IF(ISERROR(ROUND(1-主营收支!E29/主营收支!E12,4)),"",ROUND(1-主营收支!E29/主营收支!E12,4))</f>
        <v/>
      </c>
      <c r="F12" s="1173" t="str">
        <f>IF(ISERROR(ROUND(1-主营收支!F29/主营收支!F12,4)),"",ROUND(1-主营收支!F29/主营收支!F12,4))</f>
        <v/>
      </c>
      <c r="G12" s="530"/>
      <c r="H12" s="706"/>
      <c r="I12" s="706"/>
      <c r="J12" s="706"/>
      <c r="K12" s="706"/>
      <c r="L12" s="706"/>
      <c r="M12" s="706"/>
      <c r="N12" s="706"/>
      <c r="O12" s="705"/>
      <c r="P12" s="705"/>
      <c r="Q12" s="705"/>
      <c r="R12" s="705"/>
      <c r="S12" s="705"/>
      <c r="T12" s="705"/>
      <c r="U12" s="705"/>
      <c r="V12" s="705"/>
      <c r="W12" s="705"/>
      <c r="X12" s="705"/>
      <c r="Y12" s="705"/>
      <c r="Z12" s="705"/>
      <c r="AA12" s="705"/>
    </row>
    <row r="13" spans="1:27" ht="17.25" customHeight="1">
      <c r="A13" s="3163"/>
      <c r="B13" s="158" t="s">
        <v>685</v>
      </c>
      <c r="C13" s="1173" t="str">
        <f>IF(ISERROR(ROUND(1-主营收支!C30/主营收支!C13,4)),"",ROUND(1-主营收支!C30/主营收支!C13,4))</f>
        <v/>
      </c>
      <c r="D13" s="1173" t="str">
        <f>IF(ISERROR(ROUND(1-主营收支!D30/主营收支!D13,4)),"",ROUND(1-主营收支!D30/主营收支!D13,4))</f>
        <v/>
      </c>
      <c r="E13" s="1173" t="str">
        <f>IF(ISERROR(ROUND(1-主营收支!E30/主营收支!E13,4)),"",ROUND(1-主营收支!E30/主营收支!E13,4))</f>
        <v/>
      </c>
      <c r="F13" s="1173" t="str">
        <f>IF(ISERROR(ROUND(1-主营收支!F30/主营收支!F13,4)),"",ROUND(1-主营收支!F30/主营收支!F13,4))</f>
        <v/>
      </c>
      <c r="G13" s="530"/>
      <c r="H13" s="706"/>
      <c r="I13" s="706"/>
      <c r="J13" s="706"/>
      <c r="K13" s="706"/>
      <c r="L13" s="706"/>
      <c r="M13" s="706"/>
      <c r="N13" s="706"/>
      <c r="O13" s="705"/>
      <c r="P13" s="705"/>
      <c r="Q13" s="705"/>
      <c r="R13" s="705"/>
      <c r="S13" s="705"/>
      <c r="T13" s="705"/>
      <c r="U13" s="705"/>
      <c r="V13" s="705"/>
      <c r="W13" s="705"/>
      <c r="X13" s="705"/>
      <c r="Y13" s="705"/>
      <c r="Z13" s="705"/>
      <c r="AA13" s="705"/>
    </row>
    <row r="14" spans="1:27" ht="17.25" customHeight="1">
      <c r="A14" s="3163"/>
      <c r="B14" s="158" t="s">
        <v>687</v>
      </c>
      <c r="C14" s="1173" t="str">
        <f>IF(ISERROR(ROUND(1-主营收支!C31/主营收支!C14,4)),"",ROUND(1-主营收支!C31/主营收支!C14,4))</f>
        <v/>
      </c>
      <c r="D14" s="1173" t="str">
        <f>IF(ISERROR(ROUND(1-主营收支!D31/主营收支!D14,4)),"",ROUND(1-主营收支!D31/主营收支!D14,4))</f>
        <v/>
      </c>
      <c r="E14" s="1173" t="str">
        <f>IF(ISERROR(ROUND(1-主营收支!E31/主营收支!E14,4)),"",ROUND(1-主营收支!E31/主营收支!E14,4))</f>
        <v/>
      </c>
      <c r="F14" s="1173" t="str">
        <f>IF(ISERROR(ROUND(1-主营收支!F31/主营收支!F14,4)),"",ROUND(1-主营收支!F31/主营收支!F14,4))</f>
        <v/>
      </c>
      <c r="G14" s="530"/>
      <c r="H14" s="706"/>
      <c r="I14" s="706"/>
      <c r="J14" s="706"/>
      <c r="K14" s="706"/>
      <c r="L14" s="706"/>
      <c r="M14" s="706"/>
      <c r="N14" s="706"/>
      <c r="O14" s="705"/>
      <c r="P14" s="705"/>
      <c r="Q14" s="705"/>
      <c r="R14" s="705"/>
      <c r="S14" s="705"/>
      <c r="T14" s="705"/>
      <c r="U14" s="705"/>
      <c r="V14" s="705"/>
      <c r="W14" s="705"/>
      <c r="X14" s="705"/>
      <c r="Y14" s="705"/>
      <c r="Z14" s="705"/>
      <c r="AA14" s="705"/>
    </row>
    <row r="15" spans="1:27" ht="17.25" customHeight="1">
      <c r="A15" s="3163"/>
      <c r="B15" s="158" t="s">
        <v>690</v>
      </c>
      <c r="C15" s="1173" t="str">
        <f>IF(ISERROR(ROUND(1-主营收支!C32/主营收支!C15,4)),"",ROUND(1-主营收支!C32/主营收支!C15,4))</f>
        <v/>
      </c>
      <c r="D15" s="1173" t="str">
        <f>IF(ISERROR(ROUND(1-主营收支!D32/主营收支!D15,4)),"",ROUND(1-主营收支!D32/主营收支!D15,4))</f>
        <v/>
      </c>
      <c r="E15" s="1173" t="str">
        <f>IF(ISERROR(ROUND(1-主营收支!E32/主营收支!E15,4)),"",ROUND(1-主营收支!E32/主营收支!E15,4))</f>
        <v/>
      </c>
      <c r="F15" s="1173" t="str">
        <f>IF(ISERROR(ROUND(1-主营收支!F32/主营收支!F15,4)),"",ROUND(1-主营收支!F32/主营收支!F15,4))</f>
        <v/>
      </c>
      <c r="G15" s="530"/>
      <c r="H15" s="706"/>
      <c r="I15" s="706"/>
      <c r="J15" s="706"/>
      <c r="K15" s="706"/>
      <c r="L15" s="706"/>
      <c r="M15" s="706"/>
      <c r="N15" s="706"/>
      <c r="O15" s="705"/>
      <c r="P15" s="705"/>
      <c r="Q15" s="705"/>
      <c r="R15" s="705"/>
      <c r="S15" s="705"/>
      <c r="T15" s="705"/>
      <c r="U15" s="705"/>
      <c r="V15" s="705"/>
      <c r="W15" s="705"/>
      <c r="X15" s="705"/>
      <c r="Y15" s="705"/>
      <c r="Z15" s="705"/>
      <c r="AA15" s="705"/>
    </row>
    <row r="16" spans="1:27" ht="17.25" customHeight="1">
      <c r="A16" s="3163"/>
      <c r="B16" s="158" t="s">
        <v>693</v>
      </c>
      <c r="C16" s="1173" t="str">
        <f>IF(ISERROR(ROUND(1-主营收支!C33/主营收支!C16,4)),"",ROUND(1-主营收支!C33/主营收支!C16,4))</f>
        <v/>
      </c>
      <c r="D16" s="1173" t="str">
        <f>IF(ISERROR(ROUND(1-主营收支!D33/主营收支!D16,4)),"",ROUND(1-主营收支!D33/主营收支!D16,4))</f>
        <v/>
      </c>
      <c r="E16" s="1173" t="str">
        <f>IF(ISERROR(ROUND(1-主营收支!E33/主营收支!E16,4)),"",ROUND(1-主营收支!E33/主营收支!E16,4))</f>
        <v/>
      </c>
      <c r="F16" s="1173" t="str">
        <f>IF(ISERROR(ROUND(1-主营收支!F33/主营收支!F16,4)),"",ROUND(1-主营收支!F33/主营收支!F16,4))</f>
        <v/>
      </c>
      <c r="G16" s="530"/>
      <c r="H16" s="706"/>
      <c r="I16" s="706"/>
      <c r="J16" s="706"/>
      <c r="K16" s="706"/>
      <c r="L16" s="706"/>
      <c r="M16" s="706"/>
      <c r="N16" s="706"/>
      <c r="O16" s="705"/>
      <c r="P16" s="705"/>
      <c r="Q16" s="705"/>
      <c r="R16" s="705"/>
      <c r="S16" s="705"/>
      <c r="T16" s="705"/>
      <c r="U16" s="705"/>
      <c r="V16" s="705"/>
      <c r="W16" s="705"/>
      <c r="X16" s="705"/>
      <c r="Y16" s="705"/>
      <c r="Z16" s="705"/>
      <c r="AA16" s="705"/>
    </row>
    <row r="17" spans="1:27" ht="17.25" customHeight="1">
      <c r="A17" s="3163"/>
      <c r="B17" s="821" t="s">
        <v>976</v>
      </c>
      <c r="C17" s="1173" t="str">
        <f>IF(ISERROR(ROUND(1-主营收支!C34/主营收支!C17,4)),"",ROUND(1-主营收支!C34/主营收支!C17,4))</f>
        <v/>
      </c>
      <c r="D17" s="1173" t="str">
        <f>IF(ISERROR(ROUND(1-主营收支!D34/主营收支!D17,4)),"",ROUND(1-主营收支!D34/主营收支!D17,4))</f>
        <v/>
      </c>
      <c r="E17" s="1173" t="str">
        <f>IF(ISERROR(ROUND(1-主营收支!E34/主营收支!E17,4)),"",ROUND(1-主营收支!E34/主营收支!E17,4))</f>
        <v/>
      </c>
      <c r="F17" s="1173" t="str">
        <f>IF(ISERROR(ROUND(1-主营收支!F34/主营收支!F17,4)),"",ROUND(1-主营收支!F34/主营收支!F17,4))</f>
        <v/>
      </c>
      <c r="G17" s="530"/>
      <c r="H17" s="706"/>
      <c r="I17" s="706"/>
      <c r="J17" s="706"/>
      <c r="K17" s="706"/>
      <c r="L17" s="706"/>
      <c r="M17" s="706"/>
      <c r="N17" s="706"/>
      <c r="O17" s="705"/>
      <c r="P17" s="705"/>
      <c r="Q17" s="705"/>
      <c r="R17" s="705"/>
      <c r="S17" s="705"/>
      <c r="T17" s="705"/>
      <c r="U17" s="705"/>
      <c r="V17" s="705"/>
      <c r="W17" s="705"/>
      <c r="X17" s="705"/>
      <c r="Y17" s="705"/>
      <c r="Z17" s="705"/>
      <c r="AA17" s="705"/>
    </row>
    <row r="18" spans="1:27" ht="17.25" customHeight="1">
      <c r="A18" s="3163"/>
      <c r="B18" s="822" t="s">
        <v>977</v>
      </c>
      <c r="C18" s="1173" t="str">
        <f>IF(ISERROR(ROUND(1-主营收支!C35/主营收支!C18,4)),"",ROUND(1-主营收支!C35/主营收支!C18,4))</f>
        <v/>
      </c>
      <c r="D18" s="1173" t="str">
        <f>IF(ISERROR(ROUND(1-主营收支!D35/主营收支!D18,4)),"",ROUND(1-主营收支!D35/主营收支!D18,4))</f>
        <v/>
      </c>
      <c r="E18" s="1173" t="str">
        <f>IF(ISERROR(ROUND(1-主营收支!E35/主营收支!E18,4)),"",ROUND(1-主营收支!E35/主营收支!E18,4))</f>
        <v/>
      </c>
      <c r="F18" s="1173" t="str">
        <f>IF(ISERROR(ROUND(1-主营收支!F35/主营收支!F18,4)),"",ROUND(1-主营收支!F35/主营收支!F18,4))</f>
        <v/>
      </c>
      <c r="G18" s="530"/>
      <c r="H18" s="706"/>
      <c r="I18" s="706"/>
      <c r="J18" s="706"/>
      <c r="K18" s="706"/>
      <c r="L18" s="706"/>
      <c r="M18" s="706"/>
      <c r="N18" s="706"/>
      <c r="O18" s="705"/>
      <c r="P18" s="705"/>
      <c r="Q18" s="705"/>
      <c r="R18" s="705"/>
      <c r="S18" s="705"/>
      <c r="T18" s="705"/>
      <c r="U18" s="705"/>
      <c r="V18" s="705"/>
      <c r="W18" s="705"/>
      <c r="X18" s="705"/>
      <c r="Y18" s="705"/>
      <c r="Z18" s="705"/>
      <c r="AA18" s="705"/>
    </row>
    <row r="19" spans="1:27" ht="17.25" customHeight="1">
      <c r="A19" s="3163"/>
      <c r="B19" s="822" t="s">
        <v>978</v>
      </c>
      <c r="C19" s="1173" t="str">
        <f>IF(ISERROR(ROUND(1-主营收支!C36/主营收支!C19,4)),"",ROUND(1-主营收支!C36/主营收支!C19,4))</f>
        <v/>
      </c>
      <c r="D19" s="1173" t="str">
        <f>IF(ISERROR(ROUND(1-主营收支!D36/主营收支!D19,4)),"",ROUND(1-主营收支!D36/主营收支!D19,4))</f>
        <v/>
      </c>
      <c r="E19" s="1173" t="str">
        <f>IF(ISERROR(ROUND(1-主营收支!E36/主营收支!E19,4)),"",ROUND(1-主营收支!E36/主营收支!E19,4))</f>
        <v/>
      </c>
      <c r="F19" s="1173" t="str">
        <f>IF(ISERROR(ROUND(1-主营收支!F36/主营收支!F19,4)),"",ROUND(1-主营收支!F36/主营收支!F19,4))</f>
        <v/>
      </c>
      <c r="G19" s="530"/>
      <c r="H19" s="706"/>
      <c r="I19" s="706"/>
      <c r="J19" s="706"/>
      <c r="K19" s="706"/>
      <c r="L19" s="706"/>
      <c r="M19" s="706"/>
      <c r="N19" s="706"/>
      <c r="O19" s="705"/>
      <c r="P19" s="705"/>
      <c r="Q19" s="705"/>
      <c r="R19" s="705"/>
      <c r="S19" s="705"/>
      <c r="T19" s="705"/>
      <c r="U19" s="705"/>
      <c r="V19" s="705"/>
      <c r="W19" s="705"/>
      <c r="X19" s="705"/>
      <c r="Y19" s="705"/>
      <c r="Z19" s="705"/>
      <c r="AA19" s="705"/>
    </row>
    <row r="20" spans="1:27" ht="17.25" customHeight="1">
      <c r="A20" s="3163"/>
      <c r="B20" s="158" t="s">
        <v>1148</v>
      </c>
      <c r="C20" s="1174" t="str">
        <f>IF(ISERROR(ROUND(1-主营收支!C37/主营收支!C20,4)),"",ROUND(1-主营收支!C37/主营收支!C20,4))</f>
        <v/>
      </c>
      <c r="D20" s="1174" t="str">
        <f>IF(ISERROR(ROUND(1-主营收支!D37/主营收支!D20,4)),"",ROUND(1-主营收支!D37/主营收支!D20,4))</f>
        <v/>
      </c>
      <c r="E20" s="1174" t="str">
        <f>IF(ISERROR(ROUND(1-主营收支!E37/主营收支!E20,4)),"",ROUND(1-主营收支!E37/主营收支!E20,4))</f>
        <v/>
      </c>
      <c r="F20" s="1174" t="str">
        <f>IF(ISERROR(ROUND(1-主营收支!F37/主营收支!F20,4)),"",ROUND(1-主营收支!F37/主营收支!F20,4))</f>
        <v/>
      </c>
      <c r="G20" s="776"/>
      <c r="H20" s="706"/>
      <c r="I20" s="706"/>
      <c r="J20" s="706"/>
      <c r="K20" s="706"/>
      <c r="L20" s="706"/>
      <c r="M20" s="706"/>
      <c r="N20" s="706"/>
      <c r="O20" s="705"/>
      <c r="P20" s="705"/>
      <c r="Q20" s="705"/>
      <c r="R20" s="705"/>
      <c r="S20" s="705"/>
      <c r="T20" s="705"/>
      <c r="U20" s="705"/>
      <c r="V20" s="705"/>
      <c r="W20" s="705"/>
      <c r="X20" s="705"/>
      <c r="Y20" s="705"/>
      <c r="Z20" s="705"/>
      <c r="AA20" s="705"/>
    </row>
    <row r="21" spans="1:27" ht="24" customHeight="1">
      <c r="A21" s="3163" t="s">
        <v>665</v>
      </c>
      <c r="B21" s="3163"/>
      <c r="C21" s="742" t="s">
        <v>1149</v>
      </c>
      <c r="D21" s="742"/>
      <c r="E21" s="742"/>
      <c r="F21" s="742"/>
      <c r="G21" s="772" t="s">
        <v>455</v>
      </c>
      <c r="H21" s="706"/>
      <c r="I21" s="706"/>
      <c r="J21" s="706"/>
      <c r="K21" s="706"/>
      <c r="L21" s="706"/>
      <c r="M21" s="706"/>
      <c r="N21" s="706"/>
      <c r="O21" s="705"/>
      <c r="P21" s="705"/>
      <c r="Q21" s="705"/>
      <c r="R21" s="705"/>
      <c r="S21" s="705"/>
      <c r="T21" s="705"/>
      <c r="U21" s="705"/>
      <c r="V21" s="705"/>
      <c r="W21" s="705"/>
      <c r="X21" s="705"/>
      <c r="Y21" s="705"/>
      <c r="Z21" s="705"/>
      <c r="AA21" s="705"/>
    </row>
    <row r="22" spans="1:27" ht="17.25" customHeight="1">
      <c r="A22" s="3163" t="s">
        <v>1150</v>
      </c>
      <c r="B22" s="136" t="s">
        <v>1151</v>
      </c>
      <c r="C22" s="1175"/>
      <c r="D22" s="1175"/>
      <c r="E22" s="1175"/>
      <c r="F22" s="1175"/>
      <c r="G22" s="843"/>
      <c r="H22" s="706"/>
      <c r="I22" s="706"/>
      <c r="J22" s="706"/>
      <c r="K22" s="706"/>
      <c r="L22" s="706"/>
      <c r="M22" s="706"/>
      <c r="N22" s="706"/>
      <c r="O22" s="705"/>
      <c r="P22" s="705"/>
      <c r="Q22" s="705"/>
      <c r="R22" s="705"/>
      <c r="S22" s="705"/>
      <c r="T22" s="705"/>
      <c r="U22" s="705"/>
      <c r="V22" s="705"/>
      <c r="W22" s="705"/>
      <c r="X22" s="705"/>
      <c r="Y22" s="705"/>
      <c r="Z22" s="705"/>
      <c r="AA22" s="705"/>
    </row>
    <row r="23" spans="1:27" ht="17.25" customHeight="1">
      <c r="A23" s="3163"/>
      <c r="B23" s="822"/>
      <c r="C23" s="1110"/>
      <c r="D23" s="1110"/>
      <c r="E23" s="1110"/>
      <c r="F23" s="1110"/>
      <c r="G23" s="530"/>
      <c r="H23" s="706"/>
      <c r="I23" s="706"/>
      <c r="J23" s="706"/>
      <c r="K23" s="706"/>
      <c r="L23" s="706"/>
      <c r="M23" s="706"/>
      <c r="N23" s="706"/>
      <c r="O23" s="705"/>
      <c r="P23" s="705"/>
      <c r="Q23" s="705"/>
      <c r="R23" s="705"/>
      <c r="S23" s="705"/>
      <c r="T23" s="705"/>
      <c r="U23" s="705"/>
      <c r="V23" s="705"/>
      <c r="W23" s="705"/>
      <c r="X23" s="705"/>
      <c r="Y23" s="705"/>
      <c r="Z23" s="705"/>
      <c r="AA23" s="705"/>
    </row>
    <row r="24" spans="1:27" ht="17.25" customHeight="1">
      <c r="A24" s="3163"/>
      <c r="B24" s="822"/>
      <c r="C24" s="1110"/>
      <c r="D24" s="1110"/>
      <c r="E24" s="1110"/>
      <c r="F24" s="1110"/>
      <c r="G24" s="530"/>
      <c r="H24" s="706"/>
      <c r="I24" s="706"/>
      <c r="J24" s="706"/>
      <c r="K24" s="706"/>
      <c r="L24" s="706"/>
      <c r="M24" s="706"/>
      <c r="N24" s="706"/>
      <c r="O24" s="705"/>
      <c r="P24" s="705"/>
      <c r="Q24" s="705"/>
      <c r="R24" s="705"/>
      <c r="S24" s="705"/>
      <c r="T24" s="705"/>
      <c r="U24" s="705"/>
      <c r="V24" s="705"/>
      <c r="W24" s="705"/>
      <c r="X24" s="705"/>
      <c r="Y24" s="705"/>
      <c r="Z24" s="705"/>
      <c r="AA24" s="705"/>
    </row>
    <row r="25" spans="1:27" ht="17.25" customHeight="1">
      <c r="A25" s="3163"/>
      <c r="B25" s="822"/>
      <c r="C25" s="1110"/>
      <c r="D25" s="1110"/>
      <c r="E25" s="1110"/>
      <c r="F25" s="1110"/>
      <c r="G25" s="530"/>
      <c r="H25" s="706"/>
      <c r="I25" s="706"/>
      <c r="J25" s="706"/>
      <c r="K25" s="706"/>
      <c r="L25" s="706"/>
      <c r="M25" s="706"/>
      <c r="N25" s="706"/>
      <c r="O25" s="705"/>
      <c r="P25" s="705"/>
      <c r="Q25" s="705"/>
      <c r="R25" s="705"/>
      <c r="S25" s="705"/>
      <c r="T25" s="705"/>
      <c r="U25" s="705"/>
      <c r="V25" s="705"/>
      <c r="W25" s="705"/>
      <c r="X25" s="705"/>
      <c r="Y25" s="705"/>
      <c r="Z25" s="705"/>
      <c r="AA25" s="705"/>
    </row>
    <row r="26" spans="1:27" ht="17.25" customHeight="1">
      <c r="A26" s="3163"/>
      <c r="B26" s="822"/>
      <c r="C26" s="1110"/>
      <c r="D26" s="1110"/>
      <c r="E26" s="1110"/>
      <c r="F26" s="1110"/>
      <c r="G26" s="530"/>
      <c r="H26" s="706"/>
      <c r="I26" s="706"/>
      <c r="J26" s="706"/>
      <c r="K26" s="706"/>
      <c r="L26" s="706"/>
      <c r="M26" s="706"/>
      <c r="N26" s="706"/>
      <c r="O26" s="705"/>
      <c r="P26" s="705"/>
      <c r="Q26" s="705"/>
      <c r="R26" s="705"/>
      <c r="S26" s="705"/>
      <c r="T26" s="705"/>
      <c r="U26" s="705"/>
      <c r="V26" s="705"/>
      <c r="W26" s="705"/>
      <c r="X26" s="705"/>
      <c r="Y26" s="705"/>
      <c r="Z26" s="705"/>
      <c r="AA26" s="705"/>
    </row>
    <row r="27" spans="1:27" ht="17.25" customHeight="1">
      <c r="A27" s="3163"/>
      <c r="B27" s="822"/>
      <c r="C27" s="1110"/>
      <c r="D27" s="1110"/>
      <c r="E27" s="1110"/>
      <c r="F27" s="1110"/>
      <c r="G27" s="530"/>
      <c r="H27" s="706"/>
      <c r="I27" s="706"/>
      <c r="J27" s="706"/>
      <c r="K27" s="706"/>
      <c r="L27" s="706"/>
      <c r="M27" s="706"/>
      <c r="N27" s="706"/>
      <c r="O27" s="705"/>
      <c r="P27" s="705"/>
      <c r="Q27" s="705"/>
      <c r="R27" s="705"/>
      <c r="S27" s="705"/>
      <c r="T27" s="705"/>
      <c r="U27" s="705"/>
      <c r="V27" s="705"/>
      <c r="W27" s="705"/>
      <c r="X27" s="705"/>
      <c r="Y27" s="705"/>
      <c r="Z27" s="705"/>
      <c r="AA27" s="705"/>
    </row>
    <row r="28" spans="1:27" ht="17.25" customHeight="1">
      <c r="A28" s="3163"/>
      <c r="B28" s="822"/>
      <c r="C28" s="1110"/>
      <c r="D28" s="1110"/>
      <c r="E28" s="1110"/>
      <c r="F28" s="1110"/>
      <c r="G28" s="530"/>
      <c r="H28" s="706"/>
      <c r="I28" s="706"/>
      <c r="J28" s="706"/>
      <c r="K28" s="706"/>
      <c r="L28" s="706"/>
      <c r="M28" s="706"/>
      <c r="N28" s="706"/>
      <c r="O28" s="705"/>
      <c r="P28" s="705"/>
      <c r="Q28" s="705"/>
      <c r="R28" s="705"/>
      <c r="S28" s="705"/>
      <c r="T28" s="705"/>
      <c r="U28" s="705"/>
      <c r="V28" s="705"/>
      <c r="W28" s="705"/>
      <c r="X28" s="705"/>
      <c r="Y28" s="705"/>
      <c r="Z28" s="705"/>
      <c r="AA28" s="705"/>
    </row>
    <row r="29" spans="1:27" ht="17.25" customHeight="1">
      <c r="A29" s="3163"/>
      <c r="B29" s="822"/>
      <c r="C29" s="1110"/>
      <c r="D29" s="1110"/>
      <c r="E29" s="1110"/>
      <c r="F29" s="1110"/>
      <c r="G29" s="530"/>
      <c r="H29" s="706"/>
      <c r="I29" s="706"/>
      <c r="J29" s="706"/>
      <c r="K29" s="706"/>
      <c r="L29" s="706"/>
      <c r="M29" s="706"/>
      <c r="N29" s="706"/>
      <c r="O29" s="705"/>
      <c r="P29" s="705"/>
      <c r="Q29" s="705"/>
      <c r="R29" s="705"/>
      <c r="S29" s="705"/>
      <c r="T29" s="705"/>
      <c r="U29" s="705"/>
      <c r="V29" s="705"/>
      <c r="W29" s="705"/>
      <c r="X29" s="705"/>
      <c r="Y29" s="705"/>
      <c r="Z29" s="705"/>
      <c r="AA29" s="705"/>
    </row>
    <row r="30" spans="1:27" ht="17.25" customHeight="1">
      <c r="A30" s="3163"/>
      <c r="B30" s="822"/>
      <c r="C30" s="1110"/>
      <c r="D30" s="1110"/>
      <c r="E30" s="1110"/>
      <c r="F30" s="1110"/>
      <c r="G30" s="530"/>
      <c r="H30" s="706"/>
      <c r="I30" s="706"/>
      <c r="J30" s="706"/>
      <c r="K30" s="706"/>
      <c r="L30" s="706"/>
      <c r="M30" s="706"/>
      <c r="N30" s="706"/>
      <c r="O30" s="705"/>
      <c r="P30" s="705"/>
      <c r="Q30" s="705"/>
      <c r="R30" s="705"/>
      <c r="S30" s="705"/>
      <c r="T30" s="705"/>
      <c r="U30" s="705"/>
      <c r="V30" s="705"/>
      <c r="W30" s="705"/>
      <c r="X30" s="705"/>
      <c r="Y30" s="705"/>
      <c r="Z30" s="705"/>
      <c r="AA30" s="705"/>
    </row>
    <row r="31" spans="1:27" ht="17.25" customHeight="1">
      <c r="A31" s="3163"/>
      <c r="B31" s="821"/>
      <c r="C31" s="1110"/>
      <c r="D31" s="1110"/>
      <c r="E31" s="1110"/>
      <c r="F31" s="1110"/>
      <c r="G31" s="530"/>
      <c r="H31" s="706"/>
      <c r="I31" s="706"/>
      <c r="J31" s="706"/>
      <c r="K31" s="706"/>
      <c r="L31" s="706"/>
      <c r="M31" s="706"/>
      <c r="N31" s="706"/>
      <c r="O31" s="705"/>
      <c r="P31" s="705"/>
      <c r="Q31" s="705"/>
      <c r="R31" s="705"/>
      <c r="S31" s="705"/>
      <c r="T31" s="705"/>
      <c r="U31" s="705"/>
      <c r="V31" s="705"/>
      <c r="W31" s="705"/>
      <c r="X31" s="705"/>
      <c r="Y31" s="705"/>
      <c r="Z31" s="705"/>
      <c r="AA31" s="705"/>
    </row>
    <row r="32" spans="1:27" ht="17.25" customHeight="1">
      <c r="A32" s="3163"/>
      <c r="B32" s="822"/>
      <c r="C32" s="1110"/>
      <c r="D32" s="1110"/>
      <c r="E32" s="1110"/>
      <c r="F32" s="1110"/>
      <c r="G32" s="530"/>
      <c r="H32" s="706"/>
      <c r="I32" s="706"/>
      <c r="J32" s="706"/>
      <c r="K32" s="706"/>
      <c r="L32" s="706"/>
      <c r="M32" s="706"/>
      <c r="N32" s="706"/>
      <c r="O32" s="705"/>
      <c r="P32" s="705"/>
      <c r="Q32" s="705"/>
      <c r="R32" s="705"/>
      <c r="S32" s="705"/>
      <c r="T32" s="705"/>
      <c r="U32" s="705"/>
      <c r="V32" s="705"/>
      <c r="W32" s="705"/>
      <c r="X32" s="705"/>
      <c r="Y32" s="705"/>
      <c r="Z32" s="705"/>
      <c r="AA32" s="705"/>
    </row>
    <row r="33" spans="1:27" ht="17.25" customHeight="1">
      <c r="A33" s="3163"/>
      <c r="B33" s="822"/>
      <c r="C33" s="1110"/>
      <c r="D33" s="1110"/>
      <c r="E33" s="1110"/>
      <c r="F33" s="1110"/>
      <c r="G33" s="530"/>
      <c r="H33" s="706"/>
      <c r="I33" s="706"/>
      <c r="J33" s="706"/>
      <c r="K33" s="706"/>
      <c r="L33" s="706"/>
      <c r="M33" s="706"/>
      <c r="N33" s="706"/>
      <c r="O33" s="705"/>
      <c r="P33" s="705"/>
      <c r="Q33" s="705"/>
      <c r="R33" s="705"/>
      <c r="S33" s="705"/>
      <c r="T33" s="705"/>
      <c r="U33" s="705"/>
      <c r="V33" s="705"/>
      <c r="W33" s="705"/>
      <c r="X33" s="705"/>
      <c r="Y33" s="705"/>
      <c r="Z33" s="705"/>
      <c r="AA33" s="705"/>
    </row>
    <row r="34" spans="1:27" ht="24" customHeight="1">
      <c r="A34" s="3163"/>
      <c r="B34" s="158" t="s">
        <v>1280</v>
      </c>
      <c r="C34" s="525">
        <f>SUM(C22:C33)</f>
        <v>0</v>
      </c>
      <c r="D34" s="525">
        <f>SUM(D22:D33)</f>
        <v>0</v>
      </c>
      <c r="E34" s="525">
        <f>SUM(E22:E33)</f>
        <v>0</v>
      </c>
      <c r="F34" s="525">
        <f>SUM(F22:F33)</f>
        <v>0</v>
      </c>
      <c r="G34" s="844"/>
      <c r="H34" s="706"/>
      <c r="I34" s="706"/>
      <c r="J34" s="706"/>
      <c r="K34" s="706"/>
      <c r="L34" s="706"/>
      <c r="M34" s="706"/>
      <c r="N34" s="706"/>
      <c r="O34" s="705"/>
      <c r="P34" s="705"/>
      <c r="Q34" s="705"/>
      <c r="R34" s="705"/>
      <c r="S34" s="705"/>
      <c r="T34" s="705"/>
      <c r="U34" s="705"/>
      <c r="V34" s="705"/>
      <c r="W34" s="705"/>
      <c r="X34" s="705"/>
      <c r="Y34" s="705"/>
      <c r="Z34" s="705"/>
      <c r="AA34" s="705"/>
    </row>
    <row r="35" spans="1:27" ht="14.25" customHeight="1">
      <c r="A35" s="3163" t="s">
        <v>1152</v>
      </c>
      <c r="B35" s="3163"/>
      <c r="C35" s="3551"/>
      <c r="D35" s="3551"/>
      <c r="E35" s="3551"/>
      <c r="F35" s="3551"/>
      <c r="G35" s="3551"/>
      <c r="H35" s="706"/>
      <c r="I35" s="706"/>
      <c r="J35" s="706"/>
      <c r="K35" s="706"/>
      <c r="L35" s="706"/>
      <c r="M35" s="706"/>
      <c r="N35" s="706"/>
      <c r="O35" s="705"/>
      <c r="P35" s="705"/>
      <c r="Q35" s="705"/>
      <c r="R35" s="705"/>
      <c r="S35" s="705"/>
      <c r="T35" s="705"/>
      <c r="U35" s="705"/>
      <c r="V35" s="705"/>
      <c r="W35" s="705"/>
      <c r="X35" s="705"/>
      <c r="Y35" s="705"/>
      <c r="Z35" s="705"/>
      <c r="AA35" s="705"/>
    </row>
    <row r="36" spans="1:27">
      <c r="A36" s="3163"/>
      <c r="B36" s="3163"/>
      <c r="C36" s="3552"/>
      <c r="D36" s="3552"/>
      <c r="E36" s="3552"/>
      <c r="F36" s="3552"/>
      <c r="G36" s="3552"/>
      <c r="H36" s="706"/>
      <c r="I36" s="706"/>
      <c r="J36" s="706"/>
      <c r="K36" s="706"/>
      <c r="L36" s="706"/>
      <c r="M36" s="706"/>
      <c r="N36" s="706"/>
      <c r="O36" s="705"/>
      <c r="P36" s="705"/>
      <c r="Q36" s="705"/>
      <c r="R36" s="705"/>
      <c r="S36" s="705"/>
      <c r="T36" s="705"/>
      <c r="U36" s="705"/>
      <c r="V36" s="705"/>
      <c r="W36" s="705"/>
      <c r="X36" s="705"/>
      <c r="Y36" s="705"/>
      <c r="Z36" s="705"/>
      <c r="AA36" s="705"/>
    </row>
    <row r="37" spans="1:27">
      <c r="A37" s="3163"/>
      <c r="B37" s="3163"/>
      <c r="C37" s="3553"/>
      <c r="D37" s="3553"/>
      <c r="E37" s="3553"/>
      <c r="F37" s="3553"/>
      <c r="G37" s="3553"/>
      <c r="H37" s="706"/>
      <c r="I37" s="706"/>
      <c r="J37" s="706"/>
      <c r="K37" s="706"/>
      <c r="L37" s="706"/>
      <c r="M37" s="706"/>
      <c r="N37" s="706"/>
      <c r="O37" s="705"/>
      <c r="P37" s="705"/>
      <c r="Q37" s="705"/>
      <c r="R37" s="705"/>
      <c r="S37" s="705"/>
      <c r="T37" s="705"/>
      <c r="U37" s="705"/>
      <c r="V37" s="705"/>
      <c r="W37" s="705"/>
      <c r="X37" s="705"/>
      <c r="Y37" s="705"/>
      <c r="Z37" s="705"/>
      <c r="AA37" s="705"/>
    </row>
    <row r="38" spans="1:27">
      <c r="A38" s="3163"/>
      <c r="B38" s="3163"/>
      <c r="C38" s="3552"/>
      <c r="D38" s="3552"/>
      <c r="E38" s="3552"/>
      <c r="F38" s="3552"/>
      <c r="G38" s="3552"/>
      <c r="H38" s="706"/>
      <c r="I38" s="706"/>
      <c r="J38" s="706"/>
      <c r="K38" s="706"/>
      <c r="L38" s="706"/>
      <c r="M38" s="706"/>
      <c r="N38" s="706"/>
      <c r="O38" s="705"/>
      <c r="P38" s="705"/>
      <c r="Q38" s="705"/>
      <c r="R38" s="705"/>
      <c r="S38" s="705"/>
      <c r="T38" s="705"/>
      <c r="U38" s="705"/>
      <c r="V38" s="705"/>
      <c r="W38" s="705"/>
      <c r="X38" s="705"/>
      <c r="Y38" s="705"/>
      <c r="Z38" s="705"/>
      <c r="AA38" s="705"/>
    </row>
    <row r="39" spans="1:27">
      <c r="A39" s="3163"/>
      <c r="B39" s="3163"/>
      <c r="C39" s="3552"/>
      <c r="D39" s="3552"/>
      <c r="E39" s="3552"/>
      <c r="F39" s="3552"/>
      <c r="G39" s="3552"/>
      <c r="H39" s="706"/>
      <c r="I39" s="706"/>
      <c r="J39" s="706"/>
      <c r="K39" s="706"/>
      <c r="L39" s="706"/>
      <c r="M39" s="706"/>
      <c r="N39" s="706"/>
      <c r="O39" s="705"/>
      <c r="P39" s="705"/>
      <c r="Q39" s="705"/>
      <c r="R39" s="705"/>
      <c r="S39" s="705"/>
      <c r="T39" s="705"/>
      <c r="U39" s="705"/>
      <c r="V39" s="705"/>
      <c r="W39" s="705"/>
      <c r="X39" s="705"/>
      <c r="Y39" s="705"/>
      <c r="Z39" s="705"/>
      <c r="AA39" s="705"/>
    </row>
    <row r="40" spans="1:27">
      <c r="A40" s="3163"/>
      <c r="B40" s="3163"/>
      <c r="C40" s="3550"/>
      <c r="D40" s="3550"/>
      <c r="E40" s="3550"/>
      <c r="F40" s="3550"/>
      <c r="G40" s="3550"/>
      <c r="H40" s="706"/>
      <c r="I40" s="706"/>
      <c r="J40" s="706"/>
      <c r="K40" s="706"/>
      <c r="L40" s="706"/>
      <c r="M40" s="706"/>
      <c r="N40" s="706"/>
      <c r="O40" s="705"/>
      <c r="P40" s="705"/>
      <c r="Q40" s="705"/>
      <c r="R40" s="705"/>
      <c r="S40" s="705"/>
      <c r="T40" s="705"/>
      <c r="U40" s="705"/>
      <c r="V40" s="705"/>
      <c r="W40" s="705"/>
      <c r="X40" s="705"/>
      <c r="Y40" s="705"/>
      <c r="Z40" s="705"/>
      <c r="AA40" s="705"/>
    </row>
    <row r="41" spans="1:27">
      <c r="A41" s="706"/>
      <c r="B41" s="706"/>
      <c r="C41" s="706"/>
      <c r="D41" s="706"/>
      <c r="E41" s="706"/>
      <c r="F41" s="706"/>
      <c r="G41" s="706"/>
      <c r="H41" s="706"/>
      <c r="I41" s="706"/>
      <c r="J41" s="706"/>
      <c r="K41" s="706"/>
      <c r="L41" s="706"/>
      <c r="M41" s="706"/>
      <c r="N41" s="706"/>
      <c r="O41" s="705"/>
      <c r="P41" s="705"/>
      <c r="Q41" s="705"/>
      <c r="R41" s="705"/>
      <c r="S41" s="705"/>
      <c r="T41" s="705"/>
      <c r="U41" s="705"/>
      <c r="V41" s="705"/>
      <c r="W41" s="705"/>
      <c r="X41" s="705"/>
      <c r="Y41" s="705"/>
      <c r="Z41" s="705"/>
      <c r="AA41" s="705"/>
    </row>
    <row r="42" spans="1:27">
      <c r="A42" s="706"/>
      <c r="B42" s="706"/>
      <c r="C42" s="706"/>
      <c r="D42" s="706"/>
      <c r="E42" s="706"/>
      <c r="F42" s="706"/>
      <c r="G42" s="706"/>
      <c r="H42" s="706"/>
      <c r="I42" s="706"/>
      <c r="J42" s="706"/>
      <c r="K42" s="706"/>
      <c r="L42" s="706"/>
      <c r="M42" s="706"/>
      <c r="N42" s="706"/>
      <c r="O42" s="705"/>
      <c r="P42" s="705"/>
      <c r="Q42" s="705"/>
      <c r="R42" s="705"/>
      <c r="S42" s="705"/>
      <c r="T42" s="705"/>
      <c r="U42" s="705"/>
      <c r="V42" s="705"/>
      <c r="W42" s="705"/>
      <c r="X42" s="705"/>
      <c r="Y42" s="705"/>
      <c r="Z42" s="705"/>
      <c r="AA42" s="705"/>
    </row>
    <row r="43" spans="1:27">
      <c r="A43" s="706"/>
      <c r="B43" s="706"/>
      <c r="C43" s="706"/>
      <c r="D43" s="706"/>
      <c r="E43" s="706"/>
      <c r="F43" s="706"/>
      <c r="G43" s="706"/>
      <c r="H43" s="706"/>
      <c r="I43" s="706"/>
      <c r="J43" s="706"/>
      <c r="K43" s="706"/>
      <c r="L43" s="706"/>
      <c r="M43" s="706"/>
      <c r="N43" s="706"/>
      <c r="O43" s="705"/>
      <c r="P43" s="705"/>
      <c r="Q43" s="705"/>
      <c r="R43" s="705"/>
      <c r="S43" s="705"/>
      <c r="T43" s="705"/>
      <c r="U43" s="705"/>
      <c r="V43" s="705"/>
      <c r="W43" s="705"/>
      <c r="X43" s="705"/>
      <c r="Y43" s="705"/>
      <c r="Z43" s="705"/>
      <c r="AA43" s="705"/>
    </row>
    <row r="44" spans="1:27">
      <c r="A44" s="706"/>
      <c r="B44" s="706"/>
      <c r="C44" s="706"/>
      <c r="D44" s="706"/>
      <c r="E44" s="706"/>
      <c r="F44" s="706"/>
      <c r="G44" s="706"/>
      <c r="H44" s="706"/>
      <c r="I44" s="706"/>
      <c r="J44" s="706"/>
      <c r="K44" s="706"/>
      <c r="L44" s="706"/>
      <c r="M44" s="706"/>
      <c r="N44" s="706"/>
      <c r="O44" s="705"/>
      <c r="P44" s="705"/>
      <c r="Q44" s="705"/>
      <c r="R44" s="705"/>
      <c r="S44" s="705"/>
      <c r="T44" s="705"/>
      <c r="U44" s="705"/>
      <c r="V44" s="705"/>
      <c r="W44" s="705"/>
      <c r="X44" s="705"/>
      <c r="Y44" s="705"/>
      <c r="Z44" s="705"/>
      <c r="AA44" s="705"/>
    </row>
    <row r="45" spans="1:27">
      <c r="A45" s="706"/>
      <c r="B45" s="706"/>
      <c r="C45" s="706"/>
      <c r="D45" s="706"/>
      <c r="E45" s="706"/>
      <c r="F45" s="706"/>
      <c r="G45" s="706"/>
      <c r="H45" s="706"/>
      <c r="I45" s="706"/>
      <c r="J45" s="706"/>
      <c r="K45" s="706"/>
      <c r="L45" s="706"/>
      <c r="M45" s="706"/>
      <c r="N45" s="706"/>
      <c r="O45" s="705"/>
      <c r="P45" s="705"/>
      <c r="Q45" s="705"/>
      <c r="R45" s="705"/>
      <c r="S45" s="705"/>
      <c r="T45" s="705"/>
      <c r="U45" s="705"/>
      <c r="V45" s="705"/>
      <c r="W45" s="705"/>
      <c r="X45" s="705"/>
      <c r="Y45" s="705"/>
      <c r="Z45" s="705"/>
      <c r="AA45" s="705"/>
    </row>
    <row r="46" spans="1:27">
      <c r="A46" s="706"/>
      <c r="B46" s="706"/>
      <c r="C46" s="706"/>
      <c r="D46" s="706"/>
      <c r="E46" s="706"/>
      <c r="F46" s="706"/>
      <c r="G46" s="706"/>
      <c r="H46" s="706"/>
      <c r="I46" s="706"/>
      <c r="J46" s="706"/>
      <c r="K46" s="706"/>
      <c r="L46" s="706"/>
      <c r="M46" s="706"/>
      <c r="N46" s="706"/>
      <c r="O46" s="705"/>
      <c r="P46" s="705"/>
      <c r="Q46" s="705"/>
      <c r="R46" s="705"/>
      <c r="S46" s="705"/>
      <c r="T46" s="705"/>
      <c r="U46" s="705"/>
      <c r="V46" s="705"/>
      <c r="W46" s="705"/>
      <c r="X46" s="705"/>
      <c r="Y46" s="705"/>
      <c r="Z46" s="705"/>
      <c r="AA46" s="705"/>
    </row>
    <row r="47" spans="1:27">
      <c r="A47" s="706"/>
      <c r="B47" s="706"/>
      <c r="C47" s="706"/>
      <c r="D47" s="706"/>
      <c r="E47" s="706"/>
      <c r="F47" s="706"/>
      <c r="G47" s="706"/>
      <c r="H47" s="706"/>
      <c r="I47" s="706"/>
      <c r="J47" s="706"/>
      <c r="K47" s="706"/>
      <c r="L47" s="706"/>
      <c r="M47" s="706"/>
      <c r="N47" s="706"/>
      <c r="O47" s="705"/>
      <c r="P47" s="705"/>
      <c r="Q47" s="705"/>
      <c r="R47" s="705"/>
      <c r="S47" s="705"/>
      <c r="T47" s="705"/>
      <c r="U47" s="705"/>
      <c r="V47" s="705"/>
      <c r="W47" s="705"/>
      <c r="X47" s="705"/>
      <c r="Y47" s="705"/>
      <c r="Z47" s="705"/>
      <c r="AA47" s="705"/>
    </row>
    <row r="48" spans="1:27">
      <c r="A48" s="706"/>
      <c r="B48" s="706"/>
      <c r="C48" s="706"/>
      <c r="D48" s="706"/>
      <c r="E48" s="706"/>
      <c r="F48" s="706"/>
      <c r="G48" s="706"/>
      <c r="H48" s="706"/>
      <c r="I48" s="706"/>
      <c r="J48" s="706"/>
      <c r="K48" s="706"/>
      <c r="L48" s="706"/>
      <c r="M48" s="706"/>
      <c r="N48" s="706"/>
      <c r="O48" s="705"/>
      <c r="P48" s="705"/>
      <c r="Q48" s="705"/>
      <c r="R48" s="705"/>
      <c r="S48" s="705"/>
      <c r="T48" s="705"/>
      <c r="U48" s="705"/>
      <c r="V48" s="705"/>
      <c r="W48" s="705"/>
      <c r="X48" s="705"/>
      <c r="Y48" s="705"/>
      <c r="Z48" s="705"/>
      <c r="AA48" s="705"/>
    </row>
    <row r="49" spans="1:27">
      <c r="A49" s="706"/>
      <c r="B49" s="706"/>
      <c r="C49" s="706"/>
      <c r="D49" s="706"/>
      <c r="E49" s="706"/>
      <c r="F49" s="706"/>
      <c r="G49" s="706"/>
      <c r="H49" s="706"/>
      <c r="I49" s="706"/>
      <c r="J49" s="706"/>
      <c r="K49" s="706"/>
      <c r="L49" s="706"/>
      <c r="M49" s="706"/>
      <c r="N49" s="706"/>
      <c r="O49" s="705"/>
      <c r="P49" s="705"/>
      <c r="Q49" s="705"/>
      <c r="R49" s="705"/>
      <c r="S49" s="705"/>
      <c r="T49" s="705"/>
      <c r="U49" s="705"/>
      <c r="V49" s="705"/>
      <c r="W49" s="705"/>
      <c r="X49" s="705"/>
      <c r="Y49" s="705"/>
      <c r="Z49" s="705"/>
      <c r="AA49" s="705"/>
    </row>
    <row r="50" spans="1:27">
      <c r="A50" s="706"/>
      <c r="B50" s="706"/>
      <c r="C50" s="706"/>
      <c r="D50" s="706"/>
      <c r="E50" s="706"/>
      <c r="F50" s="706"/>
      <c r="G50" s="706"/>
      <c r="H50" s="706"/>
      <c r="I50" s="706"/>
      <c r="J50" s="706"/>
      <c r="K50" s="706"/>
      <c r="L50" s="706"/>
      <c r="M50" s="706"/>
      <c r="N50" s="706"/>
      <c r="O50" s="705"/>
      <c r="P50" s="705"/>
      <c r="Q50" s="705"/>
      <c r="R50" s="705"/>
      <c r="S50" s="705"/>
      <c r="T50" s="705"/>
      <c r="U50" s="705"/>
      <c r="V50" s="705"/>
      <c r="W50" s="705"/>
      <c r="X50" s="705"/>
      <c r="Y50" s="705"/>
      <c r="Z50" s="705"/>
      <c r="AA50" s="705"/>
    </row>
    <row r="51" spans="1:27">
      <c r="A51" s="706"/>
      <c r="B51" s="706"/>
      <c r="C51" s="706"/>
      <c r="D51" s="706"/>
      <c r="E51" s="706"/>
      <c r="F51" s="706"/>
      <c r="G51" s="706"/>
      <c r="H51" s="706"/>
      <c r="I51" s="706"/>
      <c r="J51" s="706"/>
      <c r="K51" s="706"/>
      <c r="L51" s="706"/>
      <c r="M51" s="706"/>
      <c r="N51" s="706"/>
      <c r="O51" s="705"/>
      <c r="P51" s="705"/>
      <c r="Q51" s="705"/>
      <c r="R51" s="705"/>
      <c r="S51" s="705"/>
      <c r="T51" s="705"/>
      <c r="U51" s="705"/>
      <c r="V51" s="705"/>
      <c r="W51" s="705"/>
      <c r="X51" s="705"/>
      <c r="Y51" s="705"/>
      <c r="Z51" s="705"/>
      <c r="AA51" s="705"/>
    </row>
    <row r="52" spans="1:27">
      <c r="A52" s="706"/>
      <c r="B52" s="706"/>
      <c r="C52" s="706"/>
      <c r="D52" s="706"/>
      <c r="E52" s="706"/>
      <c r="F52" s="706"/>
      <c r="G52" s="706"/>
      <c r="H52" s="706"/>
      <c r="I52" s="706"/>
      <c r="J52" s="706"/>
      <c r="K52" s="706"/>
      <c r="L52" s="706"/>
      <c r="M52" s="706"/>
      <c r="N52" s="706"/>
      <c r="O52" s="705"/>
      <c r="P52" s="705"/>
      <c r="Q52" s="705"/>
      <c r="R52" s="705"/>
      <c r="S52" s="705"/>
      <c r="T52" s="705"/>
      <c r="U52" s="705"/>
      <c r="V52" s="705"/>
      <c r="W52" s="705"/>
      <c r="X52" s="705"/>
      <c r="Y52" s="705"/>
      <c r="Z52" s="705"/>
      <c r="AA52" s="705"/>
    </row>
    <row r="53" spans="1:27">
      <c r="A53" s="706"/>
      <c r="B53" s="706"/>
      <c r="C53" s="706"/>
      <c r="D53" s="706"/>
      <c r="E53" s="706"/>
      <c r="F53" s="706"/>
      <c r="G53" s="706"/>
      <c r="H53" s="706"/>
      <c r="I53" s="706"/>
      <c r="J53" s="706"/>
      <c r="K53" s="706"/>
      <c r="L53" s="706"/>
      <c r="M53" s="706"/>
      <c r="N53" s="706"/>
      <c r="O53" s="705"/>
      <c r="P53" s="705"/>
      <c r="Q53" s="705"/>
      <c r="R53" s="705"/>
      <c r="S53" s="705"/>
      <c r="T53" s="705"/>
      <c r="U53" s="705"/>
      <c r="V53" s="705"/>
      <c r="W53" s="705"/>
      <c r="X53" s="705"/>
      <c r="Y53" s="705"/>
      <c r="Z53" s="705"/>
      <c r="AA53" s="705"/>
    </row>
    <row r="54" spans="1:27">
      <c r="A54" s="706"/>
      <c r="B54" s="706"/>
      <c r="C54" s="706"/>
      <c r="D54" s="706"/>
      <c r="E54" s="706"/>
      <c r="F54" s="706"/>
      <c r="G54" s="706"/>
      <c r="H54" s="706"/>
      <c r="I54" s="706"/>
      <c r="J54" s="706"/>
      <c r="K54" s="706"/>
      <c r="L54" s="706"/>
      <c r="M54" s="706"/>
      <c r="N54" s="706"/>
      <c r="O54" s="705"/>
      <c r="P54" s="705"/>
      <c r="Q54" s="705"/>
      <c r="R54" s="705"/>
      <c r="S54" s="705"/>
      <c r="T54" s="705"/>
      <c r="U54" s="705"/>
      <c r="V54" s="705"/>
      <c r="W54" s="705"/>
      <c r="X54" s="705"/>
      <c r="Y54" s="705"/>
      <c r="Z54" s="705"/>
      <c r="AA54" s="705"/>
    </row>
    <row r="55" spans="1:27">
      <c r="A55" s="706"/>
      <c r="B55" s="706"/>
      <c r="C55" s="706"/>
      <c r="D55" s="706"/>
      <c r="E55" s="706"/>
      <c r="F55" s="706"/>
      <c r="G55" s="706"/>
      <c r="H55" s="706"/>
      <c r="I55" s="706"/>
      <c r="J55" s="706"/>
      <c r="K55" s="706"/>
      <c r="L55" s="706"/>
      <c r="M55" s="706"/>
      <c r="N55" s="706"/>
      <c r="O55" s="705"/>
      <c r="P55" s="705"/>
      <c r="Q55" s="705"/>
      <c r="R55" s="705"/>
      <c r="S55" s="705"/>
      <c r="T55" s="705"/>
      <c r="U55" s="705"/>
      <c r="V55" s="705"/>
      <c r="W55" s="705"/>
      <c r="X55" s="705"/>
      <c r="Y55" s="705"/>
      <c r="Z55" s="705"/>
      <c r="AA55" s="705"/>
    </row>
    <row r="56" spans="1:27">
      <c r="A56" s="706"/>
      <c r="B56" s="706"/>
      <c r="C56" s="706"/>
      <c r="D56" s="706"/>
      <c r="E56" s="706"/>
      <c r="F56" s="706"/>
      <c r="G56" s="706"/>
      <c r="H56" s="706"/>
      <c r="I56" s="706"/>
      <c r="J56" s="706"/>
      <c r="K56" s="706"/>
      <c r="L56" s="706"/>
      <c r="M56" s="706"/>
      <c r="N56" s="706"/>
      <c r="O56" s="705"/>
      <c r="P56" s="705"/>
      <c r="Q56" s="705"/>
      <c r="R56" s="705"/>
      <c r="S56" s="705"/>
      <c r="T56" s="705"/>
      <c r="U56" s="705"/>
      <c r="V56" s="705"/>
      <c r="W56" s="705"/>
      <c r="X56" s="705"/>
      <c r="Y56" s="705"/>
      <c r="Z56" s="705"/>
      <c r="AA56" s="705"/>
    </row>
    <row r="57" spans="1:27">
      <c r="A57" s="706"/>
      <c r="B57" s="706"/>
      <c r="C57" s="706"/>
      <c r="D57" s="706"/>
      <c r="E57" s="706"/>
      <c r="F57" s="706"/>
      <c r="G57" s="706"/>
      <c r="H57" s="706"/>
      <c r="I57" s="706"/>
      <c r="J57" s="706"/>
      <c r="K57" s="706"/>
      <c r="L57" s="706"/>
      <c r="M57" s="706"/>
      <c r="N57" s="706"/>
      <c r="O57" s="705"/>
      <c r="P57" s="705"/>
      <c r="Q57" s="705"/>
      <c r="R57" s="705"/>
      <c r="S57" s="705"/>
      <c r="T57" s="705"/>
      <c r="U57" s="705"/>
      <c r="V57" s="705"/>
      <c r="W57" s="705"/>
      <c r="X57" s="705"/>
      <c r="Y57" s="705"/>
      <c r="Z57" s="705"/>
      <c r="AA57" s="705"/>
    </row>
    <row r="58" spans="1:27">
      <c r="A58" s="706"/>
      <c r="B58" s="706"/>
      <c r="C58" s="706"/>
      <c r="D58" s="706"/>
      <c r="E58" s="706"/>
      <c r="F58" s="706"/>
      <c r="G58" s="706"/>
      <c r="H58" s="706"/>
      <c r="I58" s="706"/>
      <c r="J58" s="706"/>
      <c r="K58" s="706"/>
      <c r="L58" s="706"/>
      <c r="M58" s="706"/>
      <c r="N58" s="706"/>
      <c r="O58" s="705"/>
      <c r="P58" s="705"/>
      <c r="Q58" s="705"/>
      <c r="R58" s="705"/>
      <c r="S58" s="705"/>
      <c r="T58" s="705"/>
      <c r="U58" s="705"/>
      <c r="V58" s="705"/>
      <c r="W58" s="705"/>
      <c r="X58" s="705"/>
      <c r="Y58" s="705"/>
      <c r="Z58" s="705"/>
      <c r="AA58" s="705"/>
    </row>
    <row r="59" spans="1:27">
      <c r="A59" s="706"/>
      <c r="B59" s="706"/>
      <c r="C59" s="706"/>
      <c r="D59" s="706"/>
      <c r="E59" s="706"/>
      <c r="F59" s="706"/>
      <c r="G59" s="706"/>
      <c r="H59" s="706"/>
      <c r="I59" s="706"/>
      <c r="J59" s="706"/>
      <c r="K59" s="706"/>
      <c r="L59" s="706"/>
      <c r="M59" s="706"/>
      <c r="N59" s="706"/>
      <c r="O59" s="705"/>
      <c r="P59" s="705"/>
      <c r="Q59" s="705"/>
      <c r="R59" s="705"/>
      <c r="S59" s="705"/>
      <c r="T59" s="705"/>
      <c r="U59" s="705"/>
      <c r="V59" s="705"/>
      <c r="W59" s="705"/>
      <c r="X59" s="705"/>
      <c r="Y59" s="705"/>
      <c r="Z59" s="705"/>
      <c r="AA59" s="705"/>
    </row>
    <row r="60" spans="1:27">
      <c r="A60" s="705"/>
      <c r="B60" s="705"/>
      <c r="C60" s="705"/>
      <c r="D60" s="705"/>
      <c r="E60" s="705"/>
      <c r="F60" s="705"/>
      <c r="G60" s="705"/>
      <c r="H60" s="705"/>
      <c r="I60" s="705"/>
      <c r="J60" s="705"/>
      <c r="K60" s="705"/>
      <c r="L60" s="705"/>
      <c r="M60" s="705"/>
      <c r="N60" s="705"/>
      <c r="O60" s="705"/>
      <c r="P60" s="705"/>
      <c r="Q60" s="705"/>
      <c r="R60" s="705"/>
      <c r="S60" s="705"/>
      <c r="T60" s="705"/>
      <c r="U60" s="705"/>
      <c r="V60" s="705"/>
      <c r="W60" s="705"/>
      <c r="X60" s="705"/>
      <c r="Y60" s="705"/>
      <c r="Z60" s="705"/>
      <c r="AA60" s="705"/>
    </row>
    <row r="61" spans="1:27">
      <c r="A61" s="705"/>
      <c r="B61" s="705"/>
      <c r="C61" s="705"/>
      <c r="D61" s="705"/>
      <c r="E61" s="705"/>
      <c r="F61" s="705"/>
      <c r="G61" s="705"/>
      <c r="H61" s="705"/>
      <c r="I61" s="705"/>
      <c r="J61" s="705"/>
      <c r="K61" s="705"/>
      <c r="L61" s="705"/>
      <c r="M61" s="705"/>
      <c r="N61" s="705"/>
      <c r="O61" s="705"/>
      <c r="P61" s="705"/>
      <c r="Q61" s="705"/>
      <c r="R61" s="705"/>
      <c r="S61" s="705"/>
      <c r="T61" s="705"/>
      <c r="U61" s="705"/>
      <c r="V61" s="705"/>
      <c r="W61" s="705"/>
      <c r="X61" s="705"/>
      <c r="Y61" s="705"/>
      <c r="Z61" s="705"/>
      <c r="AA61" s="705"/>
    </row>
    <row r="62" spans="1:27">
      <c r="A62" s="705"/>
      <c r="B62" s="705"/>
      <c r="C62" s="705"/>
      <c r="D62" s="705"/>
      <c r="E62" s="705"/>
      <c r="F62" s="705"/>
      <c r="G62" s="705"/>
      <c r="H62" s="705"/>
      <c r="I62" s="705"/>
      <c r="J62" s="705"/>
      <c r="K62" s="705"/>
      <c r="L62" s="705"/>
      <c r="M62" s="705"/>
      <c r="N62" s="705"/>
      <c r="O62" s="705"/>
      <c r="P62" s="705"/>
      <c r="Q62" s="705"/>
      <c r="R62" s="705"/>
      <c r="S62" s="705"/>
      <c r="T62" s="705"/>
      <c r="U62" s="705"/>
      <c r="V62" s="705"/>
      <c r="W62" s="705"/>
      <c r="X62" s="705"/>
      <c r="Y62" s="705"/>
      <c r="Z62" s="705"/>
      <c r="AA62" s="705"/>
    </row>
    <row r="63" spans="1:27">
      <c r="A63" s="705"/>
      <c r="B63" s="705"/>
      <c r="C63" s="705"/>
      <c r="D63" s="705"/>
      <c r="E63" s="705"/>
      <c r="F63" s="705"/>
      <c r="G63" s="705"/>
      <c r="H63" s="705"/>
      <c r="I63" s="705"/>
      <c r="J63" s="705"/>
      <c r="K63" s="705"/>
      <c r="L63" s="705"/>
      <c r="M63" s="705"/>
      <c r="N63" s="705"/>
      <c r="O63" s="705"/>
      <c r="P63" s="705"/>
      <c r="Q63" s="705"/>
      <c r="R63" s="705"/>
      <c r="S63" s="705"/>
      <c r="T63" s="705"/>
      <c r="U63" s="705"/>
      <c r="V63" s="705"/>
      <c r="W63" s="705"/>
      <c r="X63" s="705"/>
      <c r="Y63" s="705"/>
      <c r="Z63" s="705"/>
      <c r="AA63" s="705"/>
    </row>
    <row r="64" spans="1:27">
      <c r="A64" s="705"/>
      <c r="B64" s="705"/>
      <c r="C64" s="705"/>
      <c r="D64" s="705"/>
      <c r="E64" s="705"/>
      <c r="F64" s="705"/>
      <c r="G64" s="705"/>
      <c r="H64" s="705"/>
      <c r="I64" s="705"/>
      <c r="J64" s="705"/>
      <c r="K64" s="705"/>
      <c r="L64" s="705"/>
      <c r="M64" s="705"/>
      <c r="N64" s="705"/>
      <c r="O64" s="705"/>
      <c r="P64" s="705"/>
      <c r="Q64" s="705"/>
      <c r="R64" s="705"/>
      <c r="S64" s="705"/>
      <c r="T64" s="705"/>
      <c r="U64" s="705"/>
      <c r="V64" s="705"/>
      <c r="W64" s="705"/>
      <c r="X64" s="705"/>
      <c r="Y64" s="705"/>
      <c r="Z64" s="705"/>
      <c r="AA64" s="705"/>
    </row>
    <row r="65" spans="1:27">
      <c r="A65" s="705"/>
      <c r="B65" s="705"/>
      <c r="C65" s="705"/>
      <c r="D65" s="705"/>
      <c r="E65" s="705"/>
      <c r="F65" s="705"/>
      <c r="G65" s="705"/>
      <c r="H65" s="705"/>
      <c r="I65" s="705"/>
      <c r="J65" s="705"/>
      <c r="K65" s="705"/>
      <c r="L65" s="705"/>
      <c r="M65" s="705"/>
      <c r="N65" s="705"/>
      <c r="O65" s="705"/>
      <c r="P65" s="705"/>
      <c r="Q65" s="705"/>
      <c r="R65" s="705"/>
      <c r="S65" s="705"/>
      <c r="T65" s="705"/>
      <c r="U65" s="705"/>
      <c r="V65" s="705"/>
      <c r="W65" s="705"/>
      <c r="X65" s="705"/>
      <c r="Y65" s="705"/>
      <c r="Z65" s="705"/>
      <c r="AA65" s="705"/>
    </row>
    <row r="66" spans="1:27">
      <c r="A66" s="705"/>
      <c r="B66" s="705"/>
      <c r="C66" s="705"/>
      <c r="D66" s="705"/>
      <c r="E66" s="705"/>
      <c r="F66" s="705"/>
      <c r="G66" s="705"/>
      <c r="H66" s="705"/>
      <c r="I66" s="705"/>
      <c r="J66" s="705"/>
      <c r="K66" s="705"/>
      <c r="L66" s="705"/>
      <c r="M66" s="705"/>
      <c r="N66" s="705"/>
      <c r="O66" s="705"/>
      <c r="P66" s="705"/>
      <c r="Q66" s="705"/>
      <c r="R66" s="705"/>
      <c r="S66" s="705"/>
      <c r="T66" s="705"/>
      <c r="U66" s="705"/>
      <c r="V66" s="705"/>
      <c r="W66" s="705"/>
      <c r="X66" s="705"/>
      <c r="Y66" s="705"/>
      <c r="Z66" s="705"/>
      <c r="AA66" s="705"/>
    </row>
    <row r="67" spans="1:27">
      <c r="A67" s="705"/>
      <c r="B67" s="705"/>
      <c r="C67" s="705"/>
      <c r="D67" s="705"/>
      <c r="E67" s="705"/>
      <c r="F67" s="705"/>
      <c r="G67" s="705"/>
      <c r="H67" s="705"/>
      <c r="I67" s="705"/>
      <c r="J67" s="705"/>
      <c r="K67" s="705"/>
      <c r="L67" s="705"/>
      <c r="M67" s="705"/>
      <c r="N67" s="705"/>
      <c r="O67" s="705"/>
      <c r="P67" s="705"/>
      <c r="Q67" s="705"/>
      <c r="R67" s="705"/>
      <c r="S67" s="705"/>
      <c r="T67" s="705"/>
      <c r="U67" s="705"/>
      <c r="V67" s="705"/>
      <c r="W67" s="705"/>
      <c r="X67" s="705"/>
      <c r="Y67" s="705"/>
      <c r="Z67" s="705"/>
      <c r="AA67" s="705"/>
    </row>
    <row r="68" spans="1:27">
      <c r="A68" s="705"/>
      <c r="B68" s="705"/>
      <c r="C68" s="705"/>
      <c r="D68" s="705"/>
      <c r="E68" s="705"/>
      <c r="F68" s="705"/>
      <c r="G68" s="705"/>
      <c r="H68" s="705"/>
      <c r="I68" s="705"/>
      <c r="J68" s="705"/>
      <c r="K68" s="705"/>
      <c r="L68" s="705"/>
      <c r="M68" s="705"/>
      <c r="N68" s="705"/>
      <c r="O68" s="705"/>
      <c r="P68" s="705"/>
      <c r="Q68" s="705"/>
      <c r="R68" s="705"/>
      <c r="S68" s="705"/>
      <c r="T68" s="705"/>
      <c r="U68" s="705"/>
      <c r="V68" s="705"/>
      <c r="W68" s="705"/>
      <c r="X68" s="705"/>
      <c r="Y68" s="705"/>
      <c r="Z68" s="705"/>
      <c r="AA68" s="705"/>
    </row>
    <row r="69" spans="1:27">
      <c r="A69" s="705"/>
      <c r="B69" s="705"/>
      <c r="C69" s="705"/>
      <c r="D69" s="705"/>
      <c r="E69" s="705"/>
      <c r="F69" s="705"/>
      <c r="G69" s="705"/>
      <c r="H69" s="705"/>
      <c r="I69" s="705"/>
      <c r="J69" s="705"/>
      <c r="K69" s="705"/>
      <c r="L69" s="705"/>
      <c r="M69" s="705"/>
      <c r="N69" s="705"/>
      <c r="O69" s="705"/>
      <c r="P69" s="705"/>
      <c r="Q69" s="705"/>
      <c r="R69" s="705"/>
      <c r="S69" s="705"/>
      <c r="T69" s="705"/>
      <c r="U69" s="705"/>
      <c r="V69" s="705"/>
      <c r="W69" s="705"/>
      <c r="X69" s="705"/>
      <c r="Y69" s="705"/>
      <c r="Z69" s="705"/>
      <c r="AA69" s="705"/>
    </row>
    <row r="70" spans="1:27">
      <c r="A70" s="705"/>
      <c r="B70" s="705"/>
      <c r="C70" s="705"/>
      <c r="D70" s="705"/>
      <c r="E70" s="705"/>
      <c r="F70" s="705"/>
      <c r="G70" s="705"/>
      <c r="H70" s="705"/>
      <c r="I70" s="705"/>
      <c r="J70" s="705"/>
      <c r="K70" s="705"/>
      <c r="L70" s="705"/>
      <c r="M70" s="705"/>
      <c r="N70" s="705"/>
      <c r="O70" s="705"/>
      <c r="P70" s="705"/>
      <c r="Q70" s="705"/>
      <c r="R70" s="705"/>
      <c r="S70" s="705"/>
      <c r="T70" s="705"/>
      <c r="U70" s="705"/>
      <c r="V70" s="705"/>
      <c r="W70" s="705"/>
      <c r="X70" s="705"/>
      <c r="Y70" s="705"/>
      <c r="Z70" s="705"/>
      <c r="AA70" s="705"/>
    </row>
    <row r="71" spans="1:27">
      <c r="A71" s="705"/>
      <c r="B71" s="705"/>
      <c r="C71" s="705"/>
      <c r="D71" s="705"/>
      <c r="E71" s="705"/>
      <c r="F71" s="705"/>
      <c r="G71" s="705"/>
      <c r="H71" s="705"/>
      <c r="I71" s="705"/>
      <c r="J71" s="705"/>
      <c r="K71" s="705"/>
      <c r="L71" s="705"/>
      <c r="M71" s="705"/>
      <c r="N71" s="705"/>
      <c r="O71" s="705"/>
      <c r="P71" s="705"/>
      <c r="Q71" s="705"/>
      <c r="R71" s="705"/>
      <c r="S71" s="705"/>
      <c r="T71" s="705"/>
      <c r="U71" s="705"/>
      <c r="V71" s="705"/>
      <c r="W71" s="705"/>
      <c r="X71" s="705"/>
      <c r="Y71" s="705"/>
      <c r="Z71" s="705"/>
      <c r="AA71" s="705"/>
    </row>
    <row r="72" spans="1:27">
      <c r="A72" s="705"/>
      <c r="B72" s="705"/>
      <c r="C72" s="705"/>
      <c r="D72" s="705"/>
      <c r="E72" s="705"/>
      <c r="F72" s="705"/>
      <c r="G72" s="705"/>
      <c r="H72" s="705"/>
      <c r="I72" s="705"/>
      <c r="J72" s="705"/>
      <c r="K72" s="705"/>
      <c r="L72" s="705"/>
      <c r="M72" s="705"/>
      <c r="N72" s="705"/>
      <c r="O72" s="705"/>
      <c r="P72" s="705"/>
      <c r="Q72" s="705"/>
      <c r="R72" s="705"/>
      <c r="S72" s="705"/>
      <c r="T72" s="705"/>
      <c r="U72" s="705"/>
      <c r="V72" s="705"/>
      <c r="W72" s="705"/>
      <c r="X72" s="705"/>
      <c r="Y72" s="705"/>
      <c r="Z72" s="705"/>
      <c r="AA72" s="705"/>
    </row>
    <row r="73" spans="1:27">
      <c r="A73" s="705"/>
      <c r="B73" s="705"/>
      <c r="C73" s="705"/>
      <c r="D73" s="705"/>
      <c r="E73" s="705"/>
      <c r="F73" s="705"/>
      <c r="G73" s="705"/>
      <c r="H73" s="705"/>
      <c r="I73" s="705"/>
      <c r="J73" s="705"/>
      <c r="K73" s="705"/>
      <c r="L73" s="705"/>
      <c r="M73" s="705"/>
      <c r="N73" s="705"/>
      <c r="O73" s="705"/>
      <c r="P73" s="705"/>
      <c r="Q73" s="705"/>
      <c r="R73" s="705"/>
      <c r="S73" s="705"/>
      <c r="T73" s="705"/>
      <c r="U73" s="705"/>
      <c r="V73" s="705"/>
      <c r="W73" s="705"/>
      <c r="X73" s="705"/>
      <c r="Y73" s="705"/>
      <c r="Z73" s="705"/>
      <c r="AA73" s="705"/>
    </row>
    <row r="74" spans="1:27">
      <c r="A74" s="705"/>
      <c r="B74" s="705"/>
      <c r="C74" s="705"/>
      <c r="D74" s="705"/>
      <c r="E74" s="705"/>
      <c r="F74" s="705"/>
      <c r="G74" s="705"/>
      <c r="H74" s="705"/>
      <c r="I74" s="705"/>
      <c r="J74" s="705"/>
      <c r="K74" s="705"/>
      <c r="L74" s="705"/>
      <c r="M74" s="705"/>
      <c r="N74" s="705"/>
      <c r="O74" s="705"/>
      <c r="P74" s="705"/>
      <c r="Q74" s="705"/>
      <c r="R74" s="705"/>
      <c r="S74" s="705"/>
      <c r="T74" s="705"/>
      <c r="U74" s="705"/>
      <c r="V74" s="705"/>
      <c r="W74" s="705"/>
      <c r="X74" s="705"/>
      <c r="Y74" s="705"/>
      <c r="Z74" s="705"/>
      <c r="AA74" s="705"/>
    </row>
    <row r="75" spans="1:27">
      <c r="A75" s="705"/>
      <c r="B75" s="705"/>
      <c r="C75" s="705"/>
      <c r="D75" s="705"/>
      <c r="E75" s="705"/>
      <c r="F75" s="705"/>
      <c r="G75" s="705"/>
      <c r="H75" s="705"/>
      <c r="I75" s="705"/>
      <c r="J75" s="705"/>
      <c r="K75" s="705"/>
      <c r="L75" s="705"/>
      <c r="M75" s="705"/>
      <c r="N75" s="705"/>
      <c r="O75" s="705"/>
      <c r="P75" s="705"/>
      <c r="Q75" s="705"/>
      <c r="R75" s="705"/>
      <c r="S75" s="705"/>
      <c r="T75" s="705"/>
      <c r="U75" s="705"/>
      <c r="V75" s="705"/>
      <c r="W75" s="705"/>
      <c r="X75" s="705"/>
      <c r="Y75" s="705"/>
      <c r="Z75" s="705"/>
      <c r="AA75" s="705"/>
    </row>
    <row r="76" spans="1:27">
      <c r="A76" s="705"/>
      <c r="B76" s="705"/>
      <c r="C76" s="705"/>
      <c r="D76" s="705"/>
      <c r="E76" s="705"/>
      <c r="F76" s="705"/>
      <c r="G76" s="705"/>
      <c r="H76" s="705"/>
      <c r="I76" s="705"/>
      <c r="J76" s="705"/>
      <c r="K76" s="705"/>
      <c r="L76" s="705"/>
      <c r="M76" s="705"/>
      <c r="N76" s="705"/>
      <c r="O76" s="705"/>
      <c r="P76" s="705"/>
      <c r="Q76" s="705"/>
      <c r="R76" s="705"/>
      <c r="S76" s="705"/>
      <c r="T76" s="705"/>
      <c r="U76" s="705"/>
      <c r="V76" s="705"/>
      <c r="W76" s="705"/>
      <c r="X76" s="705"/>
      <c r="Y76" s="705"/>
      <c r="Z76" s="705"/>
      <c r="AA76" s="705"/>
    </row>
    <row r="77" spans="1:27">
      <c r="A77" s="705"/>
      <c r="B77" s="705"/>
      <c r="C77" s="705"/>
      <c r="D77" s="705"/>
      <c r="E77" s="705"/>
      <c r="F77" s="705"/>
      <c r="G77" s="705"/>
      <c r="H77" s="705"/>
      <c r="I77" s="705"/>
      <c r="J77" s="705"/>
      <c r="K77" s="705"/>
      <c r="L77" s="705"/>
      <c r="M77" s="705"/>
      <c r="N77" s="705"/>
      <c r="O77" s="705"/>
      <c r="P77" s="705"/>
      <c r="Q77" s="705"/>
      <c r="R77" s="705"/>
      <c r="S77" s="705"/>
      <c r="T77" s="705"/>
      <c r="U77" s="705"/>
      <c r="V77" s="705"/>
      <c r="W77" s="705"/>
      <c r="X77" s="705"/>
      <c r="Y77" s="705"/>
      <c r="Z77" s="705"/>
      <c r="AA77" s="705"/>
    </row>
    <row r="78" spans="1:27">
      <c r="A78" s="705"/>
      <c r="B78" s="705"/>
      <c r="C78" s="705"/>
      <c r="D78" s="705"/>
      <c r="E78" s="705"/>
      <c r="F78" s="705"/>
      <c r="G78" s="705"/>
      <c r="H78" s="705"/>
      <c r="I78" s="705"/>
      <c r="J78" s="705"/>
      <c r="K78" s="705"/>
      <c r="L78" s="705"/>
      <c r="M78" s="705"/>
      <c r="N78" s="705"/>
      <c r="O78" s="705"/>
      <c r="P78" s="705"/>
      <c r="Q78" s="705"/>
      <c r="R78" s="705"/>
      <c r="S78" s="705"/>
      <c r="T78" s="705"/>
      <c r="U78" s="705"/>
      <c r="V78" s="705"/>
      <c r="W78" s="705"/>
      <c r="X78" s="705"/>
      <c r="Y78" s="705"/>
      <c r="Z78" s="705"/>
      <c r="AA78" s="705"/>
    </row>
    <row r="79" spans="1:27">
      <c r="A79" s="705"/>
      <c r="B79" s="705"/>
      <c r="C79" s="705"/>
      <c r="D79" s="705"/>
      <c r="E79" s="705"/>
      <c r="F79" s="705"/>
      <c r="G79" s="705"/>
      <c r="H79" s="705"/>
      <c r="I79" s="705"/>
      <c r="J79" s="705"/>
      <c r="K79" s="705"/>
      <c r="L79" s="705"/>
      <c r="M79" s="705"/>
      <c r="N79" s="705"/>
      <c r="O79" s="705"/>
      <c r="P79" s="705"/>
      <c r="Q79" s="705"/>
      <c r="R79" s="705"/>
      <c r="S79" s="705"/>
      <c r="T79" s="705"/>
      <c r="U79" s="705"/>
      <c r="V79" s="705"/>
      <c r="W79" s="705"/>
      <c r="X79" s="705"/>
      <c r="Y79" s="705"/>
      <c r="Z79" s="705"/>
      <c r="AA79" s="705"/>
    </row>
    <row r="80" spans="1:27">
      <c r="A80" s="705"/>
      <c r="B80" s="705"/>
      <c r="C80" s="705"/>
      <c r="D80" s="705"/>
      <c r="E80" s="705"/>
      <c r="F80" s="705"/>
      <c r="G80" s="705"/>
      <c r="H80" s="705"/>
      <c r="I80" s="705"/>
      <c r="J80" s="705"/>
      <c r="K80" s="705"/>
      <c r="L80" s="705"/>
      <c r="M80" s="705"/>
      <c r="N80" s="705"/>
      <c r="O80" s="705"/>
      <c r="P80" s="705"/>
      <c r="Q80" s="705"/>
      <c r="R80" s="705"/>
      <c r="S80" s="705"/>
      <c r="T80" s="705"/>
      <c r="U80" s="705"/>
      <c r="V80" s="705"/>
      <c r="W80" s="705"/>
      <c r="X80" s="705"/>
      <c r="Y80" s="705"/>
      <c r="Z80" s="705"/>
      <c r="AA80" s="705"/>
    </row>
    <row r="81" spans="1:27">
      <c r="A81" s="705"/>
      <c r="B81" s="705"/>
      <c r="C81" s="705"/>
      <c r="D81" s="705"/>
      <c r="E81" s="705"/>
      <c r="F81" s="705"/>
      <c r="G81" s="705"/>
      <c r="H81" s="705"/>
      <c r="I81" s="705"/>
      <c r="J81" s="705"/>
      <c r="K81" s="705"/>
      <c r="L81" s="705"/>
      <c r="M81" s="705"/>
      <c r="N81" s="705"/>
      <c r="O81" s="705"/>
      <c r="P81" s="705"/>
      <c r="Q81" s="705"/>
      <c r="R81" s="705"/>
      <c r="S81" s="705"/>
      <c r="T81" s="705"/>
      <c r="U81" s="705"/>
      <c r="V81" s="705"/>
      <c r="W81" s="705"/>
      <c r="X81" s="705"/>
      <c r="Y81" s="705"/>
      <c r="Z81" s="705"/>
      <c r="AA81" s="705"/>
    </row>
    <row r="82" spans="1:27">
      <c r="A82" s="705"/>
      <c r="B82" s="705"/>
      <c r="C82" s="705"/>
      <c r="D82" s="705"/>
      <c r="E82" s="705"/>
      <c r="F82" s="705"/>
      <c r="G82" s="705"/>
      <c r="H82" s="705"/>
      <c r="I82" s="705"/>
      <c r="J82" s="705"/>
      <c r="K82" s="705"/>
      <c r="L82" s="705"/>
      <c r="M82" s="705"/>
      <c r="N82" s="705"/>
      <c r="O82" s="705"/>
      <c r="P82" s="705"/>
      <c r="Q82" s="705"/>
      <c r="R82" s="705"/>
      <c r="S82" s="705"/>
      <c r="T82" s="705"/>
      <c r="U82" s="705"/>
      <c r="V82" s="705"/>
      <c r="W82" s="705"/>
      <c r="X82" s="705"/>
      <c r="Y82" s="705"/>
      <c r="Z82" s="705"/>
      <c r="AA82" s="705"/>
    </row>
    <row r="83" spans="1:27">
      <c r="A83" s="705"/>
      <c r="B83" s="705"/>
      <c r="C83" s="705"/>
      <c r="D83" s="705"/>
      <c r="E83" s="705"/>
      <c r="F83" s="705"/>
      <c r="G83" s="705"/>
      <c r="H83" s="705"/>
      <c r="I83" s="705"/>
      <c r="J83" s="705"/>
      <c r="K83" s="705"/>
      <c r="L83" s="705"/>
      <c r="M83" s="705"/>
      <c r="N83" s="705"/>
      <c r="O83" s="705"/>
      <c r="P83" s="705"/>
      <c r="Q83" s="705"/>
      <c r="R83" s="705"/>
      <c r="S83" s="705"/>
      <c r="T83" s="705"/>
      <c r="U83" s="705"/>
      <c r="V83" s="705"/>
      <c r="W83" s="705"/>
      <c r="X83" s="705"/>
      <c r="Y83" s="705"/>
      <c r="Z83" s="705"/>
      <c r="AA83" s="705"/>
    </row>
    <row r="84" spans="1:27">
      <c r="A84" s="705"/>
      <c r="B84" s="705"/>
      <c r="C84" s="705"/>
      <c r="D84" s="705"/>
      <c r="E84" s="705"/>
      <c r="F84" s="705"/>
      <c r="G84" s="705"/>
      <c r="H84" s="705"/>
      <c r="I84" s="705"/>
      <c r="J84" s="705"/>
      <c r="K84" s="705"/>
      <c r="L84" s="705"/>
      <c r="M84" s="705"/>
      <c r="N84" s="705"/>
      <c r="O84" s="705"/>
      <c r="P84" s="705"/>
      <c r="Q84" s="705"/>
      <c r="R84" s="705"/>
      <c r="S84" s="705"/>
      <c r="T84" s="705"/>
      <c r="U84" s="705"/>
      <c r="V84" s="705"/>
      <c r="W84" s="705"/>
      <c r="X84" s="705"/>
      <c r="Y84" s="705"/>
      <c r="Z84" s="705"/>
      <c r="AA84" s="705"/>
    </row>
    <row r="85" spans="1:27">
      <c r="A85" s="705"/>
      <c r="B85" s="705"/>
      <c r="C85" s="705"/>
      <c r="D85" s="705"/>
      <c r="E85" s="705"/>
      <c r="F85" s="705"/>
      <c r="G85" s="705"/>
      <c r="H85" s="705"/>
      <c r="I85" s="705"/>
      <c r="J85" s="705"/>
      <c r="K85" s="705"/>
      <c r="L85" s="705"/>
      <c r="M85" s="705"/>
      <c r="N85" s="705"/>
      <c r="O85" s="705"/>
      <c r="P85" s="705"/>
      <c r="Q85" s="705"/>
      <c r="R85" s="705"/>
      <c r="S85" s="705"/>
      <c r="T85" s="705"/>
      <c r="U85" s="705"/>
      <c r="V85" s="705"/>
      <c r="W85" s="705"/>
      <c r="X85" s="705"/>
      <c r="Y85" s="705"/>
      <c r="Z85" s="705"/>
      <c r="AA85" s="705"/>
    </row>
    <row r="86" spans="1:27">
      <c r="A86" s="705"/>
      <c r="B86" s="705"/>
      <c r="C86" s="705"/>
      <c r="D86" s="705"/>
      <c r="E86" s="705"/>
      <c r="F86" s="705"/>
      <c r="G86" s="705"/>
      <c r="H86" s="705"/>
      <c r="I86" s="705"/>
      <c r="J86" s="705"/>
      <c r="K86" s="705"/>
      <c r="L86" s="705"/>
      <c r="M86" s="705"/>
      <c r="N86" s="705"/>
      <c r="O86" s="705"/>
      <c r="P86" s="705"/>
      <c r="Q86" s="705"/>
      <c r="R86" s="705"/>
      <c r="S86" s="705"/>
      <c r="T86" s="705"/>
      <c r="U86" s="705"/>
      <c r="V86" s="705"/>
      <c r="W86" s="705"/>
      <c r="X86" s="705"/>
      <c r="Y86" s="705"/>
      <c r="Z86" s="705"/>
      <c r="AA86" s="705"/>
    </row>
    <row r="87" spans="1:27">
      <c r="A87" s="705"/>
      <c r="B87" s="705"/>
      <c r="C87" s="705"/>
      <c r="D87" s="705"/>
      <c r="E87" s="705"/>
      <c r="F87" s="705"/>
      <c r="G87" s="705"/>
      <c r="H87" s="705"/>
      <c r="I87" s="705"/>
      <c r="J87" s="705"/>
      <c r="K87" s="705"/>
      <c r="L87" s="705"/>
      <c r="M87" s="705"/>
      <c r="N87" s="705"/>
      <c r="O87" s="705"/>
      <c r="P87" s="705"/>
      <c r="Q87" s="705"/>
      <c r="R87" s="705"/>
      <c r="S87" s="705"/>
      <c r="T87" s="705"/>
      <c r="U87" s="705"/>
      <c r="V87" s="705"/>
      <c r="W87" s="705"/>
      <c r="X87" s="705"/>
      <c r="Y87" s="705"/>
      <c r="Z87" s="705"/>
      <c r="AA87" s="705"/>
    </row>
    <row r="88" spans="1:27">
      <c r="A88" s="705"/>
      <c r="B88" s="705"/>
      <c r="C88" s="705"/>
      <c r="D88" s="705"/>
      <c r="E88" s="705"/>
      <c r="F88" s="705"/>
      <c r="G88" s="705"/>
      <c r="H88" s="705"/>
      <c r="I88" s="705"/>
      <c r="J88" s="705"/>
      <c r="K88" s="705"/>
      <c r="L88" s="705"/>
      <c r="M88" s="705"/>
      <c r="N88" s="705"/>
      <c r="O88" s="705"/>
      <c r="P88" s="705"/>
      <c r="Q88" s="705"/>
      <c r="R88" s="705"/>
      <c r="S88" s="705"/>
      <c r="T88" s="705"/>
      <c r="U88" s="705"/>
      <c r="V88" s="705"/>
      <c r="W88" s="705"/>
      <c r="X88" s="705"/>
      <c r="Y88" s="705"/>
      <c r="Z88" s="705"/>
      <c r="AA88" s="705"/>
    </row>
    <row r="89" spans="1:27">
      <c r="A89" s="705"/>
      <c r="B89" s="705"/>
      <c r="C89" s="705"/>
      <c r="D89" s="705"/>
      <c r="E89" s="705"/>
      <c r="F89" s="705"/>
      <c r="G89" s="705"/>
      <c r="H89" s="705"/>
      <c r="I89" s="705"/>
      <c r="J89" s="705"/>
      <c r="K89" s="705"/>
      <c r="L89" s="705"/>
      <c r="M89" s="705"/>
      <c r="N89" s="705"/>
      <c r="O89" s="705"/>
      <c r="P89" s="705"/>
      <c r="Q89" s="705"/>
      <c r="R89" s="705"/>
      <c r="S89" s="705"/>
      <c r="T89" s="705"/>
      <c r="U89" s="705"/>
      <c r="V89" s="705"/>
      <c r="W89" s="705"/>
      <c r="X89" s="705"/>
      <c r="Y89" s="705"/>
      <c r="Z89" s="705"/>
      <c r="AA89" s="705"/>
    </row>
    <row r="90" spans="1:27">
      <c r="A90" s="705"/>
      <c r="B90" s="705"/>
      <c r="C90" s="705"/>
      <c r="D90" s="705"/>
      <c r="E90" s="705"/>
      <c r="F90" s="705"/>
      <c r="G90" s="705"/>
      <c r="H90" s="705"/>
      <c r="I90" s="705"/>
      <c r="J90" s="705"/>
      <c r="K90" s="705"/>
      <c r="L90" s="705"/>
      <c r="M90" s="705"/>
      <c r="N90" s="705"/>
      <c r="O90" s="705"/>
      <c r="P90" s="705"/>
      <c r="Q90" s="705"/>
      <c r="R90" s="705"/>
      <c r="S90" s="705"/>
      <c r="T90" s="705"/>
      <c r="U90" s="705"/>
      <c r="V90" s="705"/>
      <c r="W90" s="705"/>
      <c r="X90" s="705"/>
      <c r="Y90" s="705"/>
      <c r="Z90" s="705"/>
      <c r="AA90" s="705"/>
    </row>
    <row r="91" spans="1:27">
      <c r="A91" s="705"/>
      <c r="B91" s="705"/>
      <c r="C91" s="705"/>
      <c r="D91" s="705"/>
      <c r="E91" s="705"/>
      <c r="F91" s="705"/>
      <c r="G91" s="705"/>
      <c r="H91" s="705"/>
      <c r="I91" s="705"/>
      <c r="J91" s="705"/>
      <c r="K91" s="705"/>
      <c r="L91" s="705"/>
      <c r="M91" s="705"/>
      <c r="N91" s="705"/>
      <c r="O91" s="705"/>
      <c r="P91" s="705"/>
      <c r="Q91" s="705"/>
      <c r="R91" s="705"/>
      <c r="S91" s="705"/>
      <c r="T91" s="705"/>
      <c r="U91" s="705"/>
      <c r="V91" s="705"/>
      <c r="W91" s="705"/>
      <c r="X91" s="705"/>
      <c r="Y91" s="705"/>
      <c r="Z91" s="705"/>
      <c r="AA91" s="705"/>
    </row>
    <row r="92" spans="1:27">
      <c r="A92" s="705"/>
      <c r="B92" s="705"/>
      <c r="C92" s="705"/>
      <c r="D92" s="705"/>
      <c r="E92" s="705"/>
      <c r="F92" s="705"/>
      <c r="G92" s="705"/>
      <c r="H92" s="705"/>
      <c r="I92" s="705"/>
      <c r="J92" s="705"/>
      <c r="K92" s="705"/>
      <c r="L92" s="705"/>
      <c r="M92" s="705"/>
      <c r="N92" s="705"/>
      <c r="O92" s="705"/>
      <c r="P92" s="705"/>
      <c r="Q92" s="705"/>
      <c r="R92" s="705"/>
      <c r="S92" s="705"/>
      <c r="T92" s="705"/>
      <c r="U92" s="705"/>
      <c r="V92" s="705"/>
      <c r="W92" s="705"/>
      <c r="X92" s="705"/>
      <c r="Y92" s="705"/>
      <c r="Z92" s="705"/>
      <c r="AA92" s="705"/>
    </row>
    <row r="93" spans="1:27">
      <c r="A93" s="705"/>
      <c r="B93" s="705"/>
      <c r="C93" s="705"/>
      <c r="D93" s="705"/>
      <c r="E93" s="705"/>
      <c r="F93" s="705"/>
      <c r="G93" s="705"/>
      <c r="H93" s="705"/>
      <c r="I93" s="705"/>
      <c r="J93" s="705"/>
      <c r="K93" s="705"/>
      <c r="L93" s="705"/>
      <c r="M93" s="705"/>
      <c r="N93" s="705"/>
      <c r="O93" s="705"/>
      <c r="P93" s="705"/>
      <c r="Q93" s="705"/>
      <c r="R93" s="705"/>
      <c r="S93" s="705"/>
      <c r="T93" s="705"/>
      <c r="U93" s="705"/>
      <c r="V93" s="705"/>
      <c r="W93" s="705"/>
      <c r="X93" s="705"/>
      <c r="Y93" s="705"/>
      <c r="Z93" s="705"/>
      <c r="AA93" s="705"/>
    </row>
    <row r="94" spans="1:27">
      <c r="A94" s="705"/>
      <c r="B94" s="705"/>
      <c r="C94" s="705"/>
      <c r="D94" s="705"/>
      <c r="E94" s="705"/>
      <c r="F94" s="705"/>
      <c r="G94" s="705"/>
      <c r="H94" s="705"/>
      <c r="I94" s="705"/>
      <c r="J94" s="705"/>
      <c r="K94" s="705"/>
      <c r="L94" s="705"/>
      <c r="M94" s="705"/>
      <c r="N94" s="705"/>
      <c r="O94" s="705"/>
      <c r="P94" s="705"/>
      <c r="Q94" s="705"/>
      <c r="R94" s="705"/>
      <c r="S94" s="705"/>
      <c r="T94" s="705"/>
      <c r="U94" s="705"/>
      <c r="V94" s="705"/>
      <c r="W94" s="705"/>
      <c r="X94" s="705"/>
      <c r="Y94" s="705"/>
      <c r="Z94" s="705"/>
      <c r="AA94" s="705"/>
    </row>
    <row r="95" spans="1:27">
      <c r="A95" s="705"/>
      <c r="B95" s="705"/>
      <c r="C95" s="705"/>
      <c r="D95" s="705"/>
      <c r="E95" s="705"/>
      <c r="F95" s="705"/>
      <c r="G95" s="705"/>
      <c r="H95" s="705"/>
      <c r="I95" s="705"/>
      <c r="J95" s="705"/>
      <c r="K95" s="705"/>
      <c r="L95" s="705"/>
      <c r="M95" s="705"/>
      <c r="N95" s="705"/>
      <c r="O95" s="705"/>
      <c r="P95" s="705"/>
      <c r="Q95" s="705"/>
      <c r="R95" s="705"/>
      <c r="S95" s="705"/>
      <c r="T95" s="705"/>
      <c r="U95" s="705"/>
      <c r="V95" s="705"/>
      <c r="W95" s="705"/>
      <c r="X95" s="705"/>
      <c r="Y95" s="705"/>
      <c r="Z95" s="705"/>
      <c r="AA95" s="705"/>
    </row>
    <row r="96" spans="1:27">
      <c r="A96" s="705"/>
      <c r="B96" s="705"/>
      <c r="C96" s="705"/>
      <c r="D96" s="705"/>
      <c r="E96" s="705"/>
      <c r="F96" s="705"/>
      <c r="G96" s="705"/>
      <c r="H96" s="705"/>
      <c r="I96" s="705"/>
      <c r="J96" s="705"/>
      <c r="K96" s="705"/>
      <c r="L96" s="705"/>
      <c r="M96" s="705"/>
      <c r="N96" s="705"/>
      <c r="O96" s="705"/>
      <c r="P96" s="705"/>
      <c r="Q96" s="705"/>
      <c r="R96" s="705"/>
      <c r="S96" s="705"/>
      <c r="T96" s="705"/>
      <c r="U96" s="705"/>
      <c r="V96" s="705"/>
      <c r="W96" s="705"/>
      <c r="X96" s="705"/>
      <c r="Y96" s="705"/>
      <c r="Z96" s="705"/>
      <c r="AA96" s="705"/>
    </row>
    <row r="97" spans="1:27">
      <c r="A97" s="705"/>
      <c r="B97" s="705"/>
      <c r="C97" s="705"/>
      <c r="D97" s="705"/>
      <c r="E97" s="705"/>
      <c r="F97" s="705"/>
      <c r="G97" s="705"/>
      <c r="H97" s="705"/>
      <c r="I97" s="705"/>
      <c r="J97" s="705"/>
      <c r="K97" s="705"/>
      <c r="L97" s="705"/>
      <c r="M97" s="705"/>
      <c r="N97" s="705"/>
      <c r="O97" s="705"/>
      <c r="P97" s="705"/>
      <c r="Q97" s="705"/>
      <c r="R97" s="705"/>
      <c r="S97" s="705"/>
      <c r="T97" s="705"/>
      <c r="U97" s="705"/>
      <c r="V97" s="705"/>
      <c r="W97" s="705"/>
      <c r="X97" s="705"/>
      <c r="Y97" s="705"/>
      <c r="Z97" s="705"/>
      <c r="AA97" s="705"/>
    </row>
    <row r="98" spans="1:27">
      <c r="A98" s="705"/>
      <c r="B98" s="705"/>
      <c r="C98" s="705"/>
      <c r="D98" s="705"/>
      <c r="E98" s="705"/>
      <c r="F98" s="705"/>
      <c r="G98" s="705"/>
      <c r="H98" s="705"/>
      <c r="I98" s="705"/>
      <c r="J98" s="705"/>
      <c r="K98" s="705"/>
      <c r="L98" s="705"/>
      <c r="M98" s="705"/>
      <c r="N98" s="705"/>
      <c r="O98" s="705"/>
      <c r="P98" s="705"/>
      <c r="Q98" s="705"/>
      <c r="R98" s="705"/>
      <c r="S98" s="705"/>
      <c r="T98" s="705"/>
      <c r="U98" s="705"/>
      <c r="V98" s="705"/>
      <c r="W98" s="705"/>
      <c r="X98" s="705"/>
      <c r="Y98" s="705"/>
      <c r="Z98" s="705"/>
      <c r="AA98" s="705"/>
    </row>
    <row r="99" spans="1:27">
      <c r="A99" s="705"/>
      <c r="B99" s="705"/>
      <c r="C99" s="705"/>
      <c r="D99" s="705"/>
      <c r="E99" s="705"/>
      <c r="F99" s="705"/>
      <c r="G99" s="705"/>
      <c r="H99" s="705"/>
      <c r="I99" s="705"/>
      <c r="J99" s="705"/>
      <c r="K99" s="705"/>
      <c r="L99" s="705"/>
      <c r="M99" s="705"/>
      <c r="N99" s="705"/>
      <c r="O99" s="705"/>
      <c r="P99" s="705"/>
      <c r="Q99" s="705"/>
      <c r="R99" s="705"/>
      <c r="S99" s="705"/>
      <c r="T99" s="705"/>
      <c r="U99" s="705"/>
      <c r="V99" s="705"/>
      <c r="W99" s="705"/>
      <c r="X99" s="705"/>
      <c r="Y99" s="705"/>
      <c r="Z99" s="705"/>
      <c r="AA99" s="705"/>
    </row>
    <row r="100" spans="1:27">
      <c r="A100" s="705"/>
      <c r="B100" s="705"/>
      <c r="C100" s="705"/>
      <c r="D100" s="705"/>
      <c r="E100" s="705"/>
      <c r="F100" s="705"/>
      <c r="G100" s="705"/>
      <c r="H100" s="705"/>
      <c r="I100" s="705"/>
      <c r="J100" s="705"/>
      <c r="K100" s="705"/>
      <c r="L100" s="705"/>
      <c r="M100" s="705"/>
      <c r="N100" s="705"/>
      <c r="O100" s="705"/>
      <c r="P100" s="705"/>
      <c r="Q100" s="705"/>
      <c r="R100" s="705"/>
      <c r="S100" s="705"/>
      <c r="T100" s="705"/>
      <c r="U100" s="705"/>
      <c r="V100" s="705"/>
      <c r="W100" s="705"/>
      <c r="X100" s="705"/>
      <c r="Y100" s="705"/>
      <c r="Z100" s="705"/>
      <c r="AA100" s="705"/>
    </row>
    <row r="101" spans="1:27">
      <c r="A101" s="705"/>
      <c r="B101" s="705"/>
      <c r="C101" s="705"/>
      <c r="D101" s="705"/>
      <c r="E101" s="705"/>
      <c r="F101" s="705"/>
      <c r="G101" s="705"/>
      <c r="H101" s="705"/>
      <c r="I101" s="705"/>
      <c r="J101" s="705"/>
      <c r="K101" s="705"/>
      <c r="L101" s="705"/>
      <c r="M101" s="705"/>
      <c r="N101" s="705"/>
      <c r="O101" s="705"/>
      <c r="P101" s="705"/>
      <c r="Q101" s="705"/>
      <c r="R101" s="705"/>
      <c r="S101" s="705"/>
      <c r="T101" s="705"/>
      <c r="U101" s="705"/>
      <c r="V101" s="705"/>
      <c r="W101" s="705"/>
      <c r="X101" s="705"/>
      <c r="Y101" s="705"/>
      <c r="Z101" s="705"/>
      <c r="AA101" s="705"/>
    </row>
    <row r="102" spans="1:27">
      <c r="A102" s="705"/>
      <c r="B102" s="705"/>
      <c r="C102" s="705"/>
      <c r="D102" s="705"/>
      <c r="E102" s="705"/>
      <c r="F102" s="705"/>
      <c r="G102" s="705"/>
      <c r="H102" s="705"/>
      <c r="I102" s="705"/>
      <c r="J102" s="705"/>
      <c r="K102" s="705"/>
      <c r="L102" s="705"/>
      <c r="M102" s="705"/>
      <c r="N102" s="705"/>
      <c r="O102" s="705"/>
      <c r="P102" s="705"/>
      <c r="Q102" s="705"/>
      <c r="R102" s="705"/>
      <c r="S102" s="705"/>
      <c r="T102" s="705"/>
      <c r="U102" s="705"/>
      <c r="V102" s="705"/>
      <c r="W102" s="705"/>
      <c r="X102" s="705"/>
      <c r="Y102" s="705"/>
      <c r="Z102" s="705"/>
      <c r="AA102" s="705"/>
    </row>
    <row r="103" spans="1:27">
      <c r="A103" s="705"/>
      <c r="B103" s="705"/>
      <c r="C103" s="705"/>
      <c r="D103" s="705"/>
      <c r="E103" s="705"/>
      <c r="F103" s="705"/>
      <c r="G103" s="705"/>
      <c r="H103" s="705"/>
      <c r="I103" s="705"/>
      <c r="J103" s="705"/>
      <c r="K103" s="705"/>
      <c r="L103" s="705"/>
      <c r="M103" s="705"/>
      <c r="N103" s="705"/>
      <c r="O103" s="705"/>
      <c r="P103" s="705"/>
      <c r="Q103" s="705"/>
      <c r="R103" s="705"/>
      <c r="S103" s="705"/>
      <c r="T103" s="705"/>
      <c r="U103" s="705"/>
      <c r="V103" s="705"/>
      <c r="W103" s="705"/>
      <c r="X103" s="705"/>
      <c r="Y103" s="705"/>
      <c r="Z103" s="705"/>
      <c r="AA103" s="705"/>
    </row>
    <row r="104" spans="1:27">
      <c r="A104" s="705"/>
      <c r="B104" s="705"/>
      <c r="C104" s="705"/>
      <c r="D104" s="705"/>
      <c r="E104" s="705"/>
      <c r="F104" s="705"/>
      <c r="G104" s="705"/>
      <c r="H104" s="705"/>
      <c r="I104" s="705"/>
      <c r="J104" s="705"/>
      <c r="K104" s="705"/>
      <c r="L104" s="705"/>
      <c r="M104" s="705"/>
      <c r="N104" s="705"/>
      <c r="O104" s="705"/>
      <c r="P104" s="705"/>
      <c r="Q104" s="705"/>
      <c r="R104" s="705"/>
      <c r="S104" s="705"/>
      <c r="T104" s="705"/>
      <c r="U104" s="705"/>
      <c r="V104" s="705"/>
      <c r="W104" s="705"/>
      <c r="X104" s="705"/>
      <c r="Y104" s="705"/>
      <c r="Z104" s="705"/>
      <c r="AA104" s="705"/>
    </row>
    <row r="105" spans="1:27">
      <c r="A105" s="705"/>
      <c r="B105" s="705"/>
      <c r="C105" s="705"/>
      <c r="D105" s="705"/>
      <c r="E105" s="705"/>
      <c r="F105" s="705"/>
      <c r="G105" s="705"/>
      <c r="H105" s="705"/>
      <c r="I105" s="705"/>
      <c r="J105" s="705"/>
      <c r="K105" s="705"/>
      <c r="L105" s="705"/>
      <c r="M105" s="705"/>
      <c r="N105" s="705"/>
      <c r="O105" s="705"/>
      <c r="P105" s="705"/>
      <c r="Q105" s="705"/>
      <c r="R105" s="705"/>
      <c r="S105" s="705"/>
      <c r="T105" s="705"/>
      <c r="U105" s="705"/>
      <c r="V105" s="705"/>
      <c r="W105" s="705"/>
      <c r="X105" s="705"/>
      <c r="Y105" s="705"/>
      <c r="Z105" s="705"/>
      <c r="AA105" s="705"/>
    </row>
    <row r="106" spans="1:27">
      <c r="A106" s="705"/>
      <c r="B106" s="705"/>
      <c r="C106" s="705"/>
      <c r="D106" s="705"/>
      <c r="E106" s="705"/>
      <c r="F106" s="705"/>
      <c r="G106" s="705"/>
      <c r="H106" s="705"/>
      <c r="I106" s="705"/>
      <c r="J106" s="705"/>
      <c r="K106" s="705"/>
      <c r="L106" s="705"/>
      <c r="M106" s="705"/>
      <c r="N106" s="705"/>
      <c r="O106" s="705"/>
      <c r="P106" s="705"/>
      <c r="Q106" s="705"/>
      <c r="R106" s="705"/>
      <c r="S106" s="705"/>
      <c r="T106" s="705"/>
      <c r="U106" s="705"/>
      <c r="V106" s="705"/>
      <c r="W106" s="705"/>
      <c r="X106" s="705"/>
      <c r="Y106" s="705"/>
      <c r="Z106" s="705"/>
      <c r="AA106" s="705"/>
    </row>
    <row r="107" spans="1:27">
      <c r="A107" s="705"/>
      <c r="B107" s="705"/>
      <c r="C107" s="705"/>
      <c r="D107" s="705"/>
      <c r="E107" s="705"/>
      <c r="F107" s="705"/>
      <c r="G107" s="705"/>
      <c r="H107" s="705"/>
      <c r="I107" s="705"/>
      <c r="J107" s="705"/>
      <c r="K107" s="705"/>
      <c r="L107" s="705"/>
      <c r="M107" s="705"/>
      <c r="N107" s="705"/>
      <c r="O107" s="705"/>
      <c r="P107" s="705"/>
      <c r="Q107" s="705"/>
      <c r="R107" s="705"/>
      <c r="S107" s="705"/>
      <c r="T107" s="705"/>
      <c r="U107" s="705"/>
      <c r="V107" s="705"/>
      <c r="W107" s="705"/>
      <c r="X107" s="705"/>
      <c r="Y107" s="705"/>
      <c r="Z107" s="705"/>
      <c r="AA107" s="705"/>
    </row>
    <row r="108" spans="1:27">
      <c r="A108" s="705"/>
      <c r="B108" s="705"/>
      <c r="C108" s="705"/>
      <c r="D108" s="705"/>
      <c r="E108" s="705"/>
      <c r="F108" s="705"/>
      <c r="G108" s="705"/>
      <c r="H108" s="705"/>
      <c r="I108" s="705"/>
      <c r="J108" s="705"/>
      <c r="K108" s="705"/>
      <c r="L108" s="705"/>
      <c r="M108" s="705"/>
      <c r="N108" s="705"/>
      <c r="O108" s="705"/>
      <c r="P108" s="705"/>
      <c r="Q108" s="705"/>
      <c r="R108" s="705"/>
      <c r="S108" s="705"/>
      <c r="T108" s="705"/>
      <c r="U108" s="705"/>
      <c r="V108" s="705"/>
      <c r="W108" s="705"/>
      <c r="X108" s="705"/>
      <c r="Y108" s="705"/>
      <c r="Z108" s="705"/>
      <c r="AA108" s="705"/>
    </row>
    <row r="109" spans="1:27">
      <c r="A109" s="705"/>
      <c r="B109" s="705"/>
      <c r="C109" s="705"/>
      <c r="D109" s="705"/>
      <c r="E109" s="705"/>
      <c r="F109" s="705"/>
      <c r="G109" s="705"/>
      <c r="H109" s="705"/>
      <c r="I109" s="705"/>
      <c r="J109" s="705"/>
      <c r="K109" s="705"/>
      <c r="L109" s="705"/>
      <c r="M109" s="705"/>
      <c r="N109" s="705"/>
      <c r="O109" s="705"/>
      <c r="P109" s="705"/>
      <c r="Q109" s="705"/>
      <c r="R109" s="705"/>
      <c r="S109" s="705"/>
      <c r="T109" s="705"/>
      <c r="U109" s="705"/>
      <c r="V109" s="705"/>
      <c r="W109" s="705"/>
      <c r="X109" s="705"/>
      <c r="Y109" s="705"/>
      <c r="Z109" s="705"/>
      <c r="AA109" s="705"/>
    </row>
    <row r="110" spans="1:27">
      <c r="A110" s="705"/>
      <c r="B110" s="705"/>
      <c r="C110" s="705"/>
      <c r="D110" s="705"/>
      <c r="E110" s="705"/>
      <c r="F110" s="705"/>
      <c r="G110" s="705"/>
      <c r="H110" s="705"/>
      <c r="I110" s="705"/>
      <c r="J110" s="705"/>
      <c r="K110" s="705"/>
      <c r="L110" s="705"/>
      <c r="M110" s="705"/>
      <c r="N110" s="705"/>
      <c r="O110" s="705"/>
      <c r="P110" s="705"/>
      <c r="Q110" s="705"/>
      <c r="R110" s="705"/>
      <c r="S110" s="705"/>
      <c r="T110" s="705"/>
      <c r="U110" s="705"/>
      <c r="V110" s="705"/>
      <c r="W110" s="705"/>
      <c r="X110" s="705"/>
      <c r="Y110" s="705"/>
      <c r="Z110" s="705"/>
      <c r="AA110" s="705"/>
    </row>
    <row r="111" spans="1:27">
      <c r="A111" s="705"/>
      <c r="B111" s="705"/>
      <c r="C111" s="705"/>
      <c r="D111" s="705"/>
      <c r="E111" s="705"/>
      <c r="F111" s="705"/>
      <c r="G111" s="705"/>
      <c r="H111" s="705"/>
      <c r="I111" s="705"/>
      <c r="J111" s="705"/>
      <c r="K111" s="705"/>
      <c r="L111" s="705"/>
      <c r="M111" s="705"/>
      <c r="N111" s="705"/>
      <c r="O111" s="705"/>
      <c r="P111" s="705"/>
      <c r="Q111" s="705"/>
      <c r="R111" s="705"/>
      <c r="S111" s="705"/>
      <c r="T111" s="705"/>
      <c r="U111" s="705"/>
      <c r="V111" s="705"/>
      <c r="W111" s="705"/>
      <c r="X111" s="705"/>
      <c r="Y111" s="705"/>
      <c r="Z111" s="705"/>
      <c r="AA111" s="705"/>
    </row>
    <row r="112" spans="1:27">
      <c r="A112" s="705"/>
      <c r="B112" s="705"/>
      <c r="C112" s="705"/>
      <c r="D112" s="705"/>
      <c r="E112" s="705"/>
      <c r="F112" s="705"/>
      <c r="G112" s="705"/>
      <c r="H112" s="705"/>
      <c r="I112" s="705"/>
      <c r="J112" s="705"/>
      <c r="K112" s="705"/>
      <c r="L112" s="705"/>
      <c r="M112" s="705"/>
      <c r="N112" s="705"/>
      <c r="O112" s="705"/>
      <c r="P112" s="705"/>
      <c r="Q112" s="705"/>
      <c r="R112" s="705"/>
      <c r="S112" s="705"/>
      <c r="T112" s="705"/>
      <c r="U112" s="705"/>
      <c r="V112" s="705"/>
      <c r="W112" s="705"/>
      <c r="X112" s="705"/>
      <c r="Y112" s="705"/>
      <c r="Z112" s="705"/>
      <c r="AA112" s="705"/>
    </row>
    <row r="113" spans="1:27">
      <c r="A113" s="705"/>
      <c r="B113" s="705"/>
      <c r="C113" s="705"/>
      <c r="D113" s="705"/>
      <c r="E113" s="705"/>
      <c r="F113" s="705"/>
      <c r="G113" s="705"/>
      <c r="H113" s="705"/>
      <c r="I113" s="705"/>
      <c r="J113" s="705"/>
      <c r="K113" s="705"/>
      <c r="L113" s="705"/>
      <c r="M113" s="705"/>
      <c r="N113" s="705"/>
      <c r="O113" s="705"/>
      <c r="P113" s="705"/>
      <c r="Q113" s="705"/>
      <c r="R113" s="705"/>
      <c r="S113" s="705"/>
      <c r="T113" s="705"/>
      <c r="U113" s="705"/>
      <c r="V113" s="705"/>
      <c r="W113" s="705"/>
      <c r="X113" s="705"/>
      <c r="Y113" s="705"/>
      <c r="Z113" s="705"/>
      <c r="AA113" s="705"/>
    </row>
    <row r="114" spans="1:27">
      <c r="A114" s="705"/>
      <c r="B114" s="705"/>
      <c r="C114" s="705"/>
      <c r="D114" s="705"/>
      <c r="E114" s="705"/>
      <c r="F114" s="705"/>
      <c r="G114" s="705"/>
      <c r="H114" s="705"/>
      <c r="I114" s="705"/>
      <c r="J114" s="705"/>
      <c r="K114" s="705"/>
      <c r="L114" s="705"/>
      <c r="M114" s="705"/>
      <c r="N114" s="705"/>
      <c r="O114" s="705"/>
      <c r="P114" s="705"/>
      <c r="Q114" s="705"/>
      <c r="R114" s="705"/>
      <c r="S114" s="705"/>
      <c r="T114" s="705"/>
      <c r="U114" s="705"/>
      <c r="V114" s="705"/>
      <c r="W114" s="705"/>
      <c r="X114" s="705"/>
      <c r="Y114" s="705"/>
      <c r="Z114" s="705"/>
      <c r="AA114" s="705"/>
    </row>
    <row r="115" spans="1:27">
      <c r="A115" s="705"/>
      <c r="B115" s="705"/>
      <c r="C115" s="705"/>
      <c r="D115" s="705"/>
      <c r="E115" s="705"/>
      <c r="F115" s="705"/>
      <c r="G115" s="705"/>
      <c r="H115" s="705"/>
      <c r="I115" s="705"/>
      <c r="J115" s="705"/>
      <c r="K115" s="705"/>
      <c r="L115" s="705"/>
      <c r="M115" s="705"/>
      <c r="N115" s="705"/>
      <c r="O115" s="705"/>
      <c r="P115" s="705"/>
      <c r="Q115" s="705"/>
      <c r="R115" s="705"/>
      <c r="S115" s="705"/>
      <c r="T115" s="705"/>
      <c r="U115" s="705"/>
      <c r="V115" s="705"/>
      <c r="W115" s="705"/>
      <c r="X115" s="705"/>
      <c r="Y115" s="705"/>
      <c r="Z115" s="705"/>
      <c r="AA115" s="705"/>
    </row>
    <row r="116" spans="1:27">
      <c r="A116" s="705"/>
      <c r="B116" s="705"/>
      <c r="C116" s="705"/>
      <c r="D116" s="705"/>
      <c r="E116" s="705"/>
      <c r="F116" s="705"/>
      <c r="G116" s="705"/>
      <c r="H116" s="705"/>
      <c r="I116" s="705"/>
      <c r="J116" s="705"/>
      <c r="K116" s="705"/>
      <c r="L116" s="705"/>
      <c r="M116" s="705"/>
      <c r="N116" s="705"/>
      <c r="O116" s="705"/>
      <c r="P116" s="705"/>
      <c r="Q116" s="705"/>
      <c r="R116" s="705"/>
      <c r="S116" s="705"/>
      <c r="T116" s="705"/>
      <c r="U116" s="705"/>
      <c r="V116" s="705"/>
      <c r="W116" s="705"/>
      <c r="X116" s="705"/>
      <c r="Y116" s="705"/>
      <c r="Z116" s="705"/>
      <c r="AA116" s="705"/>
    </row>
    <row r="117" spans="1:27">
      <c r="A117" s="705"/>
      <c r="B117" s="705"/>
      <c r="C117" s="705"/>
      <c r="D117" s="705"/>
      <c r="E117" s="705"/>
      <c r="F117" s="705"/>
      <c r="G117" s="705"/>
      <c r="H117" s="705"/>
      <c r="I117" s="705"/>
      <c r="J117" s="705"/>
      <c r="K117" s="705"/>
      <c r="L117" s="705"/>
      <c r="M117" s="705"/>
      <c r="N117" s="705"/>
      <c r="O117" s="705"/>
      <c r="P117" s="705"/>
      <c r="Q117" s="705"/>
      <c r="R117" s="705"/>
      <c r="S117" s="705"/>
      <c r="T117" s="705"/>
      <c r="U117" s="705"/>
      <c r="V117" s="705"/>
      <c r="W117" s="705"/>
      <c r="X117" s="705"/>
      <c r="Y117" s="705"/>
      <c r="Z117" s="705"/>
      <c r="AA117" s="705"/>
    </row>
    <row r="118" spans="1:27">
      <c r="A118" s="705"/>
      <c r="B118" s="705"/>
      <c r="C118" s="705"/>
      <c r="D118" s="705"/>
      <c r="E118" s="705"/>
      <c r="F118" s="705"/>
      <c r="G118" s="705"/>
      <c r="H118" s="705"/>
      <c r="I118" s="705"/>
      <c r="J118" s="705"/>
      <c r="K118" s="705"/>
      <c r="L118" s="705"/>
      <c r="M118" s="705"/>
      <c r="N118" s="705"/>
      <c r="O118" s="705"/>
      <c r="P118" s="705"/>
      <c r="Q118" s="705"/>
      <c r="R118" s="705"/>
      <c r="S118" s="705"/>
      <c r="T118" s="705"/>
      <c r="U118" s="705"/>
      <c r="V118" s="705"/>
      <c r="W118" s="705"/>
      <c r="X118" s="705"/>
      <c r="Y118" s="705"/>
      <c r="Z118" s="705"/>
      <c r="AA118" s="705"/>
    </row>
    <row r="119" spans="1:27">
      <c r="A119" s="705"/>
      <c r="B119" s="705"/>
      <c r="C119" s="705"/>
      <c r="D119" s="705"/>
      <c r="E119" s="705"/>
      <c r="F119" s="705"/>
      <c r="G119" s="705"/>
      <c r="H119" s="705"/>
      <c r="I119" s="705"/>
      <c r="J119" s="705"/>
      <c r="K119" s="705"/>
      <c r="L119" s="705"/>
      <c r="M119" s="705"/>
      <c r="N119" s="705"/>
      <c r="O119" s="705"/>
      <c r="P119" s="705"/>
      <c r="Q119" s="705"/>
      <c r="R119" s="705"/>
      <c r="S119" s="705"/>
      <c r="T119" s="705"/>
      <c r="U119" s="705"/>
      <c r="V119" s="705"/>
      <c r="W119" s="705"/>
      <c r="X119" s="705"/>
      <c r="Y119" s="705"/>
      <c r="Z119" s="705"/>
      <c r="AA119" s="705"/>
    </row>
    <row r="120" spans="1:27">
      <c r="A120" s="705"/>
      <c r="B120" s="705"/>
      <c r="C120" s="705"/>
      <c r="D120" s="705"/>
      <c r="E120" s="705"/>
      <c r="F120" s="705"/>
      <c r="G120" s="705"/>
      <c r="H120" s="705"/>
      <c r="I120" s="705"/>
      <c r="J120" s="705"/>
      <c r="K120" s="705"/>
      <c r="L120" s="705"/>
      <c r="M120" s="705"/>
      <c r="N120" s="705"/>
      <c r="O120" s="705"/>
      <c r="P120" s="705"/>
      <c r="Q120" s="705"/>
      <c r="R120" s="705"/>
      <c r="S120" s="705"/>
      <c r="T120" s="705"/>
      <c r="U120" s="705"/>
      <c r="V120" s="705"/>
      <c r="W120" s="705"/>
      <c r="X120" s="705"/>
      <c r="Y120" s="705"/>
      <c r="Z120" s="705"/>
      <c r="AA120" s="705"/>
    </row>
    <row r="121" spans="1:27">
      <c r="A121" s="705"/>
      <c r="B121" s="705"/>
      <c r="C121" s="705"/>
      <c r="D121" s="705"/>
      <c r="E121" s="705"/>
      <c r="F121" s="705"/>
      <c r="G121" s="705"/>
      <c r="H121" s="705"/>
      <c r="I121" s="705"/>
      <c r="J121" s="705"/>
      <c r="K121" s="705"/>
      <c r="L121" s="705"/>
      <c r="M121" s="705"/>
      <c r="N121" s="705"/>
      <c r="O121" s="705"/>
      <c r="P121" s="705"/>
      <c r="Q121" s="705"/>
      <c r="R121" s="705"/>
      <c r="S121" s="705"/>
      <c r="T121" s="705"/>
      <c r="U121" s="705"/>
      <c r="V121" s="705"/>
      <c r="W121" s="705"/>
      <c r="X121" s="705"/>
      <c r="Y121" s="705"/>
      <c r="Z121" s="705"/>
      <c r="AA121" s="705"/>
    </row>
    <row r="122" spans="1:27">
      <c r="A122" s="705"/>
      <c r="B122" s="705"/>
      <c r="C122" s="705"/>
      <c r="D122" s="705"/>
      <c r="E122" s="705"/>
      <c r="F122" s="705"/>
      <c r="G122" s="705"/>
      <c r="H122" s="705"/>
      <c r="I122" s="705"/>
      <c r="J122" s="705"/>
      <c r="K122" s="705"/>
      <c r="L122" s="705"/>
      <c r="M122" s="705"/>
      <c r="N122" s="705"/>
      <c r="O122" s="705"/>
      <c r="P122" s="705"/>
      <c r="Q122" s="705"/>
      <c r="R122" s="705"/>
      <c r="S122" s="705"/>
      <c r="T122" s="705"/>
      <c r="U122" s="705"/>
      <c r="V122" s="705"/>
      <c r="W122" s="705"/>
      <c r="X122" s="705"/>
      <c r="Y122" s="705"/>
      <c r="Z122" s="705"/>
      <c r="AA122" s="705"/>
    </row>
    <row r="123" spans="1:27">
      <c r="A123" s="705"/>
      <c r="B123" s="705"/>
      <c r="C123" s="705"/>
      <c r="D123" s="705"/>
      <c r="E123" s="705"/>
      <c r="F123" s="705"/>
      <c r="G123" s="705"/>
      <c r="H123" s="705"/>
      <c r="I123" s="705"/>
      <c r="J123" s="705"/>
      <c r="K123" s="705"/>
      <c r="L123" s="705"/>
      <c r="M123" s="705"/>
      <c r="N123" s="705"/>
      <c r="O123" s="705"/>
      <c r="P123" s="705"/>
      <c r="Q123" s="705"/>
      <c r="R123" s="705"/>
      <c r="S123" s="705"/>
      <c r="T123" s="705"/>
      <c r="U123" s="705"/>
      <c r="V123" s="705"/>
      <c r="W123" s="705"/>
      <c r="X123" s="705"/>
      <c r="Y123" s="705"/>
      <c r="Z123" s="705"/>
      <c r="AA123" s="705"/>
    </row>
    <row r="124" spans="1:27">
      <c r="A124" s="705"/>
      <c r="B124" s="705"/>
      <c r="C124" s="705"/>
      <c r="D124" s="705"/>
      <c r="E124" s="705"/>
      <c r="F124" s="705"/>
      <c r="G124" s="705"/>
      <c r="H124" s="705"/>
      <c r="I124" s="705"/>
      <c r="J124" s="705"/>
      <c r="K124" s="705"/>
      <c r="L124" s="705"/>
      <c r="M124" s="705"/>
      <c r="N124" s="705"/>
      <c r="O124" s="705"/>
      <c r="P124" s="705"/>
      <c r="Q124" s="705"/>
      <c r="R124" s="705"/>
      <c r="S124" s="705"/>
      <c r="T124" s="705"/>
      <c r="U124" s="705"/>
      <c r="V124" s="705"/>
      <c r="W124" s="705"/>
      <c r="X124" s="705"/>
      <c r="Y124" s="705"/>
      <c r="Z124" s="705"/>
      <c r="AA124" s="705"/>
    </row>
    <row r="125" spans="1:27">
      <c r="A125" s="705"/>
      <c r="B125" s="705"/>
      <c r="C125" s="705"/>
      <c r="D125" s="705"/>
      <c r="E125" s="705"/>
      <c r="F125" s="705"/>
      <c r="G125" s="705"/>
      <c r="H125" s="705"/>
      <c r="I125" s="705"/>
      <c r="J125" s="705"/>
      <c r="K125" s="705"/>
      <c r="L125" s="705"/>
      <c r="M125" s="705"/>
      <c r="N125" s="705"/>
      <c r="O125" s="705"/>
      <c r="P125" s="705"/>
      <c r="Q125" s="705"/>
      <c r="R125" s="705"/>
      <c r="S125" s="705"/>
      <c r="T125" s="705"/>
      <c r="U125" s="705"/>
      <c r="V125" s="705"/>
      <c r="W125" s="705"/>
      <c r="X125" s="705"/>
      <c r="Y125" s="705"/>
      <c r="Z125" s="705"/>
      <c r="AA125" s="705"/>
    </row>
    <row r="126" spans="1:27">
      <c r="A126" s="705"/>
      <c r="B126" s="705"/>
      <c r="C126" s="705"/>
      <c r="D126" s="705"/>
      <c r="E126" s="705"/>
      <c r="F126" s="705"/>
      <c r="G126" s="705"/>
      <c r="H126" s="705"/>
      <c r="I126" s="705"/>
      <c r="J126" s="705"/>
      <c r="K126" s="705"/>
      <c r="L126" s="705"/>
      <c r="M126" s="705"/>
      <c r="N126" s="705"/>
      <c r="O126" s="705"/>
      <c r="P126" s="705"/>
      <c r="Q126" s="705"/>
      <c r="R126" s="705"/>
      <c r="S126" s="705"/>
      <c r="T126" s="705"/>
      <c r="U126" s="705"/>
      <c r="V126" s="705"/>
      <c r="W126" s="705"/>
      <c r="X126" s="705"/>
      <c r="Y126" s="705"/>
      <c r="Z126" s="705"/>
      <c r="AA126" s="705"/>
    </row>
    <row r="127" spans="1:27">
      <c r="A127" s="705"/>
      <c r="B127" s="705"/>
      <c r="C127" s="705"/>
      <c r="D127" s="705"/>
      <c r="E127" s="705"/>
      <c r="F127" s="705"/>
      <c r="G127" s="705"/>
      <c r="H127" s="705"/>
      <c r="I127" s="705"/>
      <c r="J127" s="705"/>
      <c r="K127" s="705"/>
      <c r="L127" s="705"/>
      <c r="M127" s="705"/>
      <c r="N127" s="705"/>
      <c r="O127" s="705"/>
      <c r="P127" s="705"/>
      <c r="Q127" s="705"/>
      <c r="R127" s="705"/>
      <c r="S127" s="705"/>
      <c r="T127" s="705"/>
      <c r="U127" s="705"/>
      <c r="V127" s="705"/>
      <c r="W127" s="705"/>
      <c r="X127" s="705"/>
      <c r="Y127" s="705"/>
      <c r="Z127" s="705"/>
      <c r="AA127" s="705"/>
    </row>
    <row r="128" spans="1:27">
      <c r="A128" s="705"/>
      <c r="B128" s="705"/>
      <c r="C128" s="705"/>
      <c r="D128" s="705"/>
      <c r="E128" s="705"/>
      <c r="F128" s="705"/>
      <c r="G128" s="705"/>
      <c r="H128" s="705"/>
      <c r="I128" s="705"/>
      <c r="J128" s="705"/>
      <c r="K128" s="705"/>
      <c r="L128" s="705"/>
      <c r="M128" s="705"/>
      <c r="N128" s="705"/>
      <c r="O128" s="705"/>
      <c r="P128" s="705"/>
      <c r="Q128" s="705"/>
      <c r="R128" s="705"/>
      <c r="S128" s="705"/>
      <c r="T128" s="705"/>
      <c r="U128" s="705"/>
      <c r="V128" s="705"/>
      <c r="W128" s="705"/>
      <c r="X128" s="705"/>
      <c r="Y128" s="705"/>
      <c r="Z128" s="705"/>
      <c r="AA128" s="705"/>
    </row>
    <row r="129" spans="1:27">
      <c r="A129" s="705"/>
      <c r="B129" s="705"/>
      <c r="C129" s="705"/>
      <c r="D129" s="705"/>
      <c r="E129" s="705"/>
      <c r="F129" s="705"/>
      <c r="G129" s="705"/>
      <c r="H129" s="705"/>
      <c r="I129" s="705"/>
      <c r="J129" s="705"/>
      <c r="K129" s="705"/>
      <c r="L129" s="705"/>
      <c r="M129" s="705"/>
      <c r="N129" s="705"/>
      <c r="O129" s="705"/>
      <c r="P129" s="705"/>
      <c r="Q129" s="705"/>
      <c r="R129" s="705"/>
      <c r="S129" s="705"/>
      <c r="T129" s="705"/>
      <c r="U129" s="705"/>
      <c r="V129" s="705"/>
      <c r="W129" s="705"/>
      <c r="X129" s="705"/>
      <c r="Y129" s="705"/>
      <c r="Z129" s="705"/>
      <c r="AA129" s="705"/>
    </row>
    <row r="130" spans="1:27">
      <c r="A130" s="705"/>
      <c r="B130" s="705"/>
      <c r="C130" s="705"/>
      <c r="D130" s="705"/>
      <c r="E130" s="705"/>
      <c r="F130" s="705"/>
      <c r="G130" s="705"/>
      <c r="H130" s="705"/>
      <c r="I130" s="705"/>
      <c r="J130" s="705"/>
      <c r="K130" s="705"/>
      <c r="L130" s="705"/>
      <c r="M130" s="705"/>
      <c r="N130" s="705"/>
      <c r="O130" s="705"/>
      <c r="P130" s="705"/>
      <c r="Q130" s="705"/>
      <c r="R130" s="705"/>
      <c r="S130" s="705"/>
      <c r="T130" s="705"/>
      <c r="U130" s="705"/>
      <c r="V130" s="705"/>
      <c r="W130" s="705"/>
      <c r="X130" s="705"/>
      <c r="Y130" s="705"/>
      <c r="Z130" s="705"/>
      <c r="AA130" s="705"/>
    </row>
    <row r="131" spans="1:27">
      <c r="A131" s="705"/>
      <c r="B131" s="705"/>
      <c r="C131" s="705"/>
      <c r="D131" s="705"/>
      <c r="E131" s="705"/>
      <c r="F131" s="705"/>
      <c r="G131" s="705"/>
      <c r="H131" s="705"/>
      <c r="I131" s="705"/>
      <c r="J131" s="705"/>
      <c r="K131" s="705"/>
      <c r="L131" s="705"/>
      <c r="M131" s="705"/>
      <c r="N131" s="705"/>
      <c r="O131" s="705"/>
      <c r="P131" s="705"/>
      <c r="Q131" s="705"/>
      <c r="R131" s="705"/>
      <c r="S131" s="705"/>
      <c r="T131" s="705"/>
      <c r="U131" s="705"/>
      <c r="V131" s="705"/>
      <c r="W131" s="705"/>
      <c r="X131" s="705"/>
      <c r="Y131" s="705"/>
      <c r="Z131" s="705"/>
      <c r="AA131" s="705"/>
    </row>
    <row r="132" spans="1:27">
      <c r="A132" s="705"/>
      <c r="B132" s="705"/>
      <c r="C132" s="705"/>
      <c r="D132" s="705"/>
      <c r="E132" s="705"/>
      <c r="F132" s="705"/>
      <c r="G132" s="705"/>
      <c r="H132" s="705"/>
      <c r="I132" s="705"/>
      <c r="J132" s="705"/>
      <c r="K132" s="705"/>
      <c r="L132" s="705"/>
      <c r="M132" s="705"/>
      <c r="N132" s="705"/>
      <c r="O132" s="705"/>
      <c r="P132" s="705"/>
      <c r="Q132" s="705"/>
      <c r="R132" s="705"/>
      <c r="S132" s="705"/>
      <c r="T132" s="705"/>
      <c r="U132" s="705"/>
      <c r="V132" s="705"/>
      <c r="W132" s="705"/>
      <c r="X132" s="705"/>
      <c r="Y132" s="705"/>
      <c r="Z132" s="705"/>
      <c r="AA132" s="705"/>
    </row>
    <row r="133" spans="1:27">
      <c r="A133" s="705"/>
      <c r="B133" s="705"/>
      <c r="C133" s="705"/>
      <c r="D133" s="705"/>
      <c r="E133" s="705"/>
      <c r="F133" s="705"/>
      <c r="G133" s="705"/>
      <c r="H133" s="705"/>
      <c r="I133" s="705"/>
      <c r="J133" s="705"/>
      <c r="K133" s="705"/>
      <c r="L133" s="705"/>
      <c r="M133" s="705"/>
      <c r="N133" s="705"/>
      <c r="O133" s="705"/>
      <c r="P133" s="705"/>
      <c r="Q133" s="705"/>
      <c r="R133" s="705"/>
      <c r="S133" s="705"/>
      <c r="T133" s="705"/>
      <c r="U133" s="705"/>
      <c r="V133" s="705"/>
      <c r="W133" s="705"/>
      <c r="X133" s="705"/>
      <c r="Y133" s="705"/>
      <c r="Z133" s="705"/>
      <c r="AA133" s="705"/>
    </row>
    <row r="134" spans="1:27">
      <c r="A134" s="705"/>
      <c r="B134" s="705"/>
      <c r="C134" s="705"/>
      <c r="D134" s="705"/>
      <c r="E134" s="705"/>
      <c r="F134" s="705"/>
      <c r="G134" s="705"/>
      <c r="H134" s="705"/>
      <c r="I134" s="705"/>
      <c r="J134" s="705"/>
      <c r="K134" s="705"/>
      <c r="L134" s="705"/>
      <c r="M134" s="705"/>
      <c r="N134" s="705"/>
      <c r="O134" s="705"/>
      <c r="P134" s="705"/>
      <c r="Q134" s="705"/>
      <c r="R134" s="705"/>
      <c r="S134" s="705"/>
      <c r="T134" s="705"/>
      <c r="U134" s="705"/>
      <c r="V134" s="705"/>
      <c r="W134" s="705"/>
      <c r="X134" s="705"/>
      <c r="Y134" s="705"/>
      <c r="Z134" s="705"/>
      <c r="AA134" s="705"/>
    </row>
    <row r="135" spans="1:27">
      <c r="A135" s="705"/>
      <c r="B135" s="705"/>
      <c r="C135" s="705"/>
      <c r="D135" s="705"/>
      <c r="E135" s="705"/>
      <c r="F135" s="705"/>
      <c r="G135" s="705"/>
      <c r="H135" s="705"/>
      <c r="I135" s="705"/>
      <c r="J135" s="705"/>
      <c r="K135" s="705"/>
      <c r="L135" s="705"/>
      <c r="M135" s="705"/>
      <c r="N135" s="705"/>
      <c r="O135" s="705"/>
      <c r="P135" s="705"/>
      <c r="Q135" s="705"/>
      <c r="R135" s="705"/>
      <c r="S135" s="705"/>
      <c r="T135" s="705"/>
      <c r="U135" s="705"/>
      <c r="V135" s="705"/>
      <c r="W135" s="705"/>
      <c r="X135" s="705"/>
      <c r="Y135" s="705"/>
      <c r="Z135" s="705"/>
      <c r="AA135" s="705"/>
    </row>
    <row r="136" spans="1:27">
      <c r="A136" s="705"/>
      <c r="B136" s="705"/>
      <c r="C136" s="705"/>
      <c r="D136" s="705"/>
      <c r="E136" s="705"/>
      <c r="F136" s="705"/>
      <c r="G136" s="705"/>
      <c r="H136" s="705"/>
      <c r="I136" s="705"/>
      <c r="J136" s="705"/>
      <c r="K136" s="705"/>
      <c r="L136" s="705"/>
      <c r="M136" s="705"/>
      <c r="N136" s="705"/>
      <c r="O136" s="705"/>
      <c r="P136" s="705"/>
      <c r="Q136" s="705"/>
      <c r="R136" s="705"/>
      <c r="S136" s="705"/>
      <c r="T136" s="705"/>
      <c r="U136" s="705"/>
      <c r="V136" s="705"/>
      <c r="W136" s="705"/>
      <c r="X136" s="705"/>
      <c r="Y136" s="705"/>
      <c r="Z136" s="705"/>
      <c r="AA136" s="705"/>
    </row>
    <row r="137" spans="1:27">
      <c r="A137" s="705"/>
      <c r="B137" s="705"/>
      <c r="C137" s="705"/>
      <c r="D137" s="705"/>
      <c r="E137" s="705"/>
      <c r="F137" s="705"/>
      <c r="G137" s="705"/>
      <c r="H137" s="705"/>
      <c r="I137" s="705"/>
      <c r="J137" s="705"/>
      <c r="K137" s="705"/>
      <c r="L137" s="705"/>
      <c r="M137" s="705"/>
      <c r="N137" s="705"/>
      <c r="O137" s="705"/>
      <c r="P137" s="705"/>
      <c r="Q137" s="705"/>
      <c r="R137" s="705"/>
      <c r="S137" s="705"/>
      <c r="T137" s="705"/>
      <c r="U137" s="705"/>
      <c r="V137" s="705"/>
      <c r="W137" s="705"/>
      <c r="X137" s="705"/>
      <c r="Y137" s="705"/>
      <c r="Z137" s="705"/>
      <c r="AA137" s="705"/>
    </row>
    <row r="138" spans="1:27">
      <c r="A138" s="705"/>
      <c r="B138" s="705"/>
      <c r="C138" s="705"/>
      <c r="D138" s="705"/>
      <c r="E138" s="705"/>
      <c r="F138" s="705"/>
      <c r="G138" s="705"/>
      <c r="H138" s="705"/>
      <c r="I138" s="705"/>
      <c r="J138" s="705"/>
      <c r="K138" s="705"/>
      <c r="L138" s="705"/>
      <c r="M138" s="705"/>
      <c r="N138" s="705"/>
      <c r="O138" s="705"/>
      <c r="P138" s="705"/>
      <c r="Q138" s="705"/>
      <c r="R138" s="705"/>
      <c r="S138" s="705"/>
      <c r="T138" s="705"/>
      <c r="U138" s="705"/>
      <c r="V138" s="705"/>
      <c r="W138" s="705"/>
      <c r="X138" s="705"/>
      <c r="Y138" s="705"/>
      <c r="Z138" s="705"/>
      <c r="AA138" s="705"/>
    </row>
    <row r="139" spans="1:27">
      <c r="A139" s="705"/>
      <c r="B139" s="705"/>
      <c r="C139" s="705"/>
      <c r="D139" s="705"/>
      <c r="E139" s="705"/>
      <c r="F139" s="705"/>
      <c r="G139" s="705"/>
      <c r="H139" s="705"/>
      <c r="I139" s="705"/>
      <c r="J139" s="705"/>
      <c r="K139" s="705"/>
      <c r="L139" s="705"/>
      <c r="M139" s="705"/>
      <c r="N139" s="705"/>
      <c r="O139" s="705"/>
      <c r="P139" s="705"/>
      <c r="Q139" s="705"/>
      <c r="R139" s="705"/>
      <c r="S139" s="705"/>
      <c r="T139" s="705"/>
      <c r="U139" s="705"/>
      <c r="V139" s="705"/>
      <c r="W139" s="705"/>
      <c r="X139" s="705"/>
      <c r="Y139" s="705"/>
      <c r="Z139" s="705"/>
      <c r="AA139" s="705"/>
    </row>
    <row r="140" spans="1:27">
      <c r="A140" s="705"/>
      <c r="B140" s="705"/>
      <c r="C140" s="705"/>
      <c r="D140" s="705"/>
      <c r="E140" s="705"/>
      <c r="F140" s="705"/>
      <c r="G140" s="705"/>
      <c r="H140" s="705"/>
      <c r="I140" s="705"/>
      <c r="J140" s="705"/>
      <c r="K140" s="705"/>
      <c r="L140" s="705"/>
      <c r="M140" s="705"/>
      <c r="N140" s="705"/>
      <c r="O140" s="705"/>
      <c r="P140" s="705"/>
      <c r="Q140" s="705"/>
      <c r="R140" s="705"/>
      <c r="S140" s="705"/>
      <c r="T140" s="705"/>
      <c r="U140" s="705"/>
      <c r="V140" s="705"/>
      <c r="W140" s="705"/>
      <c r="X140" s="705"/>
      <c r="Y140" s="705"/>
      <c r="Z140" s="705"/>
      <c r="AA140" s="705"/>
    </row>
    <row r="141" spans="1:27">
      <c r="A141" s="705"/>
      <c r="B141" s="705"/>
      <c r="C141" s="705"/>
      <c r="D141" s="705"/>
      <c r="E141" s="705"/>
      <c r="F141" s="705"/>
      <c r="G141" s="705"/>
      <c r="H141" s="705"/>
      <c r="I141" s="705"/>
      <c r="J141" s="705"/>
      <c r="K141" s="705"/>
      <c r="L141" s="705"/>
      <c r="M141" s="705"/>
      <c r="N141" s="705"/>
      <c r="O141" s="705"/>
      <c r="P141" s="705"/>
      <c r="Q141" s="705"/>
      <c r="R141" s="705"/>
      <c r="S141" s="705"/>
      <c r="T141" s="705"/>
      <c r="U141" s="705"/>
      <c r="V141" s="705"/>
      <c r="W141" s="705"/>
      <c r="X141" s="705"/>
      <c r="Y141" s="705"/>
      <c r="Z141" s="705"/>
      <c r="AA141" s="705"/>
    </row>
    <row r="142" spans="1:27">
      <c r="A142" s="705"/>
      <c r="B142" s="705"/>
      <c r="C142" s="705"/>
      <c r="D142" s="705"/>
      <c r="E142" s="705"/>
      <c r="F142" s="705"/>
      <c r="G142" s="705"/>
      <c r="H142" s="705"/>
      <c r="I142" s="705"/>
      <c r="J142" s="705"/>
      <c r="K142" s="705"/>
      <c r="L142" s="705"/>
      <c r="M142" s="705"/>
      <c r="N142" s="705"/>
      <c r="O142" s="705"/>
      <c r="P142" s="705"/>
      <c r="Q142" s="705"/>
      <c r="R142" s="705"/>
      <c r="S142" s="705"/>
      <c r="T142" s="705"/>
      <c r="U142" s="705"/>
      <c r="V142" s="705"/>
      <c r="W142" s="705"/>
      <c r="X142" s="705"/>
      <c r="Y142" s="705"/>
      <c r="Z142" s="705"/>
      <c r="AA142" s="705"/>
    </row>
    <row r="143" spans="1:27">
      <c r="A143" s="705"/>
      <c r="B143" s="705"/>
      <c r="C143" s="705"/>
      <c r="D143" s="705"/>
      <c r="E143" s="705"/>
      <c r="F143" s="705"/>
      <c r="G143" s="705"/>
      <c r="H143" s="705"/>
      <c r="I143" s="705"/>
      <c r="J143" s="705"/>
      <c r="K143" s="705"/>
      <c r="L143" s="705"/>
      <c r="M143" s="705"/>
      <c r="N143" s="705"/>
      <c r="O143" s="705"/>
      <c r="P143" s="705"/>
      <c r="Q143" s="705"/>
      <c r="R143" s="705"/>
      <c r="S143" s="705"/>
      <c r="T143" s="705"/>
      <c r="U143" s="705"/>
      <c r="V143" s="705"/>
      <c r="W143" s="705"/>
      <c r="X143" s="705"/>
      <c r="Y143" s="705"/>
      <c r="Z143" s="705"/>
      <c r="AA143" s="705"/>
    </row>
    <row r="144" spans="1:27">
      <c r="A144" s="705"/>
      <c r="B144" s="705"/>
      <c r="C144" s="705"/>
      <c r="D144" s="705"/>
      <c r="E144" s="705"/>
      <c r="F144" s="705"/>
      <c r="G144" s="705"/>
      <c r="H144" s="705"/>
      <c r="I144" s="705"/>
      <c r="J144" s="705"/>
      <c r="K144" s="705"/>
      <c r="L144" s="705"/>
      <c r="M144" s="705"/>
      <c r="N144" s="705"/>
      <c r="O144" s="705"/>
      <c r="P144" s="705"/>
      <c r="Q144" s="705"/>
      <c r="R144" s="705"/>
      <c r="S144" s="705"/>
      <c r="T144" s="705"/>
      <c r="U144" s="705"/>
      <c r="V144" s="705"/>
      <c r="W144" s="705"/>
      <c r="X144" s="705"/>
      <c r="Y144" s="705"/>
      <c r="Z144" s="705"/>
      <c r="AA144" s="705"/>
    </row>
    <row r="145" spans="1:27">
      <c r="A145" s="705"/>
      <c r="B145" s="705"/>
      <c r="C145" s="705"/>
      <c r="D145" s="705"/>
      <c r="E145" s="705"/>
      <c r="F145" s="705"/>
      <c r="G145" s="705"/>
      <c r="H145" s="705"/>
      <c r="I145" s="705"/>
      <c r="J145" s="705"/>
      <c r="K145" s="705"/>
      <c r="L145" s="705"/>
      <c r="M145" s="705"/>
      <c r="N145" s="705"/>
      <c r="O145" s="705"/>
      <c r="P145" s="705"/>
      <c r="Q145" s="705"/>
      <c r="R145" s="705"/>
      <c r="S145" s="705"/>
      <c r="T145" s="705"/>
      <c r="U145" s="705"/>
      <c r="V145" s="705"/>
      <c r="W145" s="705"/>
      <c r="X145" s="705"/>
      <c r="Y145" s="705"/>
      <c r="Z145" s="705"/>
      <c r="AA145" s="705"/>
    </row>
    <row r="146" spans="1:27">
      <c r="A146" s="705"/>
      <c r="B146" s="705"/>
      <c r="C146" s="705"/>
      <c r="D146" s="705"/>
      <c r="E146" s="705"/>
      <c r="F146" s="705"/>
      <c r="G146" s="705"/>
      <c r="H146" s="705"/>
      <c r="I146" s="705"/>
      <c r="J146" s="705"/>
      <c r="K146" s="705"/>
      <c r="L146" s="705"/>
      <c r="M146" s="705"/>
      <c r="N146" s="705"/>
      <c r="O146" s="705"/>
      <c r="P146" s="705"/>
      <c r="Q146" s="705"/>
      <c r="R146" s="705"/>
      <c r="S146" s="705"/>
      <c r="T146" s="705"/>
      <c r="U146" s="705"/>
      <c r="V146" s="705"/>
      <c r="W146" s="705"/>
      <c r="X146" s="705"/>
      <c r="Y146" s="705"/>
      <c r="Z146" s="705"/>
      <c r="AA146" s="705"/>
    </row>
    <row r="147" spans="1:27">
      <c r="A147" s="705"/>
      <c r="B147" s="705"/>
      <c r="C147" s="705"/>
      <c r="D147" s="705"/>
      <c r="E147" s="705"/>
      <c r="F147" s="705"/>
      <c r="G147" s="705"/>
      <c r="H147" s="705"/>
      <c r="I147" s="705"/>
      <c r="J147" s="705"/>
      <c r="K147" s="705"/>
      <c r="L147" s="705"/>
      <c r="M147" s="705"/>
      <c r="N147" s="705"/>
      <c r="O147" s="705"/>
      <c r="P147" s="705"/>
      <c r="Q147" s="705"/>
      <c r="R147" s="705"/>
      <c r="S147" s="705"/>
      <c r="T147" s="705"/>
      <c r="U147" s="705"/>
      <c r="V147" s="705"/>
      <c r="W147" s="705"/>
      <c r="X147" s="705"/>
      <c r="Y147" s="705"/>
      <c r="Z147" s="705"/>
      <c r="AA147" s="705"/>
    </row>
    <row r="148" spans="1:27">
      <c r="A148" s="705"/>
      <c r="B148" s="705"/>
      <c r="C148" s="705"/>
      <c r="D148" s="705"/>
      <c r="E148" s="705"/>
      <c r="F148" s="705"/>
      <c r="G148" s="705"/>
      <c r="H148" s="705"/>
      <c r="I148" s="705"/>
      <c r="J148" s="705"/>
      <c r="K148" s="705"/>
      <c r="L148" s="705"/>
      <c r="M148" s="705"/>
      <c r="N148" s="705"/>
      <c r="O148" s="705"/>
      <c r="P148" s="705"/>
      <c r="Q148" s="705"/>
      <c r="R148" s="705"/>
      <c r="S148" s="705"/>
      <c r="T148" s="705"/>
      <c r="U148" s="705"/>
      <c r="V148" s="705"/>
      <c r="W148" s="705"/>
      <c r="X148" s="705"/>
      <c r="Y148" s="705"/>
      <c r="Z148" s="705"/>
      <c r="AA148" s="705"/>
    </row>
    <row r="149" spans="1:27">
      <c r="A149" s="705"/>
      <c r="B149" s="705"/>
      <c r="C149" s="705"/>
      <c r="D149" s="705"/>
      <c r="E149" s="705"/>
      <c r="F149" s="705"/>
      <c r="G149" s="705"/>
      <c r="H149" s="705"/>
      <c r="I149" s="705"/>
      <c r="J149" s="705"/>
      <c r="K149" s="705"/>
      <c r="L149" s="705"/>
      <c r="M149" s="705"/>
      <c r="N149" s="705"/>
      <c r="O149" s="705"/>
      <c r="P149" s="705"/>
      <c r="Q149" s="705"/>
      <c r="R149" s="705"/>
      <c r="S149" s="705"/>
      <c r="T149" s="705"/>
      <c r="U149" s="705"/>
      <c r="V149" s="705"/>
      <c r="W149" s="705"/>
      <c r="X149" s="705"/>
      <c r="Y149" s="705"/>
      <c r="Z149" s="705"/>
      <c r="AA149" s="705"/>
    </row>
    <row r="150" spans="1:27">
      <c r="A150" s="705"/>
      <c r="B150" s="705"/>
      <c r="C150" s="705"/>
      <c r="D150" s="705"/>
      <c r="E150" s="705"/>
      <c r="F150" s="705"/>
      <c r="G150" s="705"/>
      <c r="H150" s="705"/>
      <c r="I150" s="705"/>
      <c r="J150" s="705"/>
      <c r="K150" s="705"/>
      <c r="L150" s="705"/>
      <c r="M150" s="705"/>
      <c r="N150" s="705"/>
      <c r="O150" s="705"/>
      <c r="P150" s="705"/>
      <c r="Q150" s="705"/>
      <c r="R150" s="705"/>
      <c r="S150" s="705"/>
      <c r="T150" s="705"/>
      <c r="U150" s="705"/>
      <c r="V150" s="705"/>
      <c r="W150" s="705"/>
      <c r="X150" s="705"/>
      <c r="Y150" s="705"/>
      <c r="Z150" s="705"/>
      <c r="AA150" s="705"/>
    </row>
    <row r="151" spans="1:27">
      <c r="A151" s="705"/>
      <c r="B151" s="705"/>
      <c r="C151" s="705"/>
      <c r="D151" s="705"/>
      <c r="E151" s="705"/>
      <c r="F151" s="705"/>
      <c r="G151" s="705"/>
      <c r="H151" s="705"/>
      <c r="I151" s="705"/>
      <c r="J151" s="705"/>
      <c r="K151" s="705"/>
      <c r="L151" s="705"/>
      <c r="M151" s="705"/>
      <c r="N151" s="705"/>
      <c r="O151" s="705"/>
      <c r="P151" s="705"/>
      <c r="Q151" s="705"/>
      <c r="R151" s="705"/>
      <c r="S151" s="705"/>
      <c r="T151" s="705"/>
      <c r="U151" s="705"/>
      <c r="V151" s="705"/>
      <c r="W151" s="705"/>
      <c r="X151" s="705"/>
      <c r="Y151" s="705"/>
      <c r="Z151" s="705"/>
      <c r="AA151" s="705"/>
    </row>
    <row r="152" spans="1:27">
      <c r="A152" s="705"/>
      <c r="B152" s="705"/>
      <c r="C152" s="705"/>
      <c r="D152" s="705"/>
      <c r="E152" s="705"/>
      <c r="F152" s="705"/>
      <c r="G152" s="705"/>
      <c r="H152" s="705"/>
      <c r="I152" s="705"/>
      <c r="J152" s="705"/>
      <c r="K152" s="705"/>
      <c r="L152" s="705"/>
      <c r="M152" s="705"/>
      <c r="N152" s="705"/>
      <c r="O152" s="705"/>
      <c r="P152" s="705"/>
      <c r="Q152" s="705"/>
      <c r="R152" s="705"/>
      <c r="S152" s="705"/>
      <c r="T152" s="705"/>
      <c r="U152" s="705"/>
      <c r="V152" s="705"/>
      <c r="W152" s="705"/>
      <c r="X152" s="705"/>
      <c r="Y152" s="705"/>
      <c r="Z152" s="705"/>
      <c r="AA152" s="705"/>
    </row>
    <row r="153" spans="1:27">
      <c r="A153" s="705"/>
      <c r="B153" s="705"/>
      <c r="C153" s="705"/>
      <c r="D153" s="705"/>
      <c r="E153" s="705"/>
      <c r="F153" s="705"/>
      <c r="G153" s="705"/>
      <c r="H153" s="705"/>
      <c r="I153" s="705"/>
      <c r="J153" s="705"/>
      <c r="K153" s="705"/>
      <c r="L153" s="705"/>
      <c r="M153" s="705"/>
      <c r="N153" s="705"/>
      <c r="O153" s="705"/>
      <c r="P153" s="705"/>
      <c r="Q153" s="705"/>
      <c r="R153" s="705"/>
      <c r="S153" s="705"/>
      <c r="T153" s="705"/>
      <c r="U153" s="705"/>
      <c r="V153" s="705"/>
      <c r="W153" s="705"/>
      <c r="X153" s="705"/>
      <c r="Y153" s="705"/>
      <c r="Z153" s="705"/>
      <c r="AA153" s="705"/>
    </row>
    <row r="154" spans="1:27">
      <c r="A154" s="705"/>
      <c r="B154" s="705"/>
      <c r="C154" s="705"/>
      <c r="D154" s="705"/>
      <c r="E154" s="705"/>
      <c r="F154" s="705"/>
      <c r="G154" s="705"/>
      <c r="H154" s="705"/>
      <c r="I154" s="705"/>
      <c r="J154" s="705"/>
      <c r="K154" s="705"/>
      <c r="L154" s="705"/>
      <c r="M154" s="705"/>
      <c r="N154" s="705"/>
      <c r="O154" s="705"/>
      <c r="P154" s="705"/>
      <c r="Q154" s="705"/>
      <c r="R154" s="705"/>
      <c r="S154" s="705"/>
      <c r="T154" s="705"/>
      <c r="U154" s="705"/>
      <c r="V154" s="705"/>
      <c r="W154" s="705"/>
      <c r="X154" s="705"/>
      <c r="Y154" s="705"/>
      <c r="Z154" s="705"/>
      <c r="AA154" s="705"/>
    </row>
    <row r="155" spans="1:27">
      <c r="A155" s="705"/>
      <c r="B155" s="705"/>
      <c r="C155" s="705"/>
      <c r="D155" s="705"/>
      <c r="E155" s="705"/>
      <c r="F155" s="705"/>
      <c r="G155" s="705"/>
      <c r="H155" s="705"/>
      <c r="I155" s="705"/>
      <c r="J155" s="705"/>
      <c r="K155" s="705"/>
      <c r="L155" s="705"/>
      <c r="M155" s="705"/>
      <c r="N155" s="705"/>
      <c r="O155" s="705"/>
      <c r="P155" s="705"/>
      <c r="Q155" s="705"/>
      <c r="R155" s="705"/>
      <c r="S155" s="705"/>
      <c r="T155" s="705"/>
      <c r="U155" s="705"/>
      <c r="V155" s="705"/>
      <c r="W155" s="705"/>
      <c r="X155" s="705"/>
      <c r="Y155" s="705"/>
      <c r="Z155" s="705"/>
      <c r="AA155" s="705"/>
    </row>
    <row r="156" spans="1:27">
      <c r="A156" s="705"/>
      <c r="B156" s="705"/>
      <c r="C156" s="705"/>
      <c r="D156" s="705"/>
      <c r="E156" s="705"/>
      <c r="F156" s="705"/>
      <c r="G156" s="705"/>
      <c r="H156" s="705"/>
      <c r="I156" s="705"/>
      <c r="J156" s="705"/>
      <c r="K156" s="705"/>
      <c r="L156" s="705"/>
      <c r="M156" s="705"/>
      <c r="N156" s="705"/>
      <c r="O156" s="705"/>
      <c r="P156" s="705"/>
      <c r="Q156" s="705"/>
      <c r="R156" s="705"/>
      <c r="S156" s="705"/>
      <c r="T156" s="705"/>
      <c r="U156" s="705"/>
      <c r="V156" s="705"/>
      <c r="W156" s="705"/>
      <c r="X156" s="705"/>
      <c r="Y156" s="705"/>
      <c r="Z156" s="705"/>
      <c r="AA156" s="705"/>
    </row>
    <row r="157" spans="1:27">
      <c r="A157" s="705"/>
      <c r="B157" s="705"/>
      <c r="C157" s="705"/>
      <c r="D157" s="705"/>
      <c r="E157" s="705"/>
      <c r="F157" s="705"/>
      <c r="G157" s="705"/>
      <c r="H157" s="705"/>
      <c r="I157" s="705"/>
      <c r="J157" s="705"/>
      <c r="K157" s="705"/>
      <c r="L157" s="705"/>
      <c r="M157" s="705"/>
      <c r="N157" s="705"/>
      <c r="O157" s="705"/>
      <c r="P157" s="705"/>
      <c r="Q157" s="705"/>
      <c r="R157" s="705"/>
      <c r="S157" s="705"/>
      <c r="T157" s="705"/>
      <c r="U157" s="705"/>
      <c r="V157" s="705"/>
      <c r="W157" s="705"/>
      <c r="X157" s="705"/>
      <c r="Y157" s="705"/>
      <c r="Z157" s="705"/>
      <c r="AA157" s="705"/>
    </row>
    <row r="158" spans="1:27">
      <c r="A158" s="705"/>
      <c r="B158" s="705"/>
      <c r="C158" s="705"/>
      <c r="D158" s="705"/>
      <c r="E158" s="705"/>
      <c r="F158" s="705"/>
      <c r="G158" s="705"/>
      <c r="H158" s="705"/>
      <c r="I158" s="705"/>
      <c r="J158" s="705"/>
      <c r="K158" s="705"/>
      <c r="L158" s="705"/>
      <c r="M158" s="705"/>
      <c r="N158" s="705"/>
      <c r="O158" s="705"/>
      <c r="P158" s="705"/>
      <c r="Q158" s="705"/>
      <c r="R158" s="705"/>
      <c r="S158" s="705"/>
      <c r="T158" s="705"/>
      <c r="U158" s="705"/>
      <c r="V158" s="705"/>
      <c r="W158" s="705"/>
      <c r="X158" s="705"/>
      <c r="Y158" s="705"/>
      <c r="Z158" s="705"/>
      <c r="AA158" s="705"/>
    </row>
    <row r="159" spans="1:27">
      <c r="A159" s="705"/>
      <c r="B159" s="705"/>
      <c r="C159" s="705"/>
      <c r="D159" s="705"/>
      <c r="E159" s="705"/>
      <c r="F159" s="705"/>
      <c r="G159" s="705"/>
      <c r="H159" s="705"/>
      <c r="I159" s="705"/>
      <c r="J159" s="705"/>
      <c r="K159" s="705"/>
      <c r="L159" s="705"/>
      <c r="M159" s="705"/>
      <c r="N159" s="705"/>
      <c r="O159" s="705"/>
      <c r="P159" s="705"/>
      <c r="Q159" s="705"/>
      <c r="R159" s="705"/>
      <c r="S159" s="705"/>
      <c r="T159" s="705"/>
      <c r="U159" s="705"/>
      <c r="V159" s="705"/>
      <c r="W159" s="705"/>
      <c r="X159" s="705"/>
      <c r="Y159" s="705"/>
      <c r="Z159" s="705"/>
      <c r="AA159" s="705"/>
    </row>
    <row r="160" spans="1:27">
      <c r="A160" s="705"/>
      <c r="B160" s="705"/>
      <c r="C160" s="705"/>
      <c r="D160" s="705"/>
      <c r="E160" s="705"/>
      <c r="F160" s="705"/>
      <c r="G160" s="705"/>
      <c r="H160" s="705"/>
      <c r="I160" s="705"/>
      <c r="J160" s="705"/>
      <c r="K160" s="705"/>
      <c r="L160" s="705"/>
      <c r="M160" s="705"/>
      <c r="N160" s="705"/>
      <c r="O160" s="705"/>
      <c r="P160" s="705"/>
      <c r="Q160" s="705"/>
      <c r="R160" s="705"/>
      <c r="S160" s="705"/>
      <c r="T160" s="705"/>
      <c r="U160" s="705"/>
      <c r="V160" s="705"/>
      <c r="W160" s="705"/>
      <c r="X160" s="705"/>
      <c r="Y160" s="705"/>
      <c r="Z160" s="705"/>
      <c r="AA160" s="705"/>
    </row>
    <row r="161" spans="1:27">
      <c r="A161" s="705"/>
      <c r="B161" s="705"/>
      <c r="C161" s="705"/>
      <c r="D161" s="705"/>
      <c r="E161" s="705"/>
      <c r="F161" s="705"/>
      <c r="G161" s="705"/>
      <c r="H161" s="705"/>
      <c r="I161" s="705"/>
      <c r="J161" s="705"/>
      <c r="K161" s="705"/>
      <c r="L161" s="705"/>
      <c r="M161" s="705"/>
      <c r="N161" s="705"/>
      <c r="O161" s="705"/>
      <c r="P161" s="705"/>
      <c r="Q161" s="705"/>
      <c r="R161" s="705"/>
      <c r="S161" s="705"/>
      <c r="T161" s="705"/>
      <c r="U161" s="705"/>
      <c r="V161" s="705"/>
      <c r="W161" s="705"/>
      <c r="X161" s="705"/>
      <c r="Y161" s="705"/>
      <c r="Z161" s="705"/>
      <c r="AA161" s="705"/>
    </row>
    <row r="162" spans="1:27">
      <c r="A162" s="705"/>
      <c r="B162" s="705"/>
      <c r="C162" s="705"/>
      <c r="D162" s="705"/>
      <c r="E162" s="705"/>
      <c r="F162" s="705"/>
      <c r="G162" s="705"/>
      <c r="H162" s="705"/>
      <c r="I162" s="705"/>
      <c r="J162" s="705"/>
      <c r="K162" s="705"/>
      <c r="L162" s="705"/>
      <c r="M162" s="705"/>
      <c r="N162" s="705"/>
      <c r="O162" s="705"/>
      <c r="P162" s="705"/>
      <c r="Q162" s="705"/>
      <c r="R162" s="705"/>
      <c r="S162" s="705"/>
      <c r="T162" s="705"/>
      <c r="U162" s="705"/>
      <c r="V162" s="705"/>
      <c r="W162" s="705"/>
      <c r="X162" s="705"/>
      <c r="Y162" s="705"/>
      <c r="Z162" s="705"/>
      <c r="AA162" s="705"/>
    </row>
    <row r="163" spans="1:27">
      <c r="A163" s="705"/>
      <c r="B163" s="705"/>
      <c r="C163" s="705"/>
      <c r="D163" s="705"/>
      <c r="E163" s="705"/>
      <c r="F163" s="705"/>
      <c r="G163" s="705"/>
      <c r="H163" s="705"/>
      <c r="I163" s="705"/>
      <c r="J163" s="705"/>
      <c r="K163" s="705"/>
      <c r="L163" s="705"/>
      <c r="M163" s="705"/>
      <c r="N163" s="705"/>
      <c r="O163" s="705"/>
      <c r="P163" s="705"/>
      <c r="Q163" s="705"/>
      <c r="R163" s="705"/>
      <c r="S163" s="705"/>
      <c r="T163" s="705"/>
      <c r="U163" s="705"/>
      <c r="V163" s="705"/>
      <c r="W163" s="705"/>
      <c r="X163" s="705"/>
      <c r="Y163" s="705"/>
      <c r="Z163" s="705"/>
      <c r="AA163" s="705"/>
    </row>
    <row r="164" spans="1:27">
      <c r="A164" s="705"/>
      <c r="B164" s="705"/>
      <c r="C164" s="705"/>
      <c r="D164" s="705"/>
      <c r="E164" s="705"/>
      <c r="F164" s="705"/>
      <c r="G164" s="705"/>
      <c r="H164" s="705"/>
      <c r="I164" s="705"/>
      <c r="J164" s="705"/>
      <c r="K164" s="705"/>
      <c r="L164" s="705"/>
      <c r="M164" s="705"/>
      <c r="N164" s="705"/>
      <c r="O164" s="705"/>
      <c r="P164" s="705"/>
      <c r="Q164" s="705"/>
      <c r="R164" s="705"/>
      <c r="S164" s="705"/>
      <c r="T164" s="705"/>
      <c r="U164" s="705"/>
      <c r="V164" s="705"/>
      <c r="W164" s="705"/>
      <c r="X164" s="705"/>
      <c r="Y164" s="705"/>
      <c r="Z164" s="705"/>
      <c r="AA164" s="705"/>
    </row>
    <row r="165" spans="1:27">
      <c r="A165" s="705"/>
      <c r="B165" s="705"/>
      <c r="C165" s="705"/>
      <c r="D165" s="705"/>
      <c r="E165" s="705"/>
      <c r="F165" s="705"/>
      <c r="G165" s="705"/>
      <c r="H165" s="705"/>
      <c r="I165" s="705"/>
      <c r="J165" s="705"/>
      <c r="K165" s="705"/>
      <c r="L165" s="705"/>
      <c r="M165" s="705"/>
      <c r="N165" s="705"/>
      <c r="O165" s="705"/>
      <c r="P165" s="705"/>
      <c r="Q165" s="705"/>
      <c r="R165" s="705"/>
      <c r="S165" s="705"/>
      <c r="T165" s="705"/>
      <c r="U165" s="705"/>
      <c r="V165" s="705"/>
      <c r="W165" s="705"/>
      <c r="X165" s="705"/>
      <c r="Y165" s="705"/>
      <c r="Z165" s="705"/>
      <c r="AA165" s="705"/>
    </row>
    <row r="166" spans="1:27">
      <c r="A166" s="705"/>
      <c r="B166" s="705"/>
      <c r="C166" s="705"/>
      <c r="D166" s="705"/>
      <c r="E166" s="705"/>
      <c r="F166" s="705"/>
      <c r="G166" s="705"/>
      <c r="H166" s="705"/>
      <c r="I166" s="705"/>
      <c r="J166" s="705"/>
      <c r="K166" s="705"/>
      <c r="L166" s="705"/>
      <c r="M166" s="705"/>
      <c r="N166" s="705"/>
      <c r="O166" s="705"/>
      <c r="P166" s="705"/>
      <c r="Q166" s="705"/>
      <c r="R166" s="705"/>
      <c r="S166" s="705"/>
      <c r="T166" s="705"/>
      <c r="U166" s="705"/>
      <c r="V166" s="705"/>
      <c r="W166" s="705"/>
      <c r="X166" s="705"/>
      <c r="Y166" s="705"/>
      <c r="Z166" s="705"/>
      <c r="AA166" s="705"/>
    </row>
    <row r="167" spans="1:27">
      <c r="A167" s="705"/>
      <c r="B167" s="705"/>
      <c r="C167" s="705"/>
      <c r="D167" s="705"/>
      <c r="E167" s="705"/>
      <c r="F167" s="705"/>
      <c r="G167" s="705"/>
      <c r="H167" s="705"/>
      <c r="I167" s="705"/>
      <c r="J167" s="705"/>
      <c r="K167" s="705"/>
      <c r="L167" s="705"/>
      <c r="M167" s="705"/>
      <c r="N167" s="705"/>
      <c r="O167" s="705"/>
      <c r="P167" s="705"/>
      <c r="Q167" s="705"/>
      <c r="R167" s="705"/>
      <c r="S167" s="705"/>
      <c r="T167" s="705"/>
      <c r="U167" s="705"/>
      <c r="V167" s="705"/>
      <c r="W167" s="705"/>
      <c r="X167" s="705"/>
      <c r="Y167" s="705"/>
      <c r="Z167" s="705"/>
      <c r="AA167" s="705"/>
    </row>
    <row r="168" spans="1:27">
      <c r="A168" s="705"/>
      <c r="B168" s="705"/>
      <c r="C168" s="705"/>
      <c r="D168" s="705"/>
      <c r="E168" s="705"/>
      <c r="F168" s="705"/>
      <c r="G168" s="705"/>
      <c r="H168" s="705"/>
      <c r="I168" s="705"/>
      <c r="J168" s="705"/>
      <c r="K168" s="705"/>
      <c r="L168" s="705"/>
      <c r="M168" s="705"/>
      <c r="N168" s="705"/>
      <c r="O168" s="705"/>
      <c r="P168" s="705"/>
      <c r="Q168" s="705"/>
      <c r="R168" s="705"/>
      <c r="S168" s="705"/>
      <c r="T168" s="705"/>
      <c r="U168" s="705"/>
      <c r="V168" s="705"/>
      <c r="W168" s="705"/>
      <c r="X168" s="705"/>
      <c r="Y168" s="705"/>
      <c r="Z168" s="705"/>
      <c r="AA168" s="705"/>
    </row>
  </sheetData>
  <sheetProtection selectLockedCells="1" selectUnlockedCells="1"/>
  <mergeCells count="17">
    <mergeCell ref="A6:G6"/>
    <mergeCell ref="A1:G1"/>
    <mergeCell ref="A3:B4"/>
    <mergeCell ref="C3:D4"/>
    <mergeCell ref="A5:B5"/>
    <mergeCell ref="C5:D5"/>
    <mergeCell ref="C40:G40"/>
    <mergeCell ref="A7:B7"/>
    <mergeCell ref="A8:A20"/>
    <mergeCell ref="A21:B21"/>
    <mergeCell ref="A22:A34"/>
    <mergeCell ref="A35:B40"/>
    <mergeCell ref="C35:G35"/>
    <mergeCell ref="C36:G36"/>
    <mergeCell ref="C37:G37"/>
    <mergeCell ref="C38:G38"/>
    <mergeCell ref="C39:G39"/>
  </mergeCells>
  <phoneticPr fontId="51" type="noConversion"/>
  <dataValidations count="1">
    <dataValidation allowBlank="1" showErrorMessage="1" sqref="F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BC95"/>
  <sheetViews>
    <sheetView workbookViewId="0">
      <selection activeCell="F39" sqref="F39"/>
    </sheetView>
  </sheetViews>
  <sheetFormatPr defaultRowHeight="15.6"/>
  <cols>
    <col min="1" max="1" width="11.19921875" customWidth="1"/>
    <col min="2" max="2" width="10.8984375" customWidth="1"/>
    <col min="3" max="4" width="13.69921875" customWidth="1"/>
    <col min="5" max="5" width="10.8984375" customWidth="1"/>
    <col min="6" max="6" width="10.59765625" customWidth="1"/>
    <col min="7" max="7" width="13.69921875" customWidth="1"/>
  </cols>
  <sheetData>
    <row r="1" spans="1:55" ht="22.2">
      <c r="A1" s="2729" t="s">
        <v>1296</v>
      </c>
      <c r="B1" s="2729"/>
      <c r="C1" s="2729"/>
      <c r="D1" s="2729"/>
      <c r="E1" s="2729"/>
      <c r="F1" s="2729"/>
      <c r="G1" s="2729"/>
      <c r="H1" s="706"/>
      <c r="I1" s="706"/>
      <c r="J1" s="706"/>
      <c r="K1" s="706"/>
      <c r="L1" s="706"/>
      <c r="M1" s="706"/>
      <c r="N1" s="705"/>
      <c r="O1" s="705"/>
      <c r="P1" s="705"/>
      <c r="Q1" s="705"/>
      <c r="R1" s="705"/>
      <c r="S1" s="705"/>
      <c r="T1" s="705"/>
      <c r="U1" s="705"/>
      <c r="V1" s="705"/>
      <c r="W1" s="705"/>
      <c r="X1" s="705"/>
      <c r="Y1" s="705"/>
      <c r="Z1" s="705"/>
      <c r="AA1" s="705"/>
      <c r="AB1" s="705"/>
      <c r="AC1" s="705"/>
      <c r="AD1" s="705"/>
      <c r="AE1" s="705"/>
      <c r="AF1" s="705"/>
      <c r="AG1" s="705"/>
      <c r="AH1" s="705"/>
      <c r="AI1" s="705"/>
      <c r="AJ1" s="705"/>
      <c r="AK1" s="705"/>
      <c r="AL1" s="705"/>
      <c r="AM1" s="705"/>
      <c r="AN1" s="705"/>
      <c r="AO1" s="705"/>
      <c r="AP1" s="705"/>
      <c r="AQ1" s="705"/>
      <c r="AR1" s="705"/>
      <c r="AS1" s="705"/>
      <c r="AT1" s="705"/>
      <c r="AU1" s="705"/>
      <c r="AV1" s="705"/>
      <c r="AW1" s="705"/>
      <c r="AX1" s="705"/>
      <c r="AY1" s="705"/>
      <c r="AZ1" s="705"/>
      <c r="BA1" s="705"/>
      <c r="BB1" s="705"/>
      <c r="BC1" s="705"/>
    </row>
    <row r="2" spans="1:55">
      <c r="A2" s="483"/>
      <c r="B2" s="483"/>
      <c r="C2" s="483"/>
      <c r="D2" s="483"/>
      <c r="E2" s="483"/>
      <c r="F2" s="845" t="s">
        <v>1551</v>
      </c>
      <c r="G2" s="846" t="str">
        <f>档案索引!D24</f>
        <v>3-3</v>
      </c>
      <c r="H2" s="706"/>
      <c r="I2" s="706"/>
      <c r="J2" s="706"/>
      <c r="K2" s="706"/>
      <c r="L2" s="706"/>
      <c r="M2" s="706"/>
      <c r="N2" s="705"/>
      <c r="O2" s="705"/>
      <c r="P2" s="705"/>
      <c r="Q2" s="705"/>
      <c r="R2" s="705"/>
      <c r="S2" s="705"/>
      <c r="T2" s="705"/>
      <c r="U2" s="705"/>
      <c r="V2" s="705"/>
      <c r="W2" s="705"/>
      <c r="X2" s="705"/>
      <c r="Y2" s="705"/>
      <c r="Z2" s="705"/>
      <c r="AA2" s="705"/>
      <c r="AB2" s="705"/>
      <c r="AC2" s="705"/>
      <c r="AD2" s="705"/>
      <c r="AE2" s="705"/>
      <c r="AF2" s="705"/>
      <c r="AG2" s="705"/>
      <c r="AH2" s="705"/>
      <c r="AI2" s="705"/>
      <c r="AJ2" s="705"/>
      <c r="AK2" s="705"/>
      <c r="AL2" s="705"/>
      <c r="AM2" s="705"/>
      <c r="AN2" s="705"/>
      <c r="AO2" s="705"/>
      <c r="AP2" s="705"/>
      <c r="AQ2" s="705"/>
      <c r="AR2" s="705"/>
      <c r="AS2" s="705"/>
      <c r="AT2" s="705"/>
      <c r="AU2" s="705"/>
      <c r="AV2" s="705"/>
      <c r="AW2" s="705"/>
      <c r="AX2" s="705"/>
      <c r="AY2" s="705"/>
      <c r="AZ2" s="705"/>
      <c r="BA2" s="705"/>
      <c r="BB2" s="705"/>
      <c r="BC2" s="705"/>
    </row>
    <row r="3" spans="1:55" ht="15.15" customHeight="1">
      <c r="A3" s="3147" t="s">
        <v>447</v>
      </c>
      <c r="B3" s="3535">
        <f>基本情况!B2</f>
        <v>0</v>
      </c>
      <c r="C3" s="3535"/>
      <c r="D3" s="3535"/>
      <c r="E3" s="136"/>
      <c r="F3" s="136" t="s">
        <v>1066</v>
      </c>
      <c r="G3" s="485" t="s">
        <v>449</v>
      </c>
      <c r="H3" s="706"/>
      <c r="I3" s="706"/>
      <c r="J3" s="706"/>
      <c r="K3" s="706"/>
      <c r="L3" s="706"/>
      <c r="M3" s="706"/>
      <c r="N3" s="705"/>
      <c r="O3" s="705"/>
      <c r="P3" s="705"/>
      <c r="Q3" s="705"/>
      <c r="R3" s="705"/>
      <c r="S3" s="705"/>
      <c r="T3" s="705"/>
      <c r="U3" s="705"/>
      <c r="V3" s="705"/>
      <c r="W3" s="705"/>
      <c r="X3" s="705"/>
      <c r="Y3" s="705"/>
      <c r="Z3" s="705"/>
      <c r="AA3" s="705"/>
      <c r="AB3" s="705"/>
      <c r="AC3" s="705"/>
      <c r="AD3" s="705"/>
      <c r="AE3" s="705"/>
      <c r="AF3" s="705"/>
      <c r="AG3" s="705"/>
      <c r="AH3" s="705"/>
      <c r="AI3" s="705"/>
      <c r="AJ3" s="705"/>
      <c r="AK3" s="705"/>
      <c r="AL3" s="705"/>
      <c r="AM3" s="705"/>
      <c r="AN3" s="705"/>
      <c r="AO3" s="705"/>
      <c r="AP3" s="705"/>
      <c r="AQ3" s="705"/>
      <c r="AR3" s="705"/>
      <c r="AS3" s="705"/>
      <c r="AT3" s="705"/>
      <c r="AU3" s="705"/>
      <c r="AV3" s="705"/>
      <c r="AW3" s="705"/>
      <c r="AX3" s="705"/>
      <c r="AY3" s="705"/>
      <c r="AZ3" s="705"/>
      <c r="BA3" s="705"/>
      <c r="BB3" s="705"/>
      <c r="BC3" s="705"/>
    </row>
    <row r="4" spans="1:55" ht="14.25" customHeight="1">
      <c r="A4" s="3147"/>
      <c r="B4" s="3535"/>
      <c r="C4" s="3535"/>
      <c r="D4" s="3535"/>
      <c r="E4" s="158" t="s">
        <v>450</v>
      </c>
      <c r="F4" s="510">
        <f>基本情况!B12</f>
        <v>0</v>
      </c>
      <c r="G4" s="816" t="str">
        <f>TEXT(基本情况!B21,"yyyy-mm-dd")</f>
        <v>2017-03-16</v>
      </c>
      <c r="H4" s="706"/>
      <c r="I4" s="706"/>
      <c r="J4" s="706"/>
      <c r="K4" s="706"/>
      <c r="L4" s="706"/>
      <c r="M4" s="706"/>
      <c r="N4" s="705"/>
      <c r="O4" s="705"/>
      <c r="P4" s="705"/>
      <c r="Q4" s="705"/>
      <c r="R4" s="705"/>
      <c r="S4" s="705"/>
      <c r="T4" s="705"/>
      <c r="U4" s="705"/>
      <c r="V4" s="705"/>
      <c r="W4" s="705"/>
      <c r="X4" s="705"/>
      <c r="Y4" s="705"/>
      <c r="Z4" s="705"/>
      <c r="AA4" s="705"/>
      <c r="AB4" s="705"/>
      <c r="AC4" s="705"/>
      <c r="AD4" s="705"/>
      <c r="AE4" s="705"/>
      <c r="AF4" s="705"/>
      <c r="AG4" s="705"/>
      <c r="AH4" s="705"/>
      <c r="AI4" s="705"/>
      <c r="AJ4" s="705"/>
      <c r="AK4" s="705"/>
      <c r="AL4" s="705"/>
      <c r="AM4" s="705"/>
      <c r="AN4" s="705"/>
      <c r="AO4" s="705"/>
      <c r="AP4" s="705"/>
      <c r="AQ4" s="705"/>
      <c r="AR4" s="705"/>
      <c r="AS4" s="705"/>
      <c r="AT4" s="705"/>
      <c r="AU4" s="705"/>
      <c r="AV4" s="705"/>
      <c r="AW4" s="705"/>
      <c r="AX4" s="705"/>
      <c r="AY4" s="705"/>
      <c r="AZ4" s="705"/>
      <c r="BA4" s="705"/>
      <c r="BB4" s="705"/>
      <c r="BC4" s="705"/>
    </row>
    <row r="5" spans="1:55" ht="14.25" customHeight="1">
      <c r="A5" s="528" t="s">
        <v>451</v>
      </c>
      <c r="B5" s="3554" t="str">
        <f>基本情况!B7</f>
        <v>2016年01月01日至2016年12月31日</v>
      </c>
      <c r="C5" s="3554"/>
      <c r="D5" s="3554"/>
      <c r="E5" s="140" t="s">
        <v>452</v>
      </c>
      <c r="F5" s="513">
        <f>基本情况!B11</f>
        <v>0</v>
      </c>
      <c r="G5" s="847" t="str">
        <f>TEXT(基本情况!B22,"yyyy-mm-dd")</f>
        <v>2017-05-04</v>
      </c>
      <c r="H5" s="839"/>
      <c r="I5" s="706"/>
      <c r="J5" s="706"/>
      <c r="K5" s="706"/>
      <c r="L5" s="706"/>
      <c r="M5" s="706"/>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839" t="s">
        <v>395</v>
      </c>
      <c r="AX5" s="705"/>
      <c r="AY5" s="705"/>
      <c r="AZ5" s="705"/>
      <c r="BA5" s="705"/>
      <c r="BB5" s="705"/>
      <c r="BC5" s="705"/>
    </row>
    <row r="6" spans="1:55" ht="7.5" customHeight="1">
      <c r="A6" s="2955"/>
      <c r="B6" s="2955"/>
      <c r="C6" s="2955"/>
      <c r="D6" s="2955"/>
      <c r="E6" s="2955"/>
      <c r="F6" s="2955"/>
      <c r="G6" s="2955"/>
      <c r="H6" s="706"/>
      <c r="I6" s="706"/>
      <c r="J6" s="706"/>
      <c r="K6" s="706"/>
      <c r="L6" s="706"/>
      <c r="M6" s="706"/>
      <c r="N6" s="705"/>
      <c r="O6" s="705"/>
      <c r="P6" s="705"/>
      <c r="Q6" s="705"/>
      <c r="R6" s="705"/>
      <c r="S6" s="705"/>
      <c r="T6" s="705"/>
      <c r="U6" s="705"/>
      <c r="V6" s="705"/>
      <c r="W6" s="705"/>
      <c r="X6" s="705"/>
      <c r="Y6" s="705"/>
      <c r="Z6" s="705"/>
      <c r="AA6" s="705"/>
      <c r="AB6" s="705"/>
      <c r="AC6" s="705"/>
      <c r="AD6" s="705"/>
      <c r="AE6" s="705"/>
      <c r="AF6" s="705"/>
      <c r="AG6" s="705"/>
      <c r="AH6" s="705"/>
      <c r="AI6" s="705"/>
      <c r="AJ6" s="705"/>
      <c r="AK6" s="705"/>
      <c r="AL6" s="705"/>
      <c r="AM6" s="705"/>
      <c r="AN6" s="705"/>
      <c r="AO6" s="705"/>
      <c r="AP6" s="705"/>
      <c r="AQ6" s="705"/>
      <c r="AR6" s="705"/>
      <c r="AS6" s="705"/>
      <c r="AT6" s="705"/>
      <c r="AU6" s="705"/>
      <c r="AV6" s="705"/>
      <c r="AW6" s="705"/>
      <c r="AX6" s="705"/>
      <c r="AY6" s="705"/>
      <c r="AZ6" s="705"/>
      <c r="BA6" s="705"/>
      <c r="BB6" s="705"/>
      <c r="BC6" s="705"/>
    </row>
    <row r="7" spans="1:55">
      <c r="A7" s="532" t="s">
        <v>665</v>
      </c>
      <c r="B7" s="582" t="s">
        <v>1251</v>
      </c>
      <c r="C7" s="819" t="s">
        <v>10</v>
      </c>
      <c r="D7" s="819" t="s">
        <v>11</v>
      </c>
      <c r="E7" s="819" t="s">
        <v>1254</v>
      </c>
      <c r="F7" s="819" t="s">
        <v>980</v>
      </c>
      <c r="G7" s="772" t="s">
        <v>502</v>
      </c>
      <c r="H7" s="839" t="s">
        <v>395</v>
      </c>
      <c r="I7" s="706"/>
      <c r="J7" s="706"/>
      <c r="K7" s="706"/>
      <c r="L7" s="706"/>
      <c r="M7" s="706"/>
      <c r="N7" s="705"/>
      <c r="O7" s="705"/>
      <c r="P7" s="705"/>
      <c r="Q7" s="705"/>
      <c r="R7" s="705"/>
      <c r="S7" s="705"/>
      <c r="T7" s="705"/>
      <c r="U7" s="705"/>
      <c r="V7" s="705"/>
      <c r="W7" s="705"/>
      <c r="X7" s="705"/>
      <c r="Y7" s="705"/>
      <c r="Z7" s="705"/>
      <c r="AA7" s="705"/>
      <c r="AB7" s="705"/>
      <c r="AC7" s="705"/>
      <c r="AD7" s="705"/>
      <c r="AE7" s="705"/>
      <c r="AF7" s="705"/>
      <c r="AG7" s="705"/>
      <c r="AH7" s="705"/>
      <c r="AI7" s="705"/>
      <c r="AJ7" s="705"/>
      <c r="AK7" s="705"/>
      <c r="AL7" s="705"/>
      <c r="AM7" s="705"/>
      <c r="AN7" s="705"/>
      <c r="AO7" s="705"/>
      <c r="AP7" s="705"/>
      <c r="AQ7" s="705"/>
      <c r="AR7" s="705"/>
      <c r="AS7" s="705"/>
      <c r="AT7" s="705"/>
      <c r="AU7" s="705"/>
      <c r="AV7" s="705"/>
      <c r="AW7" s="705"/>
      <c r="AX7" s="705"/>
      <c r="AY7" s="705"/>
      <c r="AZ7" s="705"/>
      <c r="BA7" s="705"/>
      <c r="BB7" s="705"/>
      <c r="BC7" s="705"/>
    </row>
    <row r="8" spans="1:55" ht="14.25" customHeight="1">
      <c r="A8" s="503" t="s">
        <v>1287</v>
      </c>
      <c r="B8" s="773">
        <f>B9+B13</f>
        <v>0</v>
      </c>
      <c r="C8" s="773">
        <f>C9+C13</f>
        <v>0</v>
      </c>
      <c r="D8" s="773">
        <f>D9+D13</f>
        <v>0</v>
      </c>
      <c r="E8" s="773">
        <f>B8+C8-D8</f>
        <v>0</v>
      </c>
      <c r="F8" s="773">
        <f>F9+F13</f>
        <v>0</v>
      </c>
      <c r="G8" s="774">
        <f>E8+F8</f>
        <v>0</v>
      </c>
      <c r="H8" s="706"/>
      <c r="I8" s="706"/>
      <c r="J8" s="706"/>
      <c r="K8" s="706"/>
      <c r="L8" s="706"/>
      <c r="M8" s="706"/>
      <c r="N8" s="705"/>
      <c r="O8" s="705"/>
      <c r="P8" s="705"/>
      <c r="Q8" s="705"/>
      <c r="R8" s="705"/>
      <c r="S8" s="705"/>
      <c r="T8" s="705"/>
      <c r="U8" s="705"/>
      <c r="V8" s="705"/>
      <c r="W8" s="705"/>
      <c r="X8" s="705"/>
      <c r="Y8" s="705"/>
      <c r="Z8" s="705"/>
      <c r="AA8" s="705"/>
      <c r="AB8" s="705"/>
      <c r="AC8" s="705"/>
      <c r="AD8" s="705"/>
      <c r="AE8" s="705"/>
      <c r="AF8" s="705"/>
      <c r="AG8" s="705"/>
      <c r="AH8" s="705"/>
      <c r="AI8" s="705"/>
      <c r="AJ8" s="705"/>
      <c r="AK8" s="705"/>
      <c r="AL8" s="705"/>
      <c r="AM8" s="705"/>
      <c r="AN8" s="705"/>
      <c r="AO8" s="705"/>
      <c r="AP8" s="705"/>
      <c r="AQ8" s="705"/>
      <c r="AR8" s="705"/>
      <c r="AS8" s="705"/>
      <c r="AT8" s="705"/>
      <c r="AU8" s="705"/>
      <c r="AV8" s="705"/>
      <c r="AW8" s="705"/>
      <c r="AX8" s="705"/>
      <c r="AY8" s="705"/>
      <c r="AZ8" s="705"/>
      <c r="BA8" s="705"/>
      <c r="BB8" s="705"/>
      <c r="BC8" s="705"/>
    </row>
    <row r="9" spans="1:55" ht="24">
      <c r="A9" s="848" t="s">
        <v>1153</v>
      </c>
      <c r="B9" s="525">
        <f>SUM(B10:B12)</f>
        <v>0</v>
      </c>
      <c r="C9" s="525">
        <f>SUM(C10:C12)</f>
        <v>0</v>
      </c>
      <c r="D9" s="525">
        <f>SUM(D10:D12)</f>
        <v>0</v>
      </c>
      <c r="E9" s="525">
        <f t="shared" ref="E9:E40" si="0">B9+C9-D9</f>
        <v>0</v>
      </c>
      <c r="F9" s="525">
        <f>SUM(F10:F12)</f>
        <v>0</v>
      </c>
      <c r="G9" s="699">
        <f>E9+F9</f>
        <v>0</v>
      </c>
      <c r="H9" s="706"/>
      <c r="I9" s="706"/>
      <c r="J9" s="849"/>
      <c r="K9" s="706"/>
      <c r="L9" s="706"/>
      <c r="M9" s="706"/>
      <c r="N9" s="705"/>
      <c r="O9" s="705"/>
      <c r="P9" s="705"/>
      <c r="Q9" s="705"/>
      <c r="R9" s="705"/>
      <c r="S9" s="705"/>
      <c r="T9" s="705"/>
      <c r="U9" s="705"/>
      <c r="V9" s="705"/>
      <c r="W9" s="705"/>
      <c r="X9" s="705"/>
      <c r="Y9" s="705"/>
      <c r="Z9" s="705"/>
      <c r="AA9" s="705"/>
      <c r="AB9" s="705"/>
      <c r="AC9" s="705"/>
      <c r="AD9" s="705"/>
      <c r="AE9" s="705"/>
      <c r="AF9" s="705"/>
      <c r="AG9" s="705"/>
      <c r="AH9" s="705"/>
      <c r="AI9" s="705"/>
      <c r="AJ9" s="705"/>
      <c r="AK9" s="705"/>
      <c r="AL9" s="705"/>
      <c r="AM9" s="705"/>
      <c r="AN9" s="705"/>
      <c r="AO9" s="705"/>
      <c r="AP9" s="705"/>
      <c r="AQ9" s="705"/>
      <c r="AR9" s="705"/>
      <c r="AS9" s="705"/>
      <c r="AT9" s="705"/>
      <c r="AU9" s="705"/>
      <c r="AV9" s="705"/>
      <c r="AW9" s="705"/>
      <c r="AX9" s="705"/>
      <c r="AY9" s="705"/>
      <c r="AZ9" s="705"/>
      <c r="BA9" s="705"/>
      <c r="BB9" s="705"/>
      <c r="BC9" s="705"/>
    </row>
    <row r="10" spans="1:55">
      <c r="A10" s="848" t="s">
        <v>1154</v>
      </c>
      <c r="B10" s="1108"/>
      <c r="C10" s="1120"/>
      <c r="D10" s="1120"/>
      <c r="E10" s="525">
        <f t="shared" si="0"/>
        <v>0</v>
      </c>
      <c r="F10" s="1120"/>
      <c r="G10" s="699">
        <f t="shared" ref="G10:G40" si="1">E10+F10</f>
        <v>0</v>
      </c>
      <c r="H10" s="60" t="s">
        <v>1155</v>
      </c>
      <c r="I10" s="706"/>
      <c r="J10" s="706"/>
      <c r="K10" s="706"/>
      <c r="L10" s="706"/>
      <c r="M10" s="706"/>
      <c r="N10" s="705"/>
      <c r="O10" s="705"/>
      <c r="P10" s="705"/>
      <c r="Q10" s="705"/>
      <c r="R10" s="705"/>
      <c r="S10" s="705"/>
      <c r="T10" s="705"/>
      <c r="U10" s="705"/>
      <c r="V10" s="705"/>
      <c r="W10" s="705"/>
      <c r="X10" s="705"/>
      <c r="Y10" s="705"/>
      <c r="Z10" s="705"/>
      <c r="AA10" s="705"/>
      <c r="AB10" s="705"/>
      <c r="AC10" s="705"/>
      <c r="AD10" s="705"/>
      <c r="AE10" s="705"/>
      <c r="AF10" s="705"/>
      <c r="AG10" s="705"/>
      <c r="AH10" s="705"/>
      <c r="AI10" s="705"/>
      <c r="AJ10" s="705"/>
      <c r="AK10" s="705"/>
      <c r="AL10" s="705"/>
      <c r="AM10" s="705"/>
      <c r="AN10" s="705"/>
      <c r="AO10" s="705"/>
      <c r="AP10" s="705"/>
      <c r="AQ10" s="705"/>
      <c r="AR10" s="705"/>
      <c r="AS10" s="705"/>
      <c r="AT10" s="705"/>
      <c r="AU10" s="705"/>
      <c r="AV10" s="705"/>
      <c r="AW10" s="705"/>
      <c r="AX10" s="705"/>
      <c r="AY10" s="705"/>
      <c r="AZ10" s="705"/>
      <c r="BA10" s="705"/>
      <c r="BB10" s="705"/>
      <c r="BC10" s="705"/>
    </row>
    <row r="11" spans="1:55">
      <c r="A11" s="848" t="s">
        <v>1156</v>
      </c>
      <c r="B11" s="1108"/>
      <c r="C11" s="1120"/>
      <c r="D11" s="1120"/>
      <c r="E11" s="525">
        <f t="shared" si="0"/>
        <v>0</v>
      </c>
      <c r="F11" s="1120"/>
      <c r="G11" s="699">
        <f t="shared" si="1"/>
        <v>0</v>
      </c>
      <c r="H11" s="706"/>
      <c r="I11" s="706"/>
      <c r="J11" s="706"/>
      <c r="K11" s="706"/>
      <c r="L11" s="706"/>
      <c r="M11" s="706"/>
      <c r="N11" s="705"/>
      <c r="O11" s="705"/>
      <c r="P11" s="705"/>
      <c r="Q11" s="705"/>
      <c r="R11" s="705"/>
      <c r="S11" s="705"/>
      <c r="T11" s="705"/>
      <c r="U11" s="705"/>
      <c r="V11" s="705"/>
      <c r="W11" s="705"/>
      <c r="X11" s="705"/>
      <c r="Y11" s="705"/>
      <c r="Z11" s="705"/>
      <c r="AA11" s="705"/>
      <c r="AB11" s="705"/>
      <c r="AC11" s="705"/>
      <c r="AD11" s="705"/>
      <c r="AE11" s="705"/>
      <c r="AF11" s="705"/>
      <c r="AG11" s="705"/>
      <c r="AH11" s="705"/>
      <c r="AI11" s="705"/>
      <c r="AJ11" s="705"/>
      <c r="AK11" s="705"/>
      <c r="AL11" s="705"/>
      <c r="AM11" s="705"/>
      <c r="AN11" s="705"/>
      <c r="AO11" s="705"/>
      <c r="AP11" s="705"/>
      <c r="AQ11" s="705"/>
      <c r="AR11" s="705"/>
      <c r="AS11" s="705"/>
      <c r="AT11" s="705"/>
      <c r="AU11" s="705"/>
      <c r="AV11" s="705"/>
      <c r="AW11" s="705"/>
      <c r="AX11" s="705"/>
      <c r="AY11" s="705"/>
      <c r="AZ11" s="705"/>
      <c r="BA11" s="705"/>
      <c r="BB11" s="705"/>
      <c r="BC11" s="705"/>
    </row>
    <row r="12" spans="1:55">
      <c r="A12" s="663" t="s">
        <v>1157</v>
      </c>
      <c r="B12" s="1108"/>
      <c r="C12" s="1120"/>
      <c r="D12" s="1120"/>
      <c r="E12" s="525">
        <f t="shared" si="0"/>
        <v>0</v>
      </c>
      <c r="F12" s="1120"/>
      <c r="G12" s="699">
        <f t="shared" si="1"/>
        <v>0</v>
      </c>
      <c r="H12" s="60" t="s">
        <v>1329</v>
      </c>
      <c r="I12" s="706"/>
      <c r="J12" s="706"/>
      <c r="K12" s="706"/>
      <c r="L12" s="706"/>
      <c r="M12" s="706"/>
      <c r="N12" s="705"/>
      <c r="O12" s="705"/>
      <c r="P12" s="705"/>
      <c r="Q12" s="705"/>
      <c r="R12" s="705"/>
      <c r="S12" s="705"/>
      <c r="T12" s="705"/>
      <c r="U12" s="705"/>
      <c r="V12" s="705"/>
      <c r="W12" s="705"/>
      <c r="X12" s="705"/>
      <c r="Y12" s="705"/>
      <c r="Z12" s="705"/>
      <c r="AA12" s="705"/>
      <c r="AB12" s="705"/>
      <c r="AC12" s="705"/>
      <c r="AD12" s="705"/>
      <c r="AE12" s="705"/>
      <c r="AF12" s="705"/>
      <c r="AG12" s="705"/>
      <c r="AH12" s="705"/>
      <c r="AI12" s="705"/>
      <c r="AJ12" s="705"/>
      <c r="AK12" s="705"/>
      <c r="AL12" s="705"/>
      <c r="AM12" s="705"/>
      <c r="AN12" s="705"/>
      <c r="AO12" s="705"/>
      <c r="AP12" s="705"/>
      <c r="AQ12" s="705"/>
      <c r="AR12" s="705"/>
      <c r="AS12" s="705"/>
      <c r="AT12" s="705"/>
      <c r="AU12" s="705"/>
      <c r="AV12" s="705"/>
      <c r="AW12" s="705"/>
      <c r="AX12" s="705"/>
      <c r="AY12" s="705"/>
      <c r="AZ12" s="705"/>
      <c r="BA12" s="705"/>
      <c r="BB12" s="705"/>
      <c r="BC12" s="705"/>
    </row>
    <row r="13" spans="1:55" ht="24">
      <c r="A13" s="848" t="s">
        <v>1158</v>
      </c>
      <c r="B13" s="525">
        <f>SUM(B14:B16)</f>
        <v>0</v>
      </c>
      <c r="C13" s="525">
        <f>SUM(C14:C16)</f>
        <v>0</v>
      </c>
      <c r="D13" s="525">
        <f>SUM(D14:D16)</f>
        <v>0</v>
      </c>
      <c r="E13" s="525">
        <f t="shared" si="0"/>
        <v>0</v>
      </c>
      <c r="F13" s="525">
        <f>SUM(F14:F16)</f>
        <v>0</v>
      </c>
      <c r="G13" s="699">
        <f t="shared" si="1"/>
        <v>0</v>
      </c>
      <c r="H13" s="706"/>
      <c r="I13" s="706"/>
      <c r="J13" s="706"/>
      <c r="K13" s="706"/>
      <c r="L13" s="706"/>
      <c r="M13" s="706"/>
      <c r="N13" s="705"/>
      <c r="O13" s="705"/>
      <c r="P13" s="705"/>
      <c r="Q13" s="705"/>
      <c r="R13" s="705"/>
      <c r="S13" s="705"/>
      <c r="T13" s="705"/>
      <c r="U13" s="705"/>
      <c r="V13" s="705"/>
      <c r="W13" s="705"/>
      <c r="X13" s="705"/>
      <c r="Y13" s="705"/>
      <c r="Z13" s="705"/>
      <c r="AA13" s="705"/>
      <c r="AB13" s="705"/>
      <c r="AC13" s="705"/>
      <c r="AD13" s="705"/>
      <c r="AE13" s="705"/>
      <c r="AF13" s="705"/>
      <c r="AG13" s="705"/>
      <c r="AH13" s="705"/>
      <c r="AI13" s="705"/>
      <c r="AJ13" s="705"/>
      <c r="AK13" s="705"/>
      <c r="AL13" s="705"/>
      <c r="AM13" s="705"/>
      <c r="AN13" s="705"/>
      <c r="AO13" s="705"/>
      <c r="AP13" s="705"/>
      <c r="AQ13" s="705"/>
      <c r="AR13" s="705"/>
      <c r="AS13" s="705"/>
      <c r="AT13" s="705"/>
      <c r="AU13" s="705"/>
      <c r="AV13" s="705"/>
      <c r="AW13" s="705"/>
      <c r="AX13" s="705"/>
      <c r="AY13" s="705"/>
      <c r="AZ13" s="705"/>
      <c r="BA13" s="705"/>
      <c r="BB13" s="705"/>
      <c r="BC13" s="705"/>
    </row>
    <row r="14" spans="1:55">
      <c r="A14" s="848" t="s">
        <v>1159</v>
      </c>
      <c r="B14" s="1108"/>
      <c r="C14" s="1120"/>
      <c r="D14" s="1120"/>
      <c r="E14" s="525">
        <f t="shared" si="0"/>
        <v>0</v>
      </c>
      <c r="F14" s="1120"/>
      <c r="G14" s="699">
        <f t="shared" si="1"/>
        <v>0</v>
      </c>
      <c r="H14" s="60" t="s">
        <v>1160</v>
      </c>
      <c r="I14" s="706"/>
      <c r="J14" s="706"/>
      <c r="K14" s="706"/>
      <c r="L14" s="706"/>
      <c r="M14" s="706"/>
      <c r="N14" s="705"/>
      <c r="O14" s="705"/>
      <c r="P14" s="705"/>
      <c r="Q14" s="705"/>
      <c r="R14" s="705"/>
      <c r="S14" s="705"/>
      <c r="T14" s="705"/>
      <c r="U14" s="705"/>
      <c r="V14" s="705"/>
      <c r="W14" s="705"/>
      <c r="X14" s="705"/>
      <c r="Y14" s="705"/>
      <c r="Z14" s="705"/>
      <c r="AA14" s="705"/>
      <c r="AB14" s="705"/>
      <c r="AC14" s="705"/>
      <c r="AD14" s="705"/>
      <c r="AE14" s="705"/>
      <c r="AF14" s="705"/>
      <c r="AG14" s="705"/>
      <c r="AH14" s="705"/>
      <c r="AI14" s="705"/>
      <c r="AJ14" s="705"/>
      <c r="AK14" s="705"/>
      <c r="AL14" s="705"/>
      <c r="AM14" s="705"/>
      <c r="AN14" s="705"/>
      <c r="AO14" s="705"/>
      <c r="AP14" s="705"/>
      <c r="AQ14" s="705"/>
      <c r="AR14" s="705"/>
      <c r="AS14" s="705"/>
      <c r="AT14" s="705"/>
      <c r="AU14" s="705"/>
      <c r="AV14" s="705"/>
      <c r="AW14" s="705"/>
      <c r="AX14" s="705"/>
      <c r="AY14" s="705"/>
      <c r="AZ14" s="705"/>
      <c r="BA14" s="705"/>
      <c r="BB14" s="705"/>
      <c r="BC14" s="705"/>
    </row>
    <row r="15" spans="1:55">
      <c r="A15" s="848" t="s">
        <v>1161</v>
      </c>
      <c r="B15" s="1108"/>
      <c r="C15" s="1120"/>
      <c r="D15" s="1120"/>
      <c r="E15" s="525">
        <f t="shared" si="0"/>
        <v>0</v>
      </c>
      <c r="F15" s="1120"/>
      <c r="G15" s="699">
        <f t="shared" si="1"/>
        <v>0</v>
      </c>
      <c r="H15" s="706"/>
      <c r="I15" s="706"/>
      <c r="J15" s="706"/>
      <c r="K15" s="706"/>
      <c r="L15" s="706"/>
      <c r="M15" s="706"/>
      <c r="N15" s="705"/>
      <c r="O15" s="705"/>
      <c r="P15" s="705"/>
      <c r="Q15" s="705"/>
      <c r="R15" s="705"/>
      <c r="S15" s="705"/>
      <c r="T15" s="705"/>
      <c r="U15" s="705"/>
      <c r="V15" s="705"/>
      <c r="W15" s="705"/>
      <c r="X15" s="705"/>
      <c r="Y15" s="705"/>
      <c r="Z15" s="705"/>
      <c r="AA15" s="705"/>
      <c r="AB15" s="705"/>
      <c r="AC15" s="705"/>
      <c r="AD15" s="705"/>
      <c r="AE15" s="705"/>
      <c r="AF15" s="705"/>
      <c r="AG15" s="705"/>
      <c r="AH15" s="705"/>
      <c r="AI15" s="705"/>
      <c r="AJ15" s="705"/>
      <c r="AK15" s="705"/>
      <c r="AL15" s="705"/>
      <c r="AM15" s="705"/>
      <c r="AN15" s="705"/>
      <c r="AO15" s="705"/>
      <c r="AP15" s="705"/>
      <c r="AQ15" s="705"/>
      <c r="AR15" s="705"/>
      <c r="AS15" s="705"/>
      <c r="AT15" s="705"/>
      <c r="AU15" s="705"/>
      <c r="AV15" s="705"/>
      <c r="AW15" s="705"/>
      <c r="AX15" s="705"/>
      <c r="AY15" s="705"/>
      <c r="AZ15" s="705"/>
      <c r="BA15" s="705"/>
      <c r="BB15" s="705"/>
      <c r="BC15" s="705"/>
    </row>
    <row r="16" spans="1:55">
      <c r="A16" s="663" t="s">
        <v>1157</v>
      </c>
      <c r="B16" s="1108"/>
      <c r="C16" s="1120"/>
      <c r="D16" s="1120"/>
      <c r="E16" s="525">
        <f t="shared" si="0"/>
        <v>0</v>
      </c>
      <c r="F16" s="1120"/>
      <c r="G16" s="699">
        <f t="shared" si="1"/>
        <v>0</v>
      </c>
      <c r="H16" s="60" t="s">
        <v>296</v>
      </c>
      <c r="I16" s="706"/>
      <c r="J16" s="706"/>
      <c r="K16" s="706"/>
      <c r="L16" s="706"/>
      <c r="M16" s="706"/>
      <c r="N16" s="705"/>
      <c r="O16" s="705"/>
      <c r="P16" s="705"/>
      <c r="Q16" s="705"/>
      <c r="R16" s="705"/>
      <c r="S16" s="705"/>
      <c r="T16" s="705"/>
      <c r="U16" s="705"/>
      <c r="V16" s="705"/>
      <c r="W16" s="705"/>
      <c r="X16" s="705"/>
      <c r="Y16" s="705"/>
      <c r="Z16" s="705"/>
      <c r="AA16" s="705"/>
      <c r="AB16" s="705"/>
      <c r="AC16" s="705"/>
      <c r="AD16" s="705"/>
      <c r="AE16" s="705"/>
      <c r="AF16" s="705"/>
      <c r="AG16" s="705"/>
      <c r="AH16" s="705"/>
      <c r="AI16" s="705"/>
      <c r="AJ16" s="705"/>
      <c r="AK16" s="705"/>
      <c r="AL16" s="705"/>
      <c r="AM16" s="705"/>
      <c r="AN16" s="705"/>
      <c r="AO16" s="705"/>
      <c r="AP16" s="705"/>
      <c r="AQ16" s="705"/>
      <c r="AR16" s="705"/>
      <c r="AS16" s="705"/>
      <c r="AT16" s="705"/>
      <c r="AU16" s="705"/>
      <c r="AV16" s="705"/>
      <c r="AW16" s="705"/>
      <c r="AX16" s="705"/>
      <c r="AY16" s="705"/>
      <c r="AZ16" s="705"/>
      <c r="BA16" s="705"/>
      <c r="BB16" s="705"/>
      <c r="BC16" s="705"/>
    </row>
    <row r="17" spans="1:55">
      <c r="A17" s="775"/>
      <c r="B17" s="1108"/>
      <c r="C17" s="1120"/>
      <c r="D17" s="1120"/>
      <c r="E17" s="525">
        <f t="shared" si="0"/>
        <v>0</v>
      </c>
      <c r="F17" s="1120"/>
      <c r="G17" s="699">
        <f t="shared" si="1"/>
        <v>0</v>
      </c>
      <c r="H17" s="706"/>
      <c r="I17" s="706"/>
      <c r="J17" s="706"/>
      <c r="K17" s="706"/>
      <c r="L17" s="706"/>
      <c r="M17" s="706"/>
      <c r="N17" s="705"/>
      <c r="O17" s="705"/>
      <c r="P17" s="705"/>
      <c r="Q17" s="705"/>
      <c r="R17" s="705"/>
      <c r="S17" s="705"/>
      <c r="T17" s="705"/>
      <c r="U17" s="705"/>
      <c r="V17" s="705"/>
      <c r="W17" s="705"/>
      <c r="X17" s="705"/>
      <c r="Y17" s="705"/>
      <c r="Z17" s="705"/>
      <c r="AA17" s="705"/>
      <c r="AB17" s="705"/>
      <c r="AC17" s="705"/>
      <c r="AD17" s="705"/>
      <c r="AE17" s="705"/>
      <c r="AF17" s="705"/>
      <c r="AG17" s="705"/>
      <c r="AH17" s="705"/>
      <c r="AI17" s="705"/>
      <c r="AJ17" s="705"/>
      <c r="AK17" s="705"/>
      <c r="AL17" s="705"/>
      <c r="AM17" s="705"/>
      <c r="AN17" s="705"/>
      <c r="AO17" s="705"/>
      <c r="AP17" s="705"/>
      <c r="AQ17" s="705"/>
      <c r="AR17" s="705"/>
      <c r="AS17" s="705"/>
      <c r="AT17" s="705"/>
      <c r="AU17" s="705"/>
      <c r="AV17" s="705"/>
      <c r="AW17" s="705"/>
      <c r="AX17" s="705"/>
      <c r="AY17" s="705"/>
      <c r="AZ17" s="705"/>
      <c r="BA17" s="705"/>
      <c r="BB17" s="705"/>
      <c r="BC17" s="705"/>
    </row>
    <row r="18" spans="1:55">
      <c r="A18" s="775"/>
      <c r="B18" s="1108"/>
      <c r="C18" s="1120"/>
      <c r="D18" s="1120"/>
      <c r="E18" s="525">
        <f t="shared" si="0"/>
        <v>0</v>
      </c>
      <c r="F18" s="1120"/>
      <c r="G18" s="699">
        <f t="shared" si="1"/>
        <v>0</v>
      </c>
      <c r="H18" s="706"/>
      <c r="I18" s="706"/>
      <c r="J18" s="706"/>
      <c r="K18" s="706"/>
      <c r="L18" s="706"/>
      <c r="M18" s="706"/>
      <c r="N18" s="705"/>
      <c r="O18" s="705"/>
      <c r="P18" s="705"/>
      <c r="Q18" s="705"/>
      <c r="R18" s="705"/>
      <c r="S18" s="705"/>
      <c r="T18" s="705"/>
      <c r="U18" s="705"/>
      <c r="V18" s="705"/>
      <c r="W18" s="705"/>
      <c r="X18" s="705"/>
      <c r="Y18" s="705"/>
      <c r="Z18" s="705"/>
      <c r="AA18" s="705"/>
      <c r="AB18" s="705"/>
      <c r="AC18" s="705"/>
      <c r="AD18" s="705"/>
      <c r="AE18" s="705"/>
      <c r="AF18" s="705"/>
      <c r="AG18" s="705"/>
      <c r="AH18" s="705"/>
      <c r="AI18" s="705"/>
      <c r="AJ18" s="705"/>
      <c r="AK18" s="705"/>
      <c r="AL18" s="705"/>
      <c r="AM18" s="705"/>
      <c r="AN18" s="705"/>
      <c r="AO18" s="705"/>
      <c r="AP18" s="705"/>
      <c r="AQ18" s="705"/>
      <c r="AR18" s="705"/>
      <c r="AS18" s="705"/>
      <c r="AT18" s="705"/>
      <c r="AU18" s="705"/>
      <c r="AV18" s="705"/>
      <c r="AW18" s="705"/>
      <c r="AX18" s="705"/>
      <c r="AY18" s="705"/>
      <c r="AZ18" s="705"/>
      <c r="BA18" s="705"/>
      <c r="BB18" s="705"/>
      <c r="BC18" s="705"/>
    </row>
    <row r="19" spans="1:55">
      <c r="A19" s="775"/>
      <c r="B19" s="1108"/>
      <c r="C19" s="1120"/>
      <c r="D19" s="1120"/>
      <c r="E19" s="525">
        <f t="shared" si="0"/>
        <v>0</v>
      </c>
      <c r="F19" s="1120"/>
      <c r="G19" s="699">
        <f t="shared" si="1"/>
        <v>0</v>
      </c>
      <c r="H19" s="706"/>
      <c r="I19" s="706"/>
      <c r="J19" s="706"/>
      <c r="K19" s="706"/>
      <c r="L19" s="706"/>
      <c r="M19" s="706"/>
      <c r="N19" s="705"/>
      <c r="O19" s="705"/>
      <c r="P19" s="705"/>
      <c r="Q19" s="705"/>
      <c r="R19" s="705"/>
      <c r="S19" s="705"/>
      <c r="T19" s="705"/>
      <c r="U19" s="705"/>
      <c r="V19" s="705"/>
      <c r="W19" s="705"/>
      <c r="X19" s="705"/>
      <c r="Y19" s="705"/>
      <c r="Z19" s="705"/>
      <c r="AA19" s="705"/>
      <c r="AB19" s="705"/>
      <c r="AC19" s="705"/>
      <c r="AD19" s="705"/>
      <c r="AE19" s="705"/>
      <c r="AF19" s="705"/>
      <c r="AG19" s="705"/>
      <c r="AH19" s="705"/>
      <c r="AI19" s="705"/>
      <c r="AJ19" s="705"/>
      <c r="AK19" s="705"/>
      <c r="AL19" s="705"/>
      <c r="AM19" s="705"/>
      <c r="AN19" s="705"/>
      <c r="AO19" s="705"/>
      <c r="AP19" s="705"/>
      <c r="AQ19" s="705"/>
      <c r="AR19" s="705"/>
      <c r="AS19" s="705"/>
      <c r="AT19" s="705"/>
      <c r="AU19" s="705"/>
      <c r="AV19" s="705"/>
      <c r="AW19" s="705"/>
      <c r="AX19" s="705"/>
      <c r="AY19" s="705"/>
      <c r="AZ19" s="705"/>
      <c r="BA19" s="705"/>
      <c r="BB19" s="705"/>
      <c r="BC19" s="705"/>
    </row>
    <row r="20" spans="1:55">
      <c r="A20" s="850"/>
      <c r="B20" s="1176"/>
      <c r="C20" s="1124"/>
      <c r="D20" s="1124"/>
      <c r="E20" s="823">
        <f t="shared" si="0"/>
        <v>0</v>
      </c>
      <c r="F20" s="1124"/>
      <c r="G20" s="596">
        <f t="shared" si="1"/>
        <v>0</v>
      </c>
      <c r="H20" s="706"/>
      <c r="I20" s="706"/>
      <c r="J20" s="851"/>
      <c r="K20" s="706"/>
      <c r="L20" s="706"/>
      <c r="M20" s="706"/>
      <c r="N20" s="705"/>
      <c r="O20" s="705"/>
      <c r="P20" s="705"/>
      <c r="Q20" s="705"/>
      <c r="R20" s="705"/>
      <c r="S20" s="705"/>
      <c r="T20" s="705"/>
      <c r="U20" s="705"/>
      <c r="V20" s="705"/>
      <c r="W20" s="705"/>
      <c r="X20" s="705"/>
      <c r="Y20" s="705"/>
      <c r="Z20" s="705"/>
      <c r="AA20" s="705"/>
      <c r="AB20" s="705"/>
      <c r="AC20" s="705"/>
      <c r="AD20" s="705"/>
      <c r="AE20" s="705"/>
      <c r="AF20" s="705"/>
      <c r="AG20" s="705"/>
      <c r="AH20" s="705"/>
      <c r="AI20" s="705"/>
      <c r="AJ20" s="705"/>
      <c r="AK20" s="705"/>
      <c r="AL20" s="705"/>
      <c r="AM20" s="705"/>
      <c r="AN20" s="705"/>
      <c r="AO20" s="705"/>
      <c r="AP20" s="705"/>
      <c r="AQ20" s="705"/>
      <c r="AR20" s="705"/>
      <c r="AS20" s="705"/>
      <c r="AT20" s="705"/>
      <c r="AU20" s="705"/>
      <c r="AV20" s="705"/>
      <c r="AW20" s="705"/>
      <c r="AX20" s="705"/>
      <c r="AY20" s="705"/>
      <c r="AZ20" s="705"/>
      <c r="BA20" s="705"/>
      <c r="BB20" s="705"/>
      <c r="BC20" s="705"/>
    </row>
    <row r="21" spans="1:55" ht="14.25" customHeight="1">
      <c r="A21" s="503" t="s">
        <v>1289</v>
      </c>
      <c r="B21" s="773">
        <f>SUM(B22:B40)</f>
        <v>0</v>
      </c>
      <c r="C21" s="773">
        <f>SUM(C22:C40)</f>
        <v>0</v>
      </c>
      <c r="D21" s="773">
        <f>SUM(D22:D40)</f>
        <v>0</v>
      </c>
      <c r="E21" s="773">
        <f>B21+C21-D21</f>
        <v>0</v>
      </c>
      <c r="F21" s="773">
        <f>SUM(F22:F40)</f>
        <v>0</v>
      </c>
      <c r="G21" s="774">
        <f>E21+F21</f>
        <v>0</v>
      </c>
      <c r="H21" s="706"/>
      <c r="I21" s="706"/>
      <c r="J21" s="851"/>
      <c r="K21" s="706"/>
      <c r="L21" s="706"/>
      <c r="M21" s="706"/>
      <c r="N21" s="705"/>
      <c r="O21" s="705"/>
      <c r="P21" s="705"/>
      <c r="Q21" s="705"/>
      <c r="R21" s="705"/>
      <c r="S21" s="705"/>
      <c r="T21" s="705"/>
      <c r="U21" s="705"/>
      <c r="V21" s="705"/>
      <c r="W21" s="705"/>
      <c r="X21" s="705"/>
      <c r="Y21" s="705"/>
      <c r="Z21" s="705"/>
      <c r="AA21" s="705"/>
      <c r="AB21" s="705"/>
      <c r="AC21" s="705"/>
      <c r="AD21" s="705"/>
      <c r="AE21" s="705"/>
      <c r="AF21" s="705"/>
      <c r="AG21" s="705"/>
      <c r="AH21" s="705"/>
      <c r="AI21" s="705"/>
      <c r="AJ21" s="705"/>
      <c r="AK21" s="705"/>
      <c r="AL21" s="705"/>
      <c r="AM21" s="705"/>
      <c r="AN21" s="705"/>
      <c r="AO21" s="705"/>
      <c r="AP21" s="705"/>
      <c r="AQ21" s="705"/>
      <c r="AR21" s="705"/>
      <c r="AS21" s="705"/>
      <c r="AT21" s="705"/>
      <c r="AU21" s="705"/>
      <c r="AV21" s="705"/>
      <c r="AW21" s="705"/>
      <c r="AX21" s="705"/>
      <c r="AY21" s="705"/>
      <c r="AZ21" s="705"/>
      <c r="BA21" s="705"/>
      <c r="BB21" s="705"/>
      <c r="BC21" s="705"/>
    </row>
    <row r="22" spans="1:55">
      <c r="A22" s="852" t="s">
        <v>1162</v>
      </c>
      <c r="B22" s="1108"/>
      <c r="C22" s="1120"/>
      <c r="D22" s="1120"/>
      <c r="E22" s="525">
        <f t="shared" si="0"/>
        <v>0</v>
      </c>
      <c r="F22" s="1120"/>
      <c r="G22" s="699">
        <f t="shared" si="1"/>
        <v>0</v>
      </c>
      <c r="H22" s="706"/>
      <c r="I22" s="706"/>
      <c r="J22" s="851"/>
      <c r="K22" s="706"/>
      <c r="L22" s="706"/>
      <c r="M22" s="706"/>
      <c r="N22" s="705"/>
      <c r="O22" s="705"/>
      <c r="P22" s="705"/>
      <c r="Q22" s="705"/>
      <c r="R22" s="705"/>
      <c r="S22" s="705"/>
      <c r="T22" s="705"/>
      <c r="U22" s="705"/>
      <c r="V22" s="705"/>
      <c r="W22" s="705"/>
      <c r="X22" s="705"/>
      <c r="Y22" s="705"/>
      <c r="Z22" s="705"/>
      <c r="AA22" s="705"/>
      <c r="AB22" s="705"/>
      <c r="AC22" s="705"/>
      <c r="AD22" s="705"/>
      <c r="AE22" s="705"/>
      <c r="AF22" s="705"/>
      <c r="AG22" s="705"/>
      <c r="AH22" s="705"/>
      <c r="AI22" s="705"/>
      <c r="AJ22" s="705"/>
      <c r="AK22" s="705"/>
      <c r="AL22" s="705"/>
      <c r="AM22" s="705"/>
      <c r="AN22" s="705"/>
      <c r="AO22" s="705"/>
      <c r="AP22" s="705"/>
      <c r="AQ22" s="705"/>
      <c r="AR22" s="705"/>
      <c r="AS22" s="705"/>
      <c r="AT22" s="705"/>
      <c r="AU22" s="705"/>
      <c r="AV22" s="705"/>
      <c r="AW22" s="705"/>
      <c r="AX22" s="705"/>
      <c r="AY22" s="705"/>
      <c r="AZ22" s="705"/>
      <c r="BA22" s="705"/>
      <c r="BB22" s="705"/>
      <c r="BC22" s="705"/>
    </row>
    <row r="23" spans="1:55">
      <c r="A23" s="852" t="s">
        <v>1163</v>
      </c>
      <c r="B23" s="1108"/>
      <c r="C23" s="1120"/>
      <c r="D23" s="1120"/>
      <c r="E23" s="525">
        <f t="shared" si="0"/>
        <v>0</v>
      </c>
      <c r="F23" s="1120">
        <f>-SUMIFS(凭证检查!G6:G205,凭证检查!E6:E205,"制造费用",凭证检查!F6:F205,"福利费",凭证检查!M6:M205,"&lt;&gt;")</f>
        <v>0</v>
      </c>
      <c r="G23" s="699">
        <f t="shared" si="1"/>
        <v>0</v>
      </c>
      <c r="H23" s="706"/>
      <c r="I23" s="706"/>
      <c r="J23" s="851"/>
      <c r="K23" s="706"/>
      <c r="L23" s="706"/>
      <c r="M23" s="706"/>
      <c r="N23" s="705"/>
      <c r="O23" s="705"/>
      <c r="P23" s="705"/>
      <c r="Q23" s="705"/>
      <c r="R23" s="705"/>
      <c r="S23" s="705"/>
      <c r="T23" s="705"/>
      <c r="U23" s="705"/>
      <c r="V23" s="705"/>
      <c r="W23" s="705"/>
      <c r="X23" s="705"/>
      <c r="Y23" s="705"/>
      <c r="Z23" s="705"/>
      <c r="AA23" s="705"/>
      <c r="AB23" s="705"/>
      <c r="AC23" s="705"/>
      <c r="AD23" s="705"/>
      <c r="AE23" s="705"/>
      <c r="AF23" s="705"/>
      <c r="AG23" s="705"/>
      <c r="AH23" s="705"/>
      <c r="AI23" s="705"/>
      <c r="AJ23" s="705"/>
      <c r="AK23" s="705"/>
      <c r="AL23" s="705"/>
      <c r="AM23" s="705"/>
      <c r="AN23" s="705"/>
      <c r="AO23" s="705"/>
      <c r="AP23" s="705"/>
      <c r="AQ23" s="705"/>
      <c r="AR23" s="705"/>
      <c r="AS23" s="705"/>
      <c r="AT23" s="705"/>
      <c r="AU23" s="705"/>
      <c r="AV23" s="705"/>
      <c r="AW23" s="705"/>
      <c r="AX23" s="705"/>
      <c r="AY23" s="705"/>
      <c r="AZ23" s="705"/>
      <c r="BA23" s="705"/>
      <c r="BB23" s="705"/>
      <c r="BC23" s="705"/>
    </row>
    <row r="24" spans="1:55">
      <c r="A24" s="852" t="s">
        <v>1164</v>
      </c>
      <c r="B24" s="1108"/>
      <c r="C24" s="1120"/>
      <c r="D24" s="1120"/>
      <c r="E24" s="525">
        <f t="shared" si="0"/>
        <v>0</v>
      </c>
      <c r="F24" s="1120">
        <f>-SUMIFS(凭证检查!G6:G205,凭证检查!E6:E205,"制造费用",凭证检查!F6:F205,"职工教育经费",凭证检查!M6:M205,"&lt;&gt;")</f>
        <v>0</v>
      </c>
      <c r="G24" s="699">
        <f t="shared" si="1"/>
        <v>0</v>
      </c>
      <c r="H24" s="706"/>
      <c r="I24" s="706"/>
      <c r="J24" s="851"/>
      <c r="K24" s="706"/>
      <c r="L24" s="706"/>
      <c r="M24" s="706"/>
      <c r="N24" s="705"/>
      <c r="O24" s="705"/>
      <c r="P24" s="705"/>
      <c r="Q24" s="705"/>
      <c r="R24" s="705"/>
      <c r="S24" s="705"/>
      <c r="T24" s="705"/>
      <c r="U24" s="705"/>
      <c r="V24" s="705"/>
      <c r="W24" s="705"/>
      <c r="X24" s="705"/>
      <c r="Y24" s="705"/>
      <c r="Z24" s="705"/>
      <c r="AA24" s="705"/>
      <c r="AB24" s="705"/>
      <c r="AC24" s="705"/>
      <c r="AD24" s="705"/>
      <c r="AE24" s="705"/>
      <c r="AF24" s="705"/>
      <c r="AG24" s="705"/>
      <c r="AH24" s="705"/>
      <c r="AI24" s="705"/>
      <c r="AJ24" s="705"/>
      <c r="AK24" s="705"/>
      <c r="AL24" s="705"/>
      <c r="AM24" s="705"/>
      <c r="AN24" s="705"/>
      <c r="AO24" s="705"/>
      <c r="AP24" s="705"/>
      <c r="AQ24" s="705"/>
      <c r="AR24" s="705"/>
      <c r="AS24" s="705"/>
      <c r="AT24" s="705"/>
      <c r="AU24" s="705"/>
      <c r="AV24" s="705"/>
      <c r="AW24" s="705"/>
      <c r="AX24" s="705"/>
      <c r="AY24" s="705"/>
      <c r="AZ24" s="705"/>
      <c r="BA24" s="705"/>
      <c r="BB24" s="705"/>
      <c r="BC24" s="705"/>
    </row>
    <row r="25" spans="1:55">
      <c r="A25" s="853" t="s">
        <v>1165</v>
      </c>
      <c r="B25" s="1108"/>
      <c r="C25" s="1120"/>
      <c r="D25" s="1120"/>
      <c r="E25" s="525">
        <f t="shared" si="0"/>
        <v>0</v>
      </c>
      <c r="F25" s="1120">
        <f>-SUMIFS(凭证检查!G6:G205,凭证检查!E6:E205,"制造费用",凭证检查!F6:F205,"业务招待费",凭证检查!M6:M205,"&lt;&gt;")</f>
        <v>0</v>
      </c>
      <c r="G25" s="699">
        <f t="shared" si="1"/>
        <v>0</v>
      </c>
      <c r="H25" s="706"/>
      <c r="I25" s="706"/>
      <c r="J25" s="851"/>
      <c r="K25" s="854"/>
      <c r="L25" s="706"/>
      <c r="M25" s="706"/>
      <c r="N25" s="705"/>
      <c r="O25" s="705"/>
      <c r="P25" s="705"/>
      <c r="Q25" s="705"/>
      <c r="R25" s="705"/>
      <c r="S25" s="705"/>
      <c r="T25" s="705"/>
      <c r="U25" s="705"/>
      <c r="V25" s="705"/>
      <c r="W25" s="705"/>
      <c r="X25" s="705"/>
      <c r="Y25" s="705"/>
      <c r="Z25" s="705"/>
      <c r="AA25" s="705"/>
      <c r="AB25" s="705"/>
      <c r="AC25" s="705"/>
      <c r="AD25" s="705"/>
      <c r="AE25" s="705"/>
      <c r="AF25" s="705"/>
      <c r="AG25" s="705"/>
      <c r="AH25" s="705"/>
      <c r="AI25" s="705"/>
      <c r="AJ25" s="705"/>
      <c r="AK25" s="705"/>
      <c r="AL25" s="705"/>
      <c r="AM25" s="705"/>
      <c r="AN25" s="705"/>
      <c r="AO25" s="705"/>
      <c r="AP25" s="705"/>
      <c r="AQ25" s="705"/>
      <c r="AR25" s="705"/>
      <c r="AS25" s="705"/>
      <c r="AT25" s="705"/>
      <c r="AU25" s="705"/>
      <c r="AV25" s="705"/>
      <c r="AW25" s="705"/>
      <c r="AX25" s="705"/>
      <c r="AY25" s="705"/>
      <c r="AZ25" s="705"/>
      <c r="BA25" s="705"/>
      <c r="BB25" s="705"/>
      <c r="BC25" s="705"/>
    </row>
    <row r="26" spans="1:55">
      <c r="A26" s="576" t="s">
        <v>1166</v>
      </c>
      <c r="B26" s="1108"/>
      <c r="C26" s="1120"/>
      <c r="D26" s="1120"/>
      <c r="E26" s="525">
        <f t="shared" si="0"/>
        <v>0</v>
      </c>
      <c r="F26" s="1120"/>
      <c r="G26" s="699">
        <f t="shared" si="1"/>
        <v>0</v>
      </c>
      <c r="H26" s="706"/>
      <c r="I26" s="706"/>
      <c r="J26" s="851"/>
      <c r="K26" s="855"/>
      <c r="L26" s="706"/>
      <c r="M26" s="706"/>
      <c r="N26" s="705"/>
      <c r="O26" s="705"/>
      <c r="P26" s="705"/>
      <c r="Q26" s="705"/>
      <c r="R26" s="705"/>
      <c r="S26" s="705"/>
      <c r="T26" s="705"/>
      <c r="U26" s="705"/>
      <c r="V26" s="705"/>
      <c r="W26" s="705"/>
      <c r="X26" s="705"/>
      <c r="Y26" s="705"/>
      <c r="Z26" s="705"/>
      <c r="AA26" s="705"/>
      <c r="AB26" s="705"/>
      <c r="AC26" s="705"/>
      <c r="AD26" s="705"/>
      <c r="AE26" s="705"/>
      <c r="AF26" s="705"/>
      <c r="AG26" s="705"/>
      <c r="AH26" s="705"/>
      <c r="AI26" s="705"/>
      <c r="AJ26" s="705"/>
      <c r="AK26" s="705"/>
      <c r="AL26" s="705"/>
      <c r="AM26" s="705"/>
      <c r="AN26" s="705"/>
      <c r="AO26" s="705"/>
      <c r="AP26" s="705"/>
      <c r="AQ26" s="705"/>
      <c r="AR26" s="705"/>
      <c r="AS26" s="705"/>
      <c r="AT26" s="705"/>
      <c r="AU26" s="705"/>
      <c r="AV26" s="705"/>
      <c r="AW26" s="705"/>
      <c r="AX26" s="705"/>
      <c r="AY26" s="705"/>
      <c r="AZ26" s="705"/>
      <c r="BA26" s="705"/>
      <c r="BB26" s="705"/>
      <c r="BC26" s="705"/>
    </row>
    <row r="27" spans="1:55">
      <c r="A27" s="576" t="s">
        <v>1167</v>
      </c>
      <c r="B27" s="1108"/>
      <c r="C27" s="1120"/>
      <c r="D27" s="1120"/>
      <c r="E27" s="525">
        <f t="shared" si="0"/>
        <v>0</v>
      </c>
      <c r="F27" s="1120"/>
      <c r="G27" s="699">
        <f t="shared" si="1"/>
        <v>0</v>
      </c>
      <c r="H27" s="706"/>
      <c r="I27" s="706"/>
      <c r="J27" s="851"/>
      <c r="K27" s="854"/>
      <c r="L27" s="706"/>
      <c r="M27" s="706"/>
      <c r="N27" s="705"/>
      <c r="O27" s="705"/>
      <c r="P27" s="705"/>
      <c r="Q27" s="705"/>
      <c r="R27" s="705"/>
      <c r="S27" s="705"/>
      <c r="T27" s="705"/>
      <c r="U27" s="705"/>
      <c r="V27" s="705"/>
      <c r="W27" s="705"/>
      <c r="X27" s="705"/>
      <c r="Y27" s="705"/>
      <c r="Z27" s="705"/>
      <c r="AA27" s="705"/>
      <c r="AB27" s="705"/>
      <c r="AC27" s="705"/>
      <c r="AD27" s="705"/>
      <c r="AE27" s="705"/>
      <c r="AF27" s="705"/>
      <c r="AG27" s="705"/>
      <c r="AH27" s="705"/>
      <c r="AI27" s="705"/>
      <c r="AJ27" s="705"/>
      <c r="AK27" s="705"/>
      <c r="AL27" s="705"/>
      <c r="AM27" s="705"/>
      <c r="AN27" s="705"/>
      <c r="AO27" s="705"/>
      <c r="AP27" s="705"/>
      <c r="AQ27" s="705"/>
      <c r="AR27" s="705"/>
      <c r="AS27" s="705"/>
      <c r="AT27" s="705"/>
      <c r="AU27" s="705"/>
      <c r="AV27" s="705"/>
      <c r="AW27" s="705"/>
      <c r="AX27" s="705"/>
      <c r="AY27" s="705"/>
      <c r="AZ27" s="705"/>
      <c r="BA27" s="705"/>
      <c r="BB27" s="705"/>
      <c r="BC27" s="705"/>
    </row>
    <row r="28" spans="1:55">
      <c r="A28" s="576" t="s">
        <v>1168</v>
      </c>
      <c r="B28" s="1108"/>
      <c r="C28" s="1120"/>
      <c r="D28" s="1120"/>
      <c r="E28" s="525">
        <f t="shared" si="0"/>
        <v>0</v>
      </c>
      <c r="F28" s="1120"/>
      <c r="G28" s="699">
        <f t="shared" si="1"/>
        <v>0</v>
      </c>
      <c r="H28" s="706"/>
      <c r="I28" s="706"/>
      <c r="J28" s="851"/>
      <c r="K28" s="706"/>
      <c r="L28" s="706"/>
      <c r="M28" s="706"/>
      <c r="N28" s="705"/>
      <c r="O28" s="705"/>
      <c r="P28" s="705"/>
      <c r="Q28" s="705"/>
      <c r="R28" s="705"/>
      <c r="S28" s="705"/>
      <c r="T28" s="705"/>
      <c r="U28" s="705"/>
      <c r="V28" s="705"/>
      <c r="W28" s="705"/>
      <c r="X28" s="705"/>
      <c r="Y28" s="705"/>
      <c r="Z28" s="705"/>
      <c r="AA28" s="705"/>
      <c r="AB28" s="705"/>
      <c r="AC28" s="705"/>
      <c r="AD28" s="705"/>
      <c r="AE28" s="705"/>
      <c r="AF28" s="705"/>
      <c r="AG28" s="705"/>
      <c r="AH28" s="705"/>
      <c r="AI28" s="705"/>
      <c r="AJ28" s="705"/>
      <c r="AK28" s="705"/>
      <c r="AL28" s="705"/>
      <c r="AM28" s="705"/>
      <c r="AN28" s="705"/>
      <c r="AO28" s="705"/>
      <c r="AP28" s="705"/>
      <c r="AQ28" s="705"/>
      <c r="AR28" s="705"/>
      <c r="AS28" s="705"/>
      <c r="AT28" s="705"/>
      <c r="AU28" s="705"/>
      <c r="AV28" s="705"/>
      <c r="AW28" s="705"/>
      <c r="AX28" s="705"/>
      <c r="AY28" s="705"/>
      <c r="AZ28" s="705"/>
      <c r="BA28" s="705"/>
      <c r="BB28" s="705"/>
      <c r="BC28" s="705"/>
    </row>
    <row r="29" spans="1:55">
      <c r="A29" s="576" t="s">
        <v>1169</v>
      </c>
      <c r="B29" s="1108"/>
      <c r="C29" s="1120"/>
      <c r="D29" s="1120"/>
      <c r="E29" s="525">
        <f t="shared" si="0"/>
        <v>0</v>
      </c>
      <c r="F29" s="1120"/>
      <c r="G29" s="699">
        <f t="shared" si="1"/>
        <v>0</v>
      </c>
      <c r="H29" s="706"/>
      <c r="I29" s="706"/>
      <c r="J29" s="851"/>
      <c r="K29" s="706"/>
      <c r="L29" s="706"/>
      <c r="M29" s="706"/>
      <c r="N29" s="705"/>
      <c r="O29" s="705"/>
      <c r="P29" s="705"/>
      <c r="Q29" s="705"/>
      <c r="R29" s="705"/>
      <c r="S29" s="705"/>
      <c r="T29" s="705"/>
      <c r="U29" s="705"/>
      <c r="V29" s="705"/>
      <c r="W29" s="705"/>
      <c r="X29" s="705"/>
      <c r="Y29" s="705"/>
      <c r="Z29" s="705"/>
      <c r="AA29" s="705"/>
      <c r="AB29" s="705"/>
      <c r="AC29" s="705"/>
      <c r="AD29" s="705"/>
      <c r="AE29" s="705"/>
      <c r="AF29" s="705"/>
      <c r="AG29" s="705"/>
      <c r="AH29" s="705"/>
      <c r="AI29" s="705"/>
      <c r="AJ29" s="705"/>
      <c r="AK29" s="705"/>
      <c r="AL29" s="705"/>
      <c r="AM29" s="705"/>
      <c r="AN29" s="705"/>
      <c r="AO29" s="705"/>
      <c r="AP29" s="705"/>
      <c r="AQ29" s="705"/>
      <c r="AR29" s="705"/>
      <c r="AS29" s="705"/>
      <c r="AT29" s="705"/>
      <c r="AU29" s="705"/>
      <c r="AV29" s="705"/>
      <c r="AW29" s="705"/>
      <c r="AX29" s="705"/>
      <c r="AY29" s="705"/>
      <c r="AZ29" s="705"/>
      <c r="BA29" s="705"/>
      <c r="BB29" s="705"/>
      <c r="BC29" s="705"/>
    </row>
    <row r="30" spans="1:55">
      <c r="A30" s="576" t="s">
        <v>1170</v>
      </c>
      <c r="B30" s="1108"/>
      <c r="C30" s="1120"/>
      <c r="D30" s="1120"/>
      <c r="E30" s="525">
        <f t="shared" si="0"/>
        <v>0</v>
      </c>
      <c r="F30" s="1120"/>
      <c r="G30" s="699">
        <f t="shared" si="1"/>
        <v>0</v>
      </c>
      <c r="H30" s="706"/>
      <c r="I30" s="706"/>
      <c r="J30" s="851"/>
      <c r="K30" s="706"/>
      <c r="L30" s="706"/>
      <c r="M30" s="706"/>
      <c r="N30" s="705"/>
      <c r="O30" s="705"/>
      <c r="P30" s="705"/>
      <c r="Q30" s="705"/>
      <c r="R30" s="705"/>
      <c r="S30" s="705"/>
      <c r="T30" s="705"/>
      <c r="U30" s="705"/>
      <c r="V30" s="705"/>
      <c r="W30" s="705"/>
      <c r="X30" s="705"/>
      <c r="Y30" s="705"/>
      <c r="Z30" s="705"/>
      <c r="AA30" s="705"/>
      <c r="AB30" s="705"/>
      <c r="AC30" s="705"/>
      <c r="AD30" s="705"/>
      <c r="AE30" s="705"/>
      <c r="AF30" s="705"/>
      <c r="AG30" s="705"/>
      <c r="AH30" s="705"/>
      <c r="AI30" s="705"/>
      <c r="AJ30" s="705"/>
      <c r="AK30" s="705"/>
      <c r="AL30" s="705"/>
      <c r="AM30" s="705"/>
      <c r="AN30" s="705"/>
      <c r="AO30" s="705"/>
      <c r="AP30" s="705"/>
      <c r="AQ30" s="705"/>
      <c r="AR30" s="705"/>
      <c r="AS30" s="705"/>
      <c r="AT30" s="705"/>
      <c r="AU30" s="705"/>
      <c r="AV30" s="705"/>
      <c r="AW30" s="705"/>
      <c r="AX30" s="705"/>
      <c r="AY30" s="705"/>
      <c r="AZ30" s="705"/>
      <c r="BA30" s="705"/>
      <c r="BB30" s="705"/>
      <c r="BC30" s="705"/>
    </row>
    <row r="31" spans="1:55">
      <c r="A31" s="576" t="s">
        <v>1171</v>
      </c>
      <c r="B31" s="1108"/>
      <c r="C31" s="1120"/>
      <c r="D31" s="1120"/>
      <c r="E31" s="525">
        <f t="shared" si="0"/>
        <v>0</v>
      </c>
      <c r="F31" s="1120"/>
      <c r="G31" s="699">
        <f t="shared" si="1"/>
        <v>0</v>
      </c>
      <c r="H31" s="706"/>
      <c r="I31" s="706"/>
      <c r="J31" s="851"/>
      <c r="K31" s="706"/>
      <c r="L31" s="706"/>
      <c r="M31" s="706"/>
      <c r="N31" s="705"/>
      <c r="O31" s="705"/>
      <c r="P31" s="705"/>
      <c r="Q31" s="705"/>
      <c r="R31" s="705"/>
      <c r="S31" s="705"/>
      <c r="T31" s="705"/>
      <c r="U31" s="705"/>
      <c r="V31" s="705"/>
      <c r="W31" s="705"/>
      <c r="X31" s="705"/>
      <c r="Y31" s="705"/>
      <c r="Z31" s="705"/>
      <c r="AA31" s="705"/>
      <c r="AB31" s="705"/>
      <c r="AC31" s="705"/>
      <c r="AD31" s="705"/>
      <c r="AE31" s="705"/>
      <c r="AF31" s="705"/>
      <c r="AG31" s="705"/>
      <c r="AH31" s="705"/>
      <c r="AI31" s="705"/>
      <c r="AJ31" s="705"/>
      <c r="AK31" s="705"/>
      <c r="AL31" s="705"/>
      <c r="AM31" s="705"/>
      <c r="AN31" s="705"/>
      <c r="AO31" s="705"/>
      <c r="AP31" s="705"/>
      <c r="AQ31" s="705"/>
      <c r="AR31" s="705"/>
      <c r="AS31" s="705"/>
      <c r="AT31" s="705"/>
      <c r="AU31" s="705"/>
      <c r="AV31" s="705"/>
      <c r="AW31" s="705"/>
      <c r="AX31" s="705"/>
      <c r="AY31" s="705"/>
      <c r="AZ31" s="705"/>
      <c r="BA31" s="705"/>
      <c r="BB31" s="705"/>
      <c r="BC31" s="705"/>
    </row>
    <row r="32" spans="1:55">
      <c r="A32" s="576" t="s">
        <v>1172</v>
      </c>
      <c r="B32" s="1108"/>
      <c r="C32" s="1120"/>
      <c r="D32" s="1120"/>
      <c r="E32" s="525">
        <f t="shared" si="0"/>
        <v>0</v>
      </c>
      <c r="F32" s="1120"/>
      <c r="G32" s="699">
        <f t="shared" si="1"/>
        <v>0</v>
      </c>
      <c r="H32" s="706"/>
      <c r="I32" s="706"/>
      <c r="J32" s="851"/>
      <c r="K32" s="706"/>
      <c r="L32" s="706"/>
      <c r="M32" s="706"/>
      <c r="N32" s="705"/>
      <c r="O32" s="705"/>
      <c r="P32" s="705"/>
      <c r="Q32" s="705"/>
      <c r="R32" s="705"/>
      <c r="S32" s="705"/>
      <c r="T32" s="705"/>
      <c r="U32" s="705"/>
      <c r="V32" s="705"/>
      <c r="W32" s="705"/>
      <c r="X32" s="705"/>
      <c r="Y32" s="705"/>
      <c r="Z32" s="705"/>
      <c r="AA32" s="705"/>
      <c r="AB32" s="705"/>
      <c r="AC32" s="705"/>
      <c r="AD32" s="705"/>
      <c r="AE32" s="705"/>
      <c r="AF32" s="705"/>
      <c r="AG32" s="705"/>
      <c r="AH32" s="705"/>
      <c r="AI32" s="705"/>
      <c r="AJ32" s="705"/>
      <c r="AK32" s="705"/>
      <c r="AL32" s="705"/>
      <c r="AM32" s="705"/>
      <c r="AN32" s="705"/>
      <c r="AO32" s="705"/>
      <c r="AP32" s="705"/>
      <c r="AQ32" s="705"/>
      <c r="AR32" s="705"/>
      <c r="AS32" s="705"/>
      <c r="AT32" s="705"/>
      <c r="AU32" s="705"/>
      <c r="AV32" s="705"/>
      <c r="AW32" s="705"/>
      <c r="AX32" s="705"/>
      <c r="AY32" s="705"/>
      <c r="AZ32" s="705"/>
      <c r="BA32" s="705"/>
      <c r="BB32" s="705"/>
      <c r="BC32" s="705"/>
    </row>
    <row r="33" spans="1:55">
      <c r="A33" s="576" t="s">
        <v>1173</v>
      </c>
      <c r="B33" s="1108"/>
      <c r="C33" s="1120"/>
      <c r="D33" s="1120"/>
      <c r="E33" s="525">
        <f t="shared" si="0"/>
        <v>0</v>
      </c>
      <c r="F33" s="1120"/>
      <c r="G33" s="699">
        <f t="shared" si="1"/>
        <v>0</v>
      </c>
      <c r="H33" s="706"/>
      <c r="I33" s="706"/>
      <c r="J33" s="851"/>
      <c r="K33" s="706"/>
      <c r="L33" s="706"/>
      <c r="M33" s="706"/>
      <c r="N33" s="705"/>
      <c r="O33" s="705"/>
      <c r="P33" s="705"/>
      <c r="Q33" s="705"/>
      <c r="R33" s="705"/>
      <c r="S33" s="705"/>
      <c r="T33" s="705"/>
      <c r="U33" s="705"/>
      <c r="V33" s="705"/>
      <c r="W33" s="705"/>
      <c r="X33" s="705"/>
      <c r="Y33" s="705"/>
      <c r="Z33" s="705"/>
      <c r="AA33" s="705"/>
      <c r="AB33" s="705"/>
      <c r="AC33" s="705"/>
      <c r="AD33" s="705"/>
      <c r="AE33" s="705"/>
      <c r="AF33" s="705"/>
      <c r="AG33" s="705"/>
      <c r="AH33" s="705"/>
      <c r="AI33" s="705"/>
      <c r="AJ33" s="705"/>
      <c r="AK33" s="705"/>
      <c r="AL33" s="705"/>
      <c r="AM33" s="705"/>
      <c r="AN33" s="705"/>
      <c r="AO33" s="705"/>
      <c r="AP33" s="705"/>
      <c r="AQ33" s="705"/>
      <c r="AR33" s="705"/>
      <c r="AS33" s="705"/>
      <c r="AT33" s="705"/>
      <c r="AU33" s="705"/>
      <c r="AV33" s="705"/>
      <c r="AW33" s="705"/>
      <c r="AX33" s="705"/>
      <c r="AY33" s="705"/>
      <c r="AZ33" s="705"/>
      <c r="BA33" s="705"/>
      <c r="BB33" s="705"/>
      <c r="BC33" s="705"/>
    </row>
    <row r="34" spans="1:55">
      <c r="A34" s="576" t="s">
        <v>1174</v>
      </c>
      <c r="B34" s="1108"/>
      <c r="C34" s="1120"/>
      <c r="D34" s="1120"/>
      <c r="E34" s="525">
        <f t="shared" si="0"/>
        <v>0</v>
      </c>
      <c r="F34" s="1120"/>
      <c r="G34" s="699">
        <f t="shared" si="1"/>
        <v>0</v>
      </c>
      <c r="H34" s="706"/>
      <c r="I34" s="706"/>
      <c r="J34" s="706"/>
      <c r="K34" s="706"/>
      <c r="L34" s="706"/>
      <c r="M34" s="706"/>
      <c r="N34" s="705"/>
      <c r="O34" s="705"/>
      <c r="P34" s="705"/>
      <c r="Q34" s="705"/>
      <c r="R34" s="705"/>
      <c r="S34" s="705"/>
      <c r="T34" s="705"/>
      <c r="U34" s="705"/>
      <c r="V34" s="705"/>
      <c r="W34" s="705"/>
      <c r="X34" s="705"/>
      <c r="Y34" s="705"/>
      <c r="Z34" s="705"/>
      <c r="AA34" s="705"/>
      <c r="AB34" s="705"/>
      <c r="AC34" s="705"/>
      <c r="AD34" s="705"/>
      <c r="AE34" s="705"/>
      <c r="AF34" s="705"/>
      <c r="AG34" s="705"/>
      <c r="AH34" s="705"/>
      <c r="AI34" s="705"/>
      <c r="AJ34" s="705"/>
      <c r="AK34" s="705"/>
      <c r="AL34" s="705"/>
      <c r="AM34" s="705"/>
      <c r="AN34" s="705"/>
      <c r="AO34" s="705"/>
      <c r="AP34" s="705"/>
      <c r="AQ34" s="705"/>
      <c r="AR34" s="705"/>
      <c r="AS34" s="705"/>
      <c r="AT34" s="705"/>
      <c r="AU34" s="705"/>
      <c r="AV34" s="705"/>
      <c r="AW34" s="705"/>
      <c r="AX34" s="705"/>
      <c r="AY34" s="705"/>
      <c r="AZ34" s="705"/>
      <c r="BA34" s="705"/>
      <c r="BB34" s="705"/>
      <c r="BC34" s="705"/>
    </row>
    <row r="35" spans="1:55">
      <c r="A35" s="576" t="s">
        <v>1175</v>
      </c>
      <c r="B35" s="1108"/>
      <c r="C35" s="1120"/>
      <c r="D35" s="1120"/>
      <c r="E35" s="525">
        <f t="shared" si="0"/>
        <v>0</v>
      </c>
      <c r="F35" s="1120"/>
      <c r="G35" s="699">
        <f t="shared" si="1"/>
        <v>0</v>
      </c>
      <c r="H35" s="706"/>
      <c r="I35" s="706"/>
      <c r="J35" s="706"/>
      <c r="K35" s="706"/>
      <c r="L35" s="706"/>
      <c r="M35" s="706"/>
      <c r="N35" s="705"/>
      <c r="O35" s="705"/>
      <c r="P35" s="705"/>
      <c r="Q35" s="705"/>
      <c r="R35" s="705"/>
      <c r="S35" s="705"/>
      <c r="T35" s="705"/>
      <c r="U35" s="705"/>
      <c r="V35" s="705"/>
      <c r="W35" s="705"/>
      <c r="X35" s="705"/>
      <c r="Y35" s="705"/>
      <c r="Z35" s="705"/>
      <c r="AA35" s="705"/>
      <c r="AB35" s="705"/>
      <c r="AC35" s="705"/>
      <c r="AD35" s="705"/>
      <c r="AE35" s="705"/>
      <c r="AF35" s="705"/>
      <c r="AG35" s="705"/>
      <c r="AH35" s="705"/>
      <c r="AI35" s="705"/>
      <c r="AJ35" s="705"/>
      <c r="AK35" s="705"/>
      <c r="AL35" s="705"/>
      <c r="AM35" s="705"/>
      <c r="AN35" s="705"/>
      <c r="AO35" s="705"/>
      <c r="AP35" s="705"/>
      <c r="AQ35" s="705"/>
      <c r="AR35" s="705"/>
      <c r="AS35" s="705"/>
      <c r="AT35" s="705"/>
      <c r="AU35" s="705"/>
      <c r="AV35" s="705"/>
      <c r="AW35" s="705"/>
      <c r="AX35" s="705"/>
      <c r="AY35" s="705"/>
      <c r="AZ35" s="705"/>
      <c r="BA35" s="705"/>
      <c r="BB35" s="705"/>
      <c r="BC35" s="705"/>
    </row>
    <row r="36" spans="1:55">
      <c r="A36" s="856" t="s">
        <v>1176</v>
      </c>
      <c r="B36" s="1108"/>
      <c r="C36" s="1120"/>
      <c r="D36" s="1120"/>
      <c r="E36" s="525">
        <f t="shared" si="0"/>
        <v>0</v>
      </c>
      <c r="F36" s="1120"/>
      <c r="G36" s="699">
        <f t="shared" si="1"/>
        <v>0</v>
      </c>
      <c r="H36" s="706"/>
      <c r="I36" s="706"/>
      <c r="J36" s="706"/>
      <c r="K36" s="706"/>
      <c r="L36" s="706"/>
      <c r="M36" s="706"/>
      <c r="N36" s="705"/>
      <c r="O36" s="705"/>
      <c r="P36" s="705"/>
      <c r="Q36" s="705"/>
      <c r="R36" s="705"/>
      <c r="S36" s="705"/>
      <c r="T36" s="705"/>
      <c r="U36" s="705"/>
      <c r="V36" s="705"/>
      <c r="W36" s="705"/>
      <c r="X36" s="705"/>
      <c r="Y36" s="705"/>
      <c r="Z36" s="705"/>
      <c r="AA36" s="705"/>
      <c r="AB36" s="705"/>
      <c r="AC36" s="705"/>
      <c r="AD36" s="705"/>
      <c r="AE36" s="705"/>
      <c r="AF36" s="705"/>
      <c r="AG36" s="705"/>
      <c r="AH36" s="705"/>
      <c r="AI36" s="705"/>
      <c r="AJ36" s="705"/>
      <c r="AK36" s="705"/>
      <c r="AL36" s="705"/>
      <c r="AM36" s="705"/>
      <c r="AN36" s="705"/>
      <c r="AO36" s="705"/>
      <c r="AP36" s="705"/>
      <c r="AQ36" s="705"/>
      <c r="AR36" s="705"/>
      <c r="AS36" s="705"/>
      <c r="AT36" s="705"/>
      <c r="AU36" s="705"/>
      <c r="AV36" s="705"/>
      <c r="AW36" s="705"/>
      <c r="AX36" s="705"/>
      <c r="AY36" s="705"/>
      <c r="AZ36" s="705"/>
      <c r="BA36" s="705"/>
      <c r="BB36" s="705"/>
      <c r="BC36" s="705"/>
    </row>
    <row r="37" spans="1:55">
      <c r="A37" s="576" t="s">
        <v>1177</v>
      </c>
      <c r="B37" s="1108"/>
      <c r="C37" s="1120"/>
      <c r="D37" s="1120"/>
      <c r="E37" s="525">
        <f t="shared" si="0"/>
        <v>0</v>
      </c>
      <c r="F37" s="1120"/>
      <c r="G37" s="699">
        <f t="shared" si="1"/>
        <v>0</v>
      </c>
      <c r="H37" s="706"/>
      <c r="I37" s="706"/>
      <c r="J37" s="706"/>
      <c r="K37" s="706"/>
      <c r="L37" s="706"/>
      <c r="M37" s="706"/>
      <c r="N37" s="705"/>
      <c r="O37" s="705"/>
      <c r="P37" s="705"/>
      <c r="Q37" s="705"/>
      <c r="R37" s="705"/>
      <c r="S37" s="705"/>
      <c r="T37" s="705"/>
      <c r="U37" s="705"/>
      <c r="V37" s="705"/>
      <c r="W37" s="705"/>
      <c r="X37" s="705"/>
      <c r="Y37" s="705"/>
      <c r="Z37" s="705"/>
      <c r="AA37" s="705"/>
      <c r="AB37" s="705"/>
      <c r="AC37" s="705"/>
      <c r="AD37" s="705"/>
      <c r="AE37" s="705"/>
      <c r="AF37" s="705"/>
      <c r="AG37" s="705"/>
      <c r="AH37" s="705"/>
      <c r="AI37" s="705"/>
      <c r="AJ37" s="705"/>
      <c r="AK37" s="705"/>
      <c r="AL37" s="705"/>
      <c r="AM37" s="705"/>
      <c r="AN37" s="705"/>
      <c r="AO37" s="705"/>
      <c r="AP37" s="705"/>
      <c r="AQ37" s="705"/>
      <c r="AR37" s="705"/>
      <c r="AS37" s="705"/>
      <c r="AT37" s="705"/>
      <c r="AU37" s="705"/>
      <c r="AV37" s="705"/>
      <c r="AW37" s="705"/>
      <c r="AX37" s="705"/>
      <c r="AY37" s="705"/>
      <c r="AZ37" s="705"/>
      <c r="BA37" s="705"/>
      <c r="BB37" s="705"/>
      <c r="BC37" s="705"/>
    </row>
    <row r="38" spans="1:55">
      <c r="A38" s="576" t="s">
        <v>1178</v>
      </c>
      <c r="B38" s="1108"/>
      <c r="C38" s="1110"/>
      <c r="D38" s="1110"/>
      <c r="E38" s="525">
        <f t="shared" si="0"/>
        <v>0</v>
      </c>
      <c r="F38" s="1110">
        <f>-F23-F24-F25</f>
        <v>0</v>
      </c>
      <c r="G38" s="699">
        <f t="shared" si="1"/>
        <v>0</v>
      </c>
      <c r="H38" s="706"/>
      <c r="I38" s="706"/>
      <c r="J38" s="706"/>
      <c r="K38" s="706"/>
      <c r="L38" s="706"/>
      <c r="M38" s="706"/>
      <c r="N38" s="705"/>
      <c r="O38" s="705"/>
      <c r="P38" s="705"/>
      <c r="Q38" s="705"/>
      <c r="R38" s="705"/>
      <c r="S38" s="705"/>
      <c r="T38" s="705"/>
      <c r="U38" s="705"/>
      <c r="V38" s="705"/>
      <c r="W38" s="705"/>
      <c r="X38" s="705"/>
      <c r="Y38" s="705"/>
      <c r="Z38" s="705"/>
      <c r="AA38" s="705"/>
      <c r="AB38" s="705"/>
      <c r="AC38" s="705"/>
      <c r="AD38" s="705"/>
      <c r="AE38" s="705"/>
      <c r="AF38" s="705"/>
      <c r="AG38" s="705"/>
      <c r="AH38" s="705"/>
      <c r="AI38" s="705"/>
      <c r="AJ38" s="705"/>
      <c r="AK38" s="705"/>
      <c r="AL38" s="705"/>
      <c r="AM38" s="705"/>
      <c r="AN38" s="705"/>
      <c r="AO38" s="705"/>
      <c r="AP38" s="705"/>
      <c r="AQ38" s="705"/>
      <c r="AR38" s="705"/>
      <c r="AS38" s="705"/>
      <c r="AT38" s="705"/>
      <c r="AU38" s="705"/>
      <c r="AV38" s="705"/>
      <c r="AW38" s="705"/>
      <c r="AX38" s="705"/>
      <c r="AY38" s="705"/>
      <c r="AZ38" s="705"/>
      <c r="BA38" s="705"/>
      <c r="BB38" s="705"/>
      <c r="BC38" s="705"/>
    </row>
    <row r="39" spans="1:55">
      <c r="A39" s="775"/>
      <c r="B39" s="1108"/>
      <c r="C39" s="1110"/>
      <c r="D39" s="1110"/>
      <c r="E39" s="525">
        <f t="shared" si="0"/>
        <v>0</v>
      </c>
      <c r="F39" s="1110"/>
      <c r="G39" s="699">
        <f t="shared" si="1"/>
        <v>0</v>
      </c>
      <c r="H39" s="706"/>
      <c r="I39" s="706"/>
      <c r="J39" s="706"/>
      <c r="K39" s="706"/>
      <c r="L39" s="706"/>
      <c r="M39" s="706"/>
      <c r="N39" s="705"/>
      <c r="O39" s="705"/>
      <c r="P39" s="705"/>
      <c r="Q39" s="705"/>
      <c r="R39" s="705"/>
      <c r="S39" s="705"/>
      <c r="T39" s="705"/>
      <c r="U39" s="705"/>
      <c r="V39" s="705"/>
      <c r="W39" s="705"/>
      <c r="X39" s="705"/>
      <c r="Y39" s="705"/>
      <c r="Z39" s="705"/>
      <c r="AA39" s="705"/>
      <c r="AB39" s="705"/>
      <c r="AC39" s="705"/>
      <c r="AD39" s="705"/>
      <c r="AE39" s="705"/>
      <c r="AF39" s="705"/>
      <c r="AG39" s="705"/>
      <c r="AH39" s="705"/>
      <c r="AI39" s="705"/>
      <c r="AJ39" s="705"/>
      <c r="AK39" s="705"/>
      <c r="AL39" s="705"/>
      <c r="AM39" s="705"/>
      <c r="AN39" s="705"/>
      <c r="AO39" s="705"/>
      <c r="AP39" s="705"/>
      <c r="AQ39" s="705"/>
      <c r="AR39" s="705"/>
      <c r="AS39" s="705"/>
      <c r="AT39" s="705"/>
      <c r="AU39" s="705"/>
      <c r="AV39" s="705"/>
      <c r="AW39" s="705"/>
      <c r="AX39" s="705"/>
      <c r="AY39" s="705"/>
      <c r="AZ39" s="705"/>
      <c r="BA39" s="705"/>
      <c r="BB39" s="705"/>
      <c r="BC39" s="705"/>
    </row>
    <row r="40" spans="1:55">
      <c r="A40" s="857"/>
      <c r="B40" s="1176"/>
      <c r="C40" s="1124"/>
      <c r="D40" s="1124"/>
      <c r="E40" s="823">
        <f t="shared" si="0"/>
        <v>0</v>
      </c>
      <c r="F40" s="1124"/>
      <c r="G40" s="596">
        <f t="shared" si="1"/>
        <v>0</v>
      </c>
      <c r="H40" s="706"/>
      <c r="I40" s="706"/>
      <c r="J40" s="706"/>
      <c r="K40" s="706"/>
      <c r="L40" s="706"/>
      <c r="M40" s="706"/>
      <c r="N40" s="705"/>
      <c r="O40" s="705"/>
      <c r="P40" s="705"/>
      <c r="Q40" s="705"/>
      <c r="R40" s="705"/>
      <c r="S40" s="705"/>
      <c r="T40" s="705"/>
      <c r="U40" s="705"/>
      <c r="V40" s="705"/>
      <c r="W40" s="705"/>
      <c r="X40" s="705"/>
      <c r="Y40" s="705"/>
      <c r="Z40" s="705"/>
      <c r="AA40" s="705"/>
      <c r="AB40" s="705"/>
      <c r="AC40" s="705"/>
      <c r="AD40" s="705"/>
      <c r="AE40" s="705"/>
      <c r="AF40" s="705"/>
      <c r="AG40" s="705"/>
      <c r="AH40" s="705"/>
      <c r="AI40" s="705"/>
      <c r="AJ40" s="705"/>
      <c r="AK40" s="705"/>
      <c r="AL40" s="705"/>
      <c r="AM40" s="705"/>
      <c r="AN40" s="705"/>
      <c r="AO40" s="705"/>
      <c r="AP40" s="705"/>
      <c r="AQ40" s="705"/>
      <c r="AR40" s="705"/>
      <c r="AS40" s="705"/>
      <c r="AT40" s="705"/>
      <c r="AU40" s="705"/>
      <c r="AV40" s="705"/>
      <c r="AW40" s="705"/>
      <c r="AX40" s="705"/>
      <c r="AY40" s="705"/>
      <c r="AZ40" s="705"/>
      <c r="BA40" s="705"/>
      <c r="BB40" s="705"/>
      <c r="BC40" s="705"/>
    </row>
    <row r="41" spans="1:55" ht="9" customHeight="1">
      <c r="A41" s="3163" t="s">
        <v>641</v>
      </c>
      <c r="B41" s="3163"/>
      <c r="C41" s="3270" t="str">
        <f>IF(D21&lt;&gt;C12+C16,"生产成本借方发生额与制造费用贷方发生额相差"&amp;DOLLAR(D21-C12-C16,2)&amp;"元！","生产成本借方发生额与制造费用贷方发生额相符！")</f>
        <v>生产成本借方发生额与制造费用贷方发生额相符！</v>
      </c>
      <c r="D41" s="3270"/>
      <c r="E41" s="3270"/>
      <c r="F41" s="3270"/>
      <c r="G41" s="3270"/>
      <c r="H41" s="706"/>
      <c r="I41" s="706"/>
      <c r="J41" s="706"/>
      <c r="K41" s="706"/>
      <c r="L41" s="706"/>
      <c r="M41" s="706"/>
      <c r="N41" s="705"/>
      <c r="O41" s="705"/>
      <c r="P41" s="705"/>
      <c r="Q41" s="705"/>
      <c r="R41" s="705"/>
      <c r="S41" s="705"/>
      <c r="T41" s="705"/>
      <c r="U41" s="705"/>
      <c r="V41" s="705"/>
      <c r="W41" s="705"/>
      <c r="X41" s="705"/>
      <c r="Y41" s="705"/>
      <c r="Z41" s="705"/>
      <c r="AA41" s="705"/>
      <c r="AB41" s="705"/>
      <c r="AC41" s="705"/>
      <c r="AD41" s="705"/>
      <c r="AE41" s="705"/>
      <c r="AF41" s="705"/>
      <c r="AG41" s="705"/>
      <c r="AH41" s="705"/>
      <c r="AI41" s="705"/>
      <c r="AJ41" s="705"/>
      <c r="AK41" s="705"/>
      <c r="AL41" s="705"/>
      <c r="AM41" s="705"/>
      <c r="AN41" s="705"/>
      <c r="AO41" s="705"/>
      <c r="AP41" s="705"/>
      <c r="AQ41" s="705"/>
      <c r="AR41" s="705"/>
      <c r="AS41" s="705"/>
      <c r="AT41" s="705"/>
      <c r="AU41" s="705"/>
      <c r="AV41" s="705"/>
      <c r="AW41" s="705"/>
      <c r="AX41" s="705"/>
      <c r="AY41" s="705"/>
      <c r="AZ41" s="705"/>
      <c r="BA41" s="705"/>
      <c r="BB41" s="705"/>
      <c r="BC41" s="705"/>
    </row>
    <row r="42" spans="1:55" ht="9" customHeight="1">
      <c r="A42" s="3163"/>
      <c r="B42" s="3163"/>
      <c r="C42" s="3270"/>
      <c r="D42" s="3270"/>
      <c r="E42" s="3270"/>
      <c r="F42" s="3270"/>
      <c r="G42" s="3270"/>
      <c r="H42" s="706"/>
      <c r="I42" s="706"/>
      <c r="J42" s="706"/>
      <c r="K42" s="706"/>
      <c r="L42" s="706"/>
      <c r="M42" s="706"/>
      <c r="N42" s="705"/>
      <c r="O42" s="705"/>
      <c r="P42" s="705"/>
      <c r="Q42" s="705"/>
      <c r="R42" s="705"/>
      <c r="S42" s="705"/>
      <c r="T42" s="705"/>
      <c r="U42" s="705"/>
      <c r="V42" s="705"/>
      <c r="W42" s="705"/>
      <c r="X42" s="705"/>
      <c r="Y42" s="705"/>
      <c r="Z42" s="705"/>
      <c r="AA42" s="705"/>
      <c r="AB42" s="705"/>
      <c r="AC42" s="705"/>
      <c r="AD42" s="705"/>
      <c r="AE42" s="705"/>
      <c r="AF42" s="705"/>
      <c r="AG42" s="705"/>
      <c r="AH42" s="705"/>
      <c r="AI42" s="705"/>
      <c r="AJ42" s="705"/>
      <c r="AK42" s="705"/>
      <c r="AL42" s="705"/>
      <c r="AM42" s="705"/>
      <c r="AN42" s="705"/>
      <c r="AO42" s="705"/>
      <c r="AP42" s="705"/>
      <c r="AQ42" s="705"/>
      <c r="AR42" s="705"/>
      <c r="AS42" s="705"/>
      <c r="AT42" s="705"/>
      <c r="AU42" s="705"/>
      <c r="AV42" s="705"/>
      <c r="AW42" s="705"/>
      <c r="AX42" s="705"/>
      <c r="AY42" s="705"/>
      <c r="AZ42" s="705"/>
      <c r="BA42" s="705"/>
      <c r="BB42" s="705"/>
      <c r="BC42" s="705"/>
    </row>
    <row r="43" spans="1:55" ht="15.15" customHeight="1">
      <c r="A43" s="3147" t="s">
        <v>1323</v>
      </c>
      <c r="B43" s="3147"/>
      <c r="C43" s="3533" t="s">
        <v>1179</v>
      </c>
      <c r="D43" s="3533"/>
      <c r="E43" s="3531" t="str">
        <f>IF(OR(F8&lt;&gt;0,F21&lt;&gt;0),"、E","")</f>
        <v/>
      </c>
      <c r="F43" s="3531"/>
      <c r="G43" s="3531"/>
      <c r="H43" s="706"/>
      <c r="I43" s="706"/>
      <c r="J43" s="706"/>
      <c r="K43" s="706"/>
      <c r="L43" s="706"/>
      <c r="M43" s="706"/>
      <c r="N43" s="705"/>
      <c r="O43" s="705"/>
      <c r="P43" s="705"/>
      <c r="Q43" s="705"/>
      <c r="R43" s="705"/>
      <c r="S43" s="705"/>
      <c r="T43" s="705"/>
      <c r="U43" s="705"/>
      <c r="V43" s="705"/>
      <c r="W43" s="705"/>
      <c r="X43" s="705"/>
      <c r="Y43" s="705"/>
      <c r="Z43" s="705"/>
      <c r="AA43" s="705"/>
      <c r="AB43" s="705"/>
      <c r="AC43" s="705"/>
      <c r="AD43" s="705"/>
      <c r="AE43" s="705"/>
      <c r="AF43" s="705"/>
      <c r="AG43" s="705"/>
      <c r="AH43" s="705"/>
      <c r="AI43" s="705"/>
      <c r="AJ43" s="705"/>
      <c r="AK43" s="705"/>
      <c r="AL43" s="705"/>
      <c r="AM43" s="705"/>
      <c r="AN43" s="705"/>
      <c r="AO43" s="705"/>
      <c r="AP43" s="705"/>
      <c r="AQ43" s="705"/>
      <c r="AR43" s="705"/>
      <c r="AS43" s="705"/>
      <c r="AT43" s="705"/>
      <c r="AU43" s="705"/>
      <c r="AV43" s="705"/>
      <c r="AW43" s="705"/>
      <c r="AX43" s="705"/>
      <c r="AY43" s="705"/>
      <c r="AZ43" s="705"/>
      <c r="BA43" s="705"/>
      <c r="BB43" s="705"/>
      <c r="BC43" s="705"/>
    </row>
    <row r="44" spans="1:55">
      <c r="A44" s="3147"/>
      <c r="B44" s="3147"/>
      <c r="C44" s="3175"/>
      <c r="D44" s="3175"/>
      <c r="E44" s="3175"/>
      <c r="F44" s="3175"/>
      <c r="G44" s="3175"/>
      <c r="H44" s="706"/>
      <c r="I44" s="706"/>
      <c r="J44" s="706"/>
      <c r="K44" s="706"/>
      <c r="L44" s="706"/>
      <c r="M44" s="706"/>
      <c r="N44" s="705"/>
      <c r="O44" s="705"/>
      <c r="P44" s="705"/>
      <c r="Q44" s="705"/>
      <c r="R44" s="705"/>
      <c r="S44" s="705"/>
      <c r="T44" s="705"/>
      <c r="U44" s="705"/>
      <c r="V44" s="705"/>
      <c r="W44" s="705"/>
      <c r="X44" s="705"/>
      <c r="Y44" s="705"/>
      <c r="Z44" s="705"/>
      <c r="AA44" s="705"/>
      <c r="AB44" s="705"/>
      <c r="AC44" s="705"/>
      <c r="AD44" s="705"/>
      <c r="AE44" s="705"/>
      <c r="AF44" s="705"/>
      <c r="AG44" s="705"/>
      <c r="AH44" s="705"/>
      <c r="AI44" s="705"/>
      <c r="AJ44" s="705"/>
      <c r="AK44" s="705"/>
      <c r="AL44" s="705"/>
      <c r="AM44" s="705"/>
      <c r="AN44" s="705"/>
      <c r="AO44" s="705"/>
      <c r="AP44" s="705"/>
      <c r="AQ44" s="705"/>
      <c r="AR44" s="705"/>
      <c r="AS44" s="705"/>
      <c r="AT44" s="705"/>
      <c r="AU44" s="705"/>
      <c r="AV44" s="705"/>
      <c r="AW44" s="705"/>
      <c r="AX44" s="705"/>
      <c r="AY44" s="705"/>
      <c r="AZ44" s="705"/>
      <c r="BA44" s="705"/>
      <c r="BB44" s="705"/>
      <c r="BC44" s="705"/>
    </row>
    <row r="45" spans="1:55">
      <c r="A45" s="3147"/>
      <c r="B45" s="3147"/>
      <c r="C45" s="3175"/>
      <c r="D45" s="3175"/>
      <c r="E45" s="3175"/>
      <c r="F45" s="3175"/>
      <c r="G45" s="3175"/>
      <c r="H45" s="706"/>
      <c r="I45" s="706"/>
      <c r="J45" s="706"/>
      <c r="K45" s="706"/>
      <c r="L45" s="706"/>
      <c r="M45" s="706"/>
      <c r="N45" s="705"/>
      <c r="O45" s="705"/>
      <c r="P45" s="705"/>
      <c r="Q45" s="705"/>
      <c r="R45" s="705"/>
      <c r="S45" s="705"/>
      <c r="T45" s="705"/>
      <c r="U45" s="705"/>
      <c r="V45" s="705"/>
      <c r="W45" s="705"/>
      <c r="X45" s="705"/>
      <c r="Y45" s="705"/>
      <c r="Z45" s="705"/>
      <c r="AA45" s="705"/>
      <c r="AB45" s="705"/>
      <c r="AC45" s="705"/>
      <c r="AD45" s="705"/>
      <c r="AE45" s="705"/>
      <c r="AF45" s="705"/>
      <c r="AG45" s="705"/>
      <c r="AH45" s="705"/>
      <c r="AI45" s="705"/>
      <c r="AJ45" s="705"/>
      <c r="AK45" s="705"/>
      <c r="AL45" s="705"/>
      <c r="AM45" s="705"/>
      <c r="AN45" s="705"/>
      <c r="AO45" s="705"/>
      <c r="AP45" s="705"/>
      <c r="AQ45" s="705"/>
      <c r="AR45" s="705"/>
      <c r="AS45" s="705"/>
      <c r="AT45" s="705"/>
      <c r="AU45" s="705"/>
      <c r="AV45" s="705"/>
      <c r="AW45" s="705"/>
      <c r="AX45" s="705"/>
      <c r="AY45" s="705"/>
      <c r="AZ45" s="705"/>
      <c r="BA45" s="705"/>
      <c r="BB45" s="705"/>
      <c r="BC45" s="705"/>
    </row>
    <row r="46" spans="1:55">
      <c r="A46" s="3147"/>
      <c r="B46" s="3147"/>
      <c r="C46" s="3175"/>
      <c r="D46" s="3175"/>
      <c r="E46" s="3175"/>
      <c r="F46" s="3175"/>
      <c r="G46" s="3175"/>
      <c r="H46" s="706"/>
      <c r="I46" s="706"/>
      <c r="J46" s="706"/>
      <c r="K46" s="706"/>
      <c r="L46" s="706"/>
      <c r="M46" s="706"/>
      <c r="N46" s="705"/>
      <c r="O46" s="705"/>
      <c r="P46" s="705"/>
      <c r="Q46" s="705"/>
      <c r="R46" s="705"/>
      <c r="S46" s="705"/>
      <c r="T46" s="705"/>
      <c r="U46" s="705"/>
      <c r="V46" s="705"/>
      <c r="W46" s="705"/>
      <c r="X46" s="705"/>
      <c r="Y46" s="705"/>
      <c r="Z46" s="705"/>
      <c r="AA46" s="705"/>
      <c r="AB46" s="705"/>
      <c r="AC46" s="705"/>
      <c r="AD46" s="705"/>
      <c r="AE46" s="705"/>
      <c r="AF46" s="705"/>
      <c r="AG46" s="705"/>
      <c r="AH46" s="705"/>
      <c r="AI46" s="705"/>
      <c r="AJ46" s="705"/>
      <c r="AK46" s="705"/>
      <c r="AL46" s="705"/>
      <c r="AM46" s="705"/>
      <c r="AN46" s="705"/>
      <c r="AO46" s="705"/>
      <c r="AP46" s="705"/>
      <c r="AQ46" s="705"/>
      <c r="AR46" s="705"/>
      <c r="AS46" s="705"/>
      <c r="AT46" s="705"/>
      <c r="AU46" s="705"/>
      <c r="AV46" s="705"/>
      <c r="AW46" s="705"/>
      <c r="AX46" s="705"/>
      <c r="AY46" s="705"/>
      <c r="AZ46" s="705"/>
      <c r="BA46" s="705"/>
      <c r="BB46" s="705"/>
      <c r="BC46" s="705"/>
    </row>
    <row r="47" spans="1:55">
      <c r="A47" s="3147"/>
      <c r="B47" s="3147"/>
      <c r="C47" s="3175"/>
      <c r="D47" s="3175"/>
      <c r="E47" s="3175"/>
      <c r="F47" s="3175"/>
      <c r="G47" s="3175"/>
      <c r="H47" s="706"/>
      <c r="I47" s="706"/>
      <c r="J47" s="706"/>
      <c r="K47" s="706"/>
      <c r="L47" s="706"/>
      <c r="M47" s="706"/>
      <c r="N47" s="705"/>
      <c r="O47" s="705"/>
      <c r="P47" s="705"/>
      <c r="Q47" s="705"/>
      <c r="R47" s="705"/>
      <c r="S47" s="705"/>
      <c r="T47" s="705"/>
      <c r="U47" s="705"/>
      <c r="V47" s="705"/>
      <c r="W47" s="705"/>
      <c r="X47" s="705"/>
      <c r="Y47" s="705"/>
      <c r="Z47" s="705"/>
      <c r="AA47" s="705"/>
      <c r="AB47" s="705"/>
      <c r="AC47" s="705"/>
      <c r="AD47" s="705"/>
      <c r="AE47" s="705"/>
      <c r="AF47" s="705"/>
      <c r="AG47" s="705"/>
      <c r="AH47" s="705"/>
      <c r="AI47" s="705"/>
      <c r="AJ47" s="705"/>
      <c r="AK47" s="705"/>
      <c r="AL47" s="705"/>
      <c r="AM47" s="705"/>
      <c r="AN47" s="705"/>
      <c r="AO47" s="705"/>
      <c r="AP47" s="705"/>
      <c r="AQ47" s="705"/>
      <c r="AR47" s="705"/>
      <c r="AS47" s="705"/>
      <c r="AT47" s="705"/>
      <c r="AU47" s="705"/>
      <c r="AV47" s="705"/>
      <c r="AW47" s="705"/>
      <c r="AX47" s="705"/>
      <c r="AY47" s="705"/>
      <c r="AZ47" s="705"/>
      <c r="BA47" s="705"/>
      <c r="BB47" s="705"/>
      <c r="BC47" s="705"/>
    </row>
    <row r="48" spans="1:55">
      <c r="A48" s="2991" t="s">
        <v>574</v>
      </c>
      <c r="B48" s="2991"/>
      <c r="C48" s="3529" t="str">
        <f>IF(AND(F8=0,F21=0),"不存在调整事项,认可！","调整后认可！")</f>
        <v>不存在调整事项,认可！</v>
      </c>
      <c r="D48" s="3529"/>
      <c r="E48" s="3529"/>
      <c r="F48" s="3529"/>
      <c r="G48" s="3529"/>
      <c r="H48" s="706"/>
      <c r="I48" s="706"/>
      <c r="J48" s="706"/>
      <c r="K48" s="706"/>
      <c r="L48" s="706"/>
      <c r="M48" s="706"/>
      <c r="N48" s="705"/>
      <c r="O48" s="705"/>
      <c r="P48" s="705"/>
      <c r="Q48" s="705"/>
      <c r="R48" s="705"/>
      <c r="S48" s="705"/>
      <c r="T48" s="705"/>
      <c r="U48" s="705"/>
      <c r="V48" s="705"/>
      <c r="W48" s="705"/>
      <c r="X48" s="705"/>
      <c r="Y48" s="705"/>
      <c r="Z48" s="705"/>
      <c r="AA48" s="705"/>
      <c r="AB48" s="705"/>
      <c r="AC48" s="705"/>
      <c r="AD48" s="705"/>
      <c r="AE48" s="705"/>
      <c r="AF48" s="705"/>
      <c r="AG48" s="705"/>
      <c r="AH48" s="705"/>
      <c r="AI48" s="705"/>
      <c r="AJ48" s="705"/>
      <c r="AK48" s="705"/>
      <c r="AL48" s="705"/>
      <c r="AM48" s="705"/>
      <c r="AN48" s="705"/>
      <c r="AO48" s="705"/>
      <c r="AP48" s="705"/>
      <c r="AQ48" s="705"/>
      <c r="AR48" s="705"/>
      <c r="AS48" s="705"/>
      <c r="AT48" s="705"/>
      <c r="AU48" s="705"/>
      <c r="AV48" s="705"/>
      <c r="AW48" s="705"/>
      <c r="AX48" s="705"/>
      <c r="AY48" s="705"/>
      <c r="AZ48" s="705"/>
      <c r="BA48" s="705"/>
      <c r="BB48" s="705"/>
      <c r="BC48" s="705"/>
    </row>
    <row r="49" spans="1:55">
      <c r="A49" s="706"/>
      <c r="B49" s="706"/>
      <c r="C49" s="706"/>
      <c r="D49" s="706"/>
      <c r="E49" s="706"/>
      <c r="F49" s="706"/>
      <c r="G49" s="706"/>
      <c r="H49" s="706"/>
      <c r="I49" s="706"/>
      <c r="J49" s="706"/>
      <c r="K49" s="706"/>
      <c r="L49" s="706"/>
      <c r="M49" s="706"/>
      <c r="N49" s="705"/>
      <c r="O49" s="705"/>
      <c r="P49" s="705"/>
      <c r="Q49" s="705"/>
      <c r="R49" s="705"/>
      <c r="S49" s="705"/>
      <c r="T49" s="705"/>
      <c r="U49" s="705"/>
      <c r="V49" s="705"/>
      <c r="W49" s="705"/>
      <c r="X49" s="705"/>
      <c r="Y49" s="705"/>
      <c r="Z49" s="705"/>
      <c r="AA49" s="705"/>
      <c r="AB49" s="705"/>
      <c r="AC49" s="705"/>
      <c r="AD49" s="705"/>
      <c r="AE49" s="705"/>
      <c r="AF49" s="705"/>
      <c r="AG49" s="705"/>
      <c r="AH49" s="705"/>
      <c r="AI49" s="705"/>
      <c r="AJ49" s="705"/>
      <c r="AK49" s="705"/>
      <c r="AL49" s="705"/>
      <c r="AM49" s="705"/>
      <c r="AN49" s="705"/>
      <c r="AO49" s="705"/>
      <c r="AP49" s="705"/>
      <c r="AQ49" s="705"/>
      <c r="AR49" s="705"/>
      <c r="AS49" s="705"/>
      <c r="AT49" s="705"/>
      <c r="AU49" s="705"/>
      <c r="AV49" s="705"/>
      <c r="AW49" s="705"/>
      <c r="AX49" s="705"/>
      <c r="AY49" s="705"/>
      <c r="AZ49" s="705"/>
      <c r="BA49" s="705"/>
      <c r="BB49" s="705"/>
      <c r="BC49" s="705"/>
    </row>
    <row r="50" spans="1:55">
      <c r="A50" s="706"/>
      <c r="B50" s="706"/>
      <c r="C50" s="706"/>
      <c r="D50" s="706"/>
      <c r="E50" s="706"/>
      <c r="F50" s="706"/>
      <c r="G50" s="706"/>
      <c r="H50" s="706"/>
      <c r="I50" s="706"/>
      <c r="J50" s="706"/>
      <c r="K50" s="706"/>
      <c r="L50" s="706"/>
      <c r="M50" s="706"/>
      <c r="N50" s="705"/>
      <c r="O50" s="705"/>
      <c r="P50" s="705"/>
      <c r="Q50" s="705"/>
      <c r="R50" s="705"/>
      <c r="S50" s="705"/>
      <c r="T50" s="705"/>
      <c r="U50" s="705"/>
      <c r="V50" s="705"/>
      <c r="W50" s="705"/>
      <c r="X50" s="705"/>
      <c r="Y50" s="705"/>
      <c r="Z50" s="705"/>
      <c r="AA50" s="705"/>
      <c r="AB50" s="705"/>
      <c r="AC50" s="705"/>
      <c r="AD50" s="705"/>
      <c r="AE50" s="705"/>
      <c r="AF50" s="705"/>
      <c r="AG50" s="705"/>
      <c r="AH50" s="705"/>
      <c r="AI50" s="705"/>
      <c r="AJ50" s="705"/>
      <c r="AK50" s="705"/>
      <c r="AL50" s="705"/>
      <c r="AM50" s="705"/>
      <c r="AN50" s="705"/>
      <c r="AO50" s="705"/>
      <c r="AP50" s="705"/>
      <c r="AQ50" s="705"/>
      <c r="AR50" s="705"/>
      <c r="AS50" s="705"/>
      <c r="AT50" s="705"/>
      <c r="AU50" s="705"/>
      <c r="AV50" s="705"/>
      <c r="AW50" s="705"/>
      <c r="AX50" s="705"/>
      <c r="AY50" s="705"/>
      <c r="AZ50" s="705"/>
      <c r="BA50" s="705"/>
      <c r="BB50" s="705"/>
      <c r="BC50" s="705"/>
    </row>
    <row r="51" spans="1:55">
      <c r="A51" s="706"/>
      <c r="B51" s="706"/>
      <c r="C51" s="706"/>
      <c r="D51" s="706"/>
      <c r="E51" s="706"/>
      <c r="F51" s="706"/>
      <c r="G51" s="706"/>
      <c r="H51" s="706"/>
      <c r="I51" s="706"/>
      <c r="J51" s="706"/>
      <c r="K51" s="706"/>
      <c r="L51" s="706"/>
      <c r="M51" s="706"/>
      <c r="N51" s="705"/>
      <c r="O51" s="705"/>
      <c r="P51" s="705"/>
      <c r="Q51" s="705"/>
      <c r="R51" s="705"/>
      <c r="S51" s="705"/>
      <c r="T51" s="705"/>
      <c r="U51" s="705"/>
      <c r="V51" s="705"/>
      <c r="W51" s="705"/>
      <c r="X51" s="705"/>
      <c r="Y51" s="705"/>
      <c r="Z51" s="705"/>
      <c r="AA51" s="705"/>
      <c r="AB51" s="705"/>
      <c r="AC51" s="705"/>
      <c r="AD51" s="705"/>
      <c r="AE51" s="705"/>
      <c r="AF51" s="705"/>
      <c r="AG51" s="705"/>
      <c r="AH51" s="705"/>
      <c r="AI51" s="705"/>
      <c r="AJ51" s="705"/>
      <c r="AK51" s="705"/>
      <c r="AL51" s="705"/>
      <c r="AM51" s="705"/>
      <c r="AN51" s="705"/>
      <c r="AO51" s="705"/>
      <c r="AP51" s="705"/>
      <c r="AQ51" s="705"/>
      <c r="AR51" s="705"/>
      <c r="AS51" s="705"/>
      <c r="AT51" s="705"/>
      <c r="AU51" s="705"/>
      <c r="AV51" s="705"/>
      <c r="AW51" s="705"/>
      <c r="AX51" s="705"/>
      <c r="AY51" s="705"/>
      <c r="AZ51" s="705"/>
      <c r="BA51" s="705"/>
      <c r="BB51" s="705"/>
      <c r="BC51" s="705"/>
    </row>
    <row r="52" spans="1:55">
      <c r="A52" s="706"/>
      <c r="B52" s="706"/>
      <c r="C52" s="706"/>
      <c r="D52" s="706"/>
      <c r="E52" s="706"/>
      <c r="F52" s="706"/>
      <c r="G52" s="706"/>
      <c r="H52" s="706"/>
      <c r="I52" s="706"/>
      <c r="J52" s="706"/>
      <c r="K52" s="706"/>
      <c r="L52" s="706"/>
      <c r="M52" s="706"/>
      <c r="N52" s="705"/>
      <c r="O52" s="705"/>
      <c r="P52" s="705"/>
      <c r="Q52" s="705"/>
      <c r="R52" s="705"/>
      <c r="S52" s="705"/>
      <c r="T52" s="705"/>
      <c r="U52" s="705"/>
      <c r="V52" s="705"/>
      <c r="W52" s="705"/>
      <c r="X52" s="705"/>
      <c r="Y52" s="705"/>
      <c r="Z52" s="705"/>
      <c r="AA52" s="705"/>
      <c r="AB52" s="705"/>
      <c r="AC52" s="705"/>
      <c r="AD52" s="705"/>
      <c r="AE52" s="705"/>
      <c r="AF52" s="705"/>
      <c r="AG52" s="705"/>
      <c r="AH52" s="705"/>
      <c r="AI52" s="705"/>
      <c r="AJ52" s="705"/>
      <c r="AK52" s="705"/>
      <c r="AL52" s="705"/>
      <c r="AM52" s="705"/>
      <c r="AN52" s="705"/>
      <c r="AO52" s="705"/>
      <c r="AP52" s="705"/>
      <c r="AQ52" s="705"/>
      <c r="AR52" s="705"/>
      <c r="AS52" s="705"/>
      <c r="AT52" s="705"/>
      <c r="AU52" s="705"/>
      <c r="AV52" s="705"/>
      <c r="AW52" s="705"/>
      <c r="AX52" s="705"/>
      <c r="AY52" s="705"/>
      <c r="AZ52" s="705"/>
      <c r="BA52" s="705"/>
      <c r="BB52" s="705"/>
      <c r="BC52" s="705"/>
    </row>
    <row r="53" spans="1:55">
      <c r="A53" s="706"/>
      <c r="B53" s="706"/>
      <c r="C53" s="706"/>
      <c r="D53" s="706"/>
      <c r="E53" s="706"/>
      <c r="F53" s="706"/>
      <c r="G53" s="706"/>
      <c r="H53" s="706"/>
      <c r="I53" s="706"/>
      <c r="J53" s="706"/>
      <c r="K53" s="706"/>
      <c r="L53" s="706"/>
      <c r="M53" s="706"/>
      <c r="N53" s="705"/>
      <c r="O53" s="705"/>
      <c r="P53" s="705"/>
      <c r="Q53" s="705"/>
      <c r="R53" s="705"/>
      <c r="S53" s="705"/>
      <c r="T53" s="705"/>
      <c r="U53" s="705"/>
      <c r="V53" s="705"/>
      <c r="W53" s="705"/>
      <c r="X53" s="705"/>
      <c r="Y53" s="705"/>
      <c r="Z53" s="705"/>
      <c r="AA53" s="705"/>
      <c r="AB53" s="705"/>
      <c r="AC53" s="705"/>
      <c r="AD53" s="705"/>
      <c r="AE53" s="705"/>
      <c r="AF53" s="705"/>
      <c r="AG53" s="705"/>
      <c r="AH53" s="705"/>
      <c r="AI53" s="705"/>
      <c r="AJ53" s="705"/>
      <c r="AK53" s="705"/>
      <c r="AL53" s="705"/>
      <c r="AM53" s="705"/>
      <c r="AN53" s="705"/>
      <c r="AO53" s="705"/>
      <c r="AP53" s="705"/>
      <c r="AQ53" s="705"/>
      <c r="AR53" s="705"/>
      <c r="AS53" s="705"/>
      <c r="AT53" s="705"/>
      <c r="AU53" s="705"/>
      <c r="AV53" s="705"/>
      <c r="AW53" s="705"/>
      <c r="AX53" s="705"/>
      <c r="AY53" s="705"/>
      <c r="AZ53" s="705"/>
      <c r="BA53" s="705"/>
      <c r="BB53" s="705"/>
      <c r="BC53" s="705"/>
    </row>
    <row r="54" spans="1:55">
      <c r="A54" s="706"/>
      <c r="B54" s="706"/>
      <c r="C54" s="706"/>
      <c r="D54" s="706"/>
      <c r="E54" s="706"/>
      <c r="F54" s="706"/>
      <c r="G54" s="706"/>
      <c r="H54" s="706"/>
      <c r="I54" s="706"/>
      <c r="J54" s="706"/>
      <c r="K54" s="706"/>
      <c r="L54" s="706"/>
      <c r="M54" s="706"/>
      <c r="N54" s="705"/>
      <c r="O54" s="705"/>
      <c r="P54" s="705"/>
      <c r="Q54" s="705"/>
      <c r="R54" s="705"/>
      <c r="S54" s="705"/>
      <c r="T54" s="705"/>
      <c r="U54" s="705"/>
      <c r="V54" s="705"/>
      <c r="W54" s="705"/>
      <c r="X54" s="705"/>
      <c r="Y54" s="705"/>
      <c r="Z54" s="705"/>
      <c r="AA54" s="705"/>
      <c r="AB54" s="705"/>
      <c r="AC54" s="705"/>
      <c r="AD54" s="705"/>
      <c r="AE54" s="705"/>
      <c r="AF54" s="705"/>
      <c r="AG54" s="705"/>
      <c r="AH54" s="705"/>
      <c r="AI54" s="705"/>
      <c r="AJ54" s="705"/>
      <c r="AK54" s="705"/>
      <c r="AL54" s="705"/>
      <c r="AM54" s="705"/>
      <c r="AN54" s="705"/>
      <c r="AO54" s="705"/>
      <c r="AP54" s="705"/>
      <c r="AQ54" s="705"/>
      <c r="AR54" s="705"/>
      <c r="AS54" s="705"/>
      <c r="AT54" s="705"/>
      <c r="AU54" s="705"/>
      <c r="AV54" s="705"/>
      <c r="AW54" s="705"/>
      <c r="AX54" s="705"/>
      <c r="AY54" s="705"/>
      <c r="AZ54" s="705"/>
      <c r="BA54" s="705"/>
      <c r="BB54" s="705"/>
      <c r="BC54" s="705"/>
    </row>
    <row r="55" spans="1:55">
      <c r="A55" s="706"/>
      <c r="B55" s="706"/>
      <c r="C55" s="706"/>
      <c r="D55" s="706"/>
      <c r="E55" s="706"/>
      <c r="F55" s="706"/>
      <c r="G55" s="706"/>
      <c r="H55" s="706"/>
      <c r="I55" s="706"/>
      <c r="J55" s="706"/>
      <c r="K55" s="706"/>
      <c r="L55" s="706"/>
      <c r="M55" s="706"/>
      <c r="N55" s="705"/>
      <c r="O55" s="705"/>
      <c r="P55" s="705"/>
      <c r="Q55" s="705"/>
      <c r="R55" s="705"/>
      <c r="S55" s="705"/>
      <c r="T55" s="705"/>
      <c r="U55" s="705"/>
      <c r="V55" s="705"/>
      <c r="W55" s="705"/>
      <c r="X55" s="705"/>
      <c r="Y55" s="705"/>
      <c r="Z55" s="705"/>
      <c r="AA55" s="705"/>
      <c r="AB55" s="705"/>
      <c r="AC55" s="705"/>
      <c r="AD55" s="705"/>
      <c r="AE55" s="705"/>
      <c r="AF55" s="705"/>
      <c r="AG55" s="705"/>
      <c r="AH55" s="705"/>
      <c r="AI55" s="705"/>
      <c r="AJ55" s="705"/>
      <c r="AK55" s="705"/>
      <c r="AL55" s="705"/>
      <c r="AM55" s="705"/>
      <c r="AN55" s="705"/>
      <c r="AO55" s="705"/>
      <c r="AP55" s="705"/>
      <c r="AQ55" s="705"/>
      <c r="AR55" s="705"/>
      <c r="AS55" s="705"/>
      <c r="AT55" s="705"/>
      <c r="AU55" s="705"/>
      <c r="AV55" s="705"/>
      <c r="AW55" s="705"/>
      <c r="AX55" s="705"/>
      <c r="AY55" s="705"/>
      <c r="AZ55" s="705"/>
      <c r="BA55" s="705"/>
      <c r="BB55" s="705"/>
      <c r="BC55" s="705"/>
    </row>
    <row r="56" spans="1:55">
      <c r="A56" s="706"/>
      <c r="B56" s="706"/>
      <c r="C56" s="706"/>
      <c r="D56" s="706"/>
      <c r="E56" s="706"/>
      <c r="F56" s="706"/>
      <c r="G56" s="706"/>
      <c r="H56" s="706"/>
      <c r="I56" s="706"/>
      <c r="J56" s="706"/>
      <c r="K56" s="706"/>
      <c r="L56" s="706"/>
      <c r="M56" s="706"/>
      <c r="N56" s="705"/>
      <c r="O56" s="705"/>
      <c r="P56" s="705"/>
      <c r="Q56" s="705"/>
      <c r="R56" s="705"/>
      <c r="S56" s="705"/>
      <c r="T56" s="705"/>
      <c r="U56" s="705"/>
      <c r="V56" s="705"/>
      <c r="W56" s="705"/>
      <c r="X56" s="705"/>
      <c r="Y56" s="705"/>
      <c r="Z56" s="705"/>
      <c r="AA56" s="705"/>
      <c r="AB56" s="705"/>
      <c r="AC56" s="705"/>
      <c r="AD56" s="705"/>
      <c r="AE56" s="705"/>
      <c r="AF56" s="705"/>
      <c r="AG56" s="705"/>
      <c r="AH56" s="705"/>
      <c r="AI56" s="705"/>
      <c r="AJ56" s="705"/>
      <c r="AK56" s="705"/>
      <c r="AL56" s="705"/>
      <c r="AM56" s="705"/>
      <c r="AN56" s="705"/>
      <c r="AO56" s="705"/>
      <c r="AP56" s="705"/>
      <c r="AQ56" s="705"/>
      <c r="AR56" s="705"/>
      <c r="AS56" s="705"/>
      <c r="AT56" s="705"/>
      <c r="AU56" s="705"/>
      <c r="AV56" s="705"/>
      <c r="AW56" s="705"/>
      <c r="AX56" s="705"/>
      <c r="AY56" s="705"/>
      <c r="AZ56" s="705"/>
      <c r="BA56" s="705"/>
      <c r="BB56" s="705"/>
      <c r="BC56" s="705"/>
    </row>
    <row r="57" spans="1:55">
      <c r="A57" s="706"/>
      <c r="B57" s="706"/>
      <c r="C57" s="706"/>
      <c r="D57" s="706"/>
      <c r="E57" s="706"/>
      <c r="F57" s="706"/>
      <c r="G57" s="706"/>
      <c r="H57" s="706"/>
      <c r="I57" s="706"/>
      <c r="J57" s="706"/>
      <c r="K57" s="706"/>
      <c r="L57" s="706"/>
      <c r="M57" s="706"/>
      <c r="N57" s="705"/>
      <c r="O57" s="705"/>
      <c r="P57" s="705"/>
      <c r="Q57" s="705"/>
      <c r="R57" s="705"/>
      <c r="S57" s="705"/>
      <c r="T57" s="705"/>
      <c r="U57" s="705"/>
      <c r="V57" s="705"/>
      <c r="W57" s="705"/>
      <c r="X57" s="705"/>
      <c r="Y57" s="705"/>
      <c r="Z57" s="705"/>
      <c r="AA57" s="705"/>
      <c r="AB57" s="705"/>
      <c r="AC57" s="705"/>
      <c r="AD57" s="705"/>
      <c r="AE57" s="705"/>
      <c r="AF57" s="705"/>
      <c r="AG57" s="705"/>
      <c r="AH57" s="705"/>
      <c r="AI57" s="705"/>
      <c r="AJ57" s="705"/>
      <c r="AK57" s="705"/>
      <c r="AL57" s="705"/>
      <c r="AM57" s="705"/>
      <c r="AN57" s="705"/>
      <c r="AO57" s="705"/>
      <c r="AP57" s="705"/>
      <c r="AQ57" s="705"/>
      <c r="AR57" s="705"/>
      <c r="AS57" s="705"/>
      <c r="AT57" s="705"/>
      <c r="AU57" s="705"/>
      <c r="AV57" s="705"/>
      <c r="AW57" s="705"/>
      <c r="AX57" s="705"/>
      <c r="AY57" s="705"/>
      <c r="AZ57" s="705"/>
      <c r="BA57" s="705"/>
      <c r="BB57" s="705"/>
      <c r="BC57" s="705"/>
    </row>
    <row r="58" spans="1:55">
      <c r="A58" s="706"/>
      <c r="B58" s="706"/>
      <c r="C58" s="706"/>
      <c r="D58" s="706"/>
      <c r="E58" s="706"/>
      <c r="F58" s="706"/>
      <c r="G58" s="706"/>
      <c r="H58" s="706"/>
      <c r="I58" s="706"/>
      <c r="J58" s="706"/>
      <c r="K58" s="706"/>
      <c r="L58" s="706"/>
      <c r="M58" s="706"/>
      <c r="N58" s="705"/>
      <c r="O58" s="705"/>
      <c r="P58" s="705"/>
      <c r="Q58" s="705"/>
      <c r="R58" s="705"/>
      <c r="S58" s="705"/>
      <c r="T58" s="705"/>
      <c r="U58" s="705"/>
      <c r="V58" s="705"/>
      <c r="W58" s="705"/>
      <c r="X58" s="705"/>
      <c r="Y58" s="705"/>
      <c r="Z58" s="705"/>
      <c r="AA58" s="705"/>
      <c r="AB58" s="705"/>
      <c r="AC58" s="705"/>
      <c r="AD58" s="705"/>
      <c r="AE58" s="705"/>
      <c r="AF58" s="705"/>
      <c r="AG58" s="705"/>
      <c r="AH58" s="705"/>
      <c r="AI58" s="705"/>
      <c r="AJ58" s="705"/>
      <c r="AK58" s="705"/>
      <c r="AL58" s="705"/>
      <c r="AM58" s="705"/>
      <c r="AN58" s="705"/>
      <c r="AO58" s="705"/>
      <c r="AP58" s="705"/>
      <c r="AQ58" s="705"/>
      <c r="AR58" s="705"/>
      <c r="AS58" s="705"/>
      <c r="AT58" s="705"/>
      <c r="AU58" s="705"/>
      <c r="AV58" s="705"/>
      <c r="AW58" s="705"/>
      <c r="AX58" s="705"/>
      <c r="AY58" s="705"/>
      <c r="AZ58" s="705"/>
      <c r="BA58" s="705"/>
      <c r="BB58" s="705"/>
      <c r="BC58" s="705"/>
    </row>
    <row r="59" spans="1:55">
      <c r="A59" s="706"/>
      <c r="B59" s="706"/>
      <c r="C59" s="706"/>
      <c r="D59" s="706"/>
      <c r="E59" s="706"/>
      <c r="F59" s="706"/>
      <c r="G59" s="706"/>
      <c r="H59" s="706"/>
      <c r="I59" s="706"/>
      <c r="J59" s="706"/>
      <c r="K59" s="706"/>
      <c r="L59" s="706"/>
      <c r="M59" s="706"/>
      <c r="N59" s="705"/>
      <c r="O59" s="705"/>
      <c r="P59" s="705"/>
      <c r="Q59" s="705"/>
      <c r="R59" s="705"/>
      <c r="S59" s="705"/>
      <c r="T59" s="705"/>
      <c r="U59" s="705"/>
      <c r="V59" s="705"/>
      <c r="W59" s="705"/>
      <c r="X59" s="705"/>
      <c r="Y59" s="705"/>
      <c r="Z59" s="705"/>
      <c r="AA59" s="705"/>
      <c r="AB59" s="705"/>
      <c r="AC59" s="705"/>
      <c r="AD59" s="705"/>
      <c r="AE59" s="705"/>
      <c r="AF59" s="705"/>
      <c r="AG59" s="705"/>
      <c r="AH59" s="705"/>
      <c r="AI59" s="705"/>
      <c r="AJ59" s="705"/>
      <c r="AK59" s="705"/>
      <c r="AL59" s="705"/>
      <c r="AM59" s="705"/>
      <c r="AN59" s="705"/>
      <c r="AO59" s="705"/>
      <c r="AP59" s="705"/>
      <c r="AQ59" s="705"/>
      <c r="AR59" s="705"/>
      <c r="AS59" s="705"/>
      <c r="AT59" s="705"/>
      <c r="AU59" s="705"/>
      <c r="AV59" s="705"/>
      <c r="AW59" s="705"/>
      <c r="AX59" s="705"/>
      <c r="AY59" s="705"/>
      <c r="AZ59" s="705"/>
      <c r="BA59" s="705"/>
      <c r="BB59" s="705"/>
      <c r="BC59" s="705"/>
    </row>
    <row r="60" spans="1:55">
      <c r="A60" s="706"/>
      <c r="B60" s="706"/>
      <c r="C60" s="706"/>
      <c r="D60" s="706"/>
      <c r="E60" s="706"/>
      <c r="F60" s="706"/>
      <c r="G60" s="706"/>
      <c r="H60" s="706"/>
      <c r="I60" s="706"/>
      <c r="J60" s="706"/>
      <c r="K60" s="706"/>
      <c r="L60" s="706"/>
      <c r="M60" s="706"/>
      <c r="N60" s="705"/>
      <c r="O60" s="705"/>
      <c r="P60" s="705"/>
      <c r="Q60" s="705"/>
      <c r="R60" s="705"/>
      <c r="S60" s="705"/>
      <c r="T60" s="705"/>
      <c r="U60" s="705"/>
      <c r="V60" s="705"/>
      <c r="W60" s="705"/>
      <c r="X60" s="705"/>
      <c r="Y60" s="705"/>
      <c r="Z60" s="705"/>
      <c r="AA60" s="705"/>
      <c r="AB60" s="705"/>
      <c r="AC60" s="705"/>
      <c r="AD60" s="705"/>
      <c r="AE60" s="705"/>
      <c r="AF60" s="705"/>
      <c r="AG60" s="705"/>
      <c r="AH60" s="705"/>
      <c r="AI60" s="705"/>
      <c r="AJ60" s="705"/>
      <c r="AK60" s="705"/>
      <c r="AL60" s="705"/>
      <c r="AM60" s="705"/>
      <c r="AN60" s="705"/>
      <c r="AO60" s="705"/>
      <c r="AP60" s="705"/>
      <c r="AQ60" s="705"/>
      <c r="AR60" s="705"/>
      <c r="AS60" s="705"/>
      <c r="AT60" s="705"/>
      <c r="AU60" s="705"/>
      <c r="AV60" s="705"/>
      <c r="AW60" s="705"/>
      <c r="AX60" s="705"/>
      <c r="AY60" s="705"/>
      <c r="AZ60" s="705"/>
      <c r="BA60" s="705"/>
      <c r="BB60" s="705"/>
      <c r="BC60" s="705"/>
    </row>
    <row r="61" spans="1:55">
      <c r="A61" s="706"/>
      <c r="B61" s="706"/>
      <c r="C61" s="706"/>
      <c r="D61" s="706"/>
      <c r="E61" s="706"/>
      <c r="F61" s="706"/>
      <c r="G61" s="706"/>
      <c r="H61" s="706"/>
      <c r="I61" s="706"/>
      <c r="J61" s="706"/>
      <c r="K61" s="706"/>
      <c r="L61" s="706"/>
      <c r="M61" s="706"/>
      <c r="N61" s="705"/>
      <c r="O61" s="705"/>
      <c r="P61" s="705"/>
      <c r="Q61" s="705"/>
      <c r="R61" s="705"/>
      <c r="S61" s="705"/>
      <c r="T61" s="705"/>
      <c r="U61" s="705"/>
      <c r="V61" s="705"/>
      <c r="W61" s="705"/>
      <c r="X61" s="705"/>
      <c r="Y61" s="705"/>
      <c r="Z61" s="705"/>
      <c r="AA61" s="705"/>
      <c r="AB61" s="705"/>
      <c r="AC61" s="705"/>
      <c r="AD61" s="705"/>
      <c r="AE61" s="705"/>
      <c r="AF61" s="705"/>
      <c r="AG61" s="705"/>
      <c r="AH61" s="705"/>
      <c r="AI61" s="705"/>
      <c r="AJ61" s="705"/>
      <c r="AK61" s="705"/>
      <c r="AL61" s="705"/>
      <c r="AM61" s="705"/>
      <c r="AN61" s="705"/>
      <c r="AO61" s="705"/>
      <c r="AP61" s="705"/>
      <c r="AQ61" s="705"/>
      <c r="AR61" s="705"/>
      <c r="AS61" s="705"/>
      <c r="AT61" s="705"/>
      <c r="AU61" s="705"/>
      <c r="AV61" s="705"/>
      <c r="AW61" s="705"/>
      <c r="AX61" s="705"/>
      <c r="AY61" s="705"/>
      <c r="AZ61" s="705"/>
      <c r="BA61" s="705"/>
      <c r="BB61" s="705"/>
      <c r="BC61" s="705"/>
    </row>
    <row r="62" spans="1:55">
      <c r="A62" s="706"/>
      <c r="B62" s="706"/>
      <c r="C62" s="706"/>
      <c r="D62" s="706"/>
      <c r="E62" s="706"/>
      <c r="F62" s="706"/>
      <c r="G62" s="706"/>
      <c r="H62" s="706"/>
      <c r="I62" s="706"/>
      <c r="J62" s="706"/>
      <c r="K62" s="706"/>
      <c r="L62" s="706"/>
      <c r="M62" s="706"/>
      <c r="N62" s="705"/>
      <c r="O62" s="705"/>
      <c r="P62" s="705"/>
      <c r="Q62" s="705"/>
      <c r="R62" s="705"/>
      <c r="S62" s="705"/>
      <c r="T62" s="705"/>
      <c r="U62" s="705"/>
      <c r="V62" s="705"/>
      <c r="W62" s="705"/>
      <c r="X62" s="705"/>
      <c r="Y62" s="705"/>
      <c r="Z62" s="705"/>
      <c r="AA62" s="705"/>
      <c r="AB62" s="705"/>
      <c r="AC62" s="705"/>
      <c r="AD62" s="705"/>
      <c r="AE62" s="705"/>
      <c r="AF62" s="705"/>
      <c r="AG62" s="705"/>
      <c r="AH62" s="705"/>
      <c r="AI62" s="705"/>
      <c r="AJ62" s="705"/>
      <c r="AK62" s="705"/>
      <c r="AL62" s="705"/>
      <c r="AM62" s="705"/>
      <c r="AN62" s="705"/>
      <c r="AO62" s="705"/>
      <c r="AP62" s="705"/>
      <c r="AQ62" s="705"/>
      <c r="AR62" s="705"/>
      <c r="AS62" s="705"/>
      <c r="AT62" s="705"/>
      <c r="AU62" s="705"/>
      <c r="AV62" s="705"/>
      <c r="AW62" s="705"/>
      <c r="AX62" s="705"/>
      <c r="AY62" s="705"/>
      <c r="AZ62" s="705"/>
      <c r="BA62" s="705"/>
      <c r="BB62" s="705"/>
      <c r="BC62" s="705"/>
    </row>
    <row r="63" spans="1:55">
      <c r="A63" s="706"/>
      <c r="B63" s="706"/>
      <c r="C63" s="706"/>
      <c r="D63" s="706"/>
      <c r="E63" s="706"/>
      <c r="F63" s="706"/>
      <c r="G63" s="706"/>
      <c r="H63" s="706"/>
      <c r="I63" s="706"/>
      <c r="J63" s="706"/>
      <c r="K63" s="706"/>
      <c r="L63" s="706"/>
      <c r="M63" s="706"/>
      <c r="N63" s="705"/>
      <c r="O63" s="705"/>
      <c r="P63" s="705"/>
      <c r="Q63" s="705"/>
      <c r="R63" s="705"/>
      <c r="S63" s="705"/>
      <c r="T63" s="705"/>
      <c r="U63" s="705"/>
      <c r="V63" s="705"/>
      <c r="W63" s="705"/>
      <c r="X63" s="705"/>
      <c r="Y63" s="705"/>
      <c r="Z63" s="705"/>
      <c r="AA63" s="705"/>
      <c r="AB63" s="705"/>
      <c r="AC63" s="705"/>
      <c r="AD63" s="705"/>
      <c r="AE63" s="705"/>
      <c r="AF63" s="705"/>
      <c r="AG63" s="705"/>
      <c r="AH63" s="705"/>
      <c r="AI63" s="705"/>
      <c r="AJ63" s="705"/>
      <c r="AK63" s="705"/>
      <c r="AL63" s="705"/>
      <c r="AM63" s="705"/>
      <c r="AN63" s="705"/>
      <c r="AO63" s="705"/>
      <c r="AP63" s="705"/>
      <c r="AQ63" s="705"/>
      <c r="AR63" s="705"/>
      <c r="AS63" s="705"/>
      <c r="AT63" s="705"/>
      <c r="AU63" s="705"/>
      <c r="AV63" s="705"/>
      <c r="AW63" s="705"/>
      <c r="AX63" s="705"/>
      <c r="AY63" s="705"/>
      <c r="AZ63" s="705"/>
      <c r="BA63" s="705"/>
      <c r="BB63" s="705"/>
      <c r="BC63" s="705"/>
    </row>
    <row r="64" spans="1:55">
      <c r="A64" s="706"/>
      <c r="B64" s="706"/>
      <c r="C64" s="706"/>
      <c r="D64" s="706"/>
      <c r="E64" s="706"/>
      <c r="F64" s="706"/>
      <c r="G64" s="706"/>
      <c r="H64" s="706"/>
      <c r="I64" s="706"/>
      <c r="J64" s="706"/>
      <c r="K64" s="706"/>
      <c r="L64" s="706"/>
      <c r="M64" s="706"/>
      <c r="N64" s="705"/>
      <c r="O64" s="705"/>
      <c r="P64" s="705"/>
      <c r="Q64" s="705"/>
      <c r="R64" s="705"/>
      <c r="S64" s="705"/>
      <c r="T64" s="705"/>
      <c r="U64" s="705"/>
      <c r="V64" s="705"/>
      <c r="W64" s="705"/>
      <c r="X64" s="705"/>
      <c r="Y64" s="705"/>
      <c r="Z64" s="705"/>
      <c r="AA64" s="705"/>
      <c r="AB64" s="705"/>
      <c r="AC64" s="705"/>
      <c r="AD64" s="705"/>
      <c r="AE64" s="705"/>
      <c r="AF64" s="705"/>
      <c r="AG64" s="705"/>
      <c r="AH64" s="705"/>
      <c r="AI64" s="705"/>
      <c r="AJ64" s="705"/>
      <c r="AK64" s="705"/>
      <c r="AL64" s="705"/>
      <c r="AM64" s="705"/>
      <c r="AN64" s="705"/>
      <c r="AO64" s="705"/>
      <c r="AP64" s="705"/>
      <c r="AQ64" s="705"/>
      <c r="AR64" s="705"/>
      <c r="AS64" s="705"/>
      <c r="AT64" s="705"/>
      <c r="AU64" s="705"/>
      <c r="AV64" s="705"/>
      <c r="AW64" s="705"/>
      <c r="AX64" s="705"/>
      <c r="AY64" s="705"/>
      <c r="AZ64" s="705"/>
      <c r="BA64" s="705"/>
      <c r="BB64" s="705"/>
      <c r="BC64" s="705"/>
    </row>
    <row r="65" spans="1:55">
      <c r="A65" s="706"/>
      <c r="B65" s="706"/>
      <c r="C65" s="706"/>
      <c r="D65" s="706"/>
      <c r="E65" s="706"/>
      <c r="F65" s="706"/>
      <c r="G65" s="706"/>
      <c r="H65" s="706"/>
      <c r="I65" s="706"/>
      <c r="J65" s="706"/>
      <c r="K65" s="706"/>
      <c r="L65" s="706"/>
      <c r="M65" s="706"/>
      <c r="N65" s="705"/>
      <c r="O65" s="705"/>
      <c r="P65" s="705"/>
      <c r="Q65" s="705"/>
      <c r="R65" s="705"/>
      <c r="S65" s="705"/>
      <c r="T65" s="705"/>
      <c r="U65" s="705"/>
      <c r="V65" s="705"/>
      <c r="W65" s="705"/>
      <c r="X65" s="705"/>
      <c r="Y65" s="705"/>
      <c r="Z65" s="705"/>
      <c r="AA65" s="705"/>
      <c r="AB65" s="705"/>
      <c r="AC65" s="705"/>
      <c r="AD65" s="705"/>
      <c r="AE65" s="705"/>
      <c r="AF65" s="705"/>
      <c r="AG65" s="705"/>
      <c r="AH65" s="705"/>
      <c r="AI65" s="705"/>
      <c r="AJ65" s="705"/>
      <c r="AK65" s="705"/>
      <c r="AL65" s="705"/>
      <c r="AM65" s="705"/>
      <c r="AN65" s="705"/>
      <c r="AO65" s="705"/>
      <c r="AP65" s="705"/>
      <c r="AQ65" s="705"/>
      <c r="AR65" s="705"/>
      <c r="AS65" s="705"/>
      <c r="AT65" s="705"/>
      <c r="AU65" s="705"/>
      <c r="AV65" s="705"/>
      <c r="AW65" s="705"/>
      <c r="AX65" s="705"/>
      <c r="AY65" s="705"/>
      <c r="AZ65" s="705"/>
      <c r="BA65" s="705"/>
      <c r="BB65" s="705"/>
      <c r="BC65" s="705"/>
    </row>
    <row r="66" spans="1:55">
      <c r="A66" s="706"/>
      <c r="B66" s="706"/>
      <c r="C66" s="706"/>
      <c r="D66" s="706"/>
      <c r="E66" s="706"/>
      <c r="F66" s="706"/>
      <c r="G66" s="706"/>
      <c r="H66" s="706"/>
      <c r="I66" s="706"/>
      <c r="J66" s="706"/>
      <c r="K66" s="706"/>
      <c r="L66" s="706"/>
      <c r="M66" s="706"/>
      <c r="N66" s="705"/>
      <c r="O66" s="705"/>
      <c r="P66" s="705"/>
      <c r="Q66" s="705"/>
      <c r="R66" s="705"/>
      <c r="S66" s="705"/>
      <c r="T66" s="705"/>
      <c r="U66" s="705"/>
      <c r="V66" s="705"/>
      <c r="W66" s="705"/>
      <c r="X66" s="705"/>
      <c r="Y66" s="705"/>
      <c r="Z66" s="705"/>
      <c r="AA66" s="705"/>
      <c r="AB66" s="705"/>
      <c r="AC66" s="705"/>
      <c r="AD66" s="705"/>
      <c r="AE66" s="705"/>
      <c r="AF66" s="705"/>
      <c r="AG66" s="705"/>
      <c r="AH66" s="705"/>
      <c r="AI66" s="705"/>
      <c r="AJ66" s="705"/>
      <c r="AK66" s="705"/>
      <c r="AL66" s="705"/>
      <c r="AM66" s="705"/>
      <c r="AN66" s="705"/>
      <c r="AO66" s="705"/>
      <c r="AP66" s="705"/>
      <c r="AQ66" s="705"/>
      <c r="AR66" s="705"/>
      <c r="AS66" s="705"/>
      <c r="AT66" s="705"/>
      <c r="AU66" s="705"/>
      <c r="AV66" s="705"/>
      <c r="AW66" s="705"/>
      <c r="AX66" s="705"/>
      <c r="AY66" s="705"/>
      <c r="AZ66" s="705"/>
      <c r="BA66" s="705"/>
      <c r="BB66" s="705"/>
      <c r="BC66" s="705"/>
    </row>
    <row r="67" spans="1:55">
      <c r="A67" s="706"/>
      <c r="B67" s="706"/>
      <c r="C67" s="706"/>
      <c r="D67" s="706"/>
      <c r="E67" s="706"/>
      <c r="F67" s="706"/>
      <c r="G67" s="706"/>
      <c r="H67" s="706"/>
      <c r="I67" s="706"/>
      <c r="J67" s="706"/>
      <c r="K67" s="706"/>
      <c r="L67" s="706"/>
      <c r="M67" s="706"/>
      <c r="N67" s="705"/>
      <c r="O67" s="705"/>
      <c r="P67" s="705"/>
      <c r="Q67" s="705"/>
      <c r="R67" s="705"/>
      <c r="S67" s="705"/>
      <c r="T67" s="705"/>
      <c r="U67" s="705"/>
      <c r="V67" s="705"/>
      <c r="W67" s="705"/>
      <c r="X67" s="705"/>
      <c r="Y67" s="705"/>
      <c r="Z67" s="705"/>
      <c r="AA67" s="705"/>
      <c r="AB67" s="705"/>
      <c r="AC67" s="705"/>
      <c r="AD67" s="705"/>
      <c r="AE67" s="705"/>
      <c r="AF67" s="705"/>
      <c r="AG67" s="705"/>
      <c r="AH67" s="705"/>
      <c r="AI67" s="705"/>
      <c r="AJ67" s="705"/>
      <c r="AK67" s="705"/>
      <c r="AL67" s="705"/>
      <c r="AM67" s="705"/>
      <c r="AN67" s="705"/>
      <c r="AO67" s="705"/>
      <c r="AP67" s="705"/>
      <c r="AQ67" s="705"/>
      <c r="AR67" s="705"/>
      <c r="AS67" s="705"/>
      <c r="AT67" s="705"/>
      <c r="AU67" s="705"/>
      <c r="AV67" s="705"/>
      <c r="AW67" s="705"/>
      <c r="AX67" s="705"/>
      <c r="AY67" s="705"/>
      <c r="AZ67" s="705"/>
      <c r="BA67" s="705"/>
      <c r="BB67" s="705"/>
      <c r="BC67" s="705"/>
    </row>
    <row r="68" spans="1:55">
      <c r="A68" s="706"/>
      <c r="B68" s="706"/>
      <c r="C68" s="706"/>
      <c r="D68" s="706"/>
      <c r="E68" s="706"/>
      <c r="F68" s="706"/>
      <c r="G68" s="706"/>
      <c r="H68" s="706"/>
      <c r="I68" s="706"/>
      <c r="J68" s="706"/>
      <c r="K68" s="706"/>
      <c r="L68" s="706"/>
      <c r="M68" s="706"/>
      <c r="N68" s="705"/>
      <c r="O68" s="705"/>
      <c r="P68" s="705"/>
      <c r="Q68" s="705"/>
      <c r="R68" s="705"/>
      <c r="S68" s="705"/>
      <c r="T68" s="705"/>
      <c r="U68" s="705"/>
      <c r="V68" s="705"/>
      <c r="W68" s="705"/>
      <c r="X68" s="705"/>
      <c r="Y68" s="705"/>
      <c r="Z68" s="705"/>
      <c r="AA68" s="705"/>
      <c r="AB68" s="705"/>
      <c r="AC68" s="705"/>
      <c r="AD68" s="705"/>
      <c r="AE68" s="705"/>
      <c r="AF68" s="705"/>
      <c r="AG68" s="705"/>
      <c r="AH68" s="705"/>
      <c r="AI68" s="705"/>
      <c r="AJ68" s="705"/>
      <c r="AK68" s="705"/>
      <c r="AL68" s="705"/>
      <c r="AM68" s="705"/>
      <c r="AN68" s="705"/>
      <c r="AO68" s="705"/>
      <c r="AP68" s="705"/>
      <c r="AQ68" s="705"/>
      <c r="AR68" s="705"/>
      <c r="AS68" s="705"/>
      <c r="AT68" s="705"/>
      <c r="AU68" s="705"/>
      <c r="AV68" s="705"/>
      <c r="AW68" s="705"/>
      <c r="AX68" s="705"/>
      <c r="AY68" s="705"/>
      <c r="AZ68" s="705"/>
      <c r="BA68" s="705"/>
      <c r="BB68" s="705"/>
      <c r="BC68" s="705"/>
    </row>
    <row r="69" spans="1:55">
      <c r="A69" s="706"/>
      <c r="B69" s="706"/>
      <c r="C69" s="706"/>
      <c r="D69" s="706"/>
      <c r="E69" s="706"/>
      <c r="F69" s="706"/>
      <c r="G69" s="706"/>
      <c r="H69" s="706"/>
      <c r="I69" s="706"/>
      <c r="J69" s="706"/>
      <c r="K69" s="706"/>
      <c r="L69" s="706"/>
      <c r="M69" s="706"/>
      <c r="N69" s="705"/>
      <c r="O69" s="705"/>
      <c r="P69" s="705"/>
      <c r="Q69" s="705"/>
      <c r="R69" s="705"/>
      <c r="S69" s="705"/>
      <c r="T69" s="705"/>
      <c r="U69" s="705"/>
      <c r="V69" s="705"/>
      <c r="W69" s="705"/>
      <c r="X69" s="705"/>
      <c r="Y69" s="705"/>
      <c r="Z69" s="705"/>
      <c r="AA69" s="705"/>
      <c r="AB69" s="705"/>
      <c r="AC69" s="705"/>
      <c r="AD69" s="705"/>
      <c r="AE69" s="705"/>
      <c r="AF69" s="705"/>
      <c r="AG69" s="705"/>
      <c r="AH69" s="705"/>
      <c r="AI69" s="705"/>
      <c r="AJ69" s="705"/>
      <c r="AK69" s="705"/>
      <c r="AL69" s="705"/>
      <c r="AM69" s="705"/>
      <c r="AN69" s="705"/>
      <c r="AO69" s="705"/>
      <c r="AP69" s="705"/>
      <c r="AQ69" s="705"/>
      <c r="AR69" s="705"/>
      <c r="AS69" s="705"/>
      <c r="AT69" s="705"/>
      <c r="AU69" s="705"/>
      <c r="AV69" s="705"/>
      <c r="AW69" s="705"/>
      <c r="AX69" s="705"/>
      <c r="AY69" s="705"/>
      <c r="AZ69" s="705"/>
      <c r="BA69" s="705"/>
      <c r="BB69" s="705"/>
      <c r="BC69" s="705"/>
    </row>
    <row r="70" spans="1:55">
      <c r="A70" s="706"/>
      <c r="B70" s="706"/>
      <c r="C70" s="706"/>
      <c r="D70" s="706"/>
      <c r="E70" s="706"/>
      <c r="F70" s="706"/>
      <c r="G70" s="706"/>
      <c r="H70" s="706"/>
      <c r="I70" s="706"/>
      <c r="J70" s="706"/>
      <c r="K70" s="706"/>
      <c r="L70" s="706"/>
      <c r="M70" s="706"/>
      <c r="N70" s="705"/>
      <c r="O70" s="705"/>
      <c r="P70" s="705"/>
      <c r="Q70" s="705"/>
      <c r="R70" s="705"/>
      <c r="S70" s="705"/>
      <c r="T70" s="705"/>
      <c r="U70" s="705"/>
      <c r="V70" s="705"/>
      <c r="W70" s="705"/>
      <c r="X70" s="705"/>
      <c r="Y70" s="705"/>
      <c r="Z70" s="705"/>
      <c r="AA70" s="705"/>
      <c r="AB70" s="705"/>
      <c r="AC70" s="705"/>
      <c r="AD70" s="705"/>
      <c r="AE70" s="705"/>
      <c r="AF70" s="705"/>
      <c r="AG70" s="705"/>
      <c r="AH70" s="705"/>
      <c r="AI70" s="705"/>
      <c r="AJ70" s="705"/>
      <c r="AK70" s="705"/>
      <c r="AL70" s="705"/>
      <c r="AM70" s="705"/>
      <c r="AN70" s="705"/>
      <c r="AO70" s="705"/>
      <c r="AP70" s="705"/>
      <c r="AQ70" s="705"/>
      <c r="AR70" s="705"/>
      <c r="AS70" s="705"/>
      <c r="AT70" s="705"/>
      <c r="AU70" s="705"/>
      <c r="AV70" s="705"/>
      <c r="AW70" s="705"/>
      <c r="AX70" s="705"/>
      <c r="AY70" s="705"/>
      <c r="AZ70" s="705"/>
      <c r="BA70" s="705"/>
      <c r="BB70" s="705"/>
      <c r="BC70" s="705"/>
    </row>
    <row r="71" spans="1:55">
      <c r="A71" s="706"/>
      <c r="B71" s="706"/>
      <c r="C71" s="706"/>
      <c r="D71" s="706"/>
      <c r="E71" s="706"/>
      <c r="F71" s="706"/>
      <c r="G71" s="706"/>
      <c r="H71" s="706"/>
      <c r="I71" s="706"/>
      <c r="J71" s="706"/>
      <c r="K71" s="706"/>
      <c r="L71" s="706"/>
      <c r="M71" s="706"/>
      <c r="N71" s="705"/>
      <c r="O71" s="705"/>
      <c r="P71" s="705"/>
      <c r="Q71" s="705"/>
      <c r="R71" s="705"/>
      <c r="S71" s="705"/>
      <c r="T71" s="705"/>
      <c r="U71" s="705"/>
      <c r="V71" s="705"/>
      <c r="W71" s="705"/>
      <c r="X71" s="705"/>
      <c r="Y71" s="705"/>
      <c r="Z71" s="705"/>
      <c r="AA71" s="705"/>
      <c r="AB71" s="705"/>
      <c r="AC71" s="705"/>
      <c r="AD71" s="705"/>
      <c r="AE71" s="705"/>
      <c r="AF71" s="705"/>
      <c r="AG71" s="705"/>
      <c r="AH71" s="705"/>
      <c r="AI71" s="705"/>
      <c r="AJ71" s="705"/>
      <c r="AK71" s="705"/>
      <c r="AL71" s="705"/>
      <c r="AM71" s="705"/>
      <c r="AN71" s="705"/>
      <c r="AO71" s="705"/>
      <c r="AP71" s="705"/>
      <c r="AQ71" s="705"/>
      <c r="AR71" s="705"/>
      <c r="AS71" s="705"/>
      <c r="AT71" s="705"/>
      <c r="AU71" s="705"/>
      <c r="AV71" s="705"/>
      <c r="AW71" s="705"/>
      <c r="AX71" s="705"/>
      <c r="AY71" s="705"/>
      <c r="AZ71" s="705"/>
      <c r="BA71" s="705"/>
      <c r="BB71" s="705"/>
      <c r="BC71" s="705"/>
    </row>
    <row r="72" spans="1:55">
      <c r="A72" s="706"/>
      <c r="B72" s="706"/>
      <c r="C72" s="706"/>
      <c r="D72" s="706"/>
      <c r="E72" s="706"/>
      <c r="F72" s="706"/>
      <c r="G72" s="706"/>
      <c r="H72" s="706"/>
      <c r="I72" s="706"/>
      <c r="J72" s="706"/>
      <c r="K72" s="706"/>
      <c r="L72" s="706"/>
      <c r="M72" s="706"/>
      <c r="N72" s="705"/>
      <c r="O72" s="705"/>
      <c r="P72" s="705"/>
      <c r="Q72" s="705"/>
      <c r="R72" s="705"/>
      <c r="S72" s="705"/>
      <c r="T72" s="705"/>
      <c r="U72" s="705"/>
      <c r="V72" s="705"/>
      <c r="W72" s="705"/>
      <c r="X72" s="705"/>
      <c r="Y72" s="705"/>
      <c r="Z72" s="705"/>
      <c r="AA72" s="705"/>
      <c r="AB72" s="705"/>
      <c r="AC72" s="705"/>
      <c r="AD72" s="705"/>
      <c r="AE72" s="705"/>
      <c r="AF72" s="705"/>
      <c r="AG72" s="705"/>
      <c r="AH72" s="705"/>
      <c r="AI72" s="705"/>
      <c r="AJ72" s="705"/>
      <c r="AK72" s="705"/>
      <c r="AL72" s="705"/>
      <c r="AM72" s="705"/>
      <c r="AN72" s="705"/>
      <c r="AO72" s="705"/>
      <c r="AP72" s="705"/>
      <c r="AQ72" s="705"/>
      <c r="AR72" s="705"/>
      <c r="AS72" s="705"/>
      <c r="AT72" s="705"/>
      <c r="AU72" s="705"/>
      <c r="AV72" s="705"/>
      <c r="AW72" s="705"/>
      <c r="AX72" s="705"/>
      <c r="AY72" s="705"/>
      <c r="AZ72" s="705"/>
      <c r="BA72" s="705"/>
      <c r="BB72" s="705"/>
      <c r="BC72" s="705"/>
    </row>
    <row r="73" spans="1:55">
      <c r="A73" s="706"/>
      <c r="B73" s="706"/>
      <c r="C73" s="706"/>
      <c r="D73" s="706"/>
      <c r="E73" s="706"/>
      <c r="F73" s="706"/>
      <c r="G73" s="706"/>
      <c r="H73" s="706"/>
      <c r="I73" s="706"/>
      <c r="J73" s="706"/>
      <c r="K73" s="706"/>
      <c r="L73" s="706"/>
      <c r="M73" s="706"/>
      <c r="N73" s="705"/>
      <c r="O73" s="705"/>
      <c r="P73" s="705"/>
      <c r="Q73" s="705"/>
      <c r="R73" s="705"/>
      <c r="S73" s="705"/>
      <c r="T73" s="705"/>
      <c r="U73" s="705"/>
      <c r="V73" s="705"/>
      <c r="W73" s="705"/>
      <c r="X73" s="705"/>
      <c r="Y73" s="705"/>
      <c r="Z73" s="705"/>
      <c r="AA73" s="705"/>
      <c r="AB73" s="705"/>
      <c r="AC73" s="705"/>
      <c r="AD73" s="705"/>
      <c r="AE73" s="705"/>
      <c r="AF73" s="705"/>
      <c r="AG73" s="705"/>
      <c r="AH73" s="705"/>
      <c r="AI73" s="705"/>
      <c r="AJ73" s="705"/>
      <c r="AK73" s="705"/>
      <c r="AL73" s="705"/>
      <c r="AM73" s="705"/>
      <c r="AN73" s="705"/>
      <c r="AO73" s="705"/>
      <c r="AP73" s="705"/>
      <c r="AQ73" s="705"/>
      <c r="AR73" s="705"/>
      <c r="AS73" s="705"/>
      <c r="AT73" s="705"/>
      <c r="AU73" s="705"/>
      <c r="AV73" s="705"/>
      <c r="AW73" s="705"/>
      <c r="AX73" s="705"/>
      <c r="AY73" s="705"/>
      <c r="AZ73" s="705"/>
      <c r="BA73" s="705"/>
      <c r="BB73" s="705"/>
      <c r="BC73" s="705"/>
    </row>
    <row r="74" spans="1:55">
      <c r="A74" s="706"/>
      <c r="B74" s="706"/>
      <c r="C74" s="706"/>
      <c r="D74" s="706"/>
      <c r="E74" s="706"/>
      <c r="F74" s="706"/>
      <c r="G74" s="706"/>
      <c r="H74" s="706"/>
      <c r="I74" s="706"/>
      <c r="J74" s="706"/>
      <c r="K74" s="706"/>
      <c r="L74" s="706"/>
      <c r="M74" s="706"/>
      <c r="N74" s="705"/>
      <c r="O74" s="705"/>
      <c r="P74" s="705"/>
      <c r="Q74" s="705"/>
      <c r="R74" s="705"/>
      <c r="S74" s="705"/>
      <c r="T74" s="705"/>
      <c r="U74" s="705"/>
      <c r="V74" s="705"/>
      <c r="W74" s="705"/>
      <c r="X74" s="705"/>
      <c r="Y74" s="705"/>
      <c r="Z74" s="705"/>
      <c r="AA74" s="705"/>
      <c r="AB74" s="705"/>
      <c r="AC74" s="705"/>
      <c r="AD74" s="705"/>
      <c r="AE74" s="705"/>
      <c r="AF74" s="705"/>
      <c r="AG74" s="705"/>
      <c r="AH74" s="705"/>
      <c r="AI74" s="705"/>
      <c r="AJ74" s="705"/>
      <c r="AK74" s="705"/>
      <c r="AL74" s="705"/>
      <c r="AM74" s="705"/>
      <c r="AN74" s="705"/>
      <c r="AO74" s="705"/>
      <c r="AP74" s="705"/>
      <c r="AQ74" s="705"/>
      <c r="AR74" s="705"/>
      <c r="AS74" s="705"/>
      <c r="AT74" s="705"/>
      <c r="AU74" s="705"/>
      <c r="AV74" s="705"/>
      <c r="AW74" s="705"/>
      <c r="AX74" s="705"/>
      <c r="AY74" s="705"/>
      <c r="AZ74" s="705"/>
      <c r="BA74" s="705"/>
      <c r="BB74" s="705"/>
      <c r="BC74" s="705"/>
    </row>
    <row r="75" spans="1:55">
      <c r="A75" s="706"/>
      <c r="B75" s="706"/>
      <c r="C75" s="706"/>
      <c r="D75" s="706"/>
      <c r="E75" s="706"/>
      <c r="F75" s="706"/>
      <c r="G75" s="706"/>
      <c r="H75" s="706"/>
      <c r="I75" s="706"/>
      <c r="J75" s="706"/>
      <c r="K75" s="706"/>
      <c r="L75" s="706"/>
      <c r="M75" s="706"/>
      <c r="N75" s="705"/>
      <c r="O75" s="705"/>
      <c r="P75" s="705"/>
      <c r="Q75" s="705"/>
      <c r="R75" s="705"/>
      <c r="S75" s="705"/>
      <c r="T75" s="705"/>
      <c r="U75" s="705"/>
      <c r="V75" s="705"/>
      <c r="W75" s="705"/>
      <c r="X75" s="705"/>
      <c r="Y75" s="705"/>
      <c r="Z75" s="705"/>
      <c r="AA75" s="705"/>
      <c r="AB75" s="705"/>
      <c r="AC75" s="705"/>
      <c r="AD75" s="705"/>
      <c r="AE75" s="705"/>
      <c r="AF75" s="705"/>
      <c r="AG75" s="705"/>
      <c r="AH75" s="705"/>
      <c r="AI75" s="705"/>
      <c r="AJ75" s="705"/>
      <c r="AK75" s="705"/>
      <c r="AL75" s="705"/>
      <c r="AM75" s="705"/>
      <c r="AN75" s="705"/>
      <c r="AO75" s="705"/>
      <c r="AP75" s="705"/>
      <c r="AQ75" s="705"/>
      <c r="AR75" s="705"/>
      <c r="AS75" s="705"/>
      <c r="AT75" s="705"/>
      <c r="AU75" s="705"/>
      <c r="AV75" s="705"/>
      <c r="AW75" s="705"/>
      <c r="AX75" s="705"/>
      <c r="AY75" s="705"/>
      <c r="AZ75" s="705"/>
      <c r="BA75" s="705"/>
      <c r="BB75" s="705"/>
      <c r="BC75" s="705"/>
    </row>
    <row r="76" spans="1:55">
      <c r="A76" s="706"/>
      <c r="B76" s="706"/>
      <c r="C76" s="706"/>
      <c r="D76" s="706"/>
      <c r="E76" s="706"/>
      <c r="F76" s="706"/>
      <c r="G76" s="706"/>
      <c r="H76" s="706"/>
      <c r="I76" s="706"/>
      <c r="J76" s="706"/>
      <c r="K76" s="706"/>
      <c r="L76" s="706"/>
      <c r="M76" s="706"/>
      <c r="N76" s="705"/>
      <c r="O76" s="705"/>
      <c r="P76" s="705"/>
      <c r="Q76" s="705"/>
      <c r="R76" s="705"/>
      <c r="S76" s="705"/>
      <c r="T76" s="705"/>
      <c r="U76" s="705"/>
      <c r="V76" s="705"/>
      <c r="W76" s="705"/>
      <c r="X76" s="705"/>
      <c r="Y76" s="705"/>
      <c r="Z76" s="705"/>
      <c r="AA76" s="705"/>
      <c r="AB76" s="705"/>
      <c r="AC76" s="705"/>
      <c r="AD76" s="705"/>
      <c r="AE76" s="705"/>
      <c r="AF76" s="705"/>
      <c r="AG76" s="705"/>
      <c r="AH76" s="705"/>
      <c r="AI76" s="705"/>
      <c r="AJ76" s="705"/>
      <c r="AK76" s="705"/>
      <c r="AL76" s="705"/>
      <c r="AM76" s="705"/>
      <c r="AN76" s="705"/>
      <c r="AO76" s="705"/>
      <c r="AP76" s="705"/>
      <c r="AQ76" s="705"/>
      <c r="AR76" s="705"/>
      <c r="AS76" s="705"/>
      <c r="AT76" s="705"/>
      <c r="AU76" s="705"/>
      <c r="AV76" s="705"/>
      <c r="AW76" s="705"/>
      <c r="AX76" s="705"/>
      <c r="AY76" s="705"/>
      <c r="AZ76" s="705"/>
      <c r="BA76" s="705"/>
      <c r="BB76" s="705"/>
      <c r="BC76" s="705"/>
    </row>
    <row r="77" spans="1:55">
      <c r="A77" s="706"/>
      <c r="B77" s="706"/>
      <c r="C77" s="706"/>
      <c r="D77" s="706"/>
      <c r="E77" s="706"/>
      <c r="F77" s="706"/>
      <c r="G77" s="706"/>
      <c r="H77" s="706"/>
      <c r="I77" s="706"/>
      <c r="J77" s="706"/>
      <c r="K77" s="706"/>
      <c r="L77" s="706"/>
      <c r="M77" s="706"/>
      <c r="N77" s="705"/>
      <c r="O77" s="705"/>
      <c r="P77" s="705"/>
      <c r="Q77" s="705"/>
      <c r="R77" s="705"/>
      <c r="S77" s="705"/>
      <c r="T77" s="705"/>
      <c r="U77" s="705"/>
      <c r="V77" s="705"/>
      <c r="W77" s="705"/>
      <c r="X77" s="705"/>
      <c r="Y77" s="705"/>
      <c r="Z77" s="705"/>
      <c r="AA77" s="705"/>
      <c r="AB77" s="705"/>
      <c r="AC77" s="705"/>
      <c r="AD77" s="705"/>
      <c r="AE77" s="705"/>
      <c r="AF77" s="705"/>
      <c r="AG77" s="705"/>
      <c r="AH77" s="705"/>
      <c r="AI77" s="705"/>
      <c r="AJ77" s="705"/>
      <c r="AK77" s="705"/>
      <c r="AL77" s="705"/>
      <c r="AM77" s="705"/>
      <c r="AN77" s="705"/>
      <c r="AO77" s="705"/>
      <c r="AP77" s="705"/>
      <c r="AQ77" s="705"/>
      <c r="AR77" s="705"/>
      <c r="AS77" s="705"/>
      <c r="AT77" s="705"/>
      <c r="AU77" s="705"/>
      <c r="AV77" s="705"/>
      <c r="AW77" s="705"/>
      <c r="AX77" s="705"/>
      <c r="AY77" s="705"/>
      <c r="AZ77" s="705"/>
      <c r="BA77" s="705"/>
      <c r="BB77" s="705"/>
      <c r="BC77" s="705"/>
    </row>
    <row r="78" spans="1:55">
      <c r="A78" s="706"/>
      <c r="B78" s="706"/>
      <c r="C78" s="706"/>
      <c r="D78" s="706"/>
      <c r="E78" s="706"/>
      <c r="F78" s="706"/>
      <c r="G78" s="706"/>
      <c r="H78" s="706"/>
      <c r="I78" s="706"/>
      <c r="J78" s="706"/>
      <c r="K78" s="706"/>
      <c r="L78" s="706"/>
      <c r="M78" s="706"/>
      <c r="N78" s="705"/>
      <c r="O78" s="705"/>
      <c r="P78" s="705"/>
      <c r="Q78" s="705"/>
      <c r="R78" s="705"/>
      <c r="S78" s="705"/>
      <c r="T78" s="705"/>
      <c r="U78" s="705"/>
      <c r="V78" s="705"/>
      <c r="W78" s="705"/>
      <c r="X78" s="705"/>
      <c r="Y78" s="705"/>
      <c r="Z78" s="705"/>
      <c r="AA78" s="705"/>
      <c r="AB78" s="705"/>
      <c r="AC78" s="705"/>
      <c r="AD78" s="705"/>
      <c r="AE78" s="705"/>
      <c r="AF78" s="705"/>
      <c r="AG78" s="705"/>
      <c r="AH78" s="705"/>
      <c r="AI78" s="705"/>
      <c r="AJ78" s="705"/>
      <c r="AK78" s="705"/>
      <c r="AL78" s="705"/>
      <c r="AM78" s="705"/>
      <c r="AN78" s="705"/>
      <c r="AO78" s="705"/>
      <c r="AP78" s="705"/>
      <c r="AQ78" s="705"/>
      <c r="AR78" s="705"/>
      <c r="AS78" s="705"/>
      <c r="AT78" s="705"/>
      <c r="AU78" s="705"/>
      <c r="AV78" s="705"/>
      <c r="AW78" s="705"/>
      <c r="AX78" s="705"/>
      <c r="AY78" s="705"/>
      <c r="AZ78" s="705"/>
      <c r="BA78" s="705"/>
      <c r="BB78" s="705"/>
      <c r="BC78" s="705"/>
    </row>
    <row r="79" spans="1:55">
      <c r="A79" s="706"/>
      <c r="B79" s="706"/>
      <c r="C79" s="706"/>
      <c r="D79" s="706"/>
      <c r="E79" s="706"/>
      <c r="F79" s="706"/>
      <c r="G79" s="706"/>
      <c r="H79" s="706"/>
      <c r="I79" s="706"/>
      <c r="J79" s="706"/>
      <c r="K79" s="706"/>
      <c r="L79" s="706"/>
      <c r="M79" s="706"/>
      <c r="N79" s="705"/>
      <c r="O79" s="705"/>
      <c r="P79" s="705"/>
      <c r="Q79" s="705"/>
      <c r="R79" s="705"/>
      <c r="S79" s="705"/>
      <c r="T79" s="705"/>
      <c r="U79" s="705"/>
      <c r="V79" s="705"/>
      <c r="W79" s="705"/>
      <c r="X79" s="705"/>
      <c r="Y79" s="705"/>
      <c r="Z79" s="705"/>
      <c r="AA79" s="705"/>
      <c r="AB79" s="705"/>
      <c r="AC79" s="705"/>
      <c r="AD79" s="705"/>
      <c r="AE79" s="705"/>
      <c r="AF79" s="705"/>
      <c r="AG79" s="705"/>
      <c r="AH79" s="705"/>
      <c r="AI79" s="705"/>
      <c r="AJ79" s="705"/>
      <c r="AK79" s="705"/>
      <c r="AL79" s="705"/>
      <c r="AM79" s="705"/>
      <c r="AN79" s="705"/>
      <c r="AO79" s="705"/>
      <c r="AP79" s="705"/>
      <c r="AQ79" s="705"/>
      <c r="AR79" s="705"/>
      <c r="AS79" s="705"/>
      <c r="AT79" s="705"/>
      <c r="AU79" s="705"/>
      <c r="AV79" s="705"/>
      <c r="AW79" s="705"/>
      <c r="AX79" s="705"/>
      <c r="AY79" s="705"/>
      <c r="AZ79" s="705"/>
      <c r="BA79" s="705"/>
      <c r="BB79" s="705"/>
      <c r="BC79" s="705"/>
    </row>
    <row r="80" spans="1:55">
      <c r="A80" s="706"/>
      <c r="B80" s="706"/>
      <c r="C80" s="706"/>
      <c r="D80" s="706"/>
      <c r="E80" s="706"/>
      <c r="F80" s="706"/>
      <c r="G80" s="706"/>
      <c r="H80" s="706"/>
      <c r="I80" s="706"/>
      <c r="J80" s="706"/>
      <c r="K80" s="706"/>
      <c r="L80" s="706"/>
      <c r="M80" s="706"/>
      <c r="N80" s="705"/>
      <c r="O80" s="705"/>
      <c r="P80" s="705"/>
      <c r="Q80" s="705"/>
      <c r="R80" s="705"/>
      <c r="S80" s="705"/>
      <c r="T80" s="705"/>
      <c r="U80" s="705"/>
      <c r="V80" s="705"/>
      <c r="W80" s="705"/>
      <c r="X80" s="705"/>
      <c r="Y80" s="705"/>
      <c r="Z80" s="705"/>
      <c r="AA80" s="705"/>
      <c r="AB80" s="705"/>
      <c r="AC80" s="705"/>
      <c r="AD80" s="705"/>
      <c r="AE80" s="705"/>
      <c r="AF80" s="705"/>
      <c r="AG80" s="705"/>
      <c r="AH80" s="705"/>
      <c r="AI80" s="705"/>
      <c r="AJ80" s="705"/>
      <c r="AK80" s="705"/>
      <c r="AL80" s="705"/>
      <c r="AM80" s="705"/>
      <c r="AN80" s="705"/>
      <c r="AO80" s="705"/>
      <c r="AP80" s="705"/>
      <c r="AQ80" s="705"/>
      <c r="AR80" s="705"/>
      <c r="AS80" s="705"/>
      <c r="AT80" s="705"/>
      <c r="AU80" s="705"/>
      <c r="AV80" s="705"/>
      <c r="AW80" s="705"/>
      <c r="AX80" s="705"/>
      <c r="AY80" s="705"/>
      <c r="AZ80" s="705"/>
      <c r="BA80" s="705"/>
      <c r="BB80" s="705"/>
      <c r="BC80" s="705"/>
    </row>
    <row r="81" spans="1:55">
      <c r="A81" s="706"/>
      <c r="B81" s="706"/>
      <c r="C81" s="706"/>
      <c r="D81" s="706"/>
      <c r="E81" s="706"/>
      <c r="F81" s="706"/>
      <c r="G81" s="706"/>
      <c r="H81" s="706"/>
      <c r="I81" s="706"/>
      <c r="J81" s="706"/>
      <c r="K81" s="706"/>
      <c r="L81" s="706"/>
      <c r="M81" s="706"/>
      <c r="N81" s="705"/>
      <c r="O81" s="705"/>
      <c r="P81" s="705"/>
      <c r="Q81" s="705"/>
      <c r="R81" s="705"/>
      <c r="S81" s="705"/>
      <c r="T81" s="705"/>
      <c r="U81" s="705"/>
      <c r="V81" s="705"/>
      <c r="W81" s="705"/>
      <c r="X81" s="705"/>
      <c r="Y81" s="705"/>
      <c r="Z81" s="705"/>
      <c r="AA81" s="705"/>
      <c r="AB81" s="705"/>
      <c r="AC81" s="705"/>
      <c r="AD81" s="705"/>
      <c r="AE81" s="705"/>
      <c r="AF81" s="705"/>
      <c r="AG81" s="705"/>
      <c r="AH81" s="705"/>
      <c r="AI81" s="705"/>
      <c r="AJ81" s="705"/>
      <c r="AK81" s="705"/>
      <c r="AL81" s="705"/>
      <c r="AM81" s="705"/>
      <c r="AN81" s="705"/>
      <c r="AO81" s="705"/>
      <c r="AP81" s="705"/>
      <c r="AQ81" s="705"/>
      <c r="AR81" s="705"/>
      <c r="AS81" s="705"/>
      <c r="AT81" s="705"/>
      <c r="AU81" s="705"/>
      <c r="AV81" s="705"/>
      <c r="AW81" s="705"/>
      <c r="AX81" s="705"/>
      <c r="AY81" s="705"/>
      <c r="AZ81" s="705"/>
      <c r="BA81" s="705"/>
      <c r="BB81" s="705"/>
      <c r="BC81" s="705"/>
    </row>
    <row r="82" spans="1:55">
      <c r="A82" s="706"/>
      <c r="B82" s="706"/>
      <c r="C82" s="706"/>
      <c r="D82" s="706"/>
      <c r="E82" s="706"/>
      <c r="F82" s="706"/>
      <c r="G82" s="706"/>
      <c r="H82" s="706"/>
      <c r="I82" s="706"/>
      <c r="J82" s="706"/>
      <c r="K82" s="706"/>
      <c r="L82" s="706"/>
      <c r="M82" s="706"/>
      <c r="N82" s="705"/>
      <c r="O82" s="705"/>
      <c r="P82" s="705"/>
      <c r="Q82" s="705"/>
      <c r="R82" s="705"/>
      <c r="S82" s="705"/>
      <c r="T82" s="705"/>
      <c r="U82" s="705"/>
      <c r="V82" s="705"/>
      <c r="W82" s="705"/>
      <c r="X82" s="705"/>
      <c r="Y82" s="705"/>
      <c r="Z82" s="705"/>
      <c r="AA82" s="705"/>
      <c r="AB82" s="705"/>
      <c r="AC82" s="705"/>
      <c r="AD82" s="705"/>
      <c r="AE82" s="705"/>
      <c r="AF82" s="705"/>
      <c r="AG82" s="705"/>
      <c r="AH82" s="705"/>
      <c r="AI82" s="705"/>
      <c r="AJ82" s="705"/>
      <c r="AK82" s="705"/>
      <c r="AL82" s="705"/>
      <c r="AM82" s="705"/>
      <c r="AN82" s="705"/>
      <c r="AO82" s="705"/>
      <c r="AP82" s="705"/>
      <c r="AQ82" s="705"/>
      <c r="AR82" s="705"/>
      <c r="AS82" s="705"/>
      <c r="AT82" s="705"/>
      <c r="AU82" s="705"/>
      <c r="AV82" s="705"/>
      <c r="AW82" s="705"/>
      <c r="AX82" s="705"/>
      <c r="AY82" s="705"/>
      <c r="AZ82" s="705"/>
      <c r="BA82" s="705"/>
      <c r="BB82" s="705"/>
      <c r="BC82" s="705"/>
    </row>
    <row r="83" spans="1:55">
      <c r="A83" s="706"/>
      <c r="B83" s="706"/>
      <c r="C83" s="706"/>
      <c r="D83" s="706"/>
      <c r="E83" s="706"/>
      <c r="F83" s="706"/>
      <c r="G83" s="706"/>
      <c r="H83" s="706"/>
      <c r="I83" s="706"/>
      <c r="J83" s="706"/>
      <c r="K83" s="706"/>
      <c r="L83" s="706"/>
      <c r="M83" s="706"/>
      <c r="N83" s="705"/>
      <c r="O83" s="705"/>
      <c r="P83" s="705"/>
      <c r="Q83" s="705"/>
      <c r="R83" s="705"/>
      <c r="S83" s="705"/>
      <c r="T83" s="705"/>
      <c r="U83" s="705"/>
      <c r="V83" s="705"/>
      <c r="W83" s="705"/>
      <c r="X83" s="705"/>
      <c r="Y83" s="705"/>
      <c r="Z83" s="705"/>
      <c r="AA83" s="705"/>
      <c r="AB83" s="705"/>
      <c r="AC83" s="705"/>
      <c r="AD83" s="705"/>
      <c r="AE83" s="705"/>
      <c r="AF83" s="705"/>
      <c r="AG83" s="705"/>
      <c r="AH83" s="705"/>
      <c r="AI83" s="705"/>
      <c r="AJ83" s="705"/>
      <c r="AK83" s="705"/>
      <c r="AL83" s="705"/>
      <c r="AM83" s="705"/>
      <c r="AN83" s="705"/>
      <c r="AO83" s="705"/>
      <c r="AP83" s="705"/>
      <c r="AQ83" s="705"/>
      <c r="AR83" s="705"/>
      <c r="AS83" s="705"/>
      <c r="AT83" s="705"/>
      <c r="AU83" s="705"/>
      <c r="AV83" s="705"/>
      <c r="AW83" s="705"/>
      <c r="AX83" s="705"/>
      <c r="AY83" s="705"/>
      <c r="AZ83" s="705"/>
      <c r="BA83" s="705"/>
      <c r="BB83" s="705"/>
      <c r="BC83" s="705"/>
    </row>
    <row r="84" spans="1:55">
      <c r="A84" s="706"/>
      <c r="B84" s="706"/>
      <c r="C84" s="706"/>
      <c r="D84" s="706"/>
      <c r="E84" s="706"/>
      <c r="F84" s="706"/>
      <c r="G84" s="706"/>
      <c r="H84" s="706"/>
      <c r="I84" s="706"/>
      <c r="J84" s="706"/>
      <c r="K84" s="706"/>
      <c r="L84" s="706"/>
      <c r="M84" s="706"/>
      <c r="N84" s="705"/>
      <c r="O84" s="705"/>
      <c r="P84" s="705"/>
      <c r="Q84" s="705"/>
      <c r="R84" s="705"/>
      <c r="S84" s="705"/>
      <c r="T84" s="705"/>
      <c r="U84" s="705"/>
      <c r="V84" s="705"/>
      <c r="W84" s="705"/>
      <c r="X84" s="705"/>
      <c r="Y84" s="705"/>
      <c r="Z84" s="705"/>
      <c r="AA84" s="705"/>
      <c r="AB84" s="705"/>
      <c r="AC84" s="705"/>
      <c r="AD84" s="705"/>
      <c r="AE84" s="705"/>
      <c r="AF84" s="705"/>
      <c r="AG84" s="705"/>
      <c r="AH84" s="705"/>
      <c r="AI84" s="705"/>
      <c r="AJ84" s="705"/>
      <c r="AK84" s="705"/>
      <c r="AL84" s="705"/>
      <c r="AM84" s="705"/>
      <c r="AN84" s="705"/>
      <c r="AO84" s="705"/>
      <c r="AP84" s="705"/>
      <c r="AQ84" s="705"/>
      <c r="AR84" s="705"/>
      <c r="AS84" s="705"/>
      <c r="AT84" s="705"/>
      <c r="AU84" s="705"/>
      <c r="AV84" s="705"/>
      <c r="AW84" s="705"/>
      <c r="AX84" s="705"/>
      <c r="AY84" s="705"/>
      <c r="AZ84" s="705"/>
      <c r="BA84" s="705"/>
      <c r="BB84" s="705"/>
      <c r="BC84" s="705"/>
    </row>
    <row r="85" spans="1:55">
      <c r="A85" s="706"/>
      <c r="B85" s="706"/>
      <c r="C85" s="706"/>
      <c r="D85" s="706"/>
      <c r="E85" s="706"/>
      <c r="F85" s="706"/>
      <c r="G85" s="706"/>
      <c r="H85" s="706"/>
      <c r="I85" s="706"/>
      <c r="J85" s="706"/>
      <c r="K85" s="706"/>
      <c r="L85" s="706"/>
      <c r="M85" s="706"/>
      <c r="N85" s="705"/>
      <c r="O85" s="705"/>
      <c r="P85" s="705"/>
      <c r="Q85" s="705"/>
      <c r="R85" s="705"/>
      <c r="S85" s="705"/>
      <c r="T85" s="705"/>
      <c r="U85" s="705"/>
      <c r="V85" s="705"/>
      <c r="W85" s="705"/>
      <c r="X85" s="705"/>
      <c r="Y85" s="705"/>
      <c r="Z85" s="705"/>
      <c r="AA85" s="705"/>
      <c r="AB85" s="705"/>
      <c r="AC85" s="705"/>
      <c r="AD85" s="705"/>
      <c r="AE85" s="705"/>
      <c r="AF85" s="705"/>
      <c r="AG85" s="705"/>
      <c r="AH85" s="705"/>
      <c r="AI85" s="705"/>
      <c r="AJ85" s="705"/>
      <c r="AK85" s="705"/>
      <c r="AL85" s="705"/>
      <c r="AM85" s="705"/>
      <c r="AN85" s="705"/>
      <c r="AO85" s="705"/>
      <c r="AP85" s="705"/>
      <c r="AQ85" s="705"/>
      <c r="AR85" s="705"/>
      <c r="AS85" s="705"/>
      <c r="AT85" s="705"/>
      <c r="AU85" s="705"/>
      <c r="AV85" s="705"/>
      <c r="AW85" s="705"/>
      <c r="AX85" s="705"/>
      <c r="AY85" s="705"/>
      <c r="AZ85" s="705"/>
      <c r="BA85" s="705"/>
      <c r="BB85" s="705"/>
      <c r="BC85" s="705"/>
    </row>
    <row r="86" spans="1:55">
      <c r="A86" s="706"/>
      <c r="B86" s="706"/>
      <c r="C86" s="706"/>
      <c r="D86" s="706"/>
      <c r="E86" s="706"/>
      <c r="F86" s="706"/>
      <c r="G86" s="706"/>
      <c r="H86" s="706"/>
      <c r="I86" s="706"/>
      <c r="J86" s="706"/>
      <c r="K86" s="706"/>
      <c r="L86" s="706"/>
      <c r="M86" s="706"/>
      <c r="N86" s="705"/>
      <c r="O86" s="705"/>
      <c r="P86" s="705"/>
      <c r="Q86" s="705"/>
      <c r="R86" s="705"/>
      <c r="S86" s="705"/>
      <c r="T86" s="705"/>
      <c r="U86" s="705"/>
      <c r="V86" s="705"/>
      <c r="W86" s="705"/>
      <c r="X86" s="705"/>
      <c r="Y86" s="705"/>
      <c r="Z86" s="705"/>
      <c r="AA86" s="705"/>
      <c r="AB86" s="705"/>
      <c r="AC86" s="705"/>
      <c r="AD86" s="705"/>
      <c r="AE86" s="705"/>
      <c r="AF86" s="705"/>
      <c r="AG86" s="705"/>
      <c r="AH86" s="705"/>
      <c r="AI86" s="705"/>
      <c r="AJ86" s="705"/>
      <c r="AK86" s="705"/>
      <c r="AL86" s="705"/>
      <c r="AM86" s="705"/>
      <c r="AN86" s="705"/>
      <c r="AO86" s="705"/>
      <c r="AP86" s="705"/>
      <c r="AQ86" s="705"/>
      <c r="AR86" s="705"/>
      <c r="AS86" s="705"/>
      <c r="AT86" s="705"/>
      <c r="AU86" s="705"/>
      <c r="AV86" s="705"/>
      <c r="AW86" s="705"/>
      <c r="AX86" s="705"/>
      <c r="AY86" s="705"/>
      <c r="AZ86" s="705"/>
      <c r="BA86" s="705"/>
      <c r="BB86" s="705"/>
      <c r="BC86" s="705"/>
    </row>
    <row r="87" spans="1:55">
      <c r="A87" s="706"/>
      <c r="B87" s="706"/>
      <c r="C87" s="706"/>
      <c r="D87" s="706"/>
      <c r="E87" s="706"/>
      <c r="F87" s="706"/>
      <c r="G87" s="706"/>
      <c r="H87" s="706"/>
      <c r="I87" s="706"/>
      <c r="J87" s="706"/>
      <c r="K87" s="706"/>
      <c r="L87" s="706"/>
      <c r="M87" s="706"/>
      <c r="N87" s="705"/>
      <c r="O87" s="705"/>
      <c r="P87" s="705"/>
      <c r="Q87" s="705"/>
      <c r="R87" s="705"/>
      <c r="S87" s="705"/>
      <c r="T87" s="705"/>
      <c r="U87" s="705"/>
      <c r="V87" s="705"/>
      <c r="W87" s="705"/>
      <c r="X87" s="705"/>
      <c r="Y87" s="705"/>
      <c r="Z87" s="705"/>
      <c r="AA87" s="705"/>
      <c r="AB87" s="705"/>
      <c r="AC87" s="705"/>
      <c r="AD87" s="705"/>
      <c r="AE87" s="705"/>
      <c r="AF87" s="705"/>
      <c r="AG87" s="705"/>
      <c r="AH87" s="705"/>
      <c r="AI87" s="705"/>
      <c r="AJ87" s="705"/>
      <c r="AK87" s="705"/>
      <c r="AL87" s="705"/>
      <c r="AM87" s="705"/>
      <c r="AN87" s="705"/>
      <c r="AO87" s="705"/>
      <c r="AP87" s="705"/>
      <c r="AQ87" s="705"/>
      <c r="AR87" s="705"/>
      <c r="AS87" s="705"/>
      <c r="AT87" s="705"/>
      <c r="AU87" s="705"/>
      <c r="AV87" s="705"/>
      <c r="AW87" s="705"/>
      <c r="AX87" s="705"/>
      <c r="AY87" s="705"/>
      <c r="AZ87" s="705"/>
      <c r="BA87" s="705"/>
      <c r="BB87" s="705"/>
      <c r="BC87" s="705"/>
    </row>
    <row r="88" spans="1:55">
      <c r="A88" s="706"/>
      <c r="B88" s="706"/>
      <c r="C88" s="706"/>
      <c r="D88" s="706"/>
      <c r="E88" s="706"/>
      <c r="F88" s="706"/>
      <c r="G88" s="706"/>
      <c r="H88" s="706"/>
      <c r="I88" s="706"/>
      <c r="J88" s="706"/>
      <c r="K88" s="706"/>
      <c r="L88" s="706"/>
      <c r="M88" s="706"/>
      <c r="N88" s="705"/>
      <c r="O88" s="705"/>
      <c r="P88" s="705"/>
      <c r="Q88" s="705"/>
      <c r="R88" s="705"/>
      <c r="S88" s="705"/>
      <c r="T88" s="705"/>
      <c r="U88" s="705"/>
      <c r="V88" s="705"/>
      <c r="W88" s="705"/>
      <c r="X88" s="705"/>
      <c r="Y88" s="705"/>
      <c r="Z88" s="705"/>
      <c r="AA88" s="705"/>
      <c r="AB88" s="705"/>
      <c r="AC88" s="705"/>
      <c r="AD88" s="705"/>
      <c r="AE88" s="705"/>
      <c r="AF88" s="705"/>
      <c r="AG88" s="705"/>
      <c r="AH88" s="705"/>
      <c r="AI88" s="705"/>
      <c r="AJ88" s="705"/>
      <c r="AK88" s="705"/>
      <c r="AL88" s="705"/>
      <c r="AM88" s="705"/>
      <c r="AN88" s="705"/>
      <c r="AO88" s="705"/>
      <c r="AP88" s="705"/>
      <c r="AQ88" s="705"/>
      <c r="AR88" s="705"/>
      <c r="AS88" s="705"/>
      <c r="AT88" s="705"/>
      <c r="AU88" s="705"/>
      <c r="AV88" s="705"/>
      <c r="AW88" s="705"/>
      <c r="AX88" s="705"/>
      <c r="AY88" s="705"/>
      <c r="AZ88" s="705"/>
      <c r="BA88" s="705"/>
      <c r="BB88" s="705"/>
      <c r="BC88" s="705"/>
    </row>
    <row r="89" spans="1:55">
      <c r="A89" s="706"/>
      <c r="B89" s="706"/>
      <c r="C89" s="706"/>
      <c r="D89" s="706"/>
      <c r="E89" s="706"/>
      <c r="F89" s="706"/>
      <c r="G89" s="706"/>
      <c r="H89" s="706"/>
      <c r="I89" s="706"/>
      <c r="J89" s="706"/>
      <c r="K89" s="706"/>
      <c r="L89" s="706"/>
      <c r="M89" s="706"/>
      <c r="N89" s="705"/>
      <c r="O89" s="705"/>
      <c r="P89" s="705"/>
      <c r="Q89" s="705"/>
      <c r="R89" s="705"/>
      <c r="S89" s="705"/>
      <c r="T89" s="705"/>
      <c r="U89" s="705"/>
      <c r="V89" s="705"/>
      <c r="W89" s="705"/>
      <c r="X89" s="705"/>
      <c r="Y89" s="705"/>
      <c r="Z89" s="705"/>
      <c r="AA89" s="705"/>
      <c r="AB89" s="705"/>
      <c r="AC89" s="705"/>
      <c r="AD89" s="705"/>
      <c r="AE89" s="705"/>
      <c r="AF89" s="705"/>
      <c r="AG89" s="705"/>
      <c r="AH89" s="705"/>
      <c r="AI89" s="705"/>
      <c r="AJ89" s="705"/>
      <c r="AK89" s="705"/>
      <c r="AL89" s="705"/>
      <c r="AM89" s="705"/>
      <c r="AN89" s="705"/>
      <c r="AO89" s="705"/>
      <c r="AP89" s="705"/>
      <c r="AQ89" s="705"/>
      <c r="AR89" s="705"/>
      <c r="AS89" s="705"/>
      <c r="AT89" s="705"/>
      <c r="AU89" s="705"/>
      <c r="AV89" s="705"/>
      <c r="AW89" s="705"/>
      <c r="AX89" s="705"/>
      <c r="AY89" s="705"/>
      <c r="AZ89" s="705"/>
      <c r="BA89" s="705"/>
      <c r="BB89" s="705"/>
      <c r="BC89" s="705"/>
    </row>
    <row r="90" spans="1:55">
      <c r="A90" s="706"/>
      <c r="B90" s="706"/>
      <c r="C90" s="706"/>
      <c r="D90" s="706"/>
      <c r="E90" s="706"/>
      <c r="F90" s="706"/>
      <c r="G90" s="706"/>
      <c r="H90" s="706"/>
      <c r="I90" s="706"/>
      <c r="J90" s="706"/>
      <c r="K90" s="706"/>
      <c r="L90" s="706"/>
      <c r="M90" s="706"/>
      <c r="N90" s="705"/>
      <c r="O90" s="705"/>
      <c r="P90" s="705"/>
      <c r="Q90" s="705"/>
      <c r="R90" s="705"/>
      <c r="S90" s="705"/>
      <c r="T90" s="705"/>
      <c r="U90" s="705"/>
      <c r="V90" s="705"/>
      <c r="W90" s="705"/>
      <c r="X90" s="705"/>
      <c r="Y90" s="705"/>
      <c r="Z90" s="705"/>
      <c r="AA90" s="705"/>
      <c r="AB90" s="705"/>
      <c r="AC90" s="705"/>
      <c r="AD90" s="705"/>
      <c r="AE90" s="705"/>
      <c r="AF90" s="705"/>
      <c r="AG90" s="705"/>
      <c r="AH90" s="705"/>
      <c r="AI90" s="705"/>
      <c r="AJ90" s="705"/>
      <c r="AK90" s="705"/>
      <c r="AL90" s="705"/>
      <c r="AM90" s="705"/>
      <c r="AN90" s="705"/>
      <c r="AO90" s="705"/>
      <c r="AP90" s="705"/>
      <c r="AQ90" s="705"/>
      <c r="AR90" s="705"/>
      <c r="AS90" s="705"/>
      <c r="AT90" s="705"/>
      <c r="AU90" s="705"/>
      <c r="AV90" s="705"/>
      <c r="AW90" s="705"/>
      <c r="AX90" s="705"/>
      <c r="AY90" s="705"/>
      <c r="AZ90" s="705"/>
      <c r="BA90" s="705"/>
      <c r="BB90" s="705"/>
      <c r="BC90" s="705"/>
    </row>
    <row r="91" spans="1:55">
      <c r="A91" s="706"/>
      <c r="B91" s="706"/>
      <c r="C91" s="706"/>
      <c r="D91" s="706"/>
      <c r="E91" s="706"/>
      <c r="F91" s="706"/>
      <c r="G91" s="706"/>
      <c r="H91" s="706"/>
      <c r="I91" s="706"/>
      <c r="J91" s="706"/>
      <c r="K91" s="706"/>
      <c r="L91" s="706"/>
      <c r="M91" s="706"/>
      <c r="N91" s="705"/>
      <c r="O91" s="705"/>
      <c r="P91" s="705"/>
      <c r="Q91" s="705"/>
      <c r="R91" s="705"/>
      <c r="S91" s="705"/>
      <c r="T91" s="705"/>
      <c r="U91" s="705"/>
      <c r="V91" s="705"/>
      <c r="W91" s="705"/>
      <c r="X91" s="705"/>
      <c r="Y91" s="705"/>
      <c r="Z91" s="705"/>
      <c r="AA91" s="705"/>
      <c r="AB91" s="705"/>
      <c r="AC91" s="705"/>
      <c r="AD91" s="705"/>
      <c r="AE91" s="705"/>
      <c r="AF91" s="705"/>
      <c r="AG91" s="705"/>
      <c r="AH91" s="705"/>
      <c r="AI91" s="705"/>
      <c r="AJ91" s="705"/>
      <c r="AK91" s="705"/>
      <c r="AL91" s="705"/>
      <c r="AM91" s="705"/>
      <c r="AN91" s="705"/>
      <c r="AO91" s="705"/>
      <c r="AP91" s="705"/>
      <c r="AQ91" s="705"/>
      <c r="AR91" s="705"/>
      <c r="AS91" s="705"/>
      <c r="AT91" s="705"/>
      <c r="AU91" s="705"/>
      <c r="AV91" s="705"/>
      <c r="AW91" s="705"/>
      <c r="AX91" s="705"/>
      <c r="AY91" s="705"/>
      <c r="AZ91" s="705"/>
      <c r="BA91" s="705"/>
      <c r="BB91" s="705"/>
      <c r="BC91" s="705"/>
    </row>
    <row r="92" spans="1:55">
      <c r="A92" s="706"/>
      <c r="B92" s="706"/>
      <c r="C92" s="706"/>
      <c r="D92" s="706"/>
      <c r="E92" s="706"/>
      <c r="F92" s="706"/>
      <c r="G92" s="706"/>
      <c r="H92" s="706"/>
      <c r="I92" s="706"/>
      <c r="J92" s="706"/>
      <c r="K92" s="706"/>
      <c r="L92" s="706"/>
      <c r="M92" s="706"/>
      <c r="N92" s="705"/>
      <c r="O92" s="705"/>
      <c r="P92" s="705"/>
      <c r="Q92" s="705"/>
      <c r="R92" s="705"/>
      <c r="S92" s="705"/>
      <c r="T92" s="705"/>
      <c r="U92" s="705"/>
      <c r="V92" s="705"/>
      <c r="W92" s="705"/>
      <c r="X92" s="705"/>
      <c r="Y92" s="705"/>
      <c r="Z92" s="705"/>
      <c r="AA92" s="705"/>
      <c r="AB92" s="705"/>
      <c r="AC92" s="705"/>
      <c r="AD92" s="705"/>
      <c r="AE92" s="705"/>
      <c r="AF92" s="705"/>
      <c r="AG92" s="705"/>
      <c r="AH92" s="705"/>
      <c r="AI92" s="705"/>
      <c r="AJ92" s="705"/>
      <c r="AK92" s="705"/>
      <c r="AL92" s="705"/>
      <c r="AM92" s="705"/>
      <c r="AN92" s="705"/>
      <c r="AO92" s="705"/>
      <c r="AP92" s="705"/>
      <c r="AQ92" s="705"/>
      <c r="AR92" s="705"/>
      <c r="AS92" s="705"/>
      <c r="AT92" s="705"/>
      <c r="AU92" s="705"/>
      <c r="AV92" s="705"/>
      <c r="AW92" s="705"/>
      <c r="AX92" s="705"/>
      <c r="AY92" s="705"/>
      <c r="AZ92" s="705"/>
      <c r="BA92" s="705"/>
      <c r="BB92" s="705"/>
      <c r="BC92" s="705"/>
    </row>
    <row r="93" spans="1:55">
      <c r="A93" s="706"/>
      <c r="B93" s="706"/>
      <c r="C93" s="706"/>
      <c r="D93" s="706"/>
      <c r="E93" s="706"/>
      <c r="F93" s="706"/>
      <c r="G93" s="706"/>
      <c r="H93" s="706"/>
      <c r="I93" s="706"/>
      <c r="J93" s="706"/>
      <c r="K93" s="706"/>
      <c r="L93" s="706"/>
      <c r="M93" s="706"/>
      <c r="N93" s="705"/>
      <c r="O93" s="705"/>
      <c r="P93" s="705"/>
      <c r="Q93" s="705"/>
      <c r="R93" s="705"/>
      <c r="S93" s="705"/>
      <c r="T93" s="705"/>
      <c r="U93" s="705"/>
      <c r="V93" s="705"/>
      <c r="W93" s="705"/>
      <c r="X93" s="705"/>
      <c r="Y93" s="705"/>
      <c r="Z93" s="705"/>
      <c r="AA93" s="705"/>
      <c r="AB93" s="705"/>
      <c r="AC93" s="705"/>
      <c r="AD93" s="705"/>
      <c r="AE93" s="705"/>
      <c r="AF93" s="705"/>
      <c r="AG93" s="705"/>
      <c r="AH93" s="705"/>
      <c r="AI93" s="705"/>
      <c r="AJ93" s="705"/>
      <c r="AK93" s="705"/>
      <c r="AL93" s="705"/>
      <c r="AM93" s="705"/>
      <c r="AN93" s="705"/>
      <c r="AO93" s="705"/>
      <c r="AP93" s="705"/>
      <c r="AQ93" s="705"/>
      <c r="AR93" s="705"/>
      <c r="AS93" s="705"/>
      <c r="AT93" s="705"/>
      <c r="AU93" s="705"/>
      <c r="AV93" s="705"/>
      <c r="AW93" s="705"/>
      <c r="AX93" s="705"/>
      <c r="AY93" s="705"/>
      <c r="AZ93" s="705"/>
      <c r="BA93" s="705"/>
      <c r="BB93" s="705"/>
      <c r="BC93" s="705"/>
    </row>
    <row r="94" spans="1:55">
      <c r="A94" s="706"/>
      <c r="B94" s="706"/>
      <c r="C94" s="706"/>
      <c r="D94" s="706"/>
      <c r="E94" s="706"/>
      <c r="F94" s="706"/>
      <c r="G94" s="706"/>
      <c r="H94" s="706"/>
      <c r="I94" s="706"/>
      <c r="J94" s="706"/>
      <c r="K94" s="706"/>
      <c r="L94" s="706"/>
      <c r="M94" s="706"/>
      <c r="N94" s="705"/>
      <c r="O94" s="705"/>
      <c r="P94" s="705"/>
      <c r="Q94" s="705"/>
      <c r="R94" s="705"/>
      <c r="S94" s="705"/>
      <c r="T94" s="705"/>
      <c r="U94" s="705"/>
      <c r="V94" s="705"/>
      <c r="W94" s="705"/>
      <c r="X94" s="705"/>
      <c r="Y94" s="705"/>
      <c r="Z94" s="705"/>
      <c r="AA94" s="705"/>
      <c r="AB94" s="705"/>
      <c r="AC94" s="705"/>
      <c r="AD94" s="705"/>
      <c r="AE94" s="705"/>
      <c r="AF94" s="705"/>
      <c r="AG94" s="705"/>
      <c r="AH94" s="705"/>
      <c r="AI94" s="705"/>
      <c r="AJ94" s="705"/>
      <c r="AK94" s="705"/>
      <c r="AL94" s="705"/>
      <c r="AM94" s="705"/>
      <c r="AN94" s="705"/>
      <c r="AO94" s="705"/>
      <c r="AP94" s="705"/>
      <c r="AQ94" s="705"/>
      <c r="AR94" s="705"/>
      <c r="AS94" s="705"/>
      <c r="AT94" s="705"/>
      <c r="AU94" s="705"/>
      <c r="AV94" s="705"/>
      <c r="AW94" s="705"/>
      <c r="AX94" s="705"/>
      <c r="AY94" s="705"/>
      <c r="AZ94" s="705"/>
      <c r="BA94" s="705"/>
      <c r="BB94" s="705"/>
      <c r="BC94" s="705"/>
    </row>
    <row r="95" spans="1:55">
      <c r="A95" s="706"/>
      <c r="B95" s="706"/>
      <c r="C95" s="706"/>
      <c r="D95" s="706"/>
      <c r="E95" s="706"/>
      <c r="F95" s="706"/>
      <c r="G95" s="706"/>
      <c r="H95" s="706"/>
      <c r="I95" s="706"/>
      <c r="J95" s="706"/>
      <c r="K95" s="706"/>
      <c r="L95" s="706"/>
      <c r="M95" s="706"/>
      <c r="N95" s="705"/>
      <c r="O95" s="705"/>
      <c r="P95" s="705"/>
      <c r="Q95" s="705"/>
      <c r="R95" s="705"/>
      <c r="S95" s="705"/>
      <c r="T95" s="705"/>
      <c r="U95" s="705"/>
      <c r="V95" s="705"/>
      <c r="W95" s="705"/>
      <c r="X95" s="705"/>
      <c r="Y95" s="705"/>
      <c r="Z95" s="705"/>
      <c r="AA95" s="705"/>
      <c r="AB95" s="705"/>
      <c r="AC95" s="705"/>
      <c r="AD95" s="705"/>
      <c r="AE95" s="705"/>
      <c r="AF95" s="705"/>
      <c r="AG95" s="705"/>
      <c r="AH95" s="705"/>
      <c r="AI95" s="705"/>
      <c r="AJ95" s="705"/>
      <c r="AK95" s="705"/>
      <c r="AL95" s="705"/>
      <c r="AM95" s="705"/>
      <c r="AN95" s="705"/>
      <c r="AO95" s="705"/>
      <c r="AP95" s="705"/>
      <c r="AQ95" s="705"/>
      <c r="AR95" s="705"/>
      <c r="AS95" s="705"/>
      <c r="AT95" s="705"/>
      <c r="AU95" s="705"/>
      <c r="AV95" s="705"/>
      <c r="AW95" s="705"/>
      <c r="AX95" s="705"/>
      <c r="AY95" s="705"/>
      <c r="AZ95" s="705"/>
      <c r="BA95" s="705"/>
      <c r="BB95" s="705"/>
      <c r="BC95" s="705"/>
    </row>
  </sheetData>
  <sheetProtection selectLockedCells="1" selectUnlockedCells="1"/>
  <mergeCells count="13">
    <mergeCell ref="A1:G1"/>
    <mergeCell ref="A3:A4"/>
    <mergeCell ref="B3:D4"/>
    <mergeCell ref="B5:D5"/>
    <mergeCell ref="A48:B48"/>
    <mergeCell ref="C48:G48"/>
    <mergeCell ref="A6:G6"/>
    <mergeCell ref="A41:B42"/>
    <mergeCell ref="C41:G42"/>
    <mergeCell ref="A43:B47"/>
    <mergeCell ref="C43:D43"/>
    <mergeCell ref="E43:G43"/>
    <mergeCell ref="C44:G47"/>
  </mergeCells>
  <phoneticPr fontId="51" type="noConversion"/>
  <dataValidations disablePrompts="1" count="2">
    <dataValidation allowBlank="1" showErrorMessage="1" sqref="F4">
      <formula1>0</formula1>
      <formula2>0</formula2>
    </dataValidation>
    <dataValidation allowBlank="1" showErrorMessage="1" promptTitle="存在调整事项时" prompt="_x000a_选择 “E”" sqref="E43:G43">
      <formula1>0</formula1>
      <formula2>0</formula2>
    </dataValidation>
  </dataValidations>
  <hyperlinks>
    <hyperlink ref="H10" location="工资福利!A1" display="工资福利审核表"/>
    <hyperlink ref="H12" location="招待!A1" display="业务招待费审核表"/>
    <hyperlink ref="H14" location="成本倒轧!A1" display="成本倒轧审核表"/>
    <hyperlink ref="H16" location="主营收支!A1" display="主营业务收支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O48"/>
  <sheetViews>
    <sheetView topLeftCell="A16" workbookViewId="0">
      <selection sqref="A1:J2"/>
    </sheetView>
  </sheetViews>
  <sheetFormatPr defaultColWidth="9" defaultRowHeight="15.6"/>
  <cols>
    <col min="1" max="1" width="3.69921875" style="13" customWidth="1"/>
    <col min="2" max="2" width="5.09765625" style="13" customWidth="1"/>
    <col min="3" max="3" width="13.3984375" style="13" customWidth="1"/>
    <col min="4" max="5" width="14.59765625" style="13" customWidth="1"/>
    <col min="6" max="6" width="3.69921875" style="13" customWidth="1"/>
    <col min="7" max="7" width="13.09765625" style="13" customWidth="1"/>
    <col min="8" max="8" width="5.09765625" style="13" customWidth="1"/>
    <col min="9" max="9" width="5" style="13" customWidth="1"/>
    <col min="10" max="10" width="7" style="13" customWidth="1"/>
    <col min="11" max="16384" width="9" style="13"/>
  </cols>
  <sheetData>
    <row r="1" spans="1:15">
      <c r="A1" s="3136" t="s">
        <v>308</v>
      </c>
      <c r="B1" s="3136"/>
      <c r="C1" s="3136"/>
      <c r="D1" s="3136"/>
      <c r="E1" s="3136"/>
      <c r="F1" s="3136"/>
      <c r="G1" s="3136"/>
      <c r="H1" s="3136"/>
      <c r="I1" s="3136"/>
      <c r="J1" s="3136"/>
      <c r="K1" s="14"/>
      <c r="L1" s="14"/>
      <c r="M1" s="14"/>
      <c r="N1" s="14"/>
      <c r="O1" s="14"/>
    </row>
    <row r="2" spans="1:15">
      <c r="A2" s="3136"/>
      <c r="B2" s="3136"/>
      <c r="C2" s="3136"/>
      <c r="D2" s="3136"/>
      <c r="E2" s="3136"/>
      <c r="F2" s="3136"/>
      <c r="G2" s="3136"/>
      <c r="H2" s="3136"/>
      <c r="I2" s="3136"/>
      <c r="J2" s="3136"/>
      <c r="K2" s="14"/>
      <c r="L2" s="14"/>
      <c r="M2" s="14"/>
      <c r="N2" s="14"/>
      <c r="O2" s="14"/>
    </row>
    <row r="3" spans="1:15">
      <c r="A3" s="3065" t="s">
        <v>447</v>
      </c>
      <c r="B3" s="3065"/>
      <c r="C3" s="3535">
        <f>基本情况!B2</f>
        <v>0</v>
      </c>
      <c r="D3" s="3535"/>
      <c r="E3" s="858"/>
      <c r="F3" s="2929" t="s">
        <v>1330</v>
      </c>
      <c r="G3" s="2929"/>
      <c r="H3" s="3540" t="s">
        <v>449</v>
      </c>
      <c r="I3" s="3540"/>
      <c r="J3" s="859" t="s">
        <v>283</v>
      </c>
      <c r="K3" s="14"/>
      <c r="L3" s="14"/>
      <c r="M3" s="14"/>
      <c r="N3" s="14"/>
      <c r="O3" s="14"/>
    </row>
    <row r="4" spans="1:15" ht="16.5" customHeight="1">
      <c r="A4" s="3065"/>
      <c r="B4" s="3065"/>
      <c r="C4" s="3535"/>
      <c r="D4" s="3535"/>
      <c r="E4" s="860" t="s">
        <v>450</v>
      </c>
      <c r="F4" s="3581">
        <f>基本情况!B12</f>
        <v>0</v>
      </c>
      <c r="G4" s="3581"/>
      <c r="H4" s="3580" t="str">
        <f>TEXT(基本情况!B21,"yyyy-mm-dd")</f>
        <v>2017-03-16</v>
      </c>
      <c r="I4" s="3580"/>
      <c r="J4" s="2923" t="str">
        <f>档案索引!D25</f>
        <v>3-4</v>
      </c>
      <c r="K4" s="14"/>
      <c r="L4" s="14"/>
      <c r="M4" s="14"/>
      <c r="N4" s="14"/>
      <c r="O4" s="14"/>
    </row>
    <row r="5" spans="1:15" ht="16.5" customHeight="1">
      <c r="A5" s="2922" t="s">
        <v>451</v>
      </c>
      <c r="B5" s="2922"/>
      <c r="C5" s="3582" t="str">
        <f>基本情况!B7</f>
        <v>2016年01月01日至2016年12月31日</v>
      </c>
      <c r="D5" s="3582"/>
      <c r="E5" s="861" t="s">
        <v>452</v>
      </c>
      <c r="F5" s="3583">
        <f>基本情况!B11</f>
        <v>0</v>
      </c>
      <c r="G5" s="3583"/>
      <c r="H5" s="3536" t="str">
        <f>TEXT(基本情况!B22,"yyyy-mm-dd")</f>
        <v>2017-05-04</v>
      </c>
      <c r="I5" s="3536"/>
      <c r="J5" s="2923"/>
      <c r="K5" s="14"/>
      <c r="L5" s="14"/>
      <c r="M5" s="14"/>
      <c r="N5" s="14"/>
      <c r="O5" s="14"/>
    </row>
    <row r="6" spans="1:15" ht="7.5" customHeight="1">
      <c r="A6" s="2926"/>
      <c r="B6" s="2926"/>
      <c r="C6" s="2926"/>
      <c r="D6" s="2926"/>
      <c r="E6" s="2926"/>
      <c r="F6" s="2926"/>
      <c r="G6" s="2926"/>
      <c r="H6" s="2926"/>
      <c r="I6" s="2926"/>
      <c r="J6" s="2926"/>
      <c r="K6" s="14"/>
      <c r="L6" s="14"/>
      <c r="M6" s="14"/>
      <c r="N6" s="14"/>
      <c r="O6" s="14"/>
    </row>
    <row r="7" spans="1:15" ht="16.5" customHeight="1">
      <c r="A7" s="3584" t="s">
        <v>1180</v>
      </c>
      <c r="B7" s="3584"/>
      <c r="C7" s="3584"/>
      <c r="D7" s="862" t="s">
        <v>1181</v>
      </c>
      <c r="E7" s="862" t="s">
        <v>243</v>
      </c>
      <c r="F7" s="3063" t="s">
        <v>1182</v>
      </c>
      <c r="G7" s="3063"/>
      <c r="H7" s="3585" t="s">
        <v>283</v>
      </c>
      <c r="I7" s="3585"/>
      <c r="J7" s="863" t="s">
        <v>455</v>
      </c>
      <c r="K7" s="14"/>
      <c r="L7" s="14"/>
      <c r="M7" s="14"/>
      <c r="N7" s="14"/>
      <c r="O7" s="14"/>
    </row>
    <row r="8" spans="1:15" ht="16.5" customHeight="1">
      <c r="A8" s="3261" t="s">
        <v>1183</v>
      </c>
      <c r="B8" s="3261"/>
      <c r="C8" s="3261"/>
      <c r="D8" s="1177"/>
      <c r="E8" s="1177"/>
      <c r="F8" s="3568" t="s">
        <v>1184</v>
      </c>
      <c r="G8" s="3568"/>
      <c r="H8" s="3579"/>
      <c r="I8" s="3579"/>
      <c r="J8" s="864"/>
      <c r="K8" s="3050" t="s">
        <v>395</v>
      </c>
      <c r="L8" s="3050"/>
      <c r="M8" s="14"/>
      <c r="N8" s="14"/>
      <c r="O8" s="14"/>
    </row>
    <row r="9" spans="1:15" ht="16.5" customHeight="1">
      <c r="A9" s="3572" t="s">
        <v>1185</v>
      </c>
      <c r="B9" s="3572"/>
      <c r="C9" s="3572"/>
      <c r="D9" s="1178"/>
      <c r="E9" s="1178"/>
      <c r="F9" s="3556" t="s">
        <v>1186</v>
      </c>
      <c r="G9" s="3556"/>
      <c r="H9" s="3566"/>
      <c r="I9" s="3566"/>
      <c r="J9" s="865"/>
      <c r="K9" s="14"/>
      <c r="L9" s="14"/>
      <c r="M9" s="14"/>
      <c r="N9" s="14"/>
      <c r="O9" s="14"/>
    </row>
    <row r="10" spans="1:15" ht="16.5" customHeight="1">
      <c r="A10" s="3572" t="s">
        <v>1187</v>
      </c>
      <c r="B10" s="3572"/>
      <c r="C10" s="3572"/>
      <c r="D10" s="1178"/>
      <c r="E10" s="1178"/>
      <c r="F10" s="3556" t="s">
        <v>1188</v>
      </c>
      <c r="G10" s="3556"/>
      <c r="H10" s="3566"/>
      <c r="I10" s="3566"/>
      <c r="J10" s="866"/>
      <c r="K10" s="14"/>
      <c r="L10" s="14"/>
      <c r="M10" s="14"/>
      <c r="N10" s="14"/>
      <c r="O10" s="14"/>
    </row>
    <row r="11" spans="1:15" ht="16.5" customHeight="1">
      <c r="A11" s="3572" t="s">
        <v>1189</v>
      </c>
      <c r="B11" s="3572"/>
      <c r="C11" s="3572"/>
      <c r="D11" s="1178"/>
      <c r="E11" s="1178"/>
      <c r="F11" s="3556" t="s">
        <v>1190</v>
      </c>
      <c r="G11" s="3556"/>
      <c r="H11" s="3566"/>
      <c r="I11" s="3566"/>
      <c r="J11" s="866"/>
      <c r="K11" s="14"/>
      <c r="L11" s="14"/>
      <c r="M11" s="14"/>
      <c r="N11" s="14"/>
      <c r="O11" s="14"/>
    </row>
    <row r="12" spans="1:15" ht="16.5" customHeight="1">
      <c r="A12" s="3578"/>
      <c r="B12" s="3578"/>
      <c r="C12" s="3578"/>
      <c r="D12" s="1178"/>
      <c r="E12" s="1178"/>
      <c r="F12" s="3556" t="s">
        <v>1191</v>
      </c>
      <c r="G12" s="3556"/>
      <c r="H12" s="3566"/>
      <c r="I12" s="3566"/>
      <c r="J12" s="866"/>
      <c r="K12" s="14"/>
      <c r="L12" s="14"/>
      <c r="M12" s="14"/>
      <c r="N12" s="14"/>
      <c r="O12" s="14"/>
    </row>
    <row r="13" spans="1:15" ht="16.5" customHeight="1">
      <c r="A13" s="3578"/>
      <c r="B13" s="3578"/>
      <c r="C13" s="3578"/>
      <c r="D13" s="1178"/>
      <c r="E13" s="1178"/>
      <c r="F13" s="3556" t="s">
        <v>1192</v>
      </c>
      <c r="G13" s="3556"/>
      <c r="H13" s="3566"/>
      <c r="I13" s="3566"/>
      <c r="J13" s="866"/>
      <c r="K13" s="14"/>
      <c r="L13" s="14"/>
      <c r="M13" s="14"/>
      <c r="N13" s="14"/>
      <c r="O13" s="14"/>
    </row>
    <row r="14" spans="1:15" ht="16.5" customHeight="1">
      <c r="A14" s="3573" t="s">
        <v>1193</v>
      </c>
      <c r="B14" s="3573"/>
      <c r="C14" s="3573"/>
      <c r="D14" s="867">
        <f>D8+D9-D10-D11</f>
        <v>0</v>
      </c>
      <c r="E14" s="867">
        <f>E8+E9-E10-E11</f>
        <v>0</v>
      </c>
      <c r="F14" s="3577" t="s">
        <v>1008</v>
      </c>
      <c r="G14" s="3577"/>
      <c r="H14" s="3569"/>
      <c r="I14" s="3569"/>
      <c r="J14" s="868"/>
      <c r="K14" s="14"/>
      <c r="L14" s="14"/>
      <c r="M14" s="14"/>
      <c r="N14" s="14"/>
      <c r="O14" s="14"/>
    </row>
    <row r="15" spans="1:15" ht="16.5" customHeight="1">
      <c r="A15" s="3572" t="s">
        <v>1194</v>
      </c>
      <c r="B15" s="3572"/>
      <c r="C15" s="3572"/>
      <c r="D15" s="1178"/>
      <c r="E15" s="1178"/>
      <c r="F15" s="3556" t="s">
        <v>1195</v>
      </c>
      <c r="G15" s="3556"/>
      <c r="H15" s="3566"/>
      <c r="I15" s="3566"/>
      <c r="J15" s="866"/>
      <c r="K15" s="14"/>
      <c r="L15" s="14"/>
      <c r="M15" s="14"/>
      <c r="N15" s="14"/>
      <c r="O15" s="14"/>
    </row>
    <row r="16" spans="1:15" ht="16.5" customHeight="1">
      <c r="A16" s="3572" t="s">
        <v>1196</v>
      </c>
      <c r="B16" s="3572"/>
      <c r="C16" s="3572"/>
      <c r="D16" s="1178"/>
      <c r="E16" s="1178"/>
      <c r="F16" s="3556" t="s">
        <v>1197</v>
      </c>
      <c r="G16" s="3556"/>
      <c r="H16" s="3566"/>
      <c r="I16" s="3566"/>
      <c r="J16" s="866"/>
      <c r="K16" s="14"/>
      <c r="L16" s="14"/>
      <c r="M16" s="14"/>
      <c r="N16" s="14"/>
      <c r="O16" s="14"/>
    </row>
    <row r="17" spans="1:15" ht="16.5" customHeight="1">
      <c r="A17" s="3565"/>
      <c r="B17" s="3565"/>
      <c r="C17" s="3565"/>
      <c r="D17" s="1178"/>
      <c r="E17" s="1178"/>
      <c r="F17" s="3556" t="s">
        <v>1198</v>
      </c>
      <c r="G17" s="3556"/>
      <c r="H17" s="3566"/>
      <c r="I17" s="3566"/>
      <c r="J17" s="866"/>
      <c r="K17" s="14"/>
      <c r="L17" s="14"/>
      <c r="M17" s="14"/>
      <c r="N17" s="14"/>
      <c r="O17" s="14"/>
    </row>
    <row r="18" spans="1:15" ht="16.5" customHeight="1">
      <c r="A18" s="3555"/>
      <c r="B18" s="3555"/>
      <c r="C18" s="3555"/>
      <c r="D18" s="1179"/>
      <c r="E18" s="1179"/>
      <c r="F18" s="3556" t="s">
        <v>1199</v>
      </c>
      <c r="G18" s="3556"/>
      <c r="H18" s="3576"/>
      <c r="I18" s="3576"/>
      <c r="J18" s="869"/>
      <c r="K18" s="14"/>
      <c r="L18" s="14"/>
      <c r="M18" s="14"/>
      <c r="N18" s="14"/>
      <c r="O18" s="14"/>
    </row>
    <row r="19" spans="1:15" ht="16.5" customHeight="1">
      <c r="A19" s="3573" t="s">
        <v>1200</v>
      </c>
      <c r="B19" s="3573"/>
      <c r="C19" s="3573"/>
      <c r="D19" s="867">
        <f>D14+D15+D16</f>
        <v>0</v>
      </c>
      <c r="E19" s="867">
        <f>E14+E15+E16</f>
        <v>0</v>
      </c>
      <c r="F19" s="3577" t="s">
        <v>1009</v>
      </c>
      <c r="G19" s="3577"/>
      <c r="H19" s="3569"/>
      <c r="I19" s="3569"/>
      <c r="J19" s="868"/>
      <c r="K19" s="14"/>
      <c r="L19" s="14"/>
      <c r="M19" s="14"/>
      <c r="N19" s="14"/>
      <c r="O19" s="14"/>
    </row>
    <row r="20" spans="1:15" ht="16.5" customHeight="1">
      <c r="A20" s="3572" t="s">
        <v>1201</v>
      </c>
      <c r="B20" s="3572"/>
      <c r="C20" s="3572"/>
      <c r="D20" s="1178"/>
      <c r="E20" s="1178"/>
      <c r="F20" s="3556" t="s">
        <v>1202</v>
      </c>
      <c r="G20" s="3556"/>
      <c r="H20" s="3566"/>
      <c r="I20" s="3566"/>
      <c r="J20" s="866"/>
      <c r="K20" s="14"/>
      <c r="L20" s="14"/>
      <c r="M20" s="14"/>
      <c r="N20" s="14"/>
      <c r="O20" s="14"/>
    </row>
    <row r="21" spans="1:15" ht="16.5" customHeight="1">
      <c r="A21" s="3572" t="s">
        <v>1203</v>
      </c>
      <c r="B21" s="3572"/>
      <c r="C21" s="3572"/>
      <c r="D21" s="1178"/>
      <c r="E21" s="1178"/>
      <c r="F21" s="3556" t="s">
        <v>1204</v>
      </c>
      <c r="G21" s="3556"/>
      <c r="H21" s="3566"/>
      <c r="I21" s="3566"/>
      <c r="J21" s="866"/>
      <c r="K21" s="14"/>
      <c r="L21" s="14"/>
      <c r="M21" s="14"/>
      <c r="N21" s="14"/>
      <c r="O21" s="14"/>
    </row>
    <row r="22" spans="1:15" ht="16.5" customHeight="1">
      <c r="A22" s="3572" t="s">
        <v>1205</v>
      </c>
      <c r="B22" s="3572"/>
      <c r="C22" s="3572"/>
      <c r="D22" s="1178"/>
      <c r="E22" s="1178"/>
      <c r="F22" s="3556" t="s">
        <v>1206</v>
      </c>
      <c r="G22" s="3556"/>
      <c r="H22" s="3566"/>
      <c r="I22" s="3566"/>
      <c r="J22" s="866"/>
      <c r="K22" s="14"/>
      <c r="L22" s="14"/>
      <c r="M22" s="14"/>
      <c r="N22" s="14"/>
      <c r="O22" s="14"/>
    </row>
    <row r="23" spans="1:15" ht="16.5" customHeight="1">
      <c r="A23" s="3565"/>
      <c r="B23" s="3565"/>
      <c r="C23" s="3565"/>
      <c r="D23" s="1178"/>
      <c r="E23" s="1178"/>
      <c r="F23" s="3556" t="s">
        <v>1207</v>
      </c>
      <c r="G23" s="3556"/>
      <c r="H23" s="3566"/>
      <c r="I23" s="3566"/>
      <c r="J23" s="866"/>
      <c r="K23" s="14"/>
      <c r="L23" s="14"/>
      <c r="M23" s="14"/>
      <c r="N23" s="14"/>
      <c r="O23" s="14"/>
    </row>
    <row r="24" spans="1:15" ht="16.5" customHeight="1">
      <c r="A24" s="3555"/>
      <c r="B24" s="3555"/>
      <c r="C24" s="3555"/>
      <c r="D24" s="1180"/>
      <c r="E24" s="1180"/>
      <c r="F24" s="3556" t="s">
        <v>1208</v>
      </c>
      <c r="G24" s="3556"/>
      <c r="H24" s="3557"/>
      <c r="I24" s="3557"/>
      <c r="J24" s="869"/>
      <c r="K24" s="14"/>
      <c r="L24" s="14"/>
      <c r="M24" s="14"/>
      <c r="N24" s="14"/>
      <c r="O24" s="14"/>
    </row>
    <row r="25" spans="1:15" ht="16.5" customHeight="1">
      <c r="A25" s="3573" t="s">
        <v>1209</v>
      </c>
      <c r="B25" s="3573"/>
      <c r="C25" s="3573"/>
      <c r="D25" s="867">
        <f>D19+D20-D21-D22</f>
        <v>0</v>
      </c>
      <c r="E25" s="867">
        <f>E19+E20-E21-E22</f>
        <v>0</v>
      </c>
      <c r="F25" s="3574" t="s">
        <v>1010</v>
      </c>
      <c r="G25" s="3575"/>
      <c r="H25" s="3569"/>
      <c r="I25" s="3569"/>
      <c r="J25" s="868"/>
      <c r="K25" s="14"/>
      <c r="L25" s="14"/>
      <c r="M25" s="14"/>
      <c r="N25" s="14"/>
      <c r="O25" s="14"/>
    </row>
    <row r="26" spans="1:15" ht="16.5" customHeight="1">
      <c r="A26" s="3572" t="s">
        <v>1210</v>
      </c>
      <c r="B26" s="3572"/>
      <c r="C26" s="3572"/>
      <c r="D26" s="1178"/>
      <c r="E26" s="1178"/>
      <c r="F26" s="3556" t="s">
        <v>1211</v>
      </c>
      <c r="G26" s="3556"/>
      <c r="H26" s="3566"/>
      <c r="I26" s="3566"/>
      <c r="J26" s="866"/>
      <c r="K26" s="14"/>
      <c r="L26" s="14"/>
      <c r="M26" s="14"/>
      <c r="N26" s="14"/>
      <c r="O26" s="14"/>
    </row>
    <row r="27" spans="1:15" ht="16.5" customHeight="1">
      <c r="A27" s="3572" t="s">
        <v>1212</v>
      </c>
      <c r="B27" s="3572"/>
      <c r="C27" s="3572"/>
      <c r="D27" s="1178"/>
      <c r="E27" s="1178"/>
      <c r="F27" s="3556" t="s">
        <v>1213</v>
      </c>
      <c r="G27" s="3556"/>
      <c r="H27" s="3566"/>
      <c r="I27" s="3566"/>
      <c r="J27" s="866"/>
      <c r="K27" s="14"/>
      <c r="L27" s="14"/>
      <c r="M27" s="14"/>
      <c r="N27" s="14"/>
      <c r="O27" s="14"/>
    </row>
    <row r="28" spans="1:15" ht="16.5" customHeight="1">
      <c r="A28" s="3572" t="s">
        <v>1214</v>
      </c>
      <c r="B28" s="3572"/>
      <c r="C28" s="3572"/>
      <c r="D28" s="1178"/>
      <c r="E28" s="1178"/>
      <c r="F28" s="3556" t="s">
        <v>1215</v>
      </c>
      <c r="G28" s="3556"/>
      <c r="H28" s="3566"/>
      <c r="I28" s="3566"/>
      <c r="J28" s="866"/>
      <c r="K28" s="14"/>
      <c r="L28" s="14"/>
      <c r="M28" s="14"/>
      <c r="N28" s="14"/>
      <c r="O28" s="14"/>
    </row>
    <row r="29" spans="1:15" ht="16.5" customHeight="1">
      <c r="A29" s="3572" t="s">
        <v>1216</v>
      </c>
      <c r="B29" s="3572"/>
      <c r="C29" s="3572"/>
      <c r="D29" s="1178"/>
      <c r="E29" s="1178"/>
      <c r="F29" s="3556" t="s">
        <v>1217</v>
      </c>
      <c r="G29" s="3556"/>
      <c r="H29" s="3566"/>
      <c r="I29" s="3566"/>
      <c r="J29" s="866"/>
      <c r="K29" s="14"/>
      <c r="L29" s="14"/>
      <c r="M29" s="14"/>
      <c r="N29" s="14"/>
      <c r="O29" s="14"/>
    </row>
    <row r="30" spans="1:15" ht="16.5" customHeight="1">
      <c r="A30" s="3570"/>
      <c r="B30" s="3570"/>
      <c r="C30" s="3570"/>
      <c r="D30" s="1181"/>
      <c r="E30" s="1181"/>
      <c r="F30" s="3556" t="s">
        <v>1218</v>
      </c>
      <c r="G30" s="3556"/>
      <c r="H30" s="3566"/>
      <c r="I30" s="3566"/>
      <c r="J30" s="870"/>
      <c r="K30" s="14"/>
      <c r="L30" s="14"/>
      <c r="M30" s="14"/>
      <c r="N30" s="14"/>
      <c r="O30" s="14"/>
    </row>
    <row r="31" spans="1:15" ht="16.5" customHeight="1">
      <c r="A31" s="3570"/>
      <c r="B31" s="3570"/>
      <c r="C31" s="3570"/>
      <c r="D31" s="1181"/>
      <c r="E31" s="1181"/>
      <c r="F31" s="3571" t="s">
        <v>1219</v>
      </c>
      <c r="G31" s="3571"/>
      <c r="H31" s="3566"/>
      <c r="I31" s="3566"/>
      <c r="J31" s="870"/>
      <c r="K31" s="14"/>
      <c r="L31" s="14"/>
      <c r="M31" s="14"/>
      <c r="N31" s="14"/>
      <c r="O31" s="14"/>
    </row>
    <row r="32" spans="1:15" ht="16.5" customHeight="1">
      <c r="A32" s="3261" t="s">
        <v>1220</v>
      </c>
      <c r="B32" s="3261"/>
      <c r="C32" s="3261"/>
      <c r="D32" s="1182"/>
      <c r="E32" s="1182"/>
      <c r="F32" s="3568" t="s">
        <v>1221</v>
      </c>
      <c r="G32" s="3568"/>
      <c r="H32" s="3569"/>
      <c r="I32" s="3569"/>
      <c r="J32" s="868"/>
      <c r="K32" s="14"/>
      <c r="L32" s="14"/>
      <c r="M32" s="14"/>
      <c r="N32" s="14"/>
      <c r="O32" s="14"/>
    </row>
    <row r="33" spans="1:15" ht="16.5" customHeight="1">
      <c r="A33" s="3565"/>
      <c r="B33" s="3565"/>
      <c r="C33" s="3565"/>
      <c r="D33" s="1178"/>
      <c r="E33" s="1178"/>
      <c r="F33" s="3556" t="s">
        <v>1222</v>
      </c>
      <c r="G33" s="3556"/>
      <c r="H33" s="3566"/>
      <c r="I33" s="3566"/>
      <c r="J33" s="866"/>
      <c r="K33" s="14"/>
      <c r="L33" s="14"/>
      <c r="M33" s="14"/>
      <c r="N33" s="14"/>
      <c r="O33" s="14"/>
    </row>
    <row r="34" spans="1:15" ht="16.5" customHeight="1">
      <c r="A34" s="3565"/>
      <c r="B34" s="3565"/>
      <c r="C34" s="3565"/>
      <c r="D34" s="1178"/>
      <c r="E34" s="1178"/>
      <c r="F34" s="3556" t="s">
        <v>1223</v>
      </c>
      <c r="G34" s="3556"/>
      <c r="H34" s="3566"/>
      <c r="I34" s="3566"/>
      <c r="J34" s="866"/>
      <c r="K34" s="14"/>
      <c r="L34" s="14"/>
      <c r="M34" s="14"/>
      <c r="N34" s="14"/>
      <c r="O34" s="14"/>
    </row>
    <row r="35" spans="1:15" ht="16.5" customHeight="1">
      <c r="A35" s="3565"/>
      <c r="B35" s="3565"/>
      <c r="C35" s="3565"/>
      <c r="D35" s="1183"/>
      <c r="E35" s="1183"/>
      <c r="F35" s="3556" t="s">
        <v>1224</v>
      </c>
      <c r="G35" s="3556"/>
      <c r="H35" s="3566"/>
      <c r="I35" s="3566"/>
      <c r="J35" s="866"/>
      <c r="K35" s="14"/>
      <c r="L35" s="14"/>
      <c r="M35" s="14"/>
      <c r="N35" s="14"/>
      <c r="O35" s="14"/>
    </row>
    <row r="36" spans="1:15" ht="27" customHeight="1">
      <c r="A36" s="3567" t="s">
        <v>1225</v>
      </c>
      <c r="B36" s="3567"/>
      <c r="C36" s="3567"/>
      <c r="D36" s="1183"/>
      <c r="E36" s="1183"/>
      <c r="F36" s="3556" t="s">
        <v>1226</v>
      </c>
      <c r="G36" s="3556"/>
      <c r="H36" s="3566"/>
      <c r="I36" s="3566"/>
      <c r="J36" s="865"/>
      <c r="K36" s="14"/>
      <c r="L36" s="14"/>
      <c r="M36" s="14"/>
      <c r="N36" s="14"/>
      <c r="O36" s="14"/>
    </row>
    <row r="37" spans="1:15" ht="16.5" customHeight="1">
      <c r="A37" s="3565"/>
      <c r="B37" s="3565"/>
      <c r="C37" s="3565"/>
      <c r="D37" s="1183"/>
      <c r="E37" s="1183"/>
      <c r="F37" s="3556" t="s">
        <v>1227</v>
      </c>
      <c r="G37" s="3556"/>
      <c r="H37" s="3566"/>
      <c r="I37" s="3566"/>
      <c r="J37" s="865"/>
      <c r="K37" s="14"/>
      <c r="L37" s="14"/>
      <c r="M37" s="14"/>
      <c r="N37" s="14"/>
      <c r="O37" s="14"/>
    </row>
    <row r="38" spans="1:15" ht="16.5" customHeight="1">
      <c r="A38" s="3565"/>
      <c r="B38" s="3565"/>
      <c r="C38" s="3565"/>
      <c r="D38" s="1183"/>
      <c r="E38" s="1183"/>
      <c r="F38" s="3556" t="s">
        <v>1228</v>
      </c>
      <c r="G38" s="3556"/>
      <c r="H38" s="3566"/>
      <c r="I38" s="3566"/>
      <c r="J38" s="865"/>
      <c r="K38" s="14"/>
      <c r="L38" s="14"/>
      <c r="M38" s="14"/>
      <c r="N38" s="14"/>
      <c r="O38" s="14"/>
    </row>
    <row r="39" spans="1:15" ht="16.5" customHeight="1">
      <c r="A39" s="3555"/>
      <c r="B39" s="3555"/>
      <c r="C39" s="3555"/>
      <c r="D39" s="1179"/>
      <c r="E39" s="1179"/>
      <c r="F39" s="3556" t="s">
        <v>1229</v>
      </c>
      <c r="G39" s="3556"/>
      <c r="H39" s="3557"/>
      <c r="I39" s="3557"/>
      <c r="J39" s="871"/>
      <c r="K39" s="14"/>
      <c r="L39" s="14"/>
      <c r="M39" s="14"/>
      <c r="N39" s="14"/>
      <c r="O39" s="14"/>
    </row>
    <row r="40" spans="1:15" ht="24" customHeight="1">
      <c r="A40" s="3560" t="s">
        <v>1230</v>
      </c>
      <c r="B40" s="3560"/>
      <c r="C40" s="3560"/>
      <c r="D40" s="872">
        <f>D25+D26+D27-D28-D29+D32+D36</f>
        <v>0</v>
      </c>
      <c r="E40" s="872">
        <f>E25+E26+E27-E28-E29+E32+E36</f>
        <v>0</v>
      </c>
      <c r="F40" s="3561" t="s">
        <v>1011</v>
      </c>
      <c r="G40" s="3562"/>
      <c r="H40" s="3563"/>
      <c r="I40" s="3563"/>
      <c r="J40" s="873"/>
      <c r="K40" s="14"/>
      <c r="L40" s="14"/>
      <c r="M40" s="14"/>
      <c r="N40" s="14"/>
      <c r="O40" s="14"/>
    </row>
    <row r="41" spans="1:15" ht="15" customHeight="1">
      <c r="A41" s="3176" t="s">
        <v>1323</v>
      </c>
      <c r="B41" s="3176"/>
      <c r="C41" s="3176"/>
      <c r="D41" s="3148" t="s">
        <v>1231</v>
      </c>
      <c r="E41" s="3148"/>
      <c r="F41" s="3564"/>
      <c r="G41" s="3564"/>
      <c r="H41" s="3564"/>
      <c r="I41" s="3564"/>
      <c r="J41" s="3564"/>
      <c r="K41" s="14"/>
      <c r="L41" s="14"/>
      <c r="M41" s="14"/>
      <c r="N41" s="14"/>
      <c r="O41" s="14"/>
    </row>
    <row r="42" spans="1:15" ht="36" customHeight="1">
      <c r="A42" s="3176"/>
      <c r="B42" s="3176"/>
      <c r="C42" s="3176"/>
      <c r="D42" s="3558"/>
      <c r="E42" s="3558"/>
      <c r="F42" s="3558"/>
      <c r="G42" s="3558"/>
      <c r="H42" s="3558"/>
      <c r="I42" s="3558"/>
      <c r="J42" s="3558"/>
      <c r="K42" s="14"/>
      <c r="L42" s="14"/>
      <c r="M42" s="14"/>
      <c r="N42" s="14"/>
      <c r="O42" s="14"/>
    </row>
    <row r="43" spans="1:15" ht="17.25" customHeight="1">
      <c r="A43" s="3176"/>
      <c r="B43" s="3176"/>
      <c r="C43" s="3176"/>
      <c r="D43" s="3559"/>
      <c r="E43" s="3559"/>
      <c r="F43" s="3559"/>
      <c r="G43" s="3559"/>
      <c r="H43" s="3559"/>
      <c r="I43" s="3559"/>
      <c r="J43" s="3559"/>
      <c r="K43" s="14"/>
      <c r="L43" s="14"/>
      <c r="M43" s="14"/>
      <c r="N43" s="14"/>
      <c r="O43" s="14"/>
    </row>
    <row r="44" spans="1:15" ht="10.5" customHeight="1">
      <c r="A44" s="2922" t="s">
        <v>574</v>
      </c>
      <c r="B44" s="2922"/>
      <c r="C44" s="2922"/>
      <c r="D44" s="3141"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主营业务成本借方发生额与产成品贷方转出数一致，认可！</v>
      </c>
      <c r="E44" s="3141"/>
      <c r="F44" s="3141"/>
      <c r="G44" s="3141"/>
      <c r="H44" s="3141"/>
      <c r="I44" s="3141"/>
      <c r="J44" s="3141"/>
      <c r="K44" s="14"/>
      <c r="L44" s="14"/>
      <c r="M44" s="14"/>
      <c r="N44" s="14"/>
      <c r="O44" s="14"/>
    </row>
    <row r="45" spans="1:15" ht="8.25" customHeight="1">
      <c r="A45" s="2922"/>
      <c r="B45" s="2922"/>
      <c r="C45" s="2922"/>
      <c r="D45" s="3141"/>
      <c r="E45" s="3141"/>
      <c r="F45" s="3141"/>
      <c r="G45" s="3141"/>
      <c r="H45" s="3141"/>
      <c r="I45" s="3141"/>
      <c r="J45" s="3141"/>
      <c r="K45" s="14"/>
      <c r="L45" s="14"/>
      <c r="M45" s="14"/>
      <c r="N45" s="14"/>
      <c r="O45" s="14"/>
    </row>
    <row r="46" spans="1:15" ht="10.5" customHeight="1">
      <c r="A46" s="2922"/>
      <c r="B46" s="2922"/>
      <c r="C46" s="2922"/>
      <c r="D46" s="3141"/>
      <c r="E46" s="3141"/>
      <c r="F46" s="3141"/>
      <c r="G46" s="3141"/>
      <c r="H46" s="3141"/>
      <c r="I46" s="3141"/>
      <c r="J46" s="3141"/>
      <c r="K46" s="14"/>
      <c r="L46" s="14"/>
      <c r="M46" s="14"/>
      <c r="N46" s="14"/>
      <c r="O46" s="14"/>
    </row>
    <row r="47" spans="1:15" ht="13.5" customHeight="1">
      <c r="A47" s="874"/>
      <c r="B47" s="874"/>
      <c r="C47" s="874"/>
      <c r="D47" s="874"/>
      <c r="E47" s="874"/>
      <c r="F47" s="874"/>
      <c r="G47" s="874"/>
      <c r="H47" s="874"/>
      <c r="I47" s="874"/>
      <c r="J47" s="874"/>
      <c r="K47" s="14"/>
      <c r="L47" s="14"/>
      <c r="M47" s="14"/>
      <c r="N47" s="14"/>
      <c r="O47" s="14"/>
    </row>
    <row r="48" spans="1:15" ht="13.5" customHeight="1">
      <c r="A48" s="875"/>
      <c r="B48" s="875" t="s">
        <v>1232</v>
      </c>
      <c r="C48" s="875"/>
      <c r="D48" s="875"/>
      <c r="E48" s="875"/>
      <c r="F48" s="875"/>
      <c r="G48" s="875"/>
      <c r="H48" s="875"/>
      <c r="I48" s="875"/>
      <c r="J48" s="875"/>
    </row>
  </sheetData>
  <sheetProtection selectLockedCells="1" selectUnlockedCells="1"/>
  <mergeCells count="123">
    <mergeCell ref="K8:L8"/>
    <mergeCell ref="A8:C8"/>
    <mergeCell ref="F8:G8"/>
    <mergeCell ref="H8:I8"/>
    <mergeCell ref="A1:J2"/>
    <mergeCell ref="A3:B4"/>
    <mergeCell ref="C3:D4"/>
    <mergeCell ref="F3:G3"/>
    <mergeCell ref="H3:I3"/>
    <mergeCell ref="H4:I4"/>
    <mergeCell ref="J4:J5"/>
    <mergeCell ref="A5:B5"/>
    <mergeCell ref="F4:G4"/>
    <mergeCell ref="C5:D5"/>
    <mergeCell ref="F5:G5"/>
    <mergeCell ref="H5:I5"/>
    <mergeCell ref="A6:J6"/>
    <mergeCell ref="A7:C7"/>
    <mergeCell ref="F7:G7"/>
    <mergeCell ref="H7:I7"/>
    <mergeCell ref="A10:C10"/>
    <mergeCell ref="F10:G10"/>
    <mergeCell ref="H10:I10"/>
    <mergeCell ref="A11:C11"/>
    <mergeCell ref="F11:G11"/>
    <mergeCell ref="H11:I11"/>
    <mergeCell ref="A9:C9"/>
    <mergeCell ref="F9:G9"/>
    <mergeCell ref="H9:I9"/>
    <mergeCell ref="A14:C14"/>
    <mergeCell ref="F14:G14"/>
    <mergeCell ref="H14:I14"/>
    <mergeCell ref="A15:C15"/>
    <mergeCell ref="F15:G15"/>
    <mergeCell ref="H15:I15"/>
    <mergeCell ref="A12:C12"/>
    <mergeCell ref="F12:G12"/>
    <mergeCell ref="H12:I12"/>
    <mergeCell ref="A13:C13"/>
    <mergeCell ref="F13:G13"/>
    <mergeCell ref="H13:I13"/>
    <mergeCell ref="A18:C18"/>
    <mergeCell ref="F18:G18"/>
    <mergeCell ref="H18:I18"/>
    <mergeCell ref="A19:C19"/>
    <mergeCell ref="F19:G19"/>
    <mergeCell ref="H19:I19"/>
    <mergeCell ref="A16:C16"/>
    <mergeCell ref="F16:G16"/>
    <mergeCell ref="H16:I16"/>
    <mergeCell ref="A17:C17"/>
    <mergeCell ref="F17:G17"/>
    <mergeCell ref="H17:I17"/>
    <mergeCell ref="A22:C22"/>
    <mergeCell ref="F22:G22"/>
    <mergeCell ref="H22:I22"/>
    <mergeCell ref="A23:C23"/>
    <mergeCell ref="F23:G23"/>
    <mergeCell ref="H23:I23"/>
    <mergeCell ref="A20:C20"/>
    <mergeCell ref="F20:G20"/>
    <mergeCell ref="H20:I20"/>
    <mergeCell ref="A21:C21"/>
    <mergeCell ref="F21:G21"/>
    <mergeCell ref="H21:I21"/>
    <mergeCell ref="A26:C26"/>
    <mergeCell ref="F26:G26"/>
    <mergeCell ref="H26:I26"/>
    <mergeCell ref="A27:C27"/>
    <mergeCell ref="F27:G27"/>
    <mergeCell ref="H27:I27"/>
    <mergeCell ref="A24:C24"/>
    <mergeCell ref="F24:G24"/>
    <mergeCell ref="H24:I24"/>
    <mergeCell ref="A25:C25"/>
    <mergeCell ref="F25:G25"/>
    <mergeCell ref="H25:I25"/>
    <mergeCell ref="A30:C30"/>
    <mergeCell ref="F30:G30"/>
    <mergeCell ref="H30:I30"/>
    <mergeCell ref="A31:C31"/>
    <mergeCell ref="F31:G31"/>
    <mergeCell ref="H31:I31"/>
    <mergeCell ref="A28:C28"/>
    <mergeCell ref="F28:G28"/>
    <mergeCell ref="H28:I28"/>
    <mergeCell ref="A29:C29"/>
    <mergeCell ref="F29:G29"/>
    <mergeCell ref="H29:I29"/>
    <mergeCell ref="A34:C34"/>
    <mergeCell ref="F34:G34"/>
    <mergeCell ref="H34:I34"/>
    <mergeCell ref="A32:C32"/>
    <mergeCell ref="F32:G32"/>
    <mergeCell ref="H32:I32"/>
    <mergeCell ref="A33:C33"/>
    <mergeCell ref="F33:G33"/>
    <mergeCell ref="H33:I33"/>
    <mergeCell ref="A35:C35"/>
    <mergeCell ref="F35:G35"/>
    <mergeCell ref="A38:C38"/>
    <mergeCell ref="F38:G38"/>
    <mergeCell ref="A37:C37"/>
    <mergeCell ref="F37:G37"/>
    <mergeCell ref="H37:I37"/>
    <mergeCell ref="H35:I35"/>
    <mergeCell ref="A36:C36"/>
    <mergeCell ref="F36:G36"/>
    <mergeCell ref="H36:I36"/>
    <mergeCell ref="H38:I38"/>
    <mergeCell ref="A39:C39"/>
    <mergeCell ref="F39:G39"/>
    <mergeCell ref="H39:I39"/>
    <mergeCell ref="D42:J42"/>
    <mergeCell ref="D43:J43"/>
    <mergeCell ref="A41:C43"/>
    <mergeCell ref="D41:E41"/>
    <mergeCell ref="A44:C46"/>
    <mergeCell ref="D44:J46"/>
    <mergeCell ref="A40:C40"/>
    <mergeCell ref="F40:G40"/>
    <mergeCell ref="H40:I40"/>
    <mergeCell ref="F41:J41"/>
  </mergeCells>
  <phoneticPr fontId="51" type="noConversion"/>
  <dataValidations count="2">
    <dataValidation allowBlank="1" showErrorMessage="1" sqref="H4 J4">
      <formula1>0</formula1>
      <formula2>0</formula2>
    </dataValidation>
    <dataValidation type="list" allowBlank="1" showInputMessage="1" showErrorMessage="1" promptTitle="存在调整事项时" prompt="_x000a_选择 “E”" sqref="F41:J41">
      <formula1>"、E,"</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U21"/>
  <sheetViews>
    <sheetView topLeftCell="A7" workbookViewId="0">
      <selection sqref="A1:O1"/>
    </sheetView>
  </sheetViews>
  <sheetFormatPr defaultColWidth="9" defaultRowHeight="15.6"/>
  <cols>
    <col min="1" max="1" width="3.5" style="876" customWidth="1"/>
    <col min="2" max="2" width="9.69921875" style="876" customWidth="1"/>
    <col min="3" max="3" width="5.59765625" style="876" customWidth="1"/>
    <col min="4" max="4" width="11.09765625" style="876" customWidth="1"/>
    <col min="5" max="5" width="10.19921875" style="876" customWidth="1"/>
    <col min="6" max="6" width="5.69921875" style="876" customWidth="1"/>
    <col min="7" max="7" width="12.5" style="876" customWidth="1"/>
    <col min="8" max="8" width="10.19921875" style="876" customWidth="1"/>
    <col min="9" max="9" width="6.09765625" style="876" customWidth="1"/>
    <col min="10" max="10" width="12.59765625" style="876" customWidth="1"/>
    <col min="11" max="11" width="10.3984375" style="876" customWidth="1"/>
    <col min="12" max="12" width="6.3984375" style="876" customWidth="1"/>
    <col min="13" max="13" width="11.59765625" style="876" customWidth="1"/>
    <col min="14" max="14" width="10.3984375" style="876" customWidth="1"/>
    <col min="15" max="15" width="7.59765625" style="876" customWidth="1"/>
    <col min="16" max="16384" width="9" style="876"/>
  </cols>
  <sheetData>
    <row r="1" spans="1:21" ht="21" customHeight="1">
      <c r="A1" s="2729" t="s">
        <v>1233</v>
      </c>
      <c r="B1" s="2729"/>
      <c r="C1" s="2729"/>
      <c r="D1" s="2729"/>
      <c r="E1" s="2729"/>
      <c r="F1" s="2729"/>
      <c r="G1" s="2729"/>
      <c r="H1" s="2729"/>
      <c r="I1" s="2729"/>
      <c r="J1" s="2729"/>
      <c r="K1" s="2729"/>
      <c r="L1" s="2729"/>
      <c r="M1" s="2729"/>
      <c r="N1" s="2729"/>
      <c r="O1" s="2729"/>
      <c r="P1" s="877"/>
      <c r="Q1" s="877"/>
      <c r="R1" s="877"/>
      <c r="S1" s="877"/>
      <c r="T1" s="877"/>
      <c r="U1" s="877"/>
    </row>
    <row r="2" spans="1:21">
      <c r="A2" s="3587"/>
      <c r="B2" s="3587"/>
      <c r="C2" s="3587"/>
      <c r="D2" s="3587"/>
      <c r="E2" s="3587"/>
      <c r="F2" s="3587"/>
      <c r="G2" s="3587"/>
      <c r="H2" s="3587"/>
      <c r="I2" s="3587"/>
      <c r="J2" s="878"/>
      <c r="K2" s="878"/>
      <c r="L2" s="878"/>
      <c r="M2" s="879"/>
      <c r="N2" s="878"/>
      <c r="O2" s="878"/>
      <c r="P2" s="877"/>
      <c r="Q2" s="877"/>
      <c r="R2" s="877"/>
      <c r="S2" s="877"/>
      <c r="T2" s="877"/>
      <c r="U2" s="877"/>
    </row>
    <row r="3" spans="1:21" ht="20.25" customHeight="1">
      <c r="A3" s="3588" t="str">
        <f>"委托单位名称："&amp;基本情况!B2</f>
        <v>委托单位名称：0</v>
      </c>
      <c r="B3" s="3588"/>
      <c r="C3" s="3588"/>
      <c r="D3" s="3588"/>
      <c r="E3" s="3588"/>
      <c r="F3" s="3588"/>
      <c r="G3" s="3588"/>
      <c r="H3" s="3588"/>
      <c r="I3" s="3588"/>
      <c r="J3" s="880" t="s">
        <v>450</v>
      </c>
      <c r="K3" s="881">
        <f>基本情况!B12</f>
        <v>0</v>
      </c>
      <c r="L3" s="880" t="s">
        <v>449</v>
      </c>
      <c r="M3" s="3589" t="str">
        <f>TEXT(基本情况!B21,"yyyy-mm-dd")</f>
        <v>2017-03-16</v>
      </c>
      <c r="N3" s="3589"/>
      <c r="O3" s="882" t="s">
        <v>283</v>
      </c>
      <c r="P3" s="877"/>
      <c r="Q3" s="877"/>
      <c r="R3" s="877"/>
      <c r="S3" s="877"/>
      <c r="T3" s="877"/>
      <c r="U3" s="877"/>
    </row>
    <row r="4" spans="1:21" ht="20.25" customHeight="1">
      <c r="A4" s="3189" t="str">
        <f>"会计期间："&amp;基本情况!B7</f>
        <v>会计期间：2016年01月01日至2016年12月31日</v>
      </c>
      <c r="B4" s="3189"/>
      <c r="C4" s="3189"/>
      <c r="D4" s="3189"/>
      <c r="E4" s="3189"/>
      <c r="F4" s="3189"/>
      <c r="G4" s="3189"/>
      <c r="H4" s="3189"/>
      <c r="I4" s="3189"/>
      <c r="J4" s="883" t="s">
        <v>452</v>
      </c>
      <c r="K4" s="884">
        <f>基本情况!B11</f>
        <v>0</v>
      </c>
      <c r="L4" s="883" t="s">
        <v>449</v>
      </c>
      <c r="M4" s="3586" t="str">
        <f>TEXT(基本情况!B22,"yyyy-mm-dd")</f>
        <v>2017-05-04</v>
      </c>
      <c r="N4" s="3586"/>
      <c r="O4" s="885"/>
      <c r="P4" s="877"/>
      <c r="Q4" s="877"/>
      <c r="R4" s="877"/>
      <c r="S4" s="877"/>
      <c r="T4" s="877"/>
      <c r="U4" s="877"/>
    </row>
    <row r="5" spans="1:21" ht="7.5" customHeight="1">
      <c r="A5" s="2926"/>
      <c r="B5" s="2926"/>
      <c r="C5" s="2926"/>
      <c r="D5" s="2926"/>
      <c r="E5" s="2926"/>
      <c r="F5" s="2926"/>
      <c r="G5" s="2926"/>
      <c r="H5" s="2926"/>
      <c r="I5" s="2926"/>
      <c r="J5" s="2926"/>
      <c r="K5" s="2926"/>
      <c r="L5" s="2926"/>
      <c r="M5" s="2926"/>
      <c r="N5" s="2926"/>
      <c r="O5" s="2926"/>
      <c r="P5" s="877"/>
      <c r="Q5" s="877"/>
      <c r="R5" s="877"/>
      <c r="S5" s="877"/>
      <c r="T5" s="877"/>
      <c r="U5" s="877"/>
    </row>
    <row r="6" spans="1:21" ht="20.25" customHeight="1">
      <c r="A6" s="3163" t="s">
        <v>1234</v>
      </c>
      <c r="B6" s="3184" t="s">
        <v>1235</v>
      </c>
      <c r="C6" s="3184"/>
      <c r="D6" s="3184"/>
      <c r="E6" s="3184" t="s">
        <v>1252</v>
      </c>
      <c r="F6" s="3184"/>
      <c r="G6" s="3184"/>
      <c r="H6" s="3184" t="s">
        <v>1236</v>
      </c>
      <c r="I6" s="3184"/>
      <c r="J6" s="3184"/>
      <c r="K6" s="3184" t="s">
        <v>1237</v>
      </c>
      <c r="L6" s="3184"/>
      <c r="M6" s="3184"/>
      <c r="N6" s="3064" t="s">
        <v>1238</v>
      </c>
      <c r="O6" s="3164" t="s">
        <v>1239</v>
      </c>
      <c r="P6" s="877"/>
      <c r="Q6" s="877"/>
      <c r="R6" s="877"/>
      <c r="S6" s="877"/>
      <c r="T6" s="877"/>
      <c r="U6" s="877"/>
    </row>
    <row r="7" spans="1:21" ht="18" customHeight="1">
      <c r="A7" s="3163"/>
      <c r="B7" s="883" t="s">
        <v>1240</v>
      </c>
      <c r="C7" s="883" t="s">
        <v>1241</v>
      </c>
      <c r="D7" s="883" t="s">
        <v>557</v>
      </c>
      <c r="E7" s="883" t="s">
        <v>1240</v>
      </c>
      <c r="F7" s="883" t="s">
        <v>1241</v>
      </c>
      <c r="G7" s="883" t="s">
        <v>557</v>
      </c>
      <c r="H7" s="883" t="s">
        <v>1240</v>
      </c>
      <c r="I7" s="883" t="s">
        <v>1241</v>
      </c>
      <c r="J7" s="883" t="s">
        <v>557</v>
      </c>
      <c r="K7" s="883" t="s">
        <v>1240</v>
      </c>
      <c r="L7" s="883" t="s">
        <v>1241</v>
      </c>
      <c r="M7" s="883" t="s">
        <v>557</v>
      </c>
      <c r="N7" s="3064"/>
      <c r="O7" s="3164"/>
      <c r="P7" s="3050" t="s">
        <v>395</v>
      </c>
      <c r="Q7" s="3050"/>
      <c r="R7" s="877"/>
      <c r="S7" s="877"/>
      <c r="T7" s="877"/>
      <c r="U7" s="877"/>
    </row>
    <row r="8" spans="1:21" ht="23.1" customHeight="1">
      <c r="A8" s="886">
        <v>1</v>
      </c>
      <c r="B8" s="1184"/>
      <c r="C8" s="887">
        <f>IF(B8=0,0,D8/B8)</f>
        <v>0</v>
      </c>
      <c r="D8" s="1184"/>
      <c r="E8" s="1184"/>
      <c r="F8" s="887">
        <f t="shared" ref="F8:F19" si="0">IF(E8=0,0,G8/E8)</f>
        <v>0</v>
      </c>
      <c r="G8" s="1184"/>
      <c r="H8" s="1184"/>
      <c r="I8" s="887">
        <f>IF(AND(C8=0,F8=0),0,(D8+G8)/(B8+E8))</f>
        <v>0</v>
      </c>
      <c r="J8" s="887">
        <f>ROUND(H8*I8,2)</f>
        <v>0</v>
      </c>
      <c r="K8" s="887">
        <f t="shared" ref="K8:K19" si="1">B8+E8-H8</f>
        <v>0</v>
      </c>
      <c r="L8" s="887">
        <f t="shared" ref="L8:L19" si="2">IF(K8=0,0,M8/K8)</f>
        <v>0</v>
      </c>
      <c r="M8" s="887">
        <f t="shared" ref="M8:M19" si="3">D8+G8-J8</f>
        <v>0</v>
      </c>
      <c r="N8" s="1184"/>
      <c r="O8" s="888">
        <f t="shared" ref="O8:O19" si="4">M8-N8</f>
        <v>0</v>
      </c>
      <c r="P8" s="877"/>
      <c r="Q8" s="877"/>
      <c r="R8" s="877"/>
      <c r="S8" s="877"/>
      <c r="T8" s="877"/>
      <c r="U8" s="877"/>
    </row>
    <row r="9" spans="1:21" ht="23.1" customHeight="1">
      <c r="A9" s="889">
        <v>2</v>
      </c>
      <c r="B9" s="890">
        <f t="shared" ref="B9:B19" si="5">K8</f>
        <v>0</v>
      </c>
      <c r="C9" s="890">
        <f t="shared" ref="C9:C19" si="6">L8</f>
        <v>0</v>
      </c>
      <c r="D9" s="891">
        <f>M8</f>
        <v>0</v>
      </c>
      <c r="E9" s="1185"/>
      <c r="F9" s="890">
        <f t="shared" si="0"/>
        <v>0</v>
      </c>
      <c r="G9" s="1185"/>
      <c r="H9" s="1185"/>
      <c r="I9" s="890">
        <f>IF(AND(C9=0,F9=0),0,(D9+G9)/(B9+E9))</f>
        <v>0</v>
      </c>
      <c r="J9" s="890">
        <f>ROUND(H9*I9,2)</f>
        <v>0</v>
      </c>
      <c r="K9" s="890">
        <f t="shared" si="1"/>
        <v>0</v>
      </c>
      <c r="L9" s="890">
        <f t="shared" si="2"/>
        <v>0</v>
      </c>
      <c r="M9" s="890">
        <f t="shared" si="3"/>
        <v>0</v>
      </c>
      <c r="N9" s="1185"/>
      <c r="O9" s="892">
        <f t="shared" si="4"/>
        <v>0</v>
      </c>
      <c r="P9" s="877"/>
      <c r="Q9" s="877"/>
      <c r="R9" s="877"/>
      <c r="S9" s="877"/>
      <c r="T9" s="877"/>
      <c r="U9" s="877"/>
    </row>
    <row r="10" spans="1:21" ht="23.1" customHeight="1">
      <c r="A10" s="889">
        <v>3</v>
      </c>
      <c r="B10" s="890">
        <f t="shared" si="5"/>
        <v>0</v>
      </c>
      <c r="C10" s="890">
        <f t="shared" si="6"/>
        <v>0</v>
      </c>
      <c r="D10" s="891">
        <f t="shared" ref="D10:D19" si="7">M9</f>
        <v>0</v>
      </c>
      <c r="E10" s="1185"/>
      <c r="F10" s="890">
        <f t="shared" si="0"/>
        <v>0</v>
      </c>
      <c r="G10" s="1185"/>
      <c r="H10" s="1185"/>
      <c r="I10" s="890">
        <f t="shared" ref="I10:I19" si="8">IF(AND(C10=0,F10=0),0,(D10+G10)/(B10+E10))</f>
        <v>0</v>
      </c>
      <c r="J10" s="890">
        <f t="shared" ref="J10:J19" si="9">ROUND(H10*I10,2)</f>
        <v>0</v>
      </c>
      <c r="K10" s="890">
        <f t="shared" si="1"/>
        <v>0</v>
      </c>
      <c r="L10" s="890">
        <f t="shared" si="2"/>
        <v>0</v>
      </c>
      <c r="M10" s="890">
        <f t="shared" si="3"/>
        <v>0</v>
      </c>
      <c r="N10" s="1185"/>
      <c r="O10" s="892">
        <f t="shared" si="4"/>
        <v>0</v>
      </c>
      <c r="P10" s="877"/>
      <c r="Q10" s="877"/>
      <c r="R10" s="877"/>
      <c r="S10" s="877"/>
      <c r="T10" s="877"/>
      <c r="U10" s="877"/>
    </row>
    <row r="11" spans="1:21" ht="23.1" customHeight="1">
      <c r="A11" s="889">
        <v>4</v>
      </c>
      <c r="B11" s="890">
        <f t="shared" si="5"/>
        <v>0</v>
      </c>
      <c r="C11" s="890">
        <f t="shared" si="6"/>
        <v>0</v>
      </c>
      <c r="D11" s="891">
        <f t="shared" si="7"/>
        <v>0</v>
      </c>
      <c r="E11" s="1185"/>
      <c r="F11" s="890">
        <f t="shared" si="0"/>
        <v>0</v>
      </c>
      <c r="G11" s="1185"/>
      <c r="H11" s="1185"/>
      <c r="I11" s="890">
        <f t="shared" si="8"/>
        <v>0</v>
      </c>
      <c r="J11" s="890">
        <f t="shared" si="9"/>
        <v>0</v>
      </c>
      <c r="K11" s="890">
        <f t="shared" si="1"/>
        <v>0</v>
      </c>
      <c r="L11" s="890">
        <f t="shared" si="2"/>
        <v>0</v>
      </c>
      <c r="M11" s="890">
        <f t="shared" si="3"/>
        <v>0</v>
      </c>
      <c r="N11" s="1185"/>
      <c r="O11" s="892">
        <f t="shared" si="4"/>
        <v>0</v>
      </c>
      <c r="P11" s="877"/>
      <c r="Q11" s="877"/>
      <c r="R11" s="877"/>
      <c r="S11" s="877"/>
      <c r="T11" s="877"/>
      <c r="U11" s="877"/>
    </row>
    <row r="12" spans="1:21" ht="23.1" customHeight="1">
      <c r="A12" s="889">
        <v>5</v>
      </c>
      <c r="B12" s="890">
        <f t="shared" si="5"/>
        <v>0</v>
      </c>
      <c r="C12" s="890">
        <f t="shared" si="6"/>
        <v>0</v>
      </c>
      <c r="D12" s="891">
        <f t="shared" si="7"/>
        <v>0</v>
      </c>
      <c r="E12" s="1185"/>
      <c r="F12" s="890">
        <f t="shared" si="0"/>
        <v>0</v>
      </c>
      <c r="G12" s="1185"/>
      <c r="H12" s="1185"/>
      <c r="I12" s="890">
        <f t="shared" si="8"/>
        <v>0</v>
      </c>
      <c r="J12" s="890">
        <f t="shared" si="9"/>
        <v>0</v>
      </c>
      <c r="K12" s="890">
        <f t="shared" si="1"/>
        <v>0</v>
      </c>
      <c r="L12" s="890">
        <f t="shared" si="2"/>
        <v>0</v>
      </c>
      <c r="M12" s="890">
        <f t="shared" si="3"/>
        <v>0</v>
      </c>
      <c r="N12" s="1185"/>
      <c r="O12" s="892">
        <f t="shared" si="4"/>
        <v>0</v>
      </c>
      <c r="P12" s="877"/>
      <c r="Q12" s="877"/>
      <c r="R12" s="877"/>
      <c r="S12" s="877"/>
      <c r="T12" s="877"/>
      <c r="U12" s="877"/>
    </row>
    <row r="13" spans="1:21" ht="23.1" customHeight="1">
      <c r="A13" s="889">
        <v>6</v>
      </c>
      <c r="B13" s="890">
        <f t="shared" si="5"/>
        <v>0</v>
      </c>
      <c r="C13" s="890">
        <f t="shared" si="6"/>
        <v>0</v>
      </c>
      <c r="D13" s="891">
        <f t="shared" si="7"/>
        <v>0</v>
      </c>
      <c r="E13" s="1185"/>
      <c r="F13" s="890">
        <f t="shared" si="0"/>
        <v>0</v>
      </c>
      <c r="G13" s="1185"/>
      <c r="H13" s="1185"/>
      <c r="I13" s="890">
        <f t="shared" si="8"/>
        <v>0</v>
      </c>
      <c r="J13" s="890">
        <f t="shared" si="9"/>
        <v>0</v>
      </c>
      <c r="K13" s="890">
        <f t="shared" si="1"/>
        <v>0</v>
      </c>
      <c r="L13" s="890">
        <f t="shared" si="2"/>
        <v>0</v>
      </c>
      <c r="M13" s="890">
        <f t="shared" si="3"/>
        <v>0</v>
      </c>
      <c r="N13" s="1185"/>
      <c r="O13" s="892">
        <f t="shared" si="4"/>
        <v>0</v>
      </c>
      <c r="P13" s="877"/>
      <c r="Q13" s="877"/>
      <c r="R13" s="877"/>
      <c r="S13" s="877"/>
      <c r="T13" s="877"/>
      <c r="U13" s="877"/>
    </row>
    <row r="14" spans="1:21" ht="23.1" customHeight="1">
      <c r="A14" s="889">
        <v>7</v>
      </c>
      <c r="B14" s="890">
        <f t="shared" si="5"/>
        <v>0</v>
      </c>
      <c r="C14" s="890">
        <f t="shared" si="6"/>
        <v>0</v>
      </c>
      <c r="D14" s="891">
        <f t="shared" si="7"/>
        <v>0</v>
      </c>
      <c r="E14" s="1185"/>
      <c r="F14" s="890">
        <f t="shared" si="0"/>
        <v>0</v>
      </c>
      <c r="G14" s="1185"/>
      <c r="H14" s="1185"/>
      <c r="I14" s="890">
        <f t="shared" si="8"/>
        <v>0</v>
      </c>
      <c r="J14" s="890">
        <f t="shared" si="9"/>
        <v>0</v>
      </c>
      <c r="K14" s="890">
        <f t="shared" si="1"/>
        <v>0</v>
      </c>
      <c r="L14" s="890">
        <f t="shared" si="2"/>
        <v>0</v>
      </c>
      <c r="M14" s="890">
        <f t="shared" si="3"/>
        <v>0</v>
      </c>
      <c r="N14" s="1185"/>
      <c r="O14" s="892">
        <f t="shared" si="4"/>
        <v>0</v>
      </c>
      <c r="P14" s="877"/>
      <c r="Q14" s="877"/>
      <c r="R14" s="877"/>
      <c r="S14" s="877"/>
      <c r="T14" s="877"/>
      <c r="U14" s="877"/>
    </row>
    <row r="15" spans="1:21" ht="23.1" customHeight="1">
      <c r="A15" s="889">
        <v>8</v>
      </c>
      <c r="B15" s="890">
        <f t="shared" si="5"/>
        <v>0</v>
      </c>
      <c r="C15" s="890">
        <f t="shared" si="6"/>
        <v>0</v>
      </c>
      <c r="D15" s="891">
        <f t="shared" si="7"/>
        <v>0</v>
      </c>
      <c r="E15" s="1185"/>
      <c r="F15" s="890">
        <f t="shared" si="0"/>
        <v>0</v>
      </c>
      <c r="G15" s="1185"/>
      <c r="H15" s="1185"/>
      <c r="I15" s="890">
        <f t="shared" si="8"/>
        <v>0</v>
      </c>
      <c r="J15" s="890">
        <f t="shared" si="9"/>
        <v>0</v>
      </c>
      <c r="K15" s="890">
        <f t="shared" si="1"/>
        <v>0</v>
      </c>
      <c r="L15" s="890">
        <f t="shared" si="2"/>
        <v>0</v>
      </c>
      <c r="M15" s="890">
        <f t="shared" si="3"/>
        <v>0</v>
      </c>
      <c r="N15" s="1185"/>
      <c r="O15" s="892">
        <f t="shared" si="4"/>
        <v>0</v>
      </c>
      <c r="P15" s="877"/>
      <c r="Q15" s="877"/>
      <c r="R15" s="877"/>
      <c r="S15" s="877"/>
      <c r="T15" s="877"/>
      <c r="U15" s="877"/>
    </row>
    <row r="16" spans="1:21" ht="23.1" customHeight="1">
      <c r="A16" s="889">
        <v>9</v>
      </c>
      <c r="B16" s="890">
        <f t="shared" si="5"/>
        <v>0</v>
      </c>
      <c r="C16" s="890">
        <f t="shared" si="6"/>
        <v>0</v>
      </c>
      <c r="D16" s="891">
        <f t="shared" si="7"/>
        <v>0</v>
      </c>
      <c r="E16" s="1185"/>
      <c r="F16" s="890">
        <f t="shared" si="0"/>
        <v>0</v>
      </c>
      <c r="G16" s="1185"/>
      <c r="H16" s="1185"/>
      <c r="I16" s="890">
        <f t="shared" si="8"/>
        <v>0</v>
      </c>
      <c r="J16" s="890">
        <f t="shared" si="9"/>
        <v>0</v>
      </c>
      <c r="K16" s="890">
        <f t="shared" si="1"/>
        <v>0</v>
      </c>
      <c r="L16" s="890">
        <f t="shared" si="2"/>
        <v>0</v>
      </c>
      <c r="M16" s="890">
        <f t="shared" si="3"/>
        <v>0</v>
      </c>
      <c r="N16" s="1185"/>
      <c r="O16" s="892">
        <f t="shared" si="4"/>
        <v>0</v>
      </c>
      <c r="P16" s="877"/>
      <c r="Q16" s="877"/>
      <c r="R16" s="877"/>
      <c r="S16" s="877"/>
      <c r="T16" s="877"/>
      <c r="U16" s="877"/>
    </row>
    <row r="17" spans="1:21" ht="23.1" customHeight="1">
      <c r="A17" s="889">
        <v>10</v>
      </c>
      <c r="B17" s="890">
        <f t="shared" si="5"/>
        <v>0</v>
      </c>
      <c r="C17" s="890">
        <f t="shared" si="6"/>
        <v>0</v>
      </c>
      <c r="D17" s="891">
        <f t="shared" si="7"/>
        <v>0</v>
      </c>
      <c r="E17" s="1185"/>
      <c r="F17" s="890">
        <f t="shared" si="0"/>
        <v>0</v>
      </c>
      <c r="G17" s="1185"/>
      <c r="H17" s="1185"/>
      <c r="I17" s="890">
        <f t="shared" si="8"/>
        <v>0</v>
      </c>
      <c r="J17" s="890">
        <f t="shared" si="9"/>
        <v>0</v>
      </c>
      <c r="K17" s="890">
        <f t="shared" si="1"/>
        <v>0</v>
      </c>
      <c r="L17" s="890">
        <f t="shared" si="2"/>
        <v>0</v>
      </c>
      <c r="M17" s="890">
        <f t="shared" si="3"/>
        <v>0</v>
      </c>
      <c r="N17" s="1185"/>
      <c r="O17" s="892">
        <f t="shared" si="4"/>
        <v>0</v>
      </c>
      <c r="P17" s="877"/>
      <c r="Q17" s="877"/>
      <c r="R17" s="877"/>
      <c r="S17" s="877"/>
      <c r="T17" s="877"/>
      <c r="U17" s="877"/>
    </row>
    <row r="18" spans="1:21" ht="23.1" customHeight="1">
      <c r="A18" s="889">
        <v>11</v>
      </c>
      <c r="B18" s="890">
        <f t="shared" si="5"/>
        <v>0</v>
      </c>
      <c r="C18" s="890">
        <f t="shared" si="6"/>
        <v>0</v>
      </c>
      <c r="D18" s="891">
        <f t="shared" si="7"/>
        <v>0</v>
      </c>
      <c r="E18" s="1185"/>
      <c r="F18" s="890">
        <f t="shared" si="0"/>
        <v>0</v>
      </c>
      <c r="G18" s="1185"/>
      <c r="H18" s="1185"/>
      <c r="I18" s="890">
        <f t="shared" si="8"/>
        <v>0</v>
      </c>
      <c r="J18" s="890">
        <f t="shared" si="9"/>
        <v>0</v>
      </c>
      <c r="K18" s="890">
        <f t="shared" si="1"/>
        <v>0</v>
      </c>
      <c r="L18" s="890">
        <f t="shared" si="2"/>
        <v>0</v>
      </c>
      <c r="M18" s="890">
        <f t="shared" si="3"/>
        <v>0</v>
      </c>
      <c r="N18" s="1185"/>
      <c r="O18" s="892">
        <f t="shared" si="4"/>
        <v>0</v>
      </c>
      <c r="P18" s="877"/>
      <c r="Q18" s="877"/>
      <c r="R18" s="877"/>
      <c r="S18" s="877"/>
      <c r="T18" s="877"/>
      <c r="U18" s="877"/>
    </row>
    <row r="19" spans="1:21" ht="23.1" customHeight="1">
      <c r="A19" s="893">
        <v>12</v>
      </c>
      <c r="B19" s="894">
        <f t="shared" si="5"/>
        <v>0</v>
      </c>
      <c r="C19" s="894">
        <f t="shared" si="6"/>
        <v>0</v>
      </c>
      <c r="D19" s="891">
        <f t="shared" si="7"/>
        <v>0</v>
      </c>
      <c r="E19" s="1186"/>
      <c r="F19" s="894">
        <f t="shared" si="0"/>
        <v>0</v>
      </c>
      <c r="G19" s="1186"/>
      <c r="H19" s="1186"/>
      <c r="I19" s="890">
        <f t="shared" si="8"/>
        <v>0</v>
      </c>
      <c r="J19" s="890">
        <f t="shared" si="9"/>
        <v>0</v>
      </c>
      <c r="K19" s="894">
        <f t="shared" si="1"/>
        <v>0</v>
      </c>
      <c r="L19" s="894">
        <f t="shared" si="2"/>
        <v>0</v>
      </c>
      <c r="M19" s="894">
        <f t="shared" si="3"/>
        <v>0</v>
      </c>
      <c r="N19" s="1186"/>
      <c r="O19" s="895">
        <f t="shared" si="4"/>
        <v>0</v>
      </c>
      <c r="P19" s="877"/>
      <c r="Q19" s="877"/>
      <c r="R19" s="877"/>
      <c r="S19" s="877"/>
      <c r="T19" s="877"/>
      <c r="U19" s="877"/>
    </row>
    <row r="20" spans="1:21" ht="23.1" customHeight="1">
      <c r="A20" s="896" t="s">
        <v>702</v>
      </c>
      <c r="B20" s="897" t="s">
        <v>1242</v>
      </c>
      <c r="C20" s="897" t="s">
        <v>1242</v>
      </c>
      <c r="D20" s="897" t="s">
        <v>1242</v>
      </c>
      <c r="E20" s="897">
        <f>SUM(E8:E19)</f>
        <v>0</v>
      </c>
      <c r="F20" s="897" t="s">
        <v>1242</v>
      </c>
      <c r="G20" s="897">
        <f>SUM(G8:G19)</f>
        <v>0</v>
      </c>
      <c r="H20" s="897">
        <f>SUM(H8:H19)</f>
        <v>0</v>
      </c>
      <c r="I20" s="897" t="s">
        <v>1242</v>
      </c>
      <c r="J20" s="897">
        <f>SUM(J8:J19)</f>
        <v>0</v>
      </c>
      <c r="K20" s="897" t="s">
        <v>1242</v>
      </c>
      <c r="L20" s="897" t="s">
        <v>1242</v>
      </c>
      <c r="M20" s="897" t="s">
        <v>1242</v>
      </c>
      <c r="N20" s="897" t="s">
        <v>1242</v>
      </c>
      <c r="O20" s="898">
        <f>O19</f>
        <v>0</v>
      </c>
      <c r="P20" s="877"/>
      <c r="Q20" s="877"/>
      <c r="R20" s="877"/>
      <c r="S20" s="877"/>
      <c r="T20" s="877"/>
      <c r="U20" s="877"/>
    </row>
    <row r="21" spans="1:21" ht="4.5" customHeight="1">
      <c r="A21" s="899"/>
      <c r="B21" s="899"/>
      <c r="C21" s="899"/>
      <c r="D21" s="899"/>
      <c r="E21" s="899"/>
      <c r="F21" s="899"/>
      <c r="G21" s="899"/>
      <c r="H21" s="899"/>
      <c r="I21" s="899"/>
      <c r="J21" s="899"/>
      <c r="K21" s="899"/>
      <c r="L21" s="899"/>
      <c r="M21" s="899"/>
      <c r="N21" s="899"/>
      <c r="O21" s="899"/>
      <c r="P21" s="877"/>
      <c r="Q21" s="877"/>
      <c r="R21" s="877"/>
      <c r="S21" s="877"/>
      <c r="T21" s="877"/>
      <c r="U21" s="877"/>
    </row>
  </sheetData>
  <sheetProtection selectLockedCells="1" selectUnlockedCells="1"/>
  <mergeCells count="15">
    <mergeCell ref="A4:I4"/>
    <mergeCell ref="M4:N4"/>
    <mergeCell ref="A1:O1"/>
    <mergeCell ref="A2:I2"/>
    <mergeCell ref="A3:I3"/>
    <mergeCell ref="M3:N3"/>
    <mergeCell ref="P7:Q7"/>
    <mergeCell ref="A5:O5"/>
    <mergeCell ref="A6:A7"/>
    <mergeCell ref="B6:D6"/>
    <mergeCell ref="E6:G6"/>
    <mergeCell ref="H6:J6"/>
    <mergeCell ref="K6:M6"/>
    <mergeCell ref="N6:N7"/>
    <mergeCell ref="O6:O7"/>
  </mergeCells>
  <phoneticPr fontId="51" type="noConversion"/>
  <dataValidations count="1">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M61"/>
  <sheetViews>
    <sheetView workbookViewId="0">
      <selection activeCell="C12" sqref="C12"/>
    </sheetView>
  </sheetViews>
  <sheetFormatPr defaultRowHeight="15.6"/>
  <cols>
    <col min="1" max="1" width="4.59765625" style="771" customWidth="1"/>
    <col min="2" max="2" width="13.3984375" style="771" customWidth="1"/>
    <col min="3" max="3" width="12.8984375" style="771" customWidth="1"/>
    <col min="4" max="4" width="9.19921875" style="771" customWidth="1"/>
    <col min="5" max="5" width="12" style="771" customWidth="1"/>
    <col min="6" max="6" width="11.3984375" style="771" customWidth="1"/>
    <col min="7" max="7" width="12" style="771" customWidth="1"/>
    <col min="8" max="8" width="10.8984375" style="771" customWidth="1"/>
    <col min="9" max="9" width="39" customWidth="1"/>
  </cols>
  <sheetData>
    <row r="1" spans="1:13" ht="27.75" customHeight="1">
      <c r="A1" s="2785" t="s">
        <v>312</v>
      </c>
      <c r="B1" s="2785"/>
      <c r="C1" s="2785"/>
      <c r="D1" s="2785"/>
      <c r="E1" s="2785"/>
      <c r="F1" s="2785"/>
      <c r="G1" s="2785"/>
      <c r="H1" s="2785"/>
      <c r="I1" s="3596"/>
      <c r="J1" s="84"/>
      <c r="K1" s="84"/>
      <c r="L1" s="84"/>
      <c r="M1" s="84"/>
    </row>
    <row r="2" spans="1:13" s="649" customFormat="1" ht="15" customHeight="1">
      <c r="A2" s="3223" t="str">
        <f>"委托单位："&amp;基本情况!$B$2</f>
        <v>委托单位：0</v>
      </c>
      <c r="B2" s="3223"/>
      <c r="C2" s="3223"/>
      <c r="D2" s="569"/>
      <c r="E2" s="136" t="s">
        <v>9</v>
      </c>
      <c r="F2" s="136" t="s">
        <v>882</v>
      </c>
      <c r="G2" s="3597" t="s">
        <v>283</v>
      </c>
      <c r="H2" s="3597"/>
      <c r="I2" s="3596"/>
      <c r="J2" s="648"/>
      <c r="K2" s="648"/>
      <c r="L2" s="648"/>
      <c r="M2" s="648"/>
    </row>
    <row r="3" spans="1:13" s="649" customFormat="1" ht="15" customHeight="1">
      <c r="A3" s="3223"/>
      <c r="B3" s="3223"/>
      <c r="C3" s="3223"/>
      <c r="D3" s="158" t="s">
        <v>450</v>
      </c>
      <c r="E3" s="510">
        <f>基本情况!B12</f>
        <v>0</v>
      </c>
      <c r="F3" s="559" t="str">
        <f>TEXT(基本情况!B21,"yyyy-mm-dd")</f>
        <v>2017-03-16</v>
      </c>
      <c r="G3" s="3138" t="str">
        <f>档案索引!D26</f>
        <v>3-5</v>
      </c>
      <c r="H3" s="3138"/>
      <c r="I3" s="3596"/>
      <c r="J3" s="648"/>
      <c r="K3" s="648"/>
      <c r="L3" s="648"/>
      <c r="M3" s="648"/>
    </row>
    <row r="4" spans="1:13" s="649" customFormat="1" ht="15" customHeight="1">
      <c r="A4" s="3598" t="str">
        <f>"会计期间："&amp;基本情况!$B$7</f>
        <v>会计期间：2016年01月01日至2016年12月31日</v>
      </c>
      <c r="B4" s="3598"/>
      <c r="C4" s="3598"/>
      <c r="D4" s="140" t="s">
        <v>452</v>
      </c>
      <c r="E4" s="513">
        <f>基本情况!B11</f>
        <v>0</v>
      </c>
      <c r="F4" s="513" t="str">
        <f>TEXT(基本情况!B22,"yyyy-mm-dd")</f>
        <v>2017-05-04</v>
      </c>
      <c r="G4" s="3138"/>
      <c r="H4" s="3138"/>
      <c r="I4" s="3596"/>
      <c r="J4" s="648"/>
      <c r="K4" s="648"/>
      <c r="L4" s="648"/>
      <c r="M4" s="648"/>
    </row>
    <row r="5" spans="1:13" s="502" customFormat="1" ht="6.75" customHeight="1">
      <c r="A5" s="3133"/>
      <c r="B5" s="3133"/>
      <c r="C5" s="3133"/>
      <c r="D5" s="3133"/>
      <c r="E5" s="3133"/>
      <c r="F5" s="3133"/>
      <c r="G5" s="3133"/>
      <c r="H5" s="3133"/>
      <c r="I5" s="144"/>
      <c r="J5" s="144"/>
      <c r="K5" s="144"/>
      <c r="L5" s="144"/>
      <c r="M5" s="144"/>
    </row>
    <row r="6" spans="1:13" s="502" customFormat="1" ht="14.25" customHeight="1">
      <c r="A6" s="3051"/>
      <c r="B6" s="3063" t="s">
        <v>156</v>
      </c>
      <c r="C6" s="3063" t="s">
        <v>157</v>
      </c>
      <c r="D6" s="3064" t="s">
        <v>158</v>
      </c>
      <c r="E6" s="2929" t="s">
        <v>159</v>
      </c>
      <c r="F6" s="2929"/>
      <c r="G6" s="2929"/>
      <c r="H6" s="2995" t="s">
        <v>455</v>
      </c>
      <c r="I6" s="144"/>
      <c r="J6" s="144"/>
      <c r="K6" s="144"/>
      <c r="L6" s="144"/>
      <c r="M6" s="144"/>
    </row>
    <row r="7" spans="1:13" s="502" customFormat="1" ht="14.25" customHeight="1">
      <c r="A7" s="3051"/>
      <c r="B7" s="3063"/>
      <c r="C7" s="3063"/>
      <c r="D7" s="3064"/>
      <c r="E7" s="140" t="s">
        <v>160</v>
      </c>
      <c r="F7" s="140" t="s">
        <v>980</v>
      </c>
      <c r="G7" s="140" t="s">
        <v>502</v>
      </c>
      <c r="H7" s="2995"/>
      <c r="I7" s="90" t="s">
        <v>395</v>
      </c>
      <c r="J7" s="144"/>
      <c r="K7" s="144"/>
      <c r="L7" s="144"/>
      <c r="M7" s="144"/>
    </row>
    <row r="8" spans="1:13" s="502" customFormat="1" ht="18" customHeight="1">
      <c r="A8" s="3595" t="s">
        <v>161</v>
      </c>
      <c r="B8" s="900" t="s">
        <v>1270</v>
      </c>
      <c r="C8" s="901">
        <f>收入与申报核对表!G14</f>
        <v>0</v>
      </c>
      <c r="D8" s="902">
        <v>0.2</v>
      </c>
      <c r="E8" s="1118"/>
      <c r="F8" s="903">
        <f>G8-E8</f>
        <v>0</v>
      </c>
      <c r="G8" s="903">
        <f t="shared" ref="G8:G41" si="0">IF(AND(C8*D8-E8&lt;3,C8*D8-E8&gt;-3),E8,ROUND(C8*D8,2))</f>
        <v>0</v>
      </c>
      <c r="H8" s="703" t="s">
        <v>162</v>
      </c>
      <c r="I8" s="232" t="s">
        <v>653</v>
      </c>
      <c r="J8" s="144"/>
      <c r="K8" s="144"/>
      <c r="L8" s="144"/>
      <c r="M8" s="144"/>
    </row>
    <row r="9" spans="1:13" s="502" customFormat="1" ht="18" customHeight="1">
      <c r="A9" s="3595"/>
      <c r="B9" s="904" t="s">
        <v>1270</v>
      </c>
      <c r="C9" s="901">
        <f>收入与申报核对表!G15</f>
        <v>0</v>
      </c>
      <c r="D9" s="905">
        <v>0.2</v>
      </c>
      <c r="E9" s="1120"/>
      <c r="F9" s="525">
        <f t="shared" ref="F9:F41" si="1">G9-E9</f>
        <v>0</v>
      </c>
      <c r="G9" s="525">
        <f t="shared" si="0"/>
        <v>0</v>
      </c>
      <c r="H9" s="906" t="s">
        <v>163</v>
      </c>
      <c r="I9" s="232" t="s">
        <v>1291</v>
      </c>
      <c r="J9" s="144"/>
      <c r="K9" s="144"/>
      <c r="L9" s="144"/>
      <c r="M9" s="144"/>
    </row>
    <row r="10" spans="1:13" s="502" customFormat="1" ht="18" customHeight="1">
      <c r="A10" s="3595"/>
      <c r="B10" s="904" t="s">
        <v>1270</v>
      </c>
      <c r="C10" s="901">
        <f>收入与申报核对表!G16</f>
        <v>0</v>
      </c>
      <c r="D10" s="905">
        <v>0.1</v>
      </c>
      <c r="E10" s="1120"/>
      <c r="F10" s="525">
        <f t="shared" si="1"/>
        <v>0</v>
      </c>
      <c r="G10" s="525">
        <f t="shared" si="0"/>
        <v>0</v>
      </c>
      <c r="H10" s="906" t="s">
        <v>164</v>
      </c>
      <c r="I10" s="232" t="s">
        <v>1288</v>
      </c>
      <c r="J10" s="144"/>
      <c r="K10" s="144"/>
      <c r="L10" s="144"/>
      <c r="M10" s="144"/>
    </row>
    <row r="11" spans="1:13" s="502" customFormat="1" ht="18" customHeight="1">
      <c r="A11" s="3595"/>
      <c r="B11" s="904" t="s">
        <v>1270</v>
      </c>
      <c r="C11" s="901">
        <f>收入与申报核对表!G17</f>
        <v>0</v>
      </c>
      <c r="D11" s="905">
        <v>0.05</v>
      </c>
      <c r="E11" s="1120"/>
      <c r="F11" s="525">
        <f>G11-E11</f>
        <v>0</v>
      </c>
      <c r="G11" s="525">
        <f t="shared" si="0"/>
        <v>0</v>
      </c>
      <c r="H11" s="164" t="s">
        <v>165</v>
      </c>
      <c r="I11" s="493" t="s">
        <v>648</v>
      </c>
      <c r="J11" s="144"/>
      <c r="K11" s="144"/>
      <c r="L11" s="144"/>
      <c r="M11" s="144"/>
    </row>
    <row r="12" spans="1:13" s="502" customFormat="1" ht="18" customHeight="1">
      <c r="A12" s="3595"/>
      <c r="B12" s="904" t="s">
        <v>1270</v>
      </c>
      <c r="C12" s="518">
        <f>收入与申报核对表!G20</f>
        <v>0</v>
      </c>
      <c r="D12" s="905">
        <v>0.05</v>
      </c>
      <c r="E12" s="1120"/>
      <c r="F12" s="525">
        <f t="shared" si="1"/>
        <v>0</v>
      </c>
      <c r="G12" s="525">
        <f t="shared" si="0"/>
        <v>0</v>
      </c>
      <c r="H12" s="906" t="s">
        <v>166</v>
      </c>
      <c r="I12" s="493" t="s">
        <v>676</v>
      </c>
      <c r="J12" s="144"/>
      <c r="K12" s="144"/>
      <c r="L12" s="144"/>
      <c r="M12" s="144"/>
    </row>
    <row r="13" spans="1:13" s="502" customFormat="1" ht="18" customHeight="1">
      <c r="A13" s="3595"/>
      <c r="B13" s="904" t="s">
        <v>1270</v>
      </c>
      <c r="C13" s="518">
        <f>收入与申报核对表!G21</f>
        <v>0</v>
      </c>
      <c r="D13" s="905">
        <v>0.03</v>
      </c>
      <c r="E13" s="1120"/>
      <c r="F13" s="525">
        <f t="shared" si="1"/>
        <v>0</v>
      </c>
      <c r="G13" s="525">
        <f t="shared" si="0"/>
        <v>0</v>
      </c>
      <c r="H13" s="164" t="s">
        <v>167</v>
      </c>
      <c r="I13" s="232" t="s">
        <v>296</v>
      </c>
      <c r="J13" s="144"/>
      <c r="K13" s="144"/>
      <c r="L13" s="144"/>
      <c r="M13" s="144"/>
    </row>
    <row r="14" spans="1:13" s="502" customFormat="1" ht="18" customHeight="1">
      <c r="A14" s="3595"/>
      <c r="B14" s="904" t="s">
        <v>1271</v>
      </c>
      <c r="C14" s="525">
        <f t="shared" ref="C14:C19" si="2">G8</f>
        <v>0</v>
      </c>
      <c r="D14" s="905">
        <v>7.0000000000000007E-2</v>
      </c>
      <c r="E14" s="1120"/>
      <c r="F14" s="525">
        <f t="shared" si="1"/>
        <v>0</v>
      </c>
      <c r="G14" s="525">
        <f t="shared" si="0"/>
        <v>0</v>
      </c>
      <c r="H14" s="703" t="s">
        <v>162</v>
      </c>
      <c r="I14" s="232" t="s">
        <v>679</v>
      </c>
      <c r="J14" s="144"/>
      <c r="K14" s="144"/>
      <c r="L14" s="144"/>
      <c r="M14" s="144"/>
    </row>
    <row r="15" spans="1:13" s="502" customFormat="1" ht="18" customHeight="1">
      <c r="A15" s="3595"/>
      <c r="B15" s="904" t="s">
        <v>1271</v>
      </c>
      <c r="C15" s="525">
        <f t="shared" si="2"/>
        <v>0</v>
      </c>
      <c r="D15" s="905">
        <v>7.0000000000000007E-2</v>
      </c>
      <c r="E15" s="1120"/>
      <c r="F15" s="525">
        <f t="shared" si="1"/>
        <v>0</v>
      </c>
      <c r="G15" s="525">
        <f t="shared" si="0"/>
        <v>0</v>
      </c>
      <c r="H15" s="906" t="s">
        <v>163</v>
      </c>
      <c r="I15" s="232" t="s">
        <v>642</v>
      </c>
      <c r="J15" s="144"/>
      <c r="K15" s="144"/>
      <c r="L15" s="144"/>
      <c r="M15" s="144"/>
    </row>
    <row r="16" spans="1:13" s="502" customFormat="1" ht="18" customHeight="1">
      <c r="A16" s="3595"/>
      <c r="B16" s="904" t="s">
        <v>1271</v>
      </c>
      <c r="C16" s="525">
        <f t="shared" si="2"/>
        <v>0</v>
      </c>
      <c r="D16" s="905">
        <v>7.0000000000000007E-2</v>
      </c>
      <c r="E16" s="1120"/>
      <c r="F16" s="525">
        <f>G16-E16</f>
        <v>0</v>
      </c>
      <c r="G16" s="525">
        <f>IF(AND(C16*D16-E16&lt;3,C16*D16-E16&gt;-3),E16,ROUND(C16*D16,2))</f>
        <v>0</v>
      </c>
      <c r="H16" s="906" t="s">
        <v>164</v>
      </c>
      <c r="I16" s="232" t="s">
        <v>13</v>
      </c>
      <c r="J16" s="144"/>
      <c r="K16" s="144"/>
      <c r="L16" s="144"/>
      <c r="M16" s="144"/>
    </row>
    <row r="17" spans="1:13" s="502" customFormat="1" ht="18" customHeight="1">
      <c r="A17" s="3595"/>
      <c r="B17" s="904" t="s">
        <v>1271</v>
      </c>
      <c r="C17" s="525">
        <f t="shared" si="2"/>
        <v>0</v>
      </c>
      <c r="D17" s="905">
        <v>7.0000000000000007E-2</v>
      </c>
      <c r="E17" s="1120"/>
      <c r="F17" s="525">
        <f t="shared" si="1"/>
        <v>0</v>
      </c>
      <c r="G17" s="525">
        <f t="shared" si="0"/>
        <v>0</v>
      </c>
      <c r="H17" s="164" t="s">
        <v>165</v>
      </c>
      <c r="I17" s="493"/>
      <c r="J17" s="144"/>
      <c r="K17" s="144"/>
      <c r="L17" s="144"/>
      <c r="M17" s="144"/>
    </row>
    <row r="18" spans="1:13" s="502" customFormat="1" ht="18" customHeight="1">
      <c r="A18" s="3595"/>
      <c r="B18" s="904" t="s">
        <v>1271</v>
      </c>
      <c r="C18" s="525">
        <f t="shared" si="2"/>
        <v>0</v>
      </c>
      <c r="D18" s="905">
        <v>7.0000000000000007E-2</v>
      </c>
      <c r="E18" s="1120"/>
      <c r="F18" s="525">
        <f t="shared" si="1"/>
        <v>0</v>
      </c>
      <c r="G18" s="525">
        <f t="shared" si="0"/>
        <v>0</v>
      </c>
      <c r="H18" s="906" t="s">
        <v>166</v>
      </c>
      <c r="I18" s="232" t="s">
        <v>14</v>
      </c>
      <c r="J18" s="144"/>
      <c r="K18" s="144"/>
      <c r="L18" s="144"/>
      <c r="M18" s="144"/>
    </row>
    <row r="19" spans="1:13" s="502" customFormat="1" ht="18" customHeight="1">
      <c r="A19" s="3595"/>
      <c r="B19" s="904" t="s">
        <v>1271</v>
      </c>
      <c r="C19" s="525">
        <f t="shared" si="2"/>
        <v>0</v>
      </c>
      <c r="D19" s="905">
        <v>7.0000000000000007E-2</v>
      </c>
      <c r="E19" s="1120"/>
      <c r="F19" s="525">
        <f t="shared" si="1"/>
        <v>0</v>
      </c>
      <c r="G19" s="525">
        <f t="shared" si="0"/>
        <v>0</v>
      </c>
      <c r="H19" s="164" t="s">
        <v>167</v>
      </c>
      <c r="I19" s="493"/>
      <c r="J19" s="144"/>
      <c r="K19" s="144"/>
      <c r="L19" s="144"/>
      <c r="M19" s="144"/>
    </row>
    <row r="20" spans="1:13" s="502" customFormat="1" ht="18" customHeight="1">
      <c r="A20" s="3595"/>
      <c r="B20" s="904" t="s">
        <v>168</v>
      </c>
      <c r="C20" s="525">
        <f t="shared" ref="C20:C25" si="3">G8</f>
        <v>0</v>
      </c>
      <c r="D20" s="905">
        <v>0.03</v>
      </c>
      <c r="E20" s="1120"/>
      <c r="F20" s="525">
        <f t="shared" si="1"/>
        <v>0</v>
      </c>
      <c r="G20" s="525">
        <f t="shared" si="0"/>
        <v>0</v>
      </c>
      <c r="H20" s="703" t="s">
        <v>162</v>
      </c>
      <c r="I20" s="493"/>
      <c r="J20" s="144"/>
      <c r="K20" s="144"/>
      <c r="L20" s="144"/>
      <c r="M20" s="144"/>
    </row>
    <row r="21" spans="1:13" s="502" customFormat="1" ht="18" customHeight="1">
      <c r="A21" s="3595"/>
      <c r="B21" s="904" t="s">
        <v>168</v>
      </c>
      <c r="C21" s="525">
        <f t="shared" si="3"/>
        <v>0</v>
      </c>
      <c r="D21" s="905">
        <v>0.03</v>
      </c>
      <c r="E21" s="1120"/>
      <c r="F21" s="525">
        <f t="shared" si="1"/>
        <v>0</v>
      </c>
      <c r="G21" s="525">
        <f t="shared" si="0"/>
        <v>0</v>
      </c>
      <c r="H21" s="906" t="s">
        <v>163</v>
      </c>
      <c r="I21" s="493"/>
      <c r="J21" s="144"/>
      <c r="K21" s="144"/>
      <c r="L21" s="144"/>
      <c r="M21" s="144"/>
    </row>
    <row r="22" spans="1:13" s="502" customFormat="1" ht="18" customHeight="1">
      <c r="A22" s="3595"/>
      <c r="B22" s="904" t="s">
        <v>168</v>
      </c>
      <c r="C22" s="525">
        <f t="shared" si="3"/>
        <v>0</v>
      </c>
      <c r="D22" s="905">
        <v>0.03</v>
      </c>
      <c r="E22" s="1120"/>
      <c r="F22" s="525">
        <f>G22-E22</f>
        <v>0</v>
      </c>
      <c r="G22" s="525">
        <f>IF(AND(C22*D22-E22&lt;3,C22*D22-E22&gt;-3),E22,ROUND(C22*D22,2))</f>
        <v>0</v>
      </c>
      <c r="H22" s="906" t="s">
        <v>164</v>
      </c>
      <c r="I22" s="493"/>
      <c r="J22" s="144"/>
      <c r="K22" s="144"/>
      <c r="L22" s="144"/>
      <c r="M22" s="144"/>
    </row>
    <row r="23" spans="1:13" s="502" customFormat="1" ht="18" customHeight="1">
      <c r="A23" s="3595"/>
      <c r="B23" s="904" t="s">
        <v>168</v>
      </c>
      <c r="C23" s="525">
        <f t="shared" si="3"/>
        <v>0</v>
      </c>
      <c r="D23" s="905">
        <v>0.03</v>
      </c>
      <c r="E23" s="1120"/>
      <c r="F23" s="525">
        <f t="shared" si="1"/>
        <v>0</v>
      </c>
      <c r="G23" s="525">
        <f t="shared" si="0"/>
        <v>0</v>
      </c>
      <c r="H23" s="164" t="s">
        <v>165</v>
      </c>
      <c r="I23" s="907" t="s">
        <v>169</v>
      </c>
      <c r="J23" s="144"/>
      <c r="K23" s="144"/>
      <c r="L23" s="144"/>
      <c r="M23" s="144"/>
    </row>
    <row r="24" spans="1:13" s="502" customFormat="1" ht="18" customHeight="1">
      <c r="A24" s="3595"/>
      <c r="B24" s="904" t="s">
        <v>168</v>
      </c>
      <c r="C24" s="525">
        <f t="shared" si="3"/>
        <v>0</v>
      </c>
      <c r="D24" s="905">
        <v>0.03</v>
      </c>
      <c r="E24" s="1120"/>
      <c r="F24" s="525">
        <f t="shared" si="1"/>
        <v>0</v>
      </c>
      <c r="G24" s="525">
        <f t="shared" si="0"/>
        <v>0</v>
      </c>
      <c r="H24" s="906" t="s">
        <v>166</v>
      </c>
      <c r="I24" s="3530" t="s">
        <v>170</v>
      </c>
      <c r="J24" s="3530"/>
      <c r="K24" s="3530"/>
      <c r="L24" s="3530"/>
      <c r="M24" s="908"/>
    </row>
    <row r="25" spans="1:13" s="502" customFormat="1" ht="18" customHeight="1">
      <c r="A25" s="3595"/>
      <c r="B25" s="904" t="s">
        <v>168</v>
      </c>
      <c r="C25" s="525">
        <f t="shared" si="3"/>
        <v>0</v>
      </c>
      <c r="D25" s="905">
        <v>0.03</v>
      </c>
      <c r="E25" s="1120"/>
      <c r="F25" s="525">
        <f t="shared" si="1"/>
        <v>0</v>
      </c>
      <c r="G25" s="525">
        <f t="shared" si="0"/>
        <v>0</v>
      </c>
      <c r="H25" s="164" t="s">
        <v>167</v>
      </c>
      <c r="I25" s="3530"/>
      <c r="J25" s="3530"/>
      <c r="K25" s="3530"/>
      <c r="L25" s="3530"/>
      <c r="M25" s="908"/>
    </row>
    <row r="26" spans="1:13" s="502" customFormat="1" ht="18" customHeight="1">
      <c r="A26" s="3595"/>
      <c r="B26" s="904" t="s">
        <v>1273</v>
      </c>
      <c r="C26" s="525">
        <f t="shared" ref="C26:C31" si="4">G8</f>
        <v>0</v>
      </c>
      <c r="D26" s="905">
        <v>0.02</v>
      </c>
      <c r="E26" s="1120"/>
      <c r="F26" s="525">
        <f t="shared" si="1"/>
        <v>0</v>
      </c>
      <c r="G26" s="525">
        <f t="shared" si="0"/>
        <v>0</v>
      </c>
      <c r="H26" s="703" t="s">
        <v>162</v>
      </c>
      <c r="I26" s="3530"/>
      <c r="J26" s="3530"/>
      <c r="K26" s="3530"/>
      <c r="L26" s="3530"/>
      <c r="M26" s="908"/>
    </row>
    <row r="27" spans="1:13" s="502" customFormat="1" ht="18" customHeight="1">
      <c r="A27" s="3595"/>
      <c r="B27" s="904" t="s">
        <v>1273</v>
      </c>
      <c r="C27" s="525">
        <f t="shared" si="4"/>
        <v>0</v>
      </c>
      <c r="D27" s="905">
        <v>0.02</v>
      </c>
      <c r="E27" s="1120"/>
      <c r="F27" s="525">
        <f t="shared" si="1"/>
        <v>0</v>
      </c>
      <c r="G27" s="525">
        <f t="shared" si="0"/>
        <v>0</v>
      </c>
      <c r="H27" s="906" t="s">
        <v>163</v>
      </c>
      <c r="I27" s="3530"/>
      <c r="J27" s="3530"/>
      <c r="K27" s="3530"/>
      <c r="L27" s="3530"/>
      <c r="M27" s="908"/>
    </row>
    <row r="28" spans="1:13" s="502" customFormat="1" ht="18" customHeight="1">
      <c r="A28" s="3595"/>
      <c r="B28" s="904" t="s">
        <v>1273</v>
      </c>
      <c r="C28" s="525">
        <f t="shared" si="4"/>
        <v>0</v>
      </c>
      <c r="D28" s="905">
        <v>0.02</v>
      </c>
      <c r="E28" s="1120"/>
      <c r="F28" s="525">
        <f>G28-E28</f>
        <v>0</v>
      </c>
      <c r="G28" s="525">
        <f>IF(AND(C28*D28-E28&lt;3,C28*D28-E28&gt;-3),E28,ROUND(C28*D28,2))</f>
        <v>0</v>
      </c>
      <c r="H28" s="906" t="s">
        <v>164</v>
      </c>
      <c r="I28" s="3530"/>
      <c r="J28" s="3530"/>
      <c r="K28" s="3530"/>
      <c r="L28" s="3530"/>
      <c r="M28" s="908"/>
    </row>
    <row r="29" spans="1:13" s="502" customFormat="1" ht="18" customHeight="1">
      <c r="A29" s="3595"/>
      <c r="B29" s="904" t="s">
        <v>1273</v>
      </c>
      <c r="C29" s="525">
        <f t="shared" si="4"/>
        <v>0</v>
      </c>
      <c r="D29" s="905">
        <v>0.02</v>
      </c>
      <c r="E29" s="1120"/>
      <c r="F29" s="525">
        <f t="shared" si="1"/>
        <v>0</v>
      </c>
      <c r="G29" s="525">
        <f t="shared" si="0"/>
        <v>0</v>
      </c>
      <c r="H29" s="164" t="s">
        <v>165</v>
      </c>
      <c r="I29" s="3530"/>
      <c r="J29" s="3530"/>
      <c r="K29" s="3530"/>
      <c r="L29" s="3530"/>
      <c r="M29" s="908"/>
    </row>
    <row r="30" spans="1:13" s="502" customFormat="1" ht="18" customHeight="1">
      <c r="A30" s="3595"/>
      <c r="B30" s="904" t="s">
        <v>1273</v>
      </c>
      <c r="C30" s="525">
        <f t="shared" si="4"/>
        <v>0</v>
      </c>
      <c r="D30" s="905">
        <v>0.02</v>
      </c>
      <c r="E30" s="1120"/>
      <c r="F30" s="525">
        <f t="shared" si="1"/>
        <v>0</v>
      </c>
      <c r="G30" s="525">
        <f t="shared" si="0"/>
        <v>0</v>
      </c>
      <c r="H30" s="906" t="s">
        <v>166</v>
      </c>
      <c r="I30" s="3530"/>
      <c r="J30" s="3530"/>
      <c r="K30" s="3530"/>
      <c r="L30" s="3530"/>
      <c r="M30" s="908"/>
    </row>
    <row r="31" spans="1:13" s="502" customFormat="1" ht="18" customHeight="1">
      <c r="A31" s="3595"/>
      <c r="B31" s="904" t="s">
        <v>1273</v>
      </c>
      <c r="C31" s="525">
        <f t="shared" si="4"/>
        <v>0</v>
      </c>
      <c r="D31" s="905">
        <v>0.02</v>
      </c>
      <c r="E31" s="1120"/>
      <c r="F31" s="525">
        <f t="shared" si="1"/>
        <v>0</v>
      </c>
      <c r="G31" s="525">
        <f t="shared" si="0"/>
        <v>0</v>
      </c>
      <c r="H31" s="164" t="s">
        <v>167</v>
      </c>
      <c r="I31" s="3530"/>
      <c r="J31" s="3530"/>
      <c r="K31" s="3530"/>
      <c r="L31" s="3530"/>
      <c r="M31" s="908"/>
    </row>
    <row r="32" spans="1:13" s="502" customFormat="1" ht="18" customHeight="1">
      <c r="A32" s="3595"/>
      <c r="B32" s="904" t="s">
        <v>171</v>
      </c>
      <c r="C32" s="525">
        <f>收入与申报核对表!G15-收入与申报核对表!E15</f>
        <v>0</v>
      </c>
      <c r="D32" s="905">
        <v>0.03</v>
      </c>
      <c r="E32" s="1120"/>
      <c r="F32" s="525">
        <f t="shared" si="1"/>
        <v>0</v>
      </c>
      <c r="G32" s="525">
        <f t="shared" si="0"/>
        <v>0</v>
      </c>
      <c r="H32" s="906" t="s">
        <v>163</v>
      </c>
      <c r="I32" s="3530"/>
      <c r="J32" s="3530"/>
      <c r="K32" s="3530"/>
      <c r="L32" s="3530"/>
      <c r="M32" s="908"/>
    </row>
    <row r="33" spans="1:13" s="502" customFormat="1" ht="18" customHeight="1">
      <c r="A33" s="3595"/>
      <c r="B33" s="904" t="s">
        <v>171</v>
      </c>
      <c r="C33" s="525">
        <f>收入与申报核对表!G16-收入与申报核对表!E16</f>
        <v>0</v>
      </c>
      <c r="D33" s="905">
        <v>0.03</v>
      </c>
      <c r="E33" s="1120"/>
      <c r="F33" s="525">
        <f>G33-E33</f>
        <v>0</v>
      </c>
      <c r="G33" s="525">
        <f>IF(AND(C33*D33-E33&lt;3,C33*D33-E33&gt;-3),E33,ROUND(C33*D33,2))</f>
        <v>0</v>
      </c>
      <c r="H33" s="906" t="s">
        <v>164</v>
      </c>
      <c r="I33" s="3530"/>
      <c r="J33" s="3530"/>
      <c r="K33" s="3530"/>
      <c r="L33" s="3530"/>
      <c r="M33" s="908"/>
    </row>
    <row r="34" spans="1:13" s="502" customFormat="1" ht="18" customHeight="1">
      <c r="A34" s="3595"/>
      <c r="B34" s="904" t="s">
        <v>171</v>
      </c>
      <c r="C34" s="525">
        <f>收入与申报核对表!G20-收入与申报核对表!E20</f>
        <v>0</v>
      </c>
      <c r="D34" s="905">
        <v>0.03</v>
      </c>
      <c r="E34" s="1120"/>
      <c r="F34" s="525">
        <f t="shared" si="1"/>
        <v>0</v>
      </c>
      <c r="G34" s="525">
        <f t="shared" si="0"/>
        <v>0</v>
      </c>
      <c r="H34" s="906" t="s">
        <v>166</v>
      </c>
      <c r="I34" s="3530"/>
      <c r="J34" s="3530"/>
      <c r="K34" s="3530"/>
      <c r="L34" s="3530"/>
      <c r="M34" s="908"/>
    </row>
    <row r="35" spans="1:13" s="502" customFormat="1" ht="18" customHeight="1">
      <c r="A35" s="3595"/>
      <c r="B35" s="904" t="s">
        <v>1271</v>
      </c>
      <c r="C35" s="525">
        <f>纳税申报数据!D15-纳税申报数据!D16+纳税申报数据!D19-收入与申报核对表!K8</f>
        <v>0</v>
      </c>
      <c r="D35" s="905">
        <v>7.0000000000000007E-2</v>
      </c>
      <c r="E35" s="1120"/>
      <c r="F35" s="525">
        <f t="shared" si="1"/>
        <v>0</v>
      </c>
      <c r="G35" s="525">
        <f t="shared" si="0"/>
        <v>0</v>
      </c>
      <c r="H35" s="164" t="s">
        <v>172</v>
      </c>
      <c r="I35" s="3530"/>
      <c r="J35" s="3530"/>
      <c r="K35" s="3530"/>
      <c r="L35" s="3530"/>
      <c r="M35" s="908"/>
    </row>
    <row r="36" spans="1:13" s="502" customFormat="1" ht="18" customHeight="1">
      <c r="A36" s="3595"/>
      <c r="B36" s="904" t="s">
        <v>168</v>
      </c>
      <c r="C36" s="1683">
        <f>纳税申报数据!D15-纳税申报数据!D16+纳税申报数据!D19-收入与申报核对表!K8</f>
        <v>0</v>
      </c>
      <c r="D36" s="905">
        <v>0.03</v>
      </c>
      <c r="E36" s="1120"/>
      <c r="F36" s="525">
        <f t="shared" si="1"/>
        <v>0</v>
      </c>
      <c r="G36" s="525">
        <f t="shared" si="0"/>
        <v>0</v>
      </c>
      <c r="H36" s="164" t="s">
        <v>172</v>
      </c>
      <c r="I36" s="820"/>
      <c r="J36" s="908"/>
      <c r="K36" s="908"/>
      <c r="L36" s="908"/>
      <c r="M36" s="908"/>
    </row>
    <row r="37" spans="1:13" s="502" customFormat="1" ht="18" customHeight="1">
      <c r="A37" s="3595"/>
      <c r="B37" s="904" t="s">
        <v>1273</v>
      </c>
      <c r="C37" s="1683">
        <f>纳税申报数据!D15-纳税申报数据!D16+纳税申报数据!D19-收入与申报核对表!K8</f>
        <v>0</v>
      </c>
      <c r="D37" s="905">
        <v>0.02</v>
      </c>
      <c r="E37" s="1120"/>
      <c r="F37" s="525">
        <f t="shared" si="1"/>
        <v>0</v>
      </c>
      <c r="G37" s="525">
        <f t="shared" si="0"/>
        <v>0</v>
      </c>
      <c r="H37" s="164" t="s">
        <v>172</v>
      </c>
      <c r="I37" s="3219"/>
      <c r="J37" s="3219"/>
      <c r="K37" s="3219"/>
      <c r="L37" s="908"/>
      <c r="M37" s="908"/>
    </row>
    <row r="38" spans="1:13" s="502" customFormat="1" ht="18" customHeight="1">
      <c r="A38" s="3595"/>
      <c r="B38" s="904" t="s">
        <v>1271</v>
      </c>
      <c r="C38" s="525">
        <f>纳税申报数据!I23-纳税申报数据!I20-收入与申报核对表!K10</f>
        <v>0</v>
      </c>
      <c r="D38" s="905">
        <v>7.0000000000000007E-2</v>
      </c>
      <c r="E38" s="1120"/>
      <c r="F38" s="525">
        <f t="shared" si="1"/>
        <v>0</v>
      </c>
      <c r="G38" s="525">
        <f t="shared" si="0"/>
        <v>0</v>
      </c>
      <c r="H38" s="164" t="s">
        <v>173</v>
      </c>
      <c r="I38" s="144"/>
      <c r="J38" s="144"/>
      <c r="K38" s="144"/>
      <c r="L38" s="908"/>
      <c r="M38" s="908"/>
    </row>
    <row r="39" spans="1:13" s="502" customFormat="1" ht="18" customHeight="1">
      <c r="A39" s="3595"/>
      <c r="B39" s="904" t="s">
        <v>168</v>
      </c>
      <c r="C39" s="1683">
        <f>纳税申报数据!I23-纳税申报数据!I20-收入与申报核对表!K10</f>
        <v>0</v>
      </c>
      <c r="D39" s="905">
        <v>0.03</v>
      </c>
      <c r="E39" s="1120"/>
      <c r="F39" s="525">
        <f t="shared" si="1"/>
        <v>0</v>
      </c>
      <c r="G39" s="525">
        <f t="shared" si="0"/>
        <v>0</v>
      </c>
      <c r="H39" s="164" t="s">
        <v>173</v>
      </c>
      <c r="I39" s="3219"/>
      <c r="J39" s="3219"/>
      <c r="K39" s="3219"/>
      <c r="L39" s="908"/>
      <c r="M39" s="908"/>
    </row>
    <row r="40" spans="1:13" s="502" customFormat="1" ht="18" customHeight="1">
      <c r="A40" s="3595"/>
      <c r="B40" s="904" t="s">
        <v>1273</v>
      </c>
      <c r="C40" s="1683">
        <f>纳税申报数据!I23-纳税申报数据!I20-收入与申报核对表!K10</f>
        <v>0</v>
      </c>
      <c r="D40" s="905">
        <v>0.02</v>
      </c>
      <c r="E40" s="1120"/>
      <c r="F40" s="525">
        <f t="shared" si="1"/>
        <v>0</v>
      </c>
      <c r="G40" s="525">
        <f t="shared" si="0"/>
        <v>0</v>
      </c>
      <c r="H40" s="164" t="s">
        <v>173</v>
      </c>
      <c r="I40" s="144"/>
      <c r="J40" s="144"/>
      <c r="K40" s="144"/>
      <c r="L40" s="908"/>
      <c r="M40" s="908"/>
    </row>
    <row r="41" spans="1:13" s="502" customFormat="1" ht="18" customHeight="1">
      <c r="A41" s="3595"/>
      <c r="B41" s="909"/>
      <c r="C41" s="1113"/>
      <c r="D41" s="910"/>
      <c r="E41" s="1122"/>
      <c r="F41" s="525">
        <f t="shared" si="1"/>
        <v>0</v>
      </c>
      <c r="G41" s="525">
        <f t="shared" si="0"/>
        <v>0</v>
      </c>
      <c r="H41" s="911"/>
      <c r="I41" s="3594"/>
      <c r="J41" s="3594"/>
      <c r="K41" s="144"/>
      <c r="L41" s="908"/>
      <c r="M41" s="908"/>
    </row>
    <row r="42" spans="1:13" s="502" customFormat="1" ht="18" customHeight="1">
      <c r="A42" s="3595"/>
      <c r="B42" s="2931" t="s">
        <v>174</v>
      </c>
      <c r="C42" s="2931"/>
      <c r="D42" s="2931"/>
      <c r="E42" s="823">
        <f>SUM(E8:E41)</f>
        <v>0</v>
      </c>
      <c r="F42" s="823">
        <f>SUM(F8:F41)</f>
        <v>0</v>
      </c>
      <c r="G42" s="823">
        <f>SUM(G8:G41)</f>
        <v>0</v>
      </c>
      <c r="H42" s="912"/>
      <c r="I42" s="144"/>
      <c r="J42" s="144"/>
      <c r="K42" s="144"/>
      <c r="L42" s="908"/>
      <c r="M42" s="908"/>
    </row>
    <row r="43" spans="1:13" s="502" customFormat="1" ht="18" customHeight="1">
      <c r="A43" s="3147" t="s">
        <v>641</v>
      </c>
      <c r="B43" s="3147"/>
      <c r="C43" s="3177" t="str">
        <f>IF(E42&lt;&gt;利润!C7,"税金及附加账载数与会计报表数相差"&amp;DOLLAR(E42-利润!C7,2)&amp;"元！","税金及附加账载数与会计报表数相符！")</f>
        <v>税金及附加账载数与会计报表数相符！</v>
      </c>
      <c r="D43" s="3177"/>
      <c r="E43" s="3177"/>
      <c r="F43" s="3177"/>
      <c r="G43" s="3177"/>
      <c r="H43" s="3177"/>
      <c r="I43" s="3219"/>
      <c r="J43" s="3219"/>
      <c r="K43" s="144"/>
      <c r="L43" s="908"/>
      <c r="M43" s="908"/>
    </row>
    <row r="44" spans="1:13" s="502" customFormat="1" ht="15" customHeight="1">
      <c r="A44" s="3590" t="s">
        <v>1323</v>
      </c>
      <c r="B44" s="3590"/>
      <c r="C44" s="3591" t="s">
        <v>175</v>
      </c>
      <c r="D44" s="3591"/>
      <c r="E44" s="3592" t="str">
        <f>IF(F42&lt;&gt;0,"、E","")</f>
        <v/>
      </c>
      <c r="F44" s="3592"/>
      <c r="G44" s="3592"/>
      <c r="H44" s="3592"/>
      <c r="I44" s="144"/>
      <c r="J44" s="144"/>
      <c r="K44" s="144"/>
      <c r="L44" s="144"/>
      <c r="M44" s="144"/>
    </row>
    <row r="45" spans="1:13" s="502" customFormat="1" ht="6.75" customHeight="1">
      <c r="A45" s="3590"/>
      <c r="B45" s="3590"/>
      <c r="C45" s="3593"/>
      <c r="D45" s="3175"/>
      <c r="E45" s="3175"/>
      <c r="F45" s="3175"/>
      <c r="G45" s="3175"/>
      <c r="H45" s="3175"/>
      <c r="I45" s="3219"/>
      <c r="J45" s="3219"/>
      <c r="K45" s="144"/>
      <c r="L45" s="144"/>
      <c r="M45" s="144"/>
    </row>
    <row r="46" spans="1:13" s="502" customFormat="1" ht="6.75" customHeight="1">
      <c r="A46" s="3590"/>
      <c r="B46" s="3590"/>
      <c r="C46" s="3175"/>
      <c r="D46" s="3175"/>
      <c r="E46" s="3175"/>
      <c r="F46" s="3175"/>
      <c r="G46" s="3175"/>
      <c r="H46" s="3175"/>
      <c r="I46" s="144"/>
      <c r="J46" s="144"/>
      <c r="K46" s="144"/>
      <c r="L46" s="144"/>
      <c r="M46" s="144"/>
    </row>
    <row r="47" spans="1:13" s="502" customFormat="1" ht="6.75" customHeight="1">
      <c r="A47" s="3590"/>
      <c r="B47" s="3590"/>
      <c r="C47" s="3175"/>
      <c r="D47" s="3175"/>
      <c r="E47" s="3175"/>
      <c r="F47" s="3175"/>
      <c r="G47" s="3175"/>
      <c r="H47" s="3175"/>
      <c r="I47" s="3219"/>
      <c r="J47" s="3219"/>
      <c r="K47" s="144"/>
      <c r="L47" s="144"/>
      <c r="M47" s="144"/>
    </row>
    <row r="48" spans="1:13" s="502" customFormat="1" ht="6.75" customHeight="1">
      <c r="A48" s="3590"/>
      <c r="B48" s="3590"/>
      <c r="C48" s="3175"/>
      <c r="D48" s="3175"/>
      <c r="E48" s="3175"/>
      <c r="F48" s="3175"/>
      <c r="G48" s="3175"/>
      <c r="H48" s="3175"/>
      <c r="I48" s="144"/>
      <c r="J48" s="144"/>
      <c r="K48" s="144"/>
      <c r="L48" s="144"/>
      <c r="M48" s="144"/>
    </row>
    <row r="49" spans="1:13" s="502" customFormat="1" ht="6.75" customHeight="1">
      <c r="A49" s="3590"/>
      <c r="B49" s="3590"/>
      <c r="C49" s="3175"/>
      <c r="D49" s="3175"/>
      <c r="E49" s="3175"/>
      <c r="F49" s="3175"/>
      <c r="G49" s="3175"/>
      <c r="H49" s="3175"/>
      <c r="I49" s="232"/>
      <c r="J49" s="144"/>
      <c r="K49" s="144"/>
      <c r="L49" s="144"/>
      <c r="M49" s="144"/>
    </row>
    <row r="50" spans="1:13" s="502" customFormat="1" ht="6.75" customHeight="1">
      <c r="A50" s="3590"/>
      <c r="B50" s="3590"/>
      <c r="C50" s="3175"/>
      <c r="D50" s="3175"/>
      <c r="E50" s="3175"/>
      <c r="F50" s="3175"/>
      <c r="G50" s="3175"/>
      <c r="H50" s="3175"/>
      <c r="I50" s="144"/>
      <c r="J50" s="144"/>
      <c r="K50" s="144"/>
      <c r="L50" s="144"/>
      <c r="M50" s="144"/>
    </row>
    <row r="51" spans="1:13" s="502" customFormat="1" ht="20.25" customHeight="1">
      <c r="A51" s="3172" t="s">
        <v>574</v>
      </c>
      <c r="B51" s="3172"/>
      <c r="C51" s="3141" t="str">
        <f>IF(F42=0,"税金计提正确，认可！","税金计提有误，账面数与应计提数相差"&amp;DOLLAR(F42,2)&amp;"！")</f>
        <v>税金计提正确，认可！</v>
      </c>
      <c r="D51" s="3141"/>
      <c r="E51" s="3141"/>
      <c r="F51" s="3141"/>
      <c r="G51" s="3141"/>
      <c r="H51" s="3141"/>
      <c r="I51" s="232"/>
      <c r="J51" s="144"/>
      <c r="K51" s="144"/>
      <c r="L51" s="144"/>
      <c r="M51" s="144"/>
    </row>
    <row r="52" spans="1:13" s="501" customFormat="1">
      <c r="A52" s="942"/>
      <c r="B52" s="942"/>
      <c r="C52" s="942"/>
      <c r="D52" s="942"/>
      <c r="E52" s="942"/>
      <c r="F52" s="942"/>
      <c r="G52" s="942"/>
      <c r="H52" s="942"/>
    </row>
    <row r="53" spans="1:13" s="501" customFormat="1">
      <c r="A53" s="942"/>
      <c r="B53" s="942"/>
      <c r="C53" s="942"/>
      <c r="D53" s="942"/>
      <c r="E53" s="942"/>
      <c r="F53" s="942"/>
      <c r="G53" s="942"/>
      <c r="H53" s="942"/>
    </row>
    <row r="54" spans="1:13" s="501" customFormat="1">
      <c r="A54" s="942"/>
      <c r="B54" s="942"/>
      <c r="C54" s="942"/>
      <c r="D54" s="942"/>
      <c r="E54" s="942"/>
      <c r="F54" s="942"/>
      <c r="G54" s="942"/>
      <c r="H54" s="942"/>
    </row>
    <row r="55" spans="1:13" s="501" customFormat="1">
      <c r="A55" s="942"/>
      <c r="B55" s="942"/>
      <c r="C55" s="942"/>
      <c r="D55" s="942"/>
      <c r="E55" s="942"/>
      <c r="F55" s="942"/>
      <c r="G55" s="942"/>
      <c r="H55" s="942"/>
    </row>
    <row r="56" spans="1:13" s="501" customFormat="1">
      <c r="A56" s="942"/>
      <c r="B56" s="942"/>
      <c r="C56" s="942"/>
      <c r="D56" s="942"/>
      <c r="E56" s="942"/>
      <c r="F56" s="942"/>
      <c r="G56" s="942"/>
      <c r="H56" s="942"/>
    </row>
    <row r="57" spans="1:13" s="501" customFormat="1">
      <c r="A57" s="942"/>
      <c r="B57" s="942"/>
      <c r="C57" s="942"/>
      <c r="D57" s="942"/>
      <c r="E57" s="942"/>
      <c r="F57" s="942"/>
      <c r="G57" s="942"/>
      <c r="H57" s="942"/>
    </row>
    <row r="58" spans="1:13" s="501" customFormat="1">
      <c r="A58" s="942"/>
      <c r="B58" s="942"/>
      <c r="C58" s="942"/>
      <c r="D58" s="942"/>
      <c r="E58" s="942"/>
      <c r="F58" s="942"/>
      <c r="G58" s="942"/>
      <c r="H58" s="942"/>
    </row>
    <row r="59" spans="1:13" s="501" customFormat="1">
      <c r="A59" s="942"/>
      <c r="B59" s="942"/>
      <c r="C59" s="942"/>
      <c r="D59" s="942"/>
      <c r="E59" s="942"/>
      <c r="F59" s="942"/>
      <c r="G59" s="942"/>
      <c r="H59" s="942"/>
    </row>
    <row r="60" spans="1:13" s="501" customFormat="1">
      <c r="A60" s="942"/>
      <c r="B60" s="942"/>
      <c r="C60" s="942"/>
      <c r="D60" s="942"/>
      <c r="E60" s="942"/>
      <c r="F60" s="942"/>
      <c r="G60" s="942"/>
      <c r="H60" s="942"/>
    </row>
    <row r="61" spans="1:13" s="501" customFormat="1">
      <c r="A61" s="942"/>
      <c r="B61" s="942"/>
      <c r="C61" s="942"/>
      <c r="D61" s="942"/>
      <c r="E61" s="942"/>
      <c r="F61" s="942"/>
      <c r="G61" s="942"/>
      <c r="H61" s="942"/>
    </row>
  </sheetData>
  <sheetProtection selectLockedCells="1" selectUnlockedCells="1"/>
  <mergeCells count="30">
    <mergeCell ref="A1:H1"/>
    <mergeCell ref="I1:I4"/>
    <mergeCell ref="A2:C3"/>
    <mergeCell ref="G2:H2"/>
    <mergeCell ref="G3:H4"/>
    <mergeCell ref="A4:C4"/>
    <mergeCell ref="A5:H5"/>
    <mergeCell ref="A6:A7"/>
    <mergeCell ref="B6:B7"/>
    <mergeCell ref="C6:C7"/>
    <mergeCell ref="D6:D7"/>
    <mergeCell ref="E6:G6"/>
    <mergeCell ref="H6:H7"/>
    <mergeCell ref="I39:K39"/>
    <mergeCell ref="I41:J41"/>
    <mergeCell ref="B42:D42"/>
    <mergeCell ref="I43:J43"/>
    <mergeCell ref="I24:L35"/>
    <mergeCell ref="I37:K37"/>
    <mergeCell ref="A43:B43"/>
    <mergeCell ref="A8:A42"/>
    <mergeCell ref="C43:H43"/>
    <mergeCell ref="I45:J45"/>
    <mergeCell ref="I47:J47"/>
    <mergeCell ref="A51:B51"/>
    <mergeCell ref="A44:B50"/>
    <mergeCell ref="C44:D44"/>
    <mergeCell ref="E44:H44"/>
    <mergeCell ref="C45:H50"/>
    <mergeCell ref="C51:H51"/>
  </mergeCells>
  <phoneticPr fontId="51" type="noConversion"/>
  <dataValidations count="4">
    <dataValidation allowBlank="1" showErrorMessage="1" sqref="E3 B41 D41">
      <formula1>0</formula1>
      <formula2>0</formula2>
    </dataValidation>
    <dataValidation allowBlank="1" showErrorMessage="1" promptTitle="存在调整事项时" prompt="_x000a_选择 “E”" sqref="E44:H44">
      <formula1>0</formula1>
      <formula2>0</formula2>
    </dataValidation>
    <dataValidation type="list" allowBlank="1" showErrorMessage="1" sqref="B8:B40">
      <formula1>"营业税,城建税,文化事业附加,教育附加,地方教育附加"</formula1>
      <formula2>0</formula2>
    </dataValidation>
    <dataValidation type="list" allowBlank="1" showErrorMessage="1" sqref="D8:D40">
      <formula1>"20%,10%,7%,5%,3%,2%,1%"</formula1>
      <formula2>0</formula2>
    </dataValidation>
  </dataValidations>
  <hyperlinks>
    <hyperlink ref="I8" location="纳税申报数据!A1" display="纳税申报数据"/>
    <hyperlink ref="I9" location="纳税调整明细表!A1" display="纳税调整明细表"/>
    <hyperlink ref="I10" location="资产负债!A1" display="资产负债表"/>
    <hyperlink ref="I11" location="申报主表!A1" display="申报主表"/>
    <hyperlink ref="I12" location="企业各税审核汇总表!A1" display="企业各税审核汇总表"/>
    <hyperlink ref="I13" location="主营收支!A1" display="主营业务收支审核表"/>
    <hyperlink ref="I14" location="其他业务!A1" display="其他业务利润审核表"/>
    <hyperlink ref="I15" location="利润!A1" display="利润及利润分配表"/>
    <hyperlink ref="I16" location="事项说明!A1" display="审核报告事项说明"/>
    <hyperlink ref="I18" location="收入与申报核对表!A1" display="收入与申报核对表!A1"/>
  </hyperlinks>
  <pageMargins left="0.78740157480314998" right="0.35433070866141703" top="0.511811023622047" bottom="0.11811023622047198" header="0.511811023622047" footer="0.511811023622047"/>
  <pageSetup paperSize="9" scale="98" firstPageNumber="0" orientation="portrait" blackAndWhite="1"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pageSetUpPr fitToPage="1"/>
  </sheetPr>
  <dimension ref="A1:M125"/>
  <sheetViews>
    <sheetView workbookViewId="0">
      <selection activeCell="E37" sqref="E37"/>
    </sheetView>
  </sheetViews>
  <sheetFormatPr defaultRowHeight="15.6"/>
  <cols>
    <col min="1" max="1" width="4.5" style="771" customWidth="1"/>
    <col min="2" max="2" width="13.3984375" style="771" customWidth="1"/>
    <col min="3" max="8" width="12.8984375" style="771" customWidth="1"/>
    <col min="9" max="9" width="39" customWidth="1"/>
  </cols>
  <sheetData>
    <row r="1" spans="1:13" ht="27.75" customHeight="1">
      <c r="A1" s="3612" t="s">
        <v>212</v>
      </c>
      <c r="B1" s="3612"/>
      <c r="C1" s="3612"/>
      <c r="D1" s="3612"/>
      <c r="E1" s="3612"/>
      <c r="F1" s="3612"/>
      <c r="G1" s="3612"/>
      <c r="H1" s="3612"/>
      <c r="I1" s="3596"/>
      <c r="J1" s="84"/>
      <c r="K1" s="84"/>
      <c r="L1" s="84"/>
      <c r="M1" s="84"/>
    </row>
    <row r="2" spans="1:13" s="649" customFormat="1" ht="15" customHeight="1">
      <c r="A2" s="3223" t="str">
        <f>"委托单位："&amp;基本情况!$B$2</f>
        <v>委托单位：0</v>
      </c>
      <c r="B2" s="3223"/>
      <c r="C2" s="3223"/>
      <c r="D2" s="569"/>
      <c r="E2" s="136" t="s">
        <v>9</v>
      </c>
      <c r="F2" s="136" t="s">
        <v>882</v>
      </c>
      <c r="G2" s="3597" t="s">
        <v>283</v>
      </c>
      <c r="H2" s="3597"/>
      <c r="I2" s="3596"/>
      <c r="J2" s="648"/>
      <c r="K2" s="648"/>
      <c r="L2" s="648"/>
      <c r="M2" s="648"/>
    </row>
    <row r="3" spans="1:13" s="649" customFormat="1" ht="15" customHeight="1">
      <c r="A3" s="3223"/>
      <c r="B3" s="3223"/>
      <c r="C3" s="3223"/>
      <c r="D3" s="158" t="s">
        <v>450</v>
      </c>
      <c r="E3" s="510">
        <f>基本情况!B12</f>
        <v>0</v>
      </c>
      <c r="F3" s="559" t="str">
        <f>TEXT(基本情况!B21,"yyyy-mm-dd")</f>
        <v>2017-03-16</v>
      </c>
      <c r="G3" s="3609" t="s">
        <v>213</v>
      </c>
      <c r="H3" s="3609"/>
      <c r="I3" s="3596"/>
      <c r="J3" s="648"/>
      <c r="K3" s="648"/>
      <c r="L3" s="648"/>
      <c r="M3" s="648"/>
    </row>
    <row r="4" spans="1:13" s="649" customFormat="1" ht="15" customHeight="1">
      <c r="A4" s="3598" t="str">
        <f>"会计期间："&amp;基本情况!$B$7</f>
        <v>会计期间：2016年01月01日至2016年12月31日</v>
      </c>
      <c r="B4" s="3598"/>
      <c r="C4" s="3598"/>
      <c r="D4" s="140" t="s">
        <v>452</v>
      </c>
      <c r="E4" s="513">
        <f>基本情况!B11</f>
        <v>0</v>
      </c>
      <c r="F4" s="513" t="str">
        <f>TEXT(基本情况!B22,"yyyy-mm-dd")</f>
        <v>2017-05-04</v>
      </c>
      <c r="G4" s="3609"/>
      <c r="H4" s="3609"/>
      <c r="I4" s="3596"/>
      <c r="J4" s="648"/>
      <c r="K4" s="648"/>
      <c r="L4" s="648"/>
      <c r="M4" s="648"/>
    </row>
    <row r="5" spans="1:13" s="502" customFormat="1" ht="6.75" customHeight="1">
      <c r="A5" s="3133"/>
      <c r="B5" s="3133"/>
      <c r="C5" s="3133"/>
      <c r="D5" s="3133"/>
      <c r="E5" s="3133"/>
      <c r="F5" s="3133"/>
      <c r="G5" s="3133"/>
      <c r="H5" s="3133"/>
      <c r="I5" s="144"/>
      <c r="J5" s="144"/>
      <c r="K5" s="144"/>
      <c r="L5" s="144"/>
      <c r="M5" s="144"/>
    </row>
    <row r="6" spans="1:13" s="502" customFormat="1" ht="15" customHeight="1">
      <c r="A6" s="913" t="s">
        <v>176</v>
      </c>
      <c r="B6" s="914" t="s">
        <v>177</v>
      </c>
      <c r="C6" s="914" t="s">
        <v>178</v>
      </c>
      <c r="D6" s="915" t="s">
        <v>179</v>
      </c>
      <c r="E6" s="914" t="s">
        <v>180</v>
      </c>
      <c r="F6" s="914" t="s">
        <v>181</v>
      </c>
      <c r="G6" s="914" t="s">
        <v>182</v>
      </c>
      <c r="H6" s="485" t="s">
        <v>455</v>
      </c>
      <c r="I6" s="144"/>
      <c r="J6" s="144"/>
      <c r="K6" s="144"/>
      <c r="L6" s="144"/>
      <c r="M6" s="144"/>
    </row>
    <row r="7" spans="1:13" s="502" customFormat="1" ht="15" customHeight="1">
      <c r="A7" s="1271">
        <v>1</v>
      </c>
      <c r="B7" s="1272" t="s">
        <v>223</v>
      </c>
      <c r="C7" s="1273"/>
      <c r="D7" s="1274"/>
      <c r="E7" s="1273"/>
      <c r="F7" s="1245">
        <f t="shared" ref="F7:F24" si="0">D7-E7</f>
        <v>0</v>
      </c>
      <c r="G7" s="1273"/>
      <c r="H7" s="1267"/>
      <c r="I7" s="144"/>
      <c r="J7" s="144"/>
      <c r="K7" s="144"/>
      <c r="L7" s="144"/>
      <c r="M7" s="144"/>
    </row>
    <row r="8" spans="1:13" s="502" customFormat="1" ht="15" customHeight="1">
      <c r="A8" s="1271">
        <v>2</v>
      </c>
      <c r="B8" s="1272" t="s">
        <v>225</v>
      </c>
      <c r="C8" s="1273"/>
      <c r="D8" s="1274"/>
      <c r="E8" s="1246"/>
      <c r="F8" s="1245">
        <f t="shared" si="0"/>
        <v>0</v>
      </c>
      <c r="G8" s="1273"/>
      <c r="H8" s="1267"/>
      <c r="I8" s="144"/>
      <c r="J8" s="144"/>
      <c r="K8" s="144"/>
      <c r="L8" s="144"/>
      <c r="M8" s="144"/>
    </row>
    <row r="9" spans="1:13" s="502" customFormat="1" ht="18" customHeight="1">
      <c r="A9" s="1086">
        <v>3</v>
      </c>
      <c r="B9" s="916" t="s">
        <v>1270</v>
      </c>
      <c r="C9" s="1263">
        <f>SUM(主营税金!E8:E13)</f>
        <v>0</v>
      </c>
      <c r="D9" s="1245">
        <f>SUM(主营税金!G8:G13)+G9</f>
        <v>0</v>
      </c>
      <c r="E9" s="1246"/>
      <c r="F9" s="1245">
        <f t="shared" si="0"/>
        <v>0</v>
      </c>
      <c r="G9" s="1108"/>
      <c r="H9" s="164"/>
      <c r="I9" s="90" t="s">
        <v>395</v>
      </c>
      <c r="J9" s="144"/>
      <c r="K9" s="144"/>
      <c r="L9" s="144"/>
      <c r="M9" s="144"/>
    </row>
    <row r="10" spans="1:13" s="502" customFormat="1" ht="18" customHeight="1">
      <c r="A10" s="1271">
        <v>4</v>
      </c>
      <c r="B10" s="916" t="s">
        <v>1271</v>
      </c>
      <c r="C10" s="1264">
        <f>SUM(主营税金!E14:E19)+主营税金!E35+主营税金!E38</f>
        <v>0</v>
      </c>
      <c r="D10" s="1245">
        <f>SUM(主营税金!G14:G19)+主营税金!G35+主营税金!G38+G10</f>
        <v>0</v>
      </c>
      <c r="E10" s="1246"/>
      <c r="F10" s="1245">
        <f t="shared" si="0"/>
        <v>0</v>
      </c>
      <c r="G10" s="1108"/>
      <c r="H10" s="164"/>
      <c r="I10" s="232" t="s">
        <v>653</v>
      </c>
      <c r="J10" s="144"/>
      <c r="K10" s="144"/>
      <c r="L10" s="144"/>
      <c r="M10" s="144"/>
    </row>
    <row r="11" spans="1:13" s="502" customFormat="1" ht="18" customHeight="1">
      <c r="A11" s="1086">
        <v>5</v>
      </c>
      <c r="B11" s="916" t="s">
        <v>183</v>
      </c>
      <c r="C11" s="1264">
        <f>SUM(主营税金!E20:E25)+主营税金!E36+主营税金!E39</f>
        <v>0</v>
      </c>
      <c r="D11" s="1245">
        <f>SUM(主营税金!G20:G25)+主营税金!G36+主营税金!G39+G11</f>
        <v>0</v>
      </c>
      <c r="E11" s="1246"/>
      <c r="F11" s="1245">
        <f t="shared" si="0"/>
        <v>0</v>
      </c>
      <c r="G11" s="1108"/>
      <c r="H11" s="164"/>
      <c r="I11" s="232" t="s">
        <v>1291</v>
      </c>
      <c r="J11" s="144"/>
      <c r="K11" s="144"/>
      <c r="L11" s="144"/>
      <c r="M11" s="144"/>
    </row>
    <row r="12" spans="1:13" s="502" customFormat="1" ht="18" customHeight="1">
      <c r="A12" s="1271">
        <v>6</v>
      </c>
      <c r="B12" s="916" t="s">
        <v>1273</v>
      </c>
      <c r="C12" s="1264">
        <f>SUM(主营税金!E26:E31)+主营税金!E37+主营税金!E40</f>
        <v>0</v>
      </c>
      <c r="D12" s="1245">
        <f>SUM(主营税金!G26:G31)+主营税金!G37+主营税金!G40+G12</f>
        <v>0</v>
      </c>
      <c r="E12" s="1246"/>
      <c r="F12" s="1245">
        <f t="shared" si="0"/>
        <v>0</v>
      </c>
      <c r="G12" s="1108"/>
      <c r="H12" s="164"/>
      <c r="I12" s="232" t="s">
        <v>1288</v>
      </c>
      <c r="J12" s="144"/>
      <c r="K12" s="144"/>
      <c r="L12" s="144"/>
      <c r="M12" s="144"/>
    </row>
    <row r="13" spans="1:13" s="502" customFormat="1" ht="18" customHeight="1">
      <c r="A13" s="1086">
        <v>7</v>
      </c>
      <c r="B13" s="916" t="s">
        <v>227</v>
      </c>
      <c r="C13" s="1273"/>
      <c r="D13" s="1274"/>
      <c r="E13" s="1246"/>
      <c r="F13" s="1245">
        <f>D13-E13</f>
        <v>0</v>
      </c>
      <c r="G13" s="1273"/>
      <c r="H13" s="1267"/>
      <c r="I13" s="232"/>
      <c r="J13" s="144"/>
      <c r="K13" s="144"/>
      <c r="L13" s="144"/>
      <c r="M13" s="144"/>
    </row>
    <row r="14" spans="1:13" s="502" customFormat="1" ht="18" customHeight="1">
      <c r="A14" s="1271">
        <v>8</v>
      </c>
      <c r="B14" s="916" t="s">
        <v>231</v>
      </c>
      <c r="C14" s="1273"/>
      <c r="D14" s="1274"/>
      <c r="E14" s="1246"/>
      <c r="F14" s="1245">
        <f>D14-E14</f>
        <v>0</v>
      </c>
      <c r="G14" s="1273"/>
      <c r="H14" s="1267"/>
      <c r="I14" s="232"/>
      <c r="J14" s="144"/>
      <c r="K14" s="144"/>
      <c r="L14" s="144"/>
      <c r="M14" s="144"/>
    </row>
    <row r="15" spans="1:13" s="502" customFormat="1" ht="18" customHeight="1">
      <c r="A15" s="1086">
        <v>9</v>
      </c>
      <c r="B15" s="916" t="s">
        <v>1275</v>
      </c>
      <c r="C15" s="1265"/>
      <c r="D15" s="1245">
        <f ca="1">'A100000中华人民共和国企业所得税年度纳税申报表（A类）'!D34+G15</f>
        <v>0</v>
      </c>
      <c r="E15" s="1247">
        <f>纳税申报数据!K10</f>
        <v>0</v>
      </c>
      <c r="F15" s="1245">
        <f t="shared" ca="1" si="0"/>
        <v>0</v>
      </c>
      <c r="G15" s="1108"/>
      <c r="H15" s="164"/>
      <c r="I15" s="493" t="s">
        <v>648</v>
      </c>
      <c r="J15" s="144"/>
      <c r="K15" s="144"/>
      <c r="L15" s="144"/>
      <c r="M15" s="144"/>
    </row>
    <row r="16" spans="1:13" s="502" customFormat="1" ht="18" customHeight="1">
      <c r="A16" s="1271">
        <v>10</v>
      </c>
      <c r="B16" s="916" t="s">
        <v>1277</v>
      </c>
      <c r="C16" s="1263">
        <f>E50</f>
        <v>0</v>
      </c>
      <c r="D16" s="1245">
        <f>G50+G16</f>
        <v>0</v>
      </c>
      <c r="E16" s="1246"/>
      <c r="F16" s="1245">
        <f t="shared" si="0"/>
        <v>0</v>
      </c>
      <c r="G16" s="1108"/>
      <c r="H16" s="164"/>
      <c r="I16" s="493" t="s">
        <v>676</v>
      </c>
      <c r="J16" s="144"/>
      <c r="K16" s="144"/>
      <c r="L16" s="144"/>
      <c r="M16" s="144"/>
    </row>
    <row r="17" spans="1:13" s="502" customFormat="1" ht="18" customHeight="1">
      <c r="A17" s="1086">
        <v>11</v>
      </c>
      <c r="B17" s="916" t="s">
        <v>1279</v>
      </c>
      <c r="C17" s="1263">
        <f>E36</f>
        <v>0</v>
      </c>
      <c r="D17" s="1245">
        <f>G36+G17</f>
        <v>0</v>
      </c>
      <c r="E17" s="1246"/>
      <c r="F17" s="1245">
        <f t="shared" si="0"/>
        <v>0</v>
      </c>
      <c r="G17" s="1108"/>
      <c r="H17" s="164"/>
      <c r="I17" s="232" t="s">
        <v>296</v>
      </c>
      <c r="J17" s="144"/>
      <c r="K17" s="144"/>
      <c r="L17" s="144"/>
      <c r="M17" s="144"/>
    </row>
    <row r="18" spans="1:13" s="502" customFormat="1" ht="18" customHeight="1">
      <c r="A18" s="1271">
        <v>12</v>
      </c>
      <c r="B18" s="916" t="s">
        <v>184</v>
      </c>
      <c r="C18" s="1265"/>
      <c r="D18" s="1246"/>
      <c r="E18" s="1246"/>
      <c r="F18" s="1245">
        <f t="shared" si="0"/>
        <v>0</v>
      </c>
      <c r="G18" s="1108"/>
      <c r="H18" s="164"/>
      <c r="I18" s="232" t="s">
        <v>679</v>
      </c>
      <c r="J18" s="144"/>
      <c r="K18" s="144"/>
      <c r="L18" s="144"/>
      <c r="M18" s="144"/>
    </row>
    <row r="19" spans="1:13" s="502" customFormat="1" ht="18" customHeight="1">
      <c r="A19" s="1086">
        <v>13</v>
      </c>
      <c r="B19" s="916" t="s">
        <v>1278</v>
      </c>
      <c r="C19" s="1263">
        <f>E53</f>
        <v>0</v>
      </c>
      <c r="D19" s="1245">
        <f>G53+G19</f>
        <v>0</v>
      </c>
      <c r="E19" s="1246"/>
      <c r="F19" s="1245">
        <f t="shared" si="0"/>
        <v>0</v>
      </c>
      <c r="G19" s="1108"/>
      <c r="H19" s="164"/>
      <c r="I19" s="232" t="s">
        <v>642</v>
      </c>
      <c r="J19" s="144"/>
      <c r="K19" s="144"/>
      <c r="L19" s="144"/>
      <c r="M19" s="144"/>
    </row>
    <row r="20" spans="1:13" s="502" customFormat="1" ht="18" customHeight="1">
      <c r="A20" s="1271">
        <v>14</v>
      </c>
      <c r="B20" s="916" t="s">
        <v>229</v>
      </c>
      <c r="C20" s="1273"/>
      <c r="D20" s="1274"/>
      <c r="E20" s="1246"/>
      <c r="F20" s="1245">
        <f t="shared" si="0"/>
        <v>0</v>
      </c>
      <c r="G20" s="1273"/>
      <c r="H20" s="1267"/>
      <c r="I20" s="232"/>
      <c r="J20" s="144"/>
      <c r="K20" s="144"/>
      <c r="L20" s="144"/>
      <c r="M20" s="144"/>
    </row>
    <row r="21" spans="1:13" s="502" customFormat="1" ht="18" customHeight="1">
      <c r="A21" s="1086">
        <v>15</v>
      </c>
      <c r="B21" s="916" t="s">
        <v>185</v>
      </c>
      <c r="C21" s="1265"/>
      <c r="D21" s="1246"/>
      <c r="E21" s="1246"/>
      <c r="F21" s="1245">
        <f t="shared" si="0"/>
        <v>0</v>
      </c>
      <c r="G21" s="1108"/>
      <c r="H21" s="164"/>
      <c r="I21" s="232" t="s">
        <v>13</v>
      </c>
      <c r="J21" s="144"/>
      <c r="K21" s="144"/>
      <c r="L21" s="144"/>
      <c r="M21" s="144"/>
    </row>
    <row r="22" spans="1:13" s="502" customFormat="1" ht="18" customHeight="1">
      <c r="A22" s="1271">
        <v>16</v>
      </c>
      <c r="B22" s="916" t="s">
        <v>1274</v>
      </c>
      <c r="C22" s="1263">
        <f>SUM(主营税金!E32:E34)</f>
        <v>0</v>
      </c>
      <c r="D22" s="1245">
        <f>SUM(主营税金!G32:G34)+G22</f>
        <v>0</v>
      </c>
      <c r="E22" s="1246"/>
      <c r="F22" s="1245">
        <f t="shared" si="0"/>
        <v>0</v>
      </c>
      <c r="G22" s="1108"/>
      <c r="H22" s="164"/>
      <c r="I22" s="493"/>
      <c r="J22" s="144"/>
      <c r="K22" s="144"/>
      <c r="L22" s="144"/>
      <c r="M22" s="144"/>
    </row>
    <row r="23" spans="1:13" s="502" customFormat="1" ht="18" customHeight="1">
      <c r="A23" s="1086">
        <v>17</v>
      </c>
      <c r="B23" s="916" t="s">
        <v>1276</v>
      </c>
      <c r="C23" s="1265"/>
      <c r="D23" s="1246"/>
      <c r="E23" s="1246"/>
      <c r="F23" s="1245">
        <f t="shared" si="0"/>
        <v>0</v>
      </c>
      <c r="G23" s="1108"/>
      <c r="H23" s="164"/>
      <c r="I23" s="232" t="s">
        <v>14</v>
      </c>
      <c r="J23" s="144"/>
      <c r="K23" s="144"/>
      <c r="L23" s="144"/>
      <c r="M23" s="144"/>
    </row>
    <row r="24" spans="1:13" s="502" customFormat="1" ht="18" hidden="1" customHeight="1">
      <c r="A24" s="1086">
        <v>13</v>
      </c>
      <c r="B24" s="507"/>
      <c r="C24" s="1248"/>
      <c r="D24" s="1246"/>
      <c r="E24" s="1246"/>
      <c r="F24" s="1245">
        <f t="shared" si="0"/>
        <v>0</v>
      </c>
      <c r="G24" s="1108"/>
      <c r="H24" s="164"/>
      <c r="I24" s="493"/>
      <c r="J24" s="144"/>
      <c r="K24" s="144"/>
      <c r="L24" s="144"/>
      <c r="M24" s="144"/>
    </row>
    <row r="25" spans="1:13" s="502" customFormat="1" ht="18" customHeight="1">
      <c r="A25" s="917"/>
      <c r="B25" s="918" t="s">
        <v>186</v>
      </c>
      <c r="C25" s="1249">
        <f>SUM(C7:C24)</f>
        <v>0</v>
      </c>
      <c r="D25" s="1249">
        <f ca="1">SUM(D7:D24)+G25</f>
        <v>0</v>
      </c>
      <c r="E25" s="1249">
        <f>SUM(E7:E24)</f>
        <v>0</v>
      </c>
      <c r="F25" s="1249">
        <f ca="1">SUM(F7:F24)</f>
        <v>0</v>
      </c>
      <c r="G25" s="1249">
        <f>SUM(G7:G24)</f>
        <v>0</v>
      </c>
      <c r="H25" s="167"/>
      <c r="I25" s="493"/>
      <c r="J25" s="144"/>
      <c r="K25" s="144"/>
      <c r="L25" s="144"/>
      <c r="M25" s="144"/>
    </row>
    <row r="26" spans="1:13" s="502" customFormat="1" ht="18" customHeight="1">
      <c r="A26" s="3613" t="s">
        <v>1323</v>
      </c>
      <c r="B26" s="3613"/>
      <c r="C26" s="3614" t="s">
        <v>175</v>
      </c>
      <c r="D26" s="3614"/>
      <c r="E26" s="3614"/>
      <c r="F26" s="3614"/>
      <c r="G26" s="3615" t="str">
        <f ca="1">IF(F25&lt;&gt;0,"、E","")</f>
        <v/>
      </c>
      <c r="H26" s="3615"/>
      <c r="I26" s="493"/>
      <c r="J26" s="144"/>
      <c r="K26" s="144"/>
      <c r="L26" s="144"/>
      <c r="M26" s="144"/>
    </row>
    <row r="27" spans="1:13" s="502" customFormat="1" ht="18.75" customHeight="1">
      <c r="A27" s="3616" t="s">
        <v>574</v>
      </c>
      <c r="B27" s="3616"/>
      <c r="C27" s="3617" t="str">
        <f ca="1">IF(F25=0,"税金缴纳正确，认可！","税金计算缴纳有误，处理后认可！")</f>
        <v>税金缴纳正确，认可！</v>
      </c>
      <c r="D27" s="3618"/>
      <c r="E27" s="3618"/>
      <c r="F27" s="3618"/>
      <c r="G27" s="3618"/>
      <c r="H27" s="3619"/>
      <c r="I27" s="493"/>
      <c r="J27" s="144"/>
      <c r="K27" s="144"/>
      <c r="L27" s="144"/>
      <c r="M27" s="144"/>
    </row>
    <row r="28" spans="1:13" s="502" customFormat="1" ht="18" customHeight="1">
      <c r="A28" s="3611"/>
      <c r="B28" s="3611"/>
      <c r="C28" s="3611"/>
      <c r="D28" s="3611"/>
      <c r="E28" s="3611"/>
      <c r="F28" s="3611"/>
      <c r="G28" s="3611"/>
      <c r="H28" s="3611"/>
      <c r="I28" s="907"/>
      <c r="J28" s="144"/>
      <c r="K28" s="144"/>
      <c r="L28" s="144"/>
      <c r="M28" s="144"/>
    </row>
    <row r="29" spans="1:13" s="502" customFormat="1" ht="18" customHeight="1">
      <c r="A29" s="3608" t="s">
        <v>214</v>
      </c>
      <c r="B29" s="3608"/>
      <c r="C29" s="3608"/>
      <c r="D29" s="3608"/>
      <c r="E29" s="3608"/>
      <c r="F29" s="3608"/>
      <c r="G29" s="3608"/>
      <c r="H29" s="3608"/>
      <c r="I29" s="2292"/>
      <c r="J29" s="908"/>
      <c r="K29" s="908"/>
      <c r="L29" s="908"/>
      <c r="M29" s="908"/>
    </row>
    <row r="30" spans="1:13" s="502" customFormat="1" ht="15" customHeight="1">
      <c r="A30" s="3223" t="str">
        <f>"委托单位："&amp;基本情况!$B$2</f>
        <v>委托单位：0</v>
      </c>
      <c r="B30" s="3223"/>
      <c r="C30" s="3223"/>
      <c r="D30" s="569"/>
      <c r="E30" s="136" t="s">
        <v>9</v>
      </c>
      <c r="F30" s="136" t="s">
        <v>882</v>
      </c>
      <c r="G30" s="3597" t="s">
        <v>283</v>
      </c>
      <c r="H30" s="3597"/>
      <c r="I30" s="2292"/>
      <c r="J30" s="908"/>
      <c r="K30" s="908"/>
      <c r="L30" s="908"/>
      <c r="M30" s="908"/>
    </row>
    <row r="31" spans="1:13" s="502" customFormat="1" ht="15" customHeight="1">
      <c r="A31" s="3223"/>
      <c r="B31" s="3223"/>
      <c r="C31" s="3223"/>
      <c r="D31" s="158" t="s">
        <v>450</v>
      </c>
      <c r="E31" s="510">
        <f>基本情况!B12</f>
        <v>0</v>
      </c>
      <c r="F31" s="559" t="str">
        <f>TEXT(基本情况!B21,"yyyy-mm-dd")</f>
        <v>2017-03-16</v>
      </c>
      <c r="G31" s="3609" t="s">
        <v>215</v>
      </c>
      <c r="H31" s="3609"/>
      <c r="I31" s="2292"/>
      <c r="J31" s="908"/>
      <c r="K31" s="908"/>
      <c r="L31" s="908"/>
      <c r="M31" s="908"/>
    </row>
    <row r="32" spans="1:13" s="502" customFormat="1" ht="18" customHeight="1">
      <c r="A32" s="3598" t="str">
        <f>"会计期间："&amp;基本情况!$B$7</f>
        <v>会计期间：2016年01月01日至2016年12月31日</v>
      </c>
      <c r="B32" s="3598"/>
      <c r="C32" s="3598"/>
      <c r="D32" s="140" t="s">
        <v>452</v>
      </c>
      <c r="E32" s="513">
        <f>基本情况!B11</f>
        <v>0</v>
      </c>
      <c r="F32" s="513" t="str">
        <f>TEXT(基本情况!B22,"yyyy-mm-dd")</f>
        <v>2017-05-04</v>
      </c>
      <c r="G32" s="3609"/>
      <c r="H32" s="3609"/>
      <c r="I32" s="2292"/>
      <c r="J32" s="908"/>
      <c r="K32" s="908"/>
      <c r="L32" s="908"/>
      <c r="M32" s="908"/>
    </row>
    <row r="33" spans="1:13" s="502" customFormat="1" ht="6.75" customHeight="1">
      <c r="A33" s="3133"/>
      <c r="B33" s="3133"/>
      <c r="C33" s="3133"/>
      <c r="D33" s="3133"/>
      <c r="E33" s="3133"/>
      <c r="F33" s="3133"/>
      <c r="G33" s="3133"/>
      <c r="H33" s="3133"/>
      <c r="I33" s="2292"/>
      <c r="J33" s="908"/>
      <c r="K33" s="908"/>
      <c r="L33" s="908"/>
      <c r="M33" s="908"/>
    </row>
    <row r="34" spans="1:13" s="502" customFormat="1" ht="15" customHeight="1">
      <c r="A34" s="3603" t="s">
        <v>453</v>
      </c>
      <c r="B34" s="3607" t="s">
        <v>665</v>
      </c>
      <c r="C34" s="3610" t="s">
        <v>157</v>
      </c>
      <c r="D34" s="3607" t="s">
        <v>187</v>
      </c>
      <c r="E34" s="3607" t="s">
        <v>188</v>
      </c>
      <c r="F34" s="3607"/>
      <c r="G34" s="3607"/>
      <c r="H34" s="919" t="s">
        <v>455</v>
      </c>
      <c r="I34" s="2292"/>
      <c r="J34" s="908"/>
      <c r="K34" s="908"/>
      <c r="L34" s="908"/>
      <c r="M34" s="908"/>
    </row>
    <row r="35" spans="1:13" s="502" customFormat="1" ht="15" customHeight="1">
      <c r="A35" s="3603"/>
      <c r="B35" s="3607"/>
      <c r="C35" s="3610"/>
      <c r="D35" s="3607"/>
      <c r="E35" s="920" t="s">
        <v>160</v>
      </c>
      <c r="F35" s="921" t="s">
        <v>980</v>
      </c>
      <c r="G35" s="921" t="s">
        <v>502</v>
      </c>
      <c r="H35" s="922" t="s">
        <v>1634</v>
      </c>
      <c r="I35" s="2292"/>
      <c r="J35" s="908"/>
      <c r="K35" s="908"/>
      <c r="L35" s="908"/>
      <c r="M35" s="908"/>
    </row>
    <row r="36" spans="1:13" s="502" customFormat="1" ht="18" customHeight="1">
      <c r="A36" s="1090">
        <v>1</v>
      </c>
      <c r="B36" s="923" t="s">
        <v>189</v>
      </c>
      <c r="C36" s="1251">
        <f>SUM(C37:C49)</f>
        <v>0</v>
      </c>
      <c r="D36" s="924"/>
      <c r="E36" s="1250">
        <f>SUM(E37:E49)</f>
        <v>0</v>
      </c>
      <c r="F36" s="1251">
        <f>SUM(F37:F49)</f>
        <v>0</v>
      </c>
      <c r="G36" s="1250">
        <f>SUM(G37:G49)</f>
        <v>0</v>
      </c>
      <c r="H36" s="925"/>
      <c r="I36" s="2292"/>
      <c r="J36" s="908"/>
      <c r="K36" s="908"/>
      <c r="L36" s="908"/>
      <c r="M36" s="908"/>
    </row>
    <row r="37" spans="1:13" s="502" customFormat="1" ht="18" customHeight="1">
      <c r="A37" s="1087"/>
      <c r="B37" s="926" t="s">
        <v>190</v>
      </c>
      <c r="C37" s="1252"/>
      <c r="D37" s="921" t="s">
        <v>191</v>
      </c>
      <c r="E37" s="1252"/>
      <c r="F37" s="1253">
        <f>G37-E37</f>
        <v>0</v>
      </c>
      <c r="G37" s="1254">
        <f>ROUND(C37*0.0003,2)+H37</f>
        <v>0</v>
      </c>
      <c r="H37" s="1187"/>
      <c r="I37" s="2292"/>
      <c r="J37" s="908"/>
      <c r="K37" s="908"/>
      <c r="L37" s="908"/>
      <c r="M37" s="908"/>
    </row>
    <row r="38" spans="1:13" s="502" customFormat="1" ht="24">
      <c r="A38" s="1087"/>
      <c r="B38" s="927" t="s">
        <v>192</v>
      </c>
      <c r="C38" s="1252">
        <v>0</v>
      </c>
      <c r="D38" s="921" t="s">
        <v>191</v>
      </c>
      <c r="E38" s="1252">
        <v>0</v>
      </c>
      <c r="F38" s="1253">
        <f t="shared" ref="F38:F55" si="1">G38-E38</f>
        <v>0</v>
      </c>
      <c r="G38" s="1254">
        <f>ROUND(C38*0.0003,2)+H38</f>
        <v>0</v>
      </c>
      <c r="H38" s="1187"/>
      <c r="I38" s="820"/>
      <c r="J38" s="908"/>
      <c r="K38" s="908"/>
      <c r="L38" s="908"/>
      <c r="M38" s="908"/>
    </row>
    <row r="39" spans="1:13" s="502" customFormat="1" ht="18" customHeight="1">
      <c r="A39" s="1087"/>
      <c r="B39" s="927" t="s">
        <v>193</v>
      </c>
      <c r="C39" s="1252">
        <v>0</v>
      </c>
      <c r="D39" s="921" t="s">
        <v>191</v>
      </c>
      <c r="E39" s="1252">
        <v>0</v>
      </c>
      <c r="F39" s="1253">
        <f t="shared" si="1"/>
        <v>0</v>
      </c>
      <c r="G39" s="1254">
        <f>ROUND(C39*0.0003,2)+H39</f>
        <v>0</v>
      </c>
      <c r="H39" s="1187"/>
      <c r="I39" s="3219"/>
      <c r="J39" s="3219"/>
      <c r="K39" s="3219"/>
      <c r="L39" s="908"/>
      <c r="M39" s="908"/>
    </row>
    <row r="40" spans="1:13" s="502" customFormat="1" ht="18" customHeight="1">
      <c r="A40" s="1087"/>
      <c r="B40" s="926" t="s">
        <v>194</v>
      </c>
      <c r="C40" s="1252">
        <v>0</v>
      </c>
      <c r="D40" s="921" t="s">
        <v>195</v>
      </c>
      <c r="E40" s="1252">
        <v>0</v>
      </c>
      <c r="F40" s="1253">
        <f t="shared" si="1"/>
        <v>0</v>
      </c>
      <c r="G40" s="1254">
        <f>ROUND(C40*0.001,2)+H40</f>
        <v>0</v>
      </c>
      <c r="H40" s="1187"/>
      <c r="I40" s="144"/>
      <c r="J40" s="144"/>
      <c r="K40" s="144"/>
      <c r="L40" s="908"/>
      <c r="M40" s="908"/>
    </row>
    <row r="41" spans="1:13" s="502" customFormat="1" ht="18" customHeight="1">
      <c r="A41" s="1087"/>
      <c r="B41" s="926" t="s">
        <v>196</v>
      </c>
      <c r="C41" s="1252">
        <v>0</v>
      </c>
      <c r="D41" s="921" t="s">
        <v>195</v>
      </c>
      <c r="E41" s="1252">
        <v>0</v>
      </c>
      <c r="F41" s="1253">
        <f t="shared" si="1"/>
        <v>0</v>
      </c>
      <c r="G41" s="1254">
        <f>ROUND(C41*0.001,2)+H41</f>
        <v>0</v>
      </c>
      <c r="H41" s="1187"/>
      <c r="I41" s="3219"/>
      <c r="J41" s="3219"/>
      <c r="K41" s="3219"/>
      <c r="L41" s="908"/>
      <c r="M41" s="908"/>
    </row>
    <row r="42" spans="1:13" s="502" customFormat="1" ht="18" customHeight="1">
      <c r="A42" s="1087"/>
      <c r="B42" s="926" t="s">
        <v>197</v>
      </c>
      <c r="C42" s="1252">
        <v>0</v>
      </c>
      <c r="D42" s="921" t="s">
        <v>195</v>
      </c>
      <c r="E42" s="1252">
        <v>0</v>
      </c>
      <c r="F42" s="1253">
        <f t="shared" si="1"/>
        <v>0</v>
      </c>
      <c r="G42" s="1254">
        <f>ROUND(C42*0.001,2)+H42</f>
        <v>0</v>
      </c>
      <c r="H42" s="1187"/>
      <c r="I42" s="144"/>
      <c r="J42" s="144"/>
      <c r="K42" s="144"/>
      <c r="L42" s="908"/>
      <c r="M42" s="908"/>
    </row>
    <row r="43" spans="1:13" s="502" customFormat="1" ht="18" customHeight="1">
      <c r="A43" s="1087"/>
      <c r="B43" s="926" t="s">
        <v>198</v>
      </c>
      <c r="C43" s="1252">
        <v>0</v>
      </c>
      <c r="D43" s="921" t="s">
        <v>199</v>
      </c>
      <c r="E43" s="1252">
        <v>0</v>
      </c>
      <c r="F43" s="1253">
        <f>G43-E43</f>
        <v>0</v>
      </c>
      <c r="G43" s="1254">
        <f>ROUND(C43*0.0005,2)+H43</f>
        <v>0</v>
      </c>
      <c r="H43" s="1187"/>
      <c r="I43" s="3594"/>
      <c r="J43" s="3594"/>
      <c r="K43" s="144"/>
      <c r="L43" s="908"/>
      <c r="M43" s="908"/>
    </row>
    <row r="44" spans="1:13" s="502" customFormat="1" ht="18" customHeight="1">
      <c r="A44" s="1087"/>
      <c r="B44" s="926" t="s">
        <v>200</v>
      </c>
      <c r="C44" s="1252">
        <v>0</v>
      </c>
      <c r="D44" s="921" t="s">
        <v>199</v>
      </c>
      <c r="E44" s="1252">
        <v>0</v>
      </c>
      <c r="F44" s="1253">
        <f t="shared" si="1"/>
        <v>0</v>
      </c>
      <c r="G44" s="1254">
        <f>ROUND(C44*0.0005,2)+H44</f>
        <v>0</v>
      </c>
      <c r="H44" s="1187"/>
      <c r="I44" s="144"/>
      <c r="J44" s="144"/>
      <c r="K44" s="144"/>
      <c r="L44" s="908"/>
      <c r="M44" s="908"/>
    </row>
    <row r="45" spans="1:13" s="502" customFormat="1" ht="18" customHeight="1">
      <c r="A45" s="1087"/>
      <c r="B45" s="926" t="s">
        <v>201</v>
      </c>
      <c r="C45" s="1252">
        <v>0</v>
      </c>
      <c r="D45" s="921" t="s">
        <v>199</v>
      </c>
      <c r="E45" s="1252">
        <v>0</v>
      </c>
      <c r="F45" s="1253">
        <f t="shared" si="1"/>
        <v>0</v>
      </c>
      <c r="G45" s="1254">
        <f>ROUND(C45*0.0005,2)+H45</f>
        <v>0</v>
      </c>
      <c r="H45" s="1187"/>
      <c r="I45" s="3219"/>
      <c r="J45" s="3219"/>
      <c r="K45" s="144"/>
      <c r="L45" s="908"/>
      <c r="M45" s="908"/>
    </row>
    <row r="46" spans="1:13" s="502" customFormat="1" ht="13.8">
      <c r="A46" s="1087"/>
      <c r="B46" s="926" t="s">
        <v>202</v>
      </c>
      <c r="C46" s="1252">
        <v>0</v>
      </c>
      <c r="D46" s="921" t="s">
        <v>199</v>
      </c>
      <c r="E46" s="1252">
        <v>0</v>
      </c>
      <c r="F46" s="1253">
        <f t="shared" si="1"/>
        <v>0</v>
      </c>
      <c r="G46" s="1254">
        <f>ROUND(C46*0.0005,2)+H46</f>
        <v>0</v>
      </c>
      <c r="H46" s="1187"/>
      <c r="I46" s="144"/>
      <c r="J46" s="144"/>
      <c r="K46" s="144"/>
      <c r="L46" s="144"/>
      <c r="M46" s="144"/>
    </row>
    <row r="47" spans="1:13" s="502" customFormat="1">
      <c r="A47" s="1087"/>
      <c r="B47" s="926" t="s">
        <v>203</v>
      </c>
      <c r="C47" s="1252">
        <v>0</v>
      </c>
      <c r="D47" s="921" t="s">
        <v>204</v>
      </c>
      <c r="E47" s="1252">
        <v>0</v>
      </c>
      <c r="F47" s="1253">
        <f t="shared" si="1"/>
        <v>0</v>
      </c>
      <c r="G47" s="1254">
        <f>ROUND(C47*0.00005,2)+H47</f>
        <v>0</v>
      </c>
      <c r="H47" s="1187"/>
      <c r="I47" s="3219"/>
      <c r="J47" s="3219"/>
      <c r="K47" s="144"/>
      <c r="L47" s="144"/>
      <c r="M47" s="144"/>
    </row>
    <row r="48" spans="1:13" s="502" customFormat="1" ht="24">
      <c r="A48" s="1087"/>
      <c r="B48" s="927" t="s">
        <v>205</v>
      </c>
      <c r="C48" s="1252">
        <v>0</v>
      </c>
      <c r="D48" s="921">
        <v>5</v>
      </c>
      <c r="E48" s="1252">
        <v>0</v>
      </c>
      <c r="F48" s="1253">
        <f t="shared" si="1"/>
        <v>0</v>
      </c>
      <c r="G48" s="1254">
        <f>ROUND(D48*C48,2)+H48</f>
        <v>0</v>
      </c>
      <c r="H48" s="1187"/>
      <c r="I48" s="144"/>
      <c r="J48" s="144"/>
      <c r="K48" s="144"/>
      <c r="L48" s="144"/>
      <c r="M48" s="144"/>
    </row>
    <row r="49" spans="1:13" s="502" customFormat="1" ht="24">
      <c r="A49" s="1087"/>
      <c r="B49" s="927" t="s">
        <v>206</v>
      </c>
      <c r="C49" s="1252">
        <v>0</v>
      </c>
      <c r="D49" s="921" t="s">
        <v>204</v>
      </c>
      <c r="E49" s="1252">
        <v>0</v>
      </c>
      <c r="F49" s="1253">
        <f t="shared" si="1"/>
        <v>0</v>
      </c>
      <c r="G49" s="1254">
        <f>ROUND(C49*0.0005,2)+H49</f>
        <v>0</v>
      </c>
      <c r="H49" s="1187"/>
      <c r="I49" s="3219"/>
      <c r="J49" s="3219"/>
      <c r="K49" s="144"/>
      <c r="L49" s="144"/>
      <c r="M49" s="144"/>
    </row>
    <row r="50" spans="1:13" s="502" customFormat="1" ht="13.8">
      <c r="A50" s="1087">
        <v>2</v>
      </c>
      <c r="B50" s="927" t="s">
        <v>207</v>
      </c>
      <c r="C50" s="1253">
        <f>SUM(C51:C52)</f>
        <v>0</v>
      </c>
      <c r="D50" s="928"/>
      <c r="E50" s="1254">
        <f>SUM(E51:E52)</f>
        <v>0</v>
      </c>
      <c r="F50" s="1253">
        <f>SUM(F51:F52)</f>
        <v>0</v>
      </c>
      <c r="G50" s="1254">
        <f>SUM(G51:G52)</f>
        <v>0</v>
      </c>
      <c r="H50" s="1187"/>
      <c r="I50" s="144"/>
      <c r="J50" s="144"/>
      <c r="K50" s="144"/>
      <c r="L50" s="144"/>
      <c r="M50" s="144"/>
    </row>
    <row r="51" spans="1:13" s="502" customFormat="1">
      <c r="A51" s="1087"/>
      <c r="B51" s="926" t="s">
        <v>208</v>
      </c>
      <c r="C51" s="1252"/>
      <c r="D51" s="163"/>
      <c r="E51" s="1252"/>
      <c r="F51" s="1253">
        <f t="shared" si="1"/>
        <v>0</v>
      </c>
      <c r="G51" s="1254">
        <f>ROUND(D51*C51,2)+H51</f>
        <v>0</v>
      </c>
      <c r="H51" s="1187"/>
      <c r="I51" s="232"/>
      <c r="J51" s="144"/>
      <c r="K51" s="144"/>
      <c r="L51" s="144"/>
      <c r="M51" s="144"/>
    </row>
    <row r="52" spans="1:13" s="502" customFormat="1" ht="13.8">
      <c r="A52" s="1087"/>
      <c r="B52" s="926" t="s">
        <v>209</v>
      </c>
      <c r="C52" s="1252"/>
      <c r="D52" s="929">
        <v>1.2E-2</v>
      </c>
      <c r="E52" s="1252"/>
      <c r="F52" s="1253">
        <f t="shared" si="1"/>
        <v>0</v>
      </c>
      <c r="G52" s="1254">
        <f>ROUND(D52*C52,2)+H52</f>
        <v>0</v>
      </c>
      <c r="H52" s="1187"/>
      <c r="I52" s="144"/>
      <c r="J52" s="144"/>
      <c r="K52" s="144"/>
      <c r="L52" s="144"/>
      <c r="M52" s="144"/>
    </row>
    <row r="53" spans="1:13" s="502" customFormat="1" ht="20.25" customHeight="1">
      <c r="A53" s="1089">
        <v>3</v>
      </c>
      <c r="B53" s="926" t="s">
        <v>1278</v>
      </c>
      <c r="C53" s="1252"/>
      <c r="D53" s="930"/>
      <c r="E53" s="1252"/>
      <c r="F53" s="1253">
        <f t="shared" si="1"/>
        <v>0</v>
      </c>
      <c r="G53" s="1254">
        <f>ROUND(D53*C53,2)+H53</f>
        <v>0</v>
      </c>
      <c r="H53" s="1187"/>
      <c r="I53" s="232"/>
      <c r="J53" s="144"/>
      <c r="K53" s="144"/>
      <c r="L53" s="144"/>
      <c r="M53" s="144"/>
    </row>
    <row r="54" spans="1:13" s="607" customFormat="1" ht="20.25" hidden="1" customHeight="1">
      <c r="A54" s="1088"/>
      <c r="B54" s="931"/>
      <c r="C54" s="932"/>
      <c r="D54" s="933"/>
      <c r="E54" s="1252"/>
      <c r="F54" s="1253">
        <f t="shared" si="1"/>
        <v>0</v>
      </c>
      <c r="G54" s="1254">
        <f>D54*C54+H54</f>
        <v>0</v>
      </c>
      <c r="H54" s="1187"/>
      <c r="I54" s="144"/>
      <c r="J54" s="144"/>
      <c r="K54" s="144"/>
      <c r="L54" s="606"/>
      <c r="M54" s="606"/>
    </row>
    <row r="55" spans="1:13" s="607" customFormat="1" ht="20.25" hidden="1" customHeight="1">
      <c r="A55" s="1091"/>
      <c r="B55" s="934"/>
      <c r="C55" s="935"/>
      <c r="D55" s="934"/>
      <c r="E55" s="1255"/>
      <c r="F55" s="1253">
        <f t="shared" si="1"/>
        <v>0</v>
      </c>
      <c r="G55" s="1256">
        <f>D55*C55+H55</f>
        <v>0</v>
      </c>
      <c r="H55" s="1188"/>
      <c r="I55" s="232"/>
      <c r="J55" s="144"/>
      <c r="K55" s="144"/>
      <c r="L55" s="606"/>
      <c r="M55" s="606"/>
    </row>
    <row r="56" spans="1:13" s="607" customFormat="1" ht="20.25" customHeight="1">
      <c r="A56" s="3603" t="s">
        <v>964</v>
      </c>
      <c r="B56" s="3603"/>
      <c r="C56" s="3603"/>
      <c r="D56" s="936"/>
      <c r="E56" s="1257">
        <f>E36+E50+E53+E54+E55</f>
        <v>0</v>
      </c>
      <c r="F56" s="1257">
        <f>F36+F50+F53+F54+F55</f>
        <v>0</v>
      </c>
      <c r="G56" s="1257">
        <f>G36+G50+G53+G54+G55</f>
        <v>0</v>
      </c>
      <c r="H56" s="1189"/>
      <c r="I56" s="232"/>
      <c r="J56" s="144"/>
      <c r="K56" s="144"/>
    </row>
    <row r="57" spans="1:13" s="649" customFormat="1" ht="15" customHeight="1">
      <c r="A57" s="3604" t="s">
        <v>210</v>
      </c>
      <c r="B57" s="3604"/>
      <c r="C57" s="3605" t="s">
        <v>175</v>
      </c>
      <c r="D57" s="3605"/>
      <c r="E57" s="3605"/>
      <c r="F57" s="3606" t="str">
        <f>IF(F56&lt;&gt;0,"、E","")</f>
        <v/>
      </c>
      <c r="G57" s="3606"/>
      <c r="H57" s="3606"/>
      <c r="I57" s="232"/>
      <c r="J57" s="144"/>
      <c r="K57" s="144"/>
      <c r="L57" s="648"/>
      <c r="M57" s="648"/>
    </row>
    <row r="58" spans="1:13" s="649" customFormat="1" ht="15.75" customHeight="1">
      <c r="A58" s="3599" t="s">
        <v>211</v>
      </c>
      <c r="B58" s="3599"/>
      <c r="C58" s="3600" t="str">
        <f>IF(F56=0,"税金计算正确，认可！","税金计算有误，处理后认可！")</f>
        <v>税金计算正确，认可！</v>
      </c>
      <c r="D58" s="3601"/>
      <c r="E58" s="3601"/>
      <c r="F58" s="3601"/>
      <c r="G58" s="3601"/>
      <c r="H58" s="3602"/>
      <c r="I58" s="144"/>
      <c r="J58" s="144"/>
      <c r="K58" s="144"/>
      <c r="L58" s="648"/>
      <c r="M58" s="648"/>
    </row>
    <row r="59" spans="1:13" s="607" customFormat="1" ht="20.25" customHeight="1">
      <c r="A59" s="942"/>
      <c r="B59" s="942"/>
      <c r="C59" s="942"/>
      <c r="D59" s="942"/>
      <c r="E59" s="942"/>
      <c r="F59" s="942"/>
      <c r="G59" s="942"/>
      <c r="H59" s="942"/>
      <c r="I59" s="606"/>
      <c r="J59" s="606"/>
      <c r="K59" s="606"/>
    </row>
    <row r="60" spans="1:13" s="607" customFormat="1" ht="20.25" customHeight="1">
      <c r="A60" s="942"/>
      <c r="B60" s="942"/>
      <c r="C60" s="942"/>
      <c r="D60" s="942"/>
      <c r="E60" s="942"/>
      <c r="F60" s="942"/>
      <c r="G60" s="942"/>
      <c r="H60" s="942"/>
      <c r="I60" s="606"/>
      <c r="J60" s="606"/>
      <c r="K60" s="606"/>
    </row>
    <row r="61" spans="1:13" s="607" customFormat="1" ht="20.25" customHeight="1">
      <c r="A61" s="942"/>
      <c r="B61" s="942"/>
      <c r="C61" s="942"/>
      <c r="D61" s="942"/>
      <c r="E61" s="942"/>
      <c r="F61" s="942"/>
      <c r="G61" s="942"/>
      <c r="H61" s="942"/>
      <c r="I61" s="606"/>
      <c r="J61" s="606"/>
      <c r="K61" s="606"/>
    </row>
    <row r="62" spans="1:13" s="607" customFormat="1" ht="20.25" customHeight="1">
      <c r="A62" s="942"/>
      <c r="B62" s="942"/>
      <c r="C62" s="942"/>
      <c r="D62" s="942"/>
      <c r="E62" s="942"/>
      <c r="F62" s="942"/>
      <c r="G62" s="942"/>
      <c r="H62" s="942"/>
      <c r="I62" s="606"/>
      <c r="J62" s="606"/>
      <c r="K62" s="606"/>
    </row>
    <row r="63" spans="1:13" s="607" customFormat="1" ht="20.25" customHeight="1">
      <c r="A63" s="942"/>
      <c r="B63" s="942"/>
      <c r="C63" s="942"/>
      <c r="D63" s="942"/>
      <c r="E63" s="942"/>
      <c r="F63" s="942"/>
      <c r="G63" s="942"/>
      <c r="H63" s="942"/>
      <c r="I63" s="606"/>
      <c r="J63" s="606"/>
      <c r="K63" s="606"/>
    </row>
    <row r="64" spans="1:13" s="607" customFormat="1" ht="20.25" customHeight="1">
      <c r="A64" s="942"/>
      <c r="B64" s="942"/>
      <c r="C64" s="942"/>
      <c r="D64" s="942"/>
      <c r="E64" s="942"/>
      <c r="F64" s="942"/>
      <c r="G64" s="942"/>
      <c r="H64" s="942"/>
      <c r="I64" s="606"/>
      <c r="J64" s="606"/>
      <c r="K64" s="606"/>
    </row>
    <row r="65" spans="1:13" s="607" customFormat="1" ht="20.25" customHeight="1">
      <c r="A65" s="942"/>
      <c r="B65" s="942"/>
      <c r="C65" s="942"/>
      <c r="D65" s="942"/>
      <c r="E65" s="942"/>
      <c r="F65" s="942"/>
      <c r="G65" s="942"/>
      <c r="H65" s="942"/>
      <c r="I65" s="606"/>
      <c r="J65" s="606"/>
      <c r="K65" s="606"/>
    </row>
    <row r="66" spans="1:13" s="607" customFormat="1" ht="20.25" customHeight="1">
      <c r="A66" s="942"/>
      <c r="B66" s="942"/>
      <c r="C66" s="942"/>
      <c r="D66" s="942"/>
      <c r="E66" s="942"/>
      <c r="F66" s="942"/>
      <c r="G66" s="942"/>
      <c r="H66" s="942"/>
      <c r="I66" s="606"/>
      <c r="J66" s="606"/>
      <c r="K66" s="606"/>
    </row>
    <row r="67" spans="1:13" s="607" customFormat="1" ht="28.5" customHeight="1">
      <c r="A67" s="942"/>
      <c r="B67" s="942"/>
      <c r="C67" s="942"/>
      <c r="D67" s="942"/>
      <c r="E67" s="942"/>
      <c r="F67" s="942"/>
      <c r="G67" s="942"/>
      <c r="H67" s="942"/>
      <c r="I67" s="606"/>
      <c r="J67" s="606"/>
      <c r="K67" s="606"/>
    </row>
    <row r="68" spans="1:13" s="607" customFormat="1" ht="20.25" customHeight="1">
      <c r="A68" s="942"/>
      <c r="B68" s="942"/>
      <c r="C68" s="942"/>
      <c r="D68" s="942"/>
      <c r="E68" s="942"/>
      <c r="F68" s="942"/>
      <c r="G68" s="942"/>
      <c r="H68" s="942"/>
      <c r="I68" s="606"/>
      <c r="J68" s="606"/>
      <c r="K68" s="606"/>
      <c r="L68" s="606"/>
      <c r="M68" s="606"/>
    </row>
    <row r="69" spans="1:13" s="607" customFormat="1" ht="20.25" customHeight="1">
      <c r="A69" s="942"/>
      <c r="B69" s="942"/>
      <c r="C69" s="942"/>
      <c r="D69" s="942"/>
      <c r="E69" s="942"/>
      <c r="F69" s="942"/>
      <c r="G69" s="942"/>
      <c r="H69" s="942"/>
      <c r="I69" s="606"/>
      <c r="J69" s="606"/>
      <c r="K69" s="606"/>
      <c r="L69" s="606"/>
      <c r="M69" s="606"/>
    </row>
    <row r="70" spans="1:13" s="607" customFormat="1" ht="30" customHeight="1">
      <c r="A70" s="942"/>
      <c r="B70" s="942"/>
      <c r="C70" s="942"/>
      <c r="D70" s="942"/>
      <c r="E70" s="942"/>
      <c r="F70" s="942"/>
      <c r="G70" s="942"/>
      <c r="H70" s="942"/>
      <c r="I70" s="606"/>
      <c r="J70" s="606"/>
      <c r="K70" s="606"/>
      <c r="L70" s="606"/>
      <c r="M70" s="606"/>
    </row>
    <row r="71" spans="1:13" s="607" customFormat="1" ht="20.25" customHeight="1">
      <c r="A71" s="942"/>
      <c r="B71" s="942"/>
      <c r="C71" s="942"/>
      <c r="D71" s="942"/>
      <c r="E71" s="942"/>
      <c r="F71" s="942"/>
      <c r="G71" s="942"/>
      <c r="H71" s="942"/>
      <c r="I71" s="606"/>
      <c r="J71" s="606"/>
      <c r="K71" s="606"/>
      <c r="L71" s="606"/>
      <c r="M71" s="606"/>
    </row>
    <row r="72" spans="1:13" s="607" customFormat="1" ht="20.25" customHeight="1">
      <c r="A72" s="942"/>
      <c r="B72" s="942"/>
      <c r="C72" s="942"/>
      <c r="D72" s="942"/>
      <c r="E72" s="942"/>
      <c r="F72" s="942"/>
      <c r="G72" s="942"/>
      <c r="H72" s="942"/>
      <c r="I72" s="606"/>
      <c r="J72" s="606"/>
      <c r="K72" s="606"/>
      <c r="L72" s="606"/>
      <c r="M72" s="606"/>
    </row>
    <row r="73" spans="1:13" s="607" customFormat="1" ht="20.25" customHeight="1">
      <c r="A73" s="771"/>
      <c r="B73" s="771"/>
      <c r="C73" s="771"/>
      <c r="D73" s="771"/>
      <c r="E73" s="771"/>
      <c r="F73" s="771"/>
      <c r="G73" s="771"/>
      <c r="H73" s="771"/>
      <c r="I73" s="606"/>
      <c r="J73" s="606"/>
      <c r="K73" s="606"/>
      <c r="L73" s="606"/>
      <c r="M73" s="606"/>
    </row>
    <row r="74" spans="1:13" s="607" customFormat="1" ht="27" customHeight="1">
      <c r="A74" s="771"/>
      <c r="B74" s="771"/>
      <c r="C74" s="771"/>
      <c r="D74" s="771"/>
      <c r="E74" s="771"/>
      <c r="F74" s="771"/>
      <c r="G74" s="771"/>
      <c r="H74" s="771"/>
      <c r="I74" s="937"/>
      <c r="J74" s="938"/>
      <c r="K74" s="938"/>
      <c r="L74" s="606"/>
      <c r="M74" s="606"/>
    </row>
    <row r="75" spans="1:13" s="607" customFormat="1" ht="25.5" customHeight="1">
      <c r="A75" s="771"/>
      <c r="B75" s="771"/>
      <c r="C75" s="771"/>
      <c r="D75" s="771"/>
      <c r="E75" s="771"/>
      <c r="F75" s="771"/>
      <c r="G75" s="771"/>
      <c r="H75" s="771"/>
      <c r="I75" s="939"/>
      <c r="J75" s="939"/>
      <c r="K75" s="939"/>
      <c r="L75" s="606"/>
      <c r="M75" s="606"/>
    </row>
    <row r="76" spans="1:13" s="607" customFormat="1" ht="25.5" customHeight="1">
      <c r="A76" s="771"/>
      <c r="B76" s="771"/>
      <c r="C76" s="771"/>
      <c r="D76" s="771"/>
      <c r="E76" s="771"/>
      <c r="F76" s="771"/>
      <c r="G76" s="771"/>
      <c r="H76" s="771"/>
      <c r="I76" s="939"/>
      <c r="J76" s="939"/>
      <c r="K76" s="940"/>
      <c r="L76" s="606"/>
      <c r="M76" s="606"/>
    </row>
    <row r="77" spans="1:13" s="607" customFormat="1" ht="25.5" customHeight="1">
      <c r="A77" s="771"/>
      <c r="B77" s="771"/>
      <c r="C77" s="771"/>
      <c r="D77" s="771"/>
      <c r="E77" s="771"/>
      <c r="F77" s="771"/>
      <c r="G77" s="771"/>
      <c r="H77" s="771"/>
      <c r="I77" s="939"/>
      <c r="J77" s="939"/>
      <c r="K77" s="940"/>
      <c r="L77" s="606"/>
      <c r="M77" s="606"/>
    </row>
    <row r="78" spans="1:13" s="607" customFormat="1" ht="25.5" customHeight="1">
      <c r="A78" s="771"/>
      <c r="B78" s="771"/>
      <c r="C78" s="771"/>
      <c r="D78" s="771"/>
      <c r="E78" s="771"/>
      <c r="F78" s="771"/>
      <c r="G78" s="771"/>
      <c r="H78" s="771"/>
      <c r="I78" s="939"/>
      <c r="J78" s="939"/>
      <c r="K78" s="940"/>
      <c r="L78" s="606"/>
      <c r="M78" s="606"/>
    </row>
    <row r="79" spans="1:13" s="607" customFormat="1" ht="25.5" customHeight="1">
      <c r="A79" s="771"/>
      <c r="B79" s="771"/>
      <c r="C79" s="771"/>
      <c r="D79" s="771"/>
      <c r="E79" s="771"/>
      <c r="F79" s="771"/>
      <c r="G79" s="771"/>
      <c r="H79" s="771"/>
      <c r="I79" s="939"/>
      <c r="J79" s="939"/>
      <c r="K79" s="940"/>
      <c r="L79" s="606"/>
      <c r="M79" s="606"/>
    </row>
    <row r="80" spans="1:13" s="607" customFormat="1" ht="25.5" customHeight="1">
      <c r="A80" s="771"/>
      <c r="B80" s="771"/>
      <c r="C80" s="771"/>
      <c r="D80" s="771"/>
      <c r="E80" s="771"/>
      <c r="F80" s="771"/>
      <c r="G80" s="771"/>
      <c r="H80" s="771"/>
      <c r="I80" s="939"/>
      <c r="J80" s="939"/>
      <c r="K80" s="940"/>
      <c r="L80" s="606"/>
      <c r="M80" s="606"/>
    </row>
    <row r="81" spans="1:13" s="607" customFormat="1" ht="25.5" customHeight="1">
      <c r="A81" s="771"/>
      <c r="B81" s="771"/>
      <c r="C81" s="771"/>
      <c r="D81" s="771"/>
      <c r="E81" s="771"/>
      <c r="F81" s="771"/>
      <c r="G81" s="771"/>
      <c r="H81" s="771"/>
      <c r="I81" s="939"/>
      <c r="J81" s="939"/>
      <c r="K81" s="939"/>
      <c r="L81" s="606"/>
      <c r="M81" s="606"/>
    </row>
    <row r="82" spans="1:13" s="607" customFormat="1" ht="25.5" customHeight="1">
      <c r="A82" s="771"/>
      <c r="B82" s="771"/>
      <c r="C82" s="771"/>
      <c r="D82" s="771"/>
      <c r="E82" s="771"/>
      <c r="F82" s="771"/>
      <c r="G82" s="771"/>
      <c r="H82" s="771"/>
      <c r="I82" s="939"/>
      <c r="J82" s="939"/>
      <c r="K82" s="939"/>
      <c r="L82" s="606"/>
      <c r="M82" s="606"/>
    </row>
    <row r="83" spans="1:13" s="607" customFormat="1" ht="41.25" customHeight="1">
      <c r="A83" s="771"/>
      <c r="B83" s="771"/>
      <c r="C83" s="771"/>
      <c r="D83" s="771"/>
      <c r="E83" s="771"/>
      <c r="F83" s="771"/>
      <c r="G83" s="771"/>
      <c r="H83" s="771"/>
      <c r="I83" s="939"/>
      <c r="J83" s="939"/>
      <c r="K83" s="939"/>
      <c r="L83" s="606"/>
      <c r="M83" s="606"/>
    </row>
    <row r="84" spans="1:13" s="607" customFormat="1" ht="25.5" customHeight="1">
      <c r="A84" s="771"/>
      <c r="B84" s="771"/>
      <c r="C84" s="771"/>
      <c r="D84" s="771"/>
      <c r="E84" s="771"/>
      <c r="F84" s="771"/>
      <c r="G84" s="771"/>
      <c r="H84" s="771"/>
      <c r="I84" s="939"/>
      <c r="J84" s="939"/>
      <c r="K84" s="940"/>
      <c r="L84" s="606"/>
      <c r="M84" s="606"/>
    </row>
    <row r="85" spans="1:13" s="607" customFormat="1" ht="25.5" customHeight="1">
      <c r="A85" s="771"/>
      <c r="B85" s="771"/>
      <c r="C85" s="771"/>
      <c r="D85" s="771"/>
      <c r="E85" s="771"/>
      <c r="F85" s="771"/>
      <c r="G85" s="771"/>
      <c r="H85" s="771"/>
      <c r="I85" s="939"/>
      <c r="J85" s="939"/>
      <c r="K85" s="940"/>
      <c r="L85" s="606"/>
      <c r="M85" s="606"/>
    </row>
    <row r="86" spans="1:13" s="607" customFormat="1" ht="25.5" customHeight="1">
      <c r="A86" s="771"/>
      <c r="B86" s="771"/>
      <c r="C86" s="771"/>
      <c r="D86" s="771"/>
      <c r="E86" s="771"/>
      <c r="F86" s="771"/>
      <c r="G86" s="771"/>
      <c r="H86" s="771"/>
      <c r="I86" s="939"/>
      <c r="J86" s="939"/>
      <c r="K86" s="940"/>
      <c r="L86" s="606"/>
      <c r="M86" s="606"/>
    </row>
    <row r="87" spans="1:13" s="607" customFormat="1" ht="20.25" customHeight="1">
      <c r="A87" s="771"/>
      <c r="B87" s="771"/>
      <c r="C87" s="771"/>
      <c r="D87" s="771"/>
      <c r="E87" s="771"/>
      <c r="F87" s="771"/>
      <c r="G87" s="771"/>
      <c r="H87" s="771"/>
      <c r="I87" s="941"/>
      <c r="J87" s="938"/>
      <c r="K87" s="938"/>
      <c r="L87" s="606"/>
      <c r="M87" s="606"/>
    </row>
    <row r="88" spans="1:13" s="607" customFormat="1" ht="20.25" customHeight="1">
      <c r="A88" s="771"/>
      <c r="B88" s="771"/>
      <c r="C88" s="771"/>
      <c r="D88" s="771"/>
      <c r="E88" s="771"/>
      <c r="F88" s="771"/>
      <c r="G88" s="771"/>
      <c r="H88" s="771"/>
      <c r="I88" s="606"/>
      <c r="J88" s="606"/>
      <c r="K88" s="606"/>
      <c r="L88" s="606"/>
      <c r="M88" s="606"/>
    </row>
    <row r="89" spans="1:13" s="501" customFormat="1" ht="20.25" customHeight="1">
      <c r="A89" s="771"/>
      <c r="B89" s="771"/>
      <c r="C89" s="771"/>
      <c r="D89" s="771"/>
      <c r="E89" s="771"/>
      <c r="F89" s="771"/>
      <c r="G89" s="771"/>
      <c r="H89" s="771"/>
      <c r="I89" s="480"/>
      <c r="J89" s="480"/>
      <c r="K89" s="480"/>
      <c r="L89" s="480"/>
      <c r="M89" s="480"/>
    </row>
    <row r="90" spans="1:13" s="501" customFormat="1" ht="20.25" customHeight="1">
      <c r="A90" s="771"/>
      <c r="B90" s="771"/>
      <c r="C90" s="771"/>
      <c r="D90" s="771"/>
      <c r="E90" s="771"/>
      <c r="F90" s="771"/>
      <c r="G90" s="771"/>
      <c r="H90" s="771"/>
      <c r="I90" s="480"/>
      <c r="J90" s="480"/>
      <c r="K90" s="480"/>
      <c r="L90" s="480"/>
      <c r="M90" s="480"/>
    </row>
    <row r="91" spans="1:13" s="501" customFormat="1" ht="20.25" customHeight="1">
      <c r="A91" s="771"/>
      <c r="B91" s="771"/>
      <c r="C91" s="771"/>
      <c r="D91" s="771"/>
      <c r="E91" s="771"/>
      <c r="F91" s="771"/>
      <c r="G91" s="771"/>
      <c r="H91" s="771"/>
      <c r="I91" s="480"/>
      <c r="J91" s="480"/>
      <c r="K91" s="480"/>
      <c r="L91" s="480"/>
      <c r="M91" s="480"/>
    </row>
    <row r="92" spans="1:13" s="501" customFormat="1" ht="20.25" customHeight="1">
      <c r="A92" s="771"/>
      <c r="B92" s="771"/>
      <c r="C92" s="771"/>
      <c r="D92" s="771"/>
      <c r="E92" s="771"/>
      <c r="F92" s="771"/>
      <c r="G92" s="771"/>
      <c r="H92" s="771"/>
      <c r="I92" s="480"/>
      <c r="J92" s="480"/>
      <c r="K92" s="480"/>
      <c r="L92" s="480"/>
      <c r="M92" s="480"/>
    </row>
    <row r="93" spans="1:13" s="501" customFormat="1" ht="20.25" customHeight="1">
      <c r="A93" s="771"/>
      <c r="B93" s="771"/>
      <c r="C93" s="771"/>
      <c r="D93" s="771"/>
      <c r="E93" s="771"/>
      <c r="F93" s="771"/>
      <c r="G93" s="771"/>
      <c r="H93" s="771"/>
      <c r="I93" s="480"/>
      <c r="J93" s="480"/>
      <c r="K93" s="480"/>
      <c r="L93" s="480"/>
      <c r="M93" s="480"/>
    </row>
    <row r="94" spans="1:13" s="501" customFormat="1" ht="20.25" customHeight="1">
      <c r="A94" s="771"/>
      <c r="B94" s="771"/>
      <c r="C94" s="771"/>
      <c r="D94" s="771"/>
      <c r="E94" s="771"/>
      <c r="F94" s="771"/>
      <c r="G94" s="771"/>
      <c r="H94" s="771"/>
      <c r="I94" s="480"/>
      <c r="J94" s="480"/>
      <c r="K94" s="480"/>
      <c r="L94" s="480"/>
      <c r="M94" s="480"/>
    </row>
    <row r="95" spans="1:13" s="501" customFormat="1" ht="20.25" customHeight="1">
      <c r="A95" s="771"/>
      <c r="B95" s="771"/>
      <c r="C95" s="771"/>
      <c r="D95" s="771"/>
      <c r="E95" s="771"/>
      <c r="F95" s="771"/>
      <c r="G95" s="771"/>
      <c r="H95" s="771"/>
      <c r="I95" s="480"/>
      <c r="J95" s="480"/>
      <c r="K95" s="480"/>
      <c r="L95" s="480"/>
      <c r="M95" s="480"/>
    </row>
    <row r="96" spans="1:13" s="501" customFormat="1" ht="20.25" customHeight="1">
      <c r="A96" s="771"/>
      <c r="B96" s="771"/>
      <c r="C96" s="771"/>
      <c r="D96" s="771"/>
      <c r="E96" s="771"/>
      <c r="F96" s="771"/>
      <c r="G96" s="771"/>
      <c r="H96" s="771"/>
      <c r="I96" s="480"/>
      <c r="J96" s="480"/>
      <c r="K96" s="480"/>
      <c r="L96" s="480"/>
      <c r="M96" s="480"/>
    </row>
    <row r="97" spans="1:8" s="501" customFormat="1" ht="20.25" customHeight="1">
      <c r="A97" s="771"/>
      <c r="B97" s="771"/>
      <c r="C97" s="771"/>
      <c r="D97" s="771"/>
      <c r="E97" s="771"/>
      <c r="F97" s="771"/>
      <c r="G97" s="771"/>
      <c r="H97" s="771"/>
    </row>
    <row r="98" spans="1:8" s="501" customFormat="1" ht="20.25" customHeight="1">
      <c r="A98" s="771"/>
      <c r="B98" s="771"/>
      <c r="C98" s="771"/>
      <c r="D98" s="771"/>
      <c r="E98" s="771"/>
      <c r="F98" s="771"/>
      <c r="G98" s="771"/>
      <c r="H98" s="771"/>
    </row>
    <row r="99" spans="1:8" s="501" customFormat="1" ht="20.25" customHeight="1">
      <c r="A99" s="771"/>
      <c r="B99" s="771"/>
      <c r="C99" s="771"/>
      <c r="D99" s="771"/>
      <c r="E99" s="771"/>
      <c r="F99" s="771"/>
      <c r="G99" s="771"/>
      <c r="H99" s="771"/>
    </row>
    <row r="100" spans="1:8" s="501" customFormat="1" ht="20.25" customHeight="1">
      <c r="A100" s="771"/>
      <c r="B100" s="771"/>
      <c r="C100" s="771"/>
      <c r="D100" s="771"/>
      <c r="E100" s="771"/>
      <c r="F100" s="771"/>
      <c r="G100" s="771"/>
      <c r="H100" s="771"/>
    </row>
    <row r="101" spans="1:8" s="501" customFormat="1" ht="20.25" customHeight="1">
      <c r="A101" s="771"/>
      <c r="B101" s="771"/>
      <c r="C101" s="771"/>
      <c r="D101" s="771"/>
      <c r="E101" s="771"/>
      <c r="F101" s="771"/>
      <c r="G101" s="771"/>
      <c r="H101" s="771"/>
    </row>
    <row r="102" spans="1:8" s="501" customFormat="1" ht="20.25" customHeight="1">
      <c r="A102" s="771"/>
      <c r="B102" s="771"/>
      <c r="C102" s="771"/>
      <c r="D102" s="771"/>
      <c r="E102" s="771"/>
      <c r="F102" s="771"/>
      <c r="G102" s="771"/>
      <c r="H102" s="771"/>
    </row>
    <row r="103" spans="1:8" s="501" customFormat="1" ht="20.25" customHeight="1">
      <c r="A103" s="771"/>
      <c r="B103" s="771"/>
      <c r="C103" s="771"/>
      <c r="D103" s="771"/>
      <c r="E103" s="771"/>
      <c r="F103" s="771"/>
      <c r="G103" s="771"/>
      <c r="H103" s="771"/>
    </row>
    <row r="104" spans="1:8" s="501" customFormat="1" ht="20.25" customHeight="1">
      <c r="A104" s="771"/>
      <c r="B104" s="771"/>
      <c r="C104" s="771"/>
      <c r="D104" s="771"/>
      <c r="E104" s="771"/>
      <c r="F104" s="771"/>
      <c r="G104" s="771"/>
      <c r="H104" s="771"/>
    </row>
    <row r="105" spans="1:8" s="501" customFormat="1" ht="20.25" customHeight="1">
      <c r="A105" s="771"/>
      <c r="B105" s="771"/>
      <c r="C105" s="771"/>
      <c r="D105" s="771"/>
      <c r="E105" s="771"/>
      <c r="F105" s="771"/>
      <c r="G105" s="771"/>
      <c r="H105" s="771"/>
    </row>
    <row r="106" spans="1:8" s="501" customFormat="1" ht="20.25" customHeight="1">
      <c r="A106" s="771"/>
      <c r="B106" s="771"/>
      <c r="C106" s="771"/>
      <c r="D106" s="771"/>
      <c r="E106" s="771"/>
      <c r="F106" s="771"/>
      <c r="G106" s="771"/>
      <c r="H106" s="771"/>
    </row>
    <row r="107" spans="1:8" s="501" customFormat="1" ht="20.25" customHeight="1">
      <c r="A107" s="771"/>
      <c r="B107" s="771"/>
      <c r="C107" s="771"/>
      <c r="D107" s="771"/>
      <c r="E107" s="771"/>
      <c r="F107" s="771"/>
      <c r="G107" s="771"/>
      <c r="H107" s="771"/>
    </row>
    <row r="108" spans="1:8" s="501" customFormat="1" ht="20.25" customHeight="1">
      <c r="A108" s="771"/>
      <c r="B108" s="771"/>
      <c r="C108" s="771"/>
      <c r="D108" s="771"/>
      <c r="E108" s="771"/>
      <c r="F108" s="771"/>
      <c r="G108" s="771"/>
      <c r="H108" s="771"/>
    </row>
    <row r="109" spans="1:8" s="501" customFormat="1" ht="20.25" customHeight="1">
      <c r="A109" s="771"/>
      <c r="B109" s="771"/>
      <c r="C109" s="771"/>
      <c r="D109" s="771"/>
      <c r="E109" s="771"/>
      <c r="F109" s="771"/>
      <c r="G109" s="771"/>
      <c r="H109" s="771"/>
    </row>
    <row r="110" spans="1:8" s="501" customFormat="1" ht="20.25" customHeight="1">
      <c r="A110" s="771"/>
      <c r="B110" s="771"/>
      <c r="C110" s="771"/>
      <c r="D110" s="771"/>
      <c r="E110" s="771"/>
      <c r="F110" s="771"/>
      <c r="G110" s="771"/>
      <c r="H110" s="771"/>
    </row>
    <row r="111" spans="1:8" s="501" customFormat="1" ht="20.25" customHeight="1">
      <c r="A111" s="771"/>
      <c r="B111" s="771"/>
      <c r="C111" s="771"/>
      <c r="D111" s="771"/>
      <c r="E111" s="771"/>
      <c r="F111" s="771"/>
      <c r="G111" s="771"/>
      <c r="H111" s="771"/>
    </row>
    <row r="112" spans="1:8" s="501" customFormat="1" ht="20.25" customHeight="1">
      <c r="A112" s="771"/>
      <c r="B112" s="771"/>
      <c r="C112" s="771"/>
      <c r="D112" s="771"/>
      <c r="E112" s="771"/>
      <c r="F112" s="771"/>
      <c r="G112" s="771"/>
      <c r="H112" s="771"/>
    </row>
    <row r="113" spans="1:8" s="501" customFormat="1">
      <c r="A113" s="771"/>
      <c r="B113" s="771"/>
      <c r="C113" s="771"/>
      <c r="D113" s="771"/>
      <c r="E113" s="771"/>
      <c r="F113" s="771"/>
      <c r="G113" s="771"/>
      <c r="H113" s="771"/>
    </row>
    <row r="114" spans="1:8" s="501" customFormat="1">
      <c r="A114" s="771"/>
      <c r="B114" s="771"/>
      <c r="C114" s="771"/>
      <c r="D114" s="771"/>
      <c r="E114" s="771"/>
      <c r="F114" s="771"/>
      <c r="G114" s="771"/>
      <c r="H114" s="771"/>
    </row>
    <row r="115" spans="1:8" s="501" customFormat="1">
      <c r="A115" s="771"/>
      <c r="B115" s="771"/>
      <c r="C115" s="771"/>
      <c r="D115" s="771"/>
      <c r="E115" s="771"/>
      <c r="F115" s="771"/>
      <c r="G115" s="771"/>
      <c r="H115" s="771"/>
    </row>
    <row r="116" spans="1:8" s="501" customFormat="1">
      <c r="A116" s="771"/>
      <c r="B116" s="771"/>
      <c r="C116" s="771"/>
      <c r="D116" s="771"/>
      <c r="E116" s="771"/>
      <c r="F116" s="771"/>
      <c r="G116" s="771"/>
      <c r="H116" s="771"/>
    </row>
    <row r="117" spans="1:8" s="501" customFormat="1">
      <c r="A117" s="771"/>
      <c r="B117" s="771"/>
      <c r="C117" s="771"/>
      <c r="D117" s="771"/>
      <c r="E117" s="771"/>
      <c r="F117" s="771"/>
      <c r="G117" s="771"/>
      <c r="H117" s="771"/>
    </row>
    <row r="118" spans="1:8" s="501" customFormat="1">
      <c r="A118" s="771"/>
      <c r="B118" s="771"/>
      <c r="C118" s="771"/>
      <c r="D118" s="771"/>
      <c r="E118" s="771"/>
      <c r="F118" s="771"/>
      <c r="G118" s="771"/>
      <c r="H118" s="771"/>
    </row>
    <row r="119" spans="1:8" s="501" customFormat="1">
      <c r="A119" s="771"/>
      <c r="B119" s="771"/>
      <c r="C119" s="771"/>
      <c r="D119" s="771"/>
      <c r="E119" s="771"/>
      <c r="F119" s="771"/>
      <c r="G119" s="771"/>
      <c r="H119" s="771"/>
    </row>
    <row r="120" spans="1:8" s="501" customFormat="1">
      <c r="A120" s="771"/>
      <c r="B120" s="771"/>
      <c r="C120" s="771"/>
      <c r="D120" s="771"/>
      <c r="E120" s="771"/>
      <c r="F120" s="771"/>
      <c r="G120" s="771"/>
      <c r="H120" s="771"/>
    </row>
    <row r="121" spans="1:8" s="501" customFormat="1">
      <c r="A121" s="771"/>
      <c r="B121" s="771"/>
      <c r="C121" s="771"/>
      <c r="D121" s="771"/>
      <c r="E121" s="771"/>
      <c r="F121" s="771"/>
      <c r="G121" s="771"/>
      <c r="H121" s="771"/>
    </row>
    <row r="122" spans="1:8" s="501" customFormat="1">
      <c r="A122" s="771"/>
      <c r="B122" s="771"/>
      <c r="C122" s="771"/>
      <c r="D122" s="771"/>
      <c r="E122" s="771"/>
      <c r="F122" s="771"/>
      <c r="G122" s="771"/>
      <c r="H122" s="771"/>
    </row>
    <row r="123" spans="1:8" s="501" customFormat="1">
      <c r="A123" s="771"/>
      <c r="B123" s="771"/>
      <c r="C123" s="771"/>
      <c r="D123" s="771"/>
      <c r="E123" s="771"/>
      <c r="F123" s="771"/>
      <c r="G123" s="771"/>
      <c r="H123" s="771"/>
    </row>
    <row r="124" spans="1:8" s="501" customFormat="1">
      <c r="A124" s="771"/>
      <c r="B124" s="771"/>
      <c r="C124" s="771"/>
      <c r="D124" s="771"/>
      <c r="E124" s="771"/>
      <c r="F124" s="771"/>
      <c r="G124" s="771"/>
      <c r="H124" s="771"/>
    </row>
    <row r="125" spans="1:8" s="501" customFormat="1">
      <c r="A125" s="771"/>
      <c r="B125" s="771"/>
      <c r="C125" s="771"/>
      <c r="D125" s="771"/>
      <c r="E125" s="771"/>
      <c r="F125" s="771"/>
      <c r="G125" s="771"/>
      <c r="H125" s="771"/>
    </row>
  </sheetData>
  <sheetProtection selectLockedCells="1" selectUnlockedCells="1"/>
  <mergeCells count="36">
    <mergeCell ref="A28:H28"/>
    <mergeCell ref="A32:C32"/>
    <mergeCell ref="A1:H1"/>
    <mergeCell ref="I1:I4"/>
    <mergeCell ref="A2:C3"/>
    <mergeCell ref="G2:H2"/>
    <mergeCell ref="G3:H4"/>
    <mergeCell ref="A4:C4"/>
    <mergeCell ref="A5:H5"/>
    <mergeCell ref="A26:B26"/>
    <mergeCell ref="C26:F26"/>
    <mergeCell ref="G26:H26"/>
    <mergeCell ref="A27:B27"/>
    <mergeCell ref="C27:H27"/>
    <mergeCell ref="A34:A35"/>
    <mergeCell ref="B34:B35"/>
    <mergeCell ref="A29:H29"/>
    <mergeCell ref="A30:C31"/>
    <mergeCell ref="G30:H30"/>
    <mergeCell ref="G31:H32"/>
    <mergeCell ref="E34:G34"/>
    <mergeCell ref="C34:C35"/>
    <mergeCell ref="D34:D35"/>
    <mergeCell ref="A33:H33"/>
    <mergeCell ref="A58:B58"/>
    <mergeCell ref="C58:H58"/>
    <mergeCell ref="I39:K39"/>
    <mergeCell ref="I41:K41"/>
    <mergeCell ref="I43:J43"/>
    <mergeCell ref="I45:J45"/>
    <mergeCell ref="I47:J47"/>
    <mergeCell ref="I49:J49"/>
    <mergeCell ref="A56:C56"/>
    <mergeCell ref="A57:B57"/>
    <mergeCell ref="C57:E57"/>
    <mergeCell ref="F57:H57"/>
  </mergeCells>
  <phoneticPr fontId="51" type="noConversion"/>
  <dataValidations count="1">
    <dataValidation allowBlank="1" showErrorMessage="1" sqref="E31 E3">
      <formula1>0</formula1>
      <formula2>0</formula2>
    </dataValidation>
  </dataValidations>
  <hyperlinks>
    <hyperlink ref="I10" location="纳税申报数据!A1" display="纳税申报数据"/>
    <hyperlink ref="I11" location="纳税调整明细表!A1" display="纳税调整明细表"/>
    <hyperlink ref="I12" location="资产负债!A1" display="资产负债表"/>
    <hyperlink ref="I15" location="申报主表!A1" display="申报主表"/>
    <hyperlink ref="I16" location="企业各税审核汇总表!A1" display="企业各税审核汇总表"/>
    <hyperlink ref="I17" location="主营收支!A1" display="主营业务收支审核表"/>
    <hyperlink ref="I18" location="其他业务!A1" display="其他业务利润审核表"/>
    <hyperlink ref="I19" location="利润!A1" display="利润及利润分配表"/>
    <hyperlink ref="I21" location="事项说明!A1" display="审核报告事项说明"/>
    <hyperlink ref="I23" location="收入与申报核对表!A1" display="收入与申报核对表!A1"/>
    <hyperlink ref="C9" location="主营税金!E8" display="主营税金!E8"/>
    <hyperlink ref="C10" location="主营税金!E14" display="主营税金!E14"/>
    <hyperlink ref="C11" location="主营税金!E20" display="主营税金!E20"/>
    <hyperlink ref="C12" location="主营税金!E26" display="主营税金!E26"/>
    <hyperlink ref="C16" location="税费缴纳测算!E45" display="税费缴纳测算!E45"/>
    <hyperlink ref="C17" location="税费缴纳测算!E31" display="税费缴纳测算!E31"/>
    <hyperlink ref="C19" location="税费缴纳测算!E48" display="税费缴纳测算!E48"/>
    <hyperlink ref="C22" location="主营税金!E32" display="主营税金!E32"/>
  </hyperlinks>
  <pageMargins left="0.78740157480314998" right="0.35433070866141703" top="0.511811023622047" bottom="0.11811023622047198" header="0.511811023622047" footer="0.511811023622047"/>
  <pageSetup paperSize="9" scale="89" firstPageNumber="0" orientation="portrait" blackAndWhite="1"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O50"/>
  <sheetViews>
    <sheetView topLeftCell="A8" workbookViewId="0">
      <selection activeCell="C20" sqref="C20:J20"/>
    </sheetView>
  </sheetViews>
  <sheetFormatPr defaultColWidth="9" defaultRowHeight="15.6"/>
  <cols>
    <col min="1" max="1" width="6" style="554" customWidth="1"/>
    <col min="2" max="2" width="18.3984375" style="554" customWidth="1"/>
    <col min="3" max="10" width="12.5" style="554" customWidth="1"/>
    <col min="11" max="11" width="23" style="554" customWidth="1"/>
    <col min="12" max="12" width="22.59765625" style="554" customWidth="1"/>
    <col min="13" max="16384" width="9" style="554"/>
  </cols>
  <sheetData>
    <row r="1" spans="1:15" s="944" customFormat="1" ht="33" customHeight="1">
      <c r="A1" s="2729" t="s">
        <v>316</v>
      </c>
      <c r="B1" s="2729"/>
      <c r="C1" s="2729"/>
      <c r="D1" s="2729"/>
      <c r="E1" s="2729"/>
      <c r="F1" s="2729"/>
      <c r="G1" s="2729"/>
      <c r="H1" s="2729"/>
      <c r="I1" s="2729"/>
      <c r="J1" s="2729"/>
      <c r="K1" s="3632"/>
      <c r="L1" s="943"/>
      <c r="M1" s="943"/>
      <c r="N1" s="943"/>
      <c r="O1" s="943"/>
    </row>
    <row r="2" spans="1:15" s="744" customFormat="1" ht="20.100000000000001" customHeight="1">
      <c r="A2" s="3065" t="s">
        <v>447</v>
      </c>
      <c r="B2" s="3065"/>
      <c r="C2" s="2928">
        <f>基本情况!B2</f>
        <v>0</v>
      </c>
      <c r="D2" s="2928"/>
      <c r="E2" s="2928"/>
      <c r="F2" s="2928"/>
      <c r="G2" s="825"/>
      <c r="H2" s="136" t="s">
        <v>1282</v>
      </c>
      <c r="I2" s="136" t="s">
        <v>1053</v>
      </c>
      <c r="J2" s="485" t="s">
        <v>283</v>
      </c>
      <c r="K2" s="3632"/>
      <c r="L2" s="743"/>
      <c r="M2" s="743"/>
      <c r="N2" s="743"/>
      <c r="O2" s="743"/>
    </row>
    <row r="3" spans="1:15" s="744" customFormat="1" ht="20.100000000000001" customHeight="1">
      <c r="A3" s="3065"/>
      <c r="B3" s="3065"/>
      <c r="C3" s="2928"/>
      <c r="D3" s="2928"/>
      <c r="E3" s="2928"/>
      <c r="F3" s="2928"/>
      <c r="G3" s="158" t="s">
        <v>450</v>
      </c>
      <c r="H3" s="510">
        <f>基本情况!B12</f>
        <v>0</v>
      </c>
      <c r="I3" s="559" t="str">
        <f>TEXT(基本情况!B21,"yyyy-mm-dd")</f>
        <v>2017-03-16</v>
      </c>
      <c r="J3" s="3138" t="str">
        <f>档案索引!D27</f>
        <v>3-6</v>
      </c>
      <c r="K3" s="3632"/>
      <c r="L3" s="743"/>
      <c r="M3" s="743"/>
      <c r="N3" s="743"/>
      <c r="O3" s="743"/>
    </row>
    <row r="4" spans="1:15" s="744" customFormat="1" ht="20.100000000000001" customHeight="1">
      <c r="A4" s="2922" t="s">
        <v>451</v>
      </c>
      <c r="B4" s="2922"/>
      <c r="C4" s="2930" t="str">
        <f>基本情况!B7</f>
        <v>2016年01月01日至2016年12月31日</v>
      </c>
      <c r="D4" s="2930"/>
      <c r="E4" s="2930"/>
      <c r="F4" s="2930"/>
      <c r="G4" s="140" t="s">
        <v>452</v>
      </c>
      <c r="H4" s="513">
        <f>基本情况!B11</f>
        <v>0</v>
      </c>
      <c r="I4" s="559" t="str">
        <f>TEXT(基本情况!B22,"yyyy-mm-dd")</f>
        <v>2017-05-04</v>
      </c>
      <c r="J4" s="3138"/>
      <c r="K4" s="3632"/>
      <c r="L4" s="743"/>
      <c r="M4" s="743"/>
      <c r="N4" s="743"/>
      <c r="O4" s="743"/>
    </row>
    <row r="5" spans="1:15" s="946" customFormat="1" ht="7.5" customHeight="1">
      <c r="A5" s="2926"/>
      <c r="B5" s="2926"/>
      <c r="C5" s="2926"/>
      <c r="D5" s="2926"/>
      <c r="E5" s="2926"/>
      <c r="F5" s="2926"/>
      <c r="G5" s="2926"/>
      <c r="H5" s="2926"/>
      <c r="I5" s="2926"/>
      <c r="J5" s="2926"/>
      <c r="K5" s="945"/>
      <c r="L5" s="945"/>
      <c r="M5" s="945"/>
      <c r="N5" s="945"/>
      <c r="O5" s="945"/>
    </row>
    <row r="6" spans="1:15" s="744" customFormat="1" ht="22.5" customHeight="1">
      <c r="A6" s="3051" t="s">
        <v>216</v>
      </c>
      <c r="B6" s="3051"/>
      <c r="C6" s="2929" t="s">
        <v>246</v>
      </c>
      <c r="D6" s="2929"/>
      <c r="E6" s="2929"/>
      <c r="F6" s="3092" t="s">
        <v>217</v>
      </c>
      <c r="G6" s="3092"/>
      <c r="H6" s="3092"/>
      <c r="I6" s="3092"/>
      <c r="J6" s="3092"/>
      <c r="K6" s="536" t="s">
        <v>395</v>
      </c>
      <c r="L6" s="743"/>
      <c r="M6" s="743"/>
      <c r="N6" s="743"/>
      <c r="O6" s="743"/>
    </row>
    <row r="7" spans="1:15" s="744" customFormat="1" ht="22.5" customHeight="1">
      <c r="A7" s="3051"/>
      <c r="B7" s="3051"/>
      <c r="C7" s="140" t="s">
        <v>218</v>
      </c>
      <c r="D7" s="140" t="s">
        <v>219</v>
      </c>
      <c r="E7" s="140" t="s">
        <v>220</v>
      </c>
      <c r="F7" s="140" t="s">
        <v>7169</v>
      </c>
      <c r="G7" s="140" t="s">
        <v>1295</v>
      </c>
      <c r="H7" s="140" t="s">
        <v>218</v>
      </c>
      <c r="I7" s="140" t="s">
        <v>219</v>
      </c>
      <c r="J7" s="947" t="s">
        <v>220</v>
      </c>
      <c r="K7" s="232" t="s">
        <v>653</v>
      </c>
      <c r="L7" s="743"/>
      <c r="M7" s="743"/>
      <c r="N7" s="743"/>
      <c r="O7" s="743"/>
    </row>
    <row r="8" spans="1:15" s="744" customFormat="1" ht="22.5" customHeight="1">
      <c r="A8" s="597" t="s">
        <v>100</v>
      </c>
      <c r="B8" s="1666" t="s">
        <v>5921</v>
      </c>
      <c r="C8" s="948">
        <f>收入与申报核对表!E8+收入与申报核对表!E10</f>
        <v>0</v>
      </c>
      <c r="D8" s="1161"/>
      <c r="E8" s="1795">
        <f>C8+D8</f>
        <v>0</v>
      </c>
      <c r="F8" s="1175"/>
      <c r="G8" s="1161"/>
      <c r="H8" s="773">
        <f>F8+G8</f>
        <v>0</v>
      </c>
      <c r="I8" s="1161"/>
      <c r="J8" s="774">
        <f>H8+I8</f>
        <v>0</v>
      </c>
      <c r="K8" s="232" t="s">
        <v>252</v>
      </c>
      <c r="L8" s="536"/>
      <c r="M8" s="743"/>
      <c r="N8" s="743"/>
      <c r="O8" s="743"/>
    </row>
    <row r="9" spans="1:15" s="744" customFormat="1" ht="22.5" customHeight="1">
      <c r="A9" s="1721"/>
      <c r="B9" s="1794" t="s">
        <v>6508</v>
      </c>
      <c r="C9" s="1726"/>
      <c r="D9" s="1726"/>
      <c r="E9" s="1723">
        <f>C9+D9</f>
        <v>0</v>
      </c>
      <c r="F9" s="2464"/>
      <c r="G9" s="1118"/>
      <c r="H9" s="1723">
        <f t="shared" ref="H9:H16" si="0">F9+G9</f>
        <v>0</v>
      </c>
      <c r="I9" s="1118"/>
      <c r="J9" s="699">
        <f t="shared" ref="J9:J17" si="1">H9+I9</f>
        <v>0</v>
      </c>
      <c r="K9" s="1725"/>
      <c r="L9" s="536"/>
      <c r="M9" s="743"/>
      <c r="N9" s="743"/>
      <c r="O9" s="743"/>
    </row>
    <row r="10" spans="1:15" s="744" customFormat="1" ht="22.5" customHeight="1">
      <c r="A10" s="506" t="s">
        <v>101</v>
      </c>
      <c r="B10" s="949" t="s">
        <v>5918</v>
      </c>
      <c r="C10" s="1649">
        <f>收入与申报核对表!E18</f>
        <v>0</v>
      </c>
      <c r="D10" s="1120"/>
      <c r="E10" s="525">
        <f t="shared" ref="E10:E16" si="2">C10+D10</f>
        <v>0</v>
      </c>
      <c r="F10" s="2463"/>
      <c r="G10" s="1120"/>
      <c r="H10" s="525">
        <f t="shared" si="0"/>
        <v>0</v>
      </c>
      <c r="I10" s="1120"/>
      <c r="J10" s="699">
        <f t="shared" si="1"/>
        <v>0</v>
      </c>
      <c r="K10" s="232" t="s">
        <v>673</v>
      </c>
      <c r="L10" s="536"/>
      <c r="M10" s="743"/>
      <c r="N10" s="743"/>
      <c r="O10" s="743"/>
    </row>
    <row r="11" spans="1:15" s="744" customFormat="1" ht="22.5" customHeight="1">
      <c r="A11" s="506" t="s">
        <v>102</v>
      </c>
      <c r="B11" s="949" t="s">
        <v>5919</v>
      </c>
      <c r="C11" s="1646"/>
      <c r="D11" s="1120"/>
      <c r="E11" s="525">
        <f t="shared" si="2"/>
        <v>0</v>
      </c>
      <c r="F11" s="2463"/>
      <c r="G11" s="1120"/>
      <c r="H11" s="525">
        <f t="shared" si="0"/>
        <v>0</v>
      </c>
      <c r="I11" s="1120"/>
      <c r="J11" s="699">
        <f t="shared" si="1"/>
        <v>0</v>
      </c>
      <c r="K11" s="493" t="s">
        <v>669</v>
      </c>
      <c r="L11" s="536"/>
      <c r="M11" s="743"/>
      <c r="N11" s="743"/>
      <c r="O11" s="743"/>
    </row>
    <row r="12" spans="1:15" s="744" customFormat="1" ht="22.5" customHeight="1">
      <c r="A12" s="1645" t="s">
        <v>5916</v>
      </c>
      <c r="B12" s="949" t="s">
        <v>5912</v>
      </c>
      <c r="C12" s="1649">
        <f>收入与申报核对表!E19</f>
        <v>0</v>
      </c>
      <c r="D12" s="1120"/>
      <c r="E12" s="525">
        <f t="shared" si="2"/>
        <v>0</v>
      </c>
      <c r="F12" s="2463"/>
      <c r="G12" s="1120"/>
      <c r="H12" s="525">
        <f t="shared" si="0"/>
        <v>0</v>
      </c>
      <c r="I12" s="1120"/>
      <c r="J12" s="699">
        <f t="shared" si="1"/>
        <v>0</v>
      </c>
      <c r="K12" s="493" t="s">
        <v>72</v>
      </c>
      <c r="L12" s="536"/>
      <c r="M12" s="743"/>
      <c r="N12" s="743"/>
      <c r="O12" s="743"/>
    </row>
    <row r="13" spans="1:15" s="744" customFormat="1" ht="22.5" customHeight="1">
      <c r="A13" s="1645" t="s">
        <v>5920</v>
      </c>
      <c r="B13" s="949" t="s">
        <v>5922</v>
      </c>
      <c r="C13" s="1646"/>
      <c r="D13" s="1120"/>
      <c r="E13" s="525">
        <f t="shared" si="2"/>
        <v>0</v>
      </c>
      <c r="F13" s="2463"/>
      <c r="G13" s="1120"/>
      <c r="H13" s="525">
        <f t="shared" si="0"/>
        <v>0</v>
      </c>
      <c r="I13" s="1120"/>
      <c r="J13" s="699">
        <f t="shared" si="1"/>
        <v>0</v>
      </c>
      <c r="K13" s="232" t="s">
        <v>642</v>
      </c>
      <c r="L13" s="743"/>
      <c r="M13" s="743"/>
      <c r="N13" s="743"/>
      <c r="O13" s="743"/>
    </row>
    <row r="14" spans="1:15" s="744" customFormat="1" ht="22.5" customHeight="1">
      <c r="A14" s="3630" t="s">
        <v>7168</v>
      </c>
      <c r="B14" s="733"/>
      <c r="C14" s="1120"/>
      <c r="D14" s="1120"/>
      <c r="E14" s="525">
        <f t="shared" si="2"/>
        <v>0</v>
      </c>
      <c r="F14" s="2463"/>
      <c r="G14" s="1120"/>
      <c r="H14" s="525">
        <f t="shared" si="0"/>
        <v>0</v>
      </c>
      <c r="I14" s="1120"/>
      <c r="J14" s="699">
        <f t="shared" si="1"/>
        <v>0</v>
      </c>
      <c r="K14" s="493" t="s">
        <v>676</v>
      </c>
      <c r="L14" s="743"/>
      <c r="M14" s="743"/>
      <c r="N14" s="743"/>
      <c r="O14" s="743"/>
    </row>
    <row r="15" spans="1:15" s="744" customFormat="1" ht="22.5" customHeight="1">
      <c r="A15" s="3631"/>
      <c r="B15" s="733"/>
      <c r="C15" s="1120"/>
      <c r="D15" s="1120"/>
      <c r="E15" s="525">
        <f t="shared" si="2"/>
        <v>0</v>
      </c>
      <c r="F15" s="1120"/>
      <c r="G15" s="1120"/>
      <c r="H15" s="525">
        <f t="shared" si="0"/>
        <v>0</v>
      </c>
      <c r="I15" s="1120"/>
      <c r="J15" s="699">
        <f t="shared" si="1"/>
        <v>0</v>
      </c>
      <c r="K15" s="493" t="s">
        <v>956</v>
      </c>
      <c r="L15" s="743"/>
      <c r="M15" s="743"/>
      <c r="N15" s="743"/>
      <c r="O15" s="743"/>
    </row>
    <row r="16" spans="1:15" s="744" customFormat="1" ht="22.5" customHeight="1">
      <c r="A16" s="3631"/>
      <c r="B16" s="733"/>
      <c r="C16" s="1120"/>
      <c r="D16" s="1120"/>
      <c r="E16" s="525">
        <f t="shared" si="2"/>
        <v>0</v>
      </c>
      <c r="F16" s="1120"/>
      <c r="G16" s="1120"/>
      <c r="H16" s="525">
        <f t="shared" si="0"/>
        <v>0</v>
      </c>
      <c r="I16" s="1120"/>
      <c r="J16" s="699">
        <f t="shared" si="1"/>
        <v>0</v>
      </c>
      <c r="K16" s="493"/>
      <c r="L16" s="748"/>
      <c r="M16" s="748"/>
      <c r="N16" s="748"/>
      <c r="O16" s="748"/>
    </row>
    <row r="17" spans="1:15" s="744" customFormat="1" ht="22.5" customHeight="1">
      <c r="A17" s="3595"/>
      <c r="B17" s="696" t="s">
        <v>221</v>
      </c>
      <c r="C17" s="1647">
        <f>SUM(C14:C16)</f>
        <v>0</v>
      </c>
      <c r="D17" s="1647">
        <f>SUM(D14:D16)</f>
        <v>0</v>
      </c>
      <c r="E17" s="823">
        <f>SUM(E14:E16)</f>
        <v>0</v>
      </c>
      <c r="F17" s="823">
        <f>SUM(F12:F16)</f>
        <v>0</v>
      </c>
      <c r="G17" s="823">
        <f>SUM(G12:G16)</f>
        <v>0</v>
      </c>
      <c r="H17" s="823">
        <f>SUM(H12:H16)</f>
        <v>0</v>
      </c>
      <c r="I17" s="823">
        <f>SUM(I12:I16)</f>
        <v>0</v>
      </c>
      <c r="J17" s="596">
        <f t="shared" si="1"/>
        <v>0</v>
      </c>
      <c r="K17" s="3107" t="s">
        <v>904</v>
      </c>
      <c r="L17" s="3107"/>
      <c r="M17" s="3107"/>
      <c r="N17" s="3107"/>
      <c r="O17" s="3107"/>
    </row>
    <row r="18" spans="1:15" s="744" customFormat="1" ht="22.5" customHeight="1">
      <c r="A18" s="3051" t="s">
        <v>702</v>
      </c>
      <c r="B18" s="3051"/>
      <c r="C18" s="1648">
        <f>C8+C10+C11+C12+C13+C17</f>
        <v>0</v>
      </c>
      <c r="D18" s="1724">
        <f t="shared" ref="D18:J18" si="3">D8+D10+D11+D12+D13+D17</f>
        <v>0</v>
      </c>
      <c r="E18" s="1724">
        <f t="shared" si="3"/>
        <v>0</v>
      </c>
      <c r="F18" s="1724">
        <f t="shared" si="3"/>
        <v>0</v>
      </c>
      <c r="G18" s="1724">
        <f t="shared" si="3"/>
        <v>0</v>
      </c>
      <c r="H18" s="1724">
        <f t="shared" si="3"/>
        <v>0</v>
      </c>
      <c r="I18" s="1724">
        <f t="shared" si="3"/>
        <v>0</v>
      </c>
      <c r="J18" s="1724">
        <f t="shared" si="3"/>
        <v>0</v>
      </c>
      <c r="K18" s="3107"/>
      <c r="L18" s="3107"/>
      <c r="M18" s="3107"/>
      <c r="N18" s="3107"/>
      <c r="O18" s="3107"/>
    </row>
    <row r="19" spans="1:15" s="744" customFormat="1" ht="22.5" customHeight="1">
      <c r="A19" s="3051" t="s">
        <v>905</v>
      </c>
      <c r="B19" s="3051"/>
      <c r="C19" s="3051"/>
      <c r="D19" s="3051"/>
      <c r="E19" s="582" t="s">
        <v>218</v>
      </c>
      <c r="F19" s="590">
        <f>C18-H18</f>
        <v>0</v>
      </c>
      <c r="G19" s="582" t="s">
        <v>219</v>
      </c>
      <c r="H19" s="590">
        <f>D18-I18</f>
        <v>0</v>
      </c>
      <c r="I19" s="582" t="s">
        <v>220</v>
      </c>
      <c r="J19" s="533">
        <f>F19+H19</f>
        <v>0</v>
      </c>
      <c r="K19" s="3107"/>
      <c r="L19" s="3107"/>
      <c r="M19" s="3107"/>
      <c r="N19" s="3107"/>
      <c r="O19" s="3107"/>
    </row>
    <row r="20" spans="1:15" s="744" customFormat="1" ht="22.5" customHeight="1">
      <c r="A20" s="3620" t="s">
        <v>641</v>
      </c>
      <c r="B20" s="3621"/>
      <c r="C20" s="3633" t="str">
        <f>IF($C$18+主营收支!$H$20&lt;&gt;利润!$C$5,"营业收入账载数与报表数相差"&amp;DOLLAR($C$18+主营收支!$H$20-利润!$C$5,2)&amp;"元！","营业收入账载数与报表数相符！")</f>
        <v>营业收入账载数与报表数相符！</v>
      </c>
      <c r="D20" s="3633"/>
      <c r="E20" s="3633"/>
      <c r="F20" s="3633"/>
      <c r="G20" s="3633"/>
      <c r="H20" s="3633"/>
      <c r="I20" s="3633"/>
      <c r="J20" s="3633"/>
      <c r="K20" s="3107"/>
      <c r="L20" s="3107"/>
      <c r="M20" s="3107"/>
      <c r="N20" s="3107"/>
      <c r="O20" s="3107"/>
    </row>
    <row r="21" spans="1:15" s="744" customFormat="1" ht="22.5" customHeight="1">
      <c r="A21" s="3622"/>
      <c r="B21" s="3623"/>
      <c r="C21" s="3624" t="str">
        <f>IF($H$18+主营收支!$H$37&lt;&gt;利润!$C$6,"营业成本账载数与报表数相差"&amp;DOLLAR($H$18+主营收支!$H$37-利润!$C$6,2)&amp;"元！","营业成本账载数与报表数相符！")</f>
        <v>营业成本账载数与报表数相符！</v>
      </c>
      <c r="D21" s="3625"/>
      <c r="E21" s="3625"/>
      <c r="F21" s="3625"/>
      <c r="G21" s="3625"/>
      <c r="H21" s="3625"/>
      <c r="I21" s="3625"/>
      <c r="J21" s="3626"/>
      <c r="K21" s="3107"/>
      <c r="L21" s="3107"/>
      <c r="M21" s="3107"/>
      <c r="N21" s="3107"/>
      <c r="O21" s="3107"/>
    </row>
    <row r="22" spans="1:15" s="130" customFormat="1" ht="15" customHeight="1">
      <c r="A22" s="3590" t="s">
        <v>1323</v>
      </c>
      <c r="B22" s="3590"/>
      <c r="C22" s="3628" t="s">
        <v>1644</v>
      </c>
      <c r="D22" s="3628"/>
      <c r="E22" s="3627" t="str">
        <f>IF(OR(D18&lt;&gt;0,I18&lt;&gt;0),"、E","")</f>
        <v/>
      </c>
      <c r="F22" s="3627"/>
      <c r="G22" s="3627"/>
      <c r="H22" s="3627"/>
      <c r="I22" s="3627"/>
      <c r="J22" s="3627"/>
      <c r="K22" s="3107"/>
      <c r="L22" s="3107"/>
      <c r="M22" s="3107"/>
      <c r="N22" s="3107"/>
      <c r="O22" s="3107"/>
    </row>
    <row r="23" spans="1:15" s="130" customFormat="1" ht="22.5" customHeight="1">
      <c r="A23" s="3590"/>
      <c r="B23" s="3590"/>
      <c r="C23" s="3629"/>
      <c r="D23" s="3629"/>
      <c r="E23" s="3629"/>
      <c r="F23" s="3629"/>
      <c r="G23" s="3629"/>
      <c r="H23" s="3629"/>
      <c r="I23" s="3629"/>
      <c r="J23" s="3629"/>
      <c r="K23" s="3107"/>
      <c r="L23" s="3107"/>
      <c r="M23" s="3107"/>
      <c r="N23" s="3107"/>
      <c r="O23" s="3107"/>
    </row>
    <row r="24" spans="1:15" s="130" customFormat="1" ht="9" customHeight="1">
      <c r="A24" s="3590"/>
      <c r="B24" s="3590"/>
      <c r="C24" s="3629"/>
      <c r="D24" s="3629"/>
      <c r="E24" s="3629"/>
      <c r="F24" s="3629"/>
      <c r="G24" s="3629"/>
      <c r="H24" s="3629"/>
      <c r="I24" s="3629"/>
      <c r="J24" s="3629"/>
      <c r="K24" s="3107"/>
      <c r="L24" s="3107"/>
      <c r="M24" s="3107"/>
      <c r="N24" s="3107"/>
      <c r="O24" s="3107"/>
    </row>
    <row r="25" spans="1:15" s="130" customFormat="1" ht="22.5" customHeight="1">
      <c r="A25" s="3595" t="s">
        <v>574</v>
      </c>
      <c r="B25" s="3595"/>
      <c r="C25" s="3141" t="str">
        <f>IF(OR(D18&lt;&gt;0,I18&lt;&gt;0),"调整后认可！","不存在调整事项，认可！")</f>
        <v>不存在调整事项，认可！</v>
      </c>
      <c r="D25" s="3141"/>
      <c r="E25" s="3141"/>
      <c r="F25" s="3141"/>
      <c r="G25" s="3141"/>
      <c r="H25" s="3141"/>
      <c r="I25" s="3141"/>
      <c r="J25" s="3141"/>
      <c r="K25" s="3107"/>
      <c r="L25" s="3107"/>
      <c r="M25" s="3107"/>
      <c r="N25" s="3107"/>
      <c r="O25" s="3107"/>
    </row>
    <row r="26" spans="1:15" s="130" customFormat="1" ht="20.100000000000001" customHeight="1">
      <c r="A26" s="554"/>
      <c r="B26" s="554"/>
      <c r="C26" s="554"/>
      <c r="D26" s="554"/>
      <c r="E26" s="554"/>
      <c r="F26" s="554"/>
      <c r="G26" s="554"/>
      <c r="H26" s="554"/>
      <c r="I26" s="554"/>
      <c r="J26" s="554"/>
      <c r="K26" s="950"/>
      <c r="L26" s="951"/>
      <c r="M26" s="598"/>
      <c r="N26" s="598"/>
      <c r="O26" s="598"/>
    </row>
    <row r="27" spans="1:15" s="130" customFormat="1" ht="29.25" customHeight="1">
      <c r="A27" s="554"/>
      <c r="B27" s="554"/>
      <c r="C27" s="554"/>
      <c r="D27" s="554"/>
      <c r="E27" s="554"/>
      <c r="F27" s="554"/>
      <c r="G27" s="554"/>
      <c r="H27" s="554"/>
      <c r="I27" s="554"/>
      <c r="J27" s="554"/>
      <c r="K27" s="950"/>
      <c r="L27" s="951"/>
      <c r="M27" s="598"/>
      <c r="N27" s="598"/>
      <c r="O27" s="598"/>
    </row>
    <row r="28" spans="1:15" s="130" customFormat="1" ht="20.100000000000001" customHeight="1">
      <c r="A28" s="554"/>
      <c r="B28" s="554"/>
      <c r="C28" s="554"/>
      <c r="D28" s="554"/>
      <c r="E28" s="554"/>
      <c r="F28" s="554"/>
      <c r="G28" s="554"/>
      <c r="H28" s="554"/>
      <c r="I28" s="554"/>
      <c r="J28" s="554"/>
      <c r="K28" s="598"/>
      <c r="L28" s="598"/>
      <c r="M28" s="598"/>
      <c r="N28" s="598"/>
      <c r="O28" s="598"/>
    </row>
    <row r="29" spans="1:15" s="130" customFormat="1" ht="20.100000000000001" customHeight="1">
      <c r="A29" s="554"/>
      <c r="B29" s="554"/>
      <c r="C29" s="554"/>
      <c r="D29" s="554"/>
      <c r="E29" s="554"/>
      <c r="F29" s="554"/>
      <c r="G29" s="554"/>
      <c r="H29" s="554"/>
      <c r="I29" s="554"/>
      <c r="J29" s="554"/>
      <c r="K29" s="598"/>
      <c r="L29" s="598"/>
      <c r="M29" s="598"/>
      <c r="N29" s="598"/>
      <c r="O29" s="598"/>
    </row>
    <row r="30" spans="1:15" s="130" customFormat="1" ht="20.100000000000001" customHeight="1">
      <c r="A30" s="554"/>
      <c r="B30" s="554"/>
      <c r="C30" s="554"/>
      <c r="D30" s="554"/>
      <c r="E30" s="554"/>
      <c r="F30" s="554"/>
      <c r="G30" s="554"/>
      <c r="H30" s="554"/>
      <c r="I30" s="554"/>
      <c r="J30" s="554"/>
      <c r="K30" s="598"/>
      <c r="L30" s="598"/>
      <c r="M30" s="598"/>
      <c r="N30" s="598"/>
      <c r="O30" s="598"/>
    </row>
    <row r="31" spans="1:15" s="130" customFormat="1" ht="20.100000000000001" customHeight="1">
      <c r="A31" s="554"/>
      <c r="B31" s="554"/>
      <c r="C31" s="554"/>
      <c r="D31" s="554"/>
      <c r="E31" s="554"/>
      <c r="F31" s="554"/>
      <c r="G31" s="554"/>
      <c r="H31" s="554"/>
      <c r="I31" s="554"/>
      <c r="J31" s="554"/>
      <c r="K31" s="598"/>
      <c r="L31" s="598"/>
      <c r="M31" s="598"/>
      <c r="N31" s="598"/>
      <c r="O31" s="598"/>
    </row>
    <row r="32" spans="1:15" s="130" customFormat="1" ht="20.100000000000001" customHeight="1">
      <c r="A32" s="554"/>
      <c r="B32" s="554"/>
      <c r="C32" s="554"/>
      <c r="D32" s="554"/>
      <c r="E32" s="554"/>
      <c r="F32" s="554"/>
      <c r="G32" s="554"/>
      <c r="H32" s="554"/>
      <c r="I32" s="554"/>
      <c r="J32" s="554"/>
      <c r="K32" s="598"/>
      <c r="L32" s="598"/>
      <c r="M32" s="598"/>
      <c r="N32" s="598"/>
      <c r="O32" s="598"/>
    </row>
    <row r="33" spans="1:15" s="130" customFormat="1" ht="20.100000000000001" customHeight="1">
      <c r="A33" s="554"/>
      <c r="B33" s="554"/>
      <c r="C33" s="554"/>
      <c r="D33" s="554"/>
      <c r="E33" s="554"/>
      <c r="F33" s="554"/>
      <c r="G33" s="554"/>
      <c r="H33" s="554"/>
      <c r="I33" s="554"/>
      <c r="J33" s="554"/>
      <c r="K33" s="598"/>
      <c r="L33" s="598"/>
      <c r="M33" s="598"/>
      <c r="N33" s="598"/>
      <c r="O33" s="598"/>
    </row>
    <row r="34" spans="1:15" s="130" customFormat="1" ht="20.100000000000001" customHeight="1">
      <c r="A34" s="554"/>
      <c r="B34" s="554"/>
      <c r="C34" s="554"/>
      <c r="D34" s="554"/>
      <c r="E34" s="554"/>
      <c r="F34" s="554"/>
      <c r="G34" s="554"/>
      <c r="H34" s="554"/>
      <c r="I34" s="554"/>
      <c r="J34" s="554"/>
      <c r="K34" s="598"/>
      <c r="L34" s="598"/>
      <c r="M34" s="598"/>
      <c r="N34" s="598"/>
      <c r="O34" s="598"/>
    </row>
    <row r="35" spans="1:15" s="130" customFormat="1" ht="20.100000000000001" customHeight="1">
      <c r="A35" s="554"/>
      <c r="B35" s="554"/>
      <c r="C35" s="554"/>
      <c r="D35" s="554"/>
      <c r="E35" s="554"/>
      <c r="F35" s="554"/>
      <c r="G35" s="554"/>
      <c r="H35" s="554"/>
      <c r="I35" s="554"/>
      <c r="J35" s="554"/>
      <c r="K35" s="598"/>
      <c r="L35" s="598"/>
      <c r="M35" s="598"/>
      <c r="N35" s="598"/>
      <c r="O35" s="598"/>
    </row>
    <row r="36" spans="1:15" s="130" customFormat="1" ht="20.100000000000001" customHeight="1">
      <c r="A36" s="554"/>
      <c r="B36" s="554"/>
      <c r="C36" s="554"/>
      <c r="D36" s="554"/>
      <c r="E36" s="554"/>
      <c r="F36" s="554"/>
      <c r="G36" s="554"/>
      <c r="H36" s="554"/>
      <c r="I36" s="554"/>
      <c r="J36" s="554"/>
      <c r="K36" s="598"/>
      <c r="L36" s="598"/>
      <c r="M36" s="598"/>
      <c r="N36" s="598"/>
      <c r="O36" s="598"/>
    </row>
    <row r="37" spans="1:15" s="130" customFormat="1" ht="26.25" customHeight="1">
      <c r="A37" s="554"/>
      <c r="B37" s="554"/>
      <c r="C37" s="554"/>
      <c r="D37" s="554"/>
      <c r="E37" s="554"/>
      <c r="F37" s="554"/>
      <c r="G37" s="554"/>
      <c r="H37" s="554"/>
      <c r="I37" s="554"/>
      <c r="J37" s="554"/>
      <c r="K37" s="598"/>
      <c r="L37" s="598"/>
      <c r="M37" s="598"/>
      <c r="N37" s="598"/>
      <c r="O37" s="598"/>
    </row>
    <row r="38" spans="1:15" s="130" customFormat="1" ht="20.100000000000001" customHeight="1">
      <c r="A38" s="554"/>
      <c r="B38" s="554"/>
      <c r="C38" s="554"/>
      <c r="D38" s="554"/>
      <c r="E38" s="554"/>
      <c r="F38" s="554"/>
      <c r="G38" s="554"/>
      <c r="H38" s="554"/>
      <c r="I38" s="554"/>
      <c r="J38" s="554"/>
      <c r="K38" s="598"/>
      <c r="L38" s="598"/>
      <c r="M38" s="598"/>
      <c r="N38" s="598"/>
      <c r="O38" s="598"/>
    </row>
    <row r="39" spans="1:15" s="130" customFormat="1" ht="20.100000000000001" customHeight="1">
      <c r="A39" s="554"/>
      <c r="B39" s="554"/>
      <c r="C39" s="554"/>
      <c r="D39" s="554"/>
      <c r="E39" s="554"/>
      <c r="F39" s="554"/>
      <c r="G39" s="554"/>
      <c r="H39" s="554"/>
      <c r="I39" s="554"/>
      <c r="J39" s="554"/>
      <c r="K39" s="598"/>
      <c r="L39" s="598"/>
      <c r="M39" s="598"/>
      <c r="N39" s="598"/>
      <c r="O39" s="598"/>
    </row>
    <row r="40" spans="1:15" s="130" customFormat="1" ht="20.100000000000001" customHeight="1">
      <c r="A40" s="554"/>
      <c r="B40" s="554"/>
      <c r="C40" s="554"/>
      <c r="D40" s="554"/>
      <c r="E40" s="554"/>
      <c r="F40" s="554"/>
      <c r="G40" s="554"/>
      <c r="H40" s="554"/>
      <c r="I40" s="554"/>
      <c r="J40" s="554"/>
      <c r="K40" s="598"/>
      <c r="L40" s="598"/>
      <c r="M40" s="598"/>
      <c r="N40" s="598"/>
      <c r="O40" s="598"/>
    </row>
    <row r="41" spans="1:15" s="130" customFormat="1" ht="20.100000000000001" customHeight="1">
      <c r="A41" s="554"/>
      <c r="B41" s="554"/>
      <c r="C41" s="554"/>
      <c r="D41" s="554"/>
      <c r="E41" s="554"/>
      <c r="F41" s="554"/>
      <c r="G41" s="554"/>
      <c r="H41" s="554"/>
      <c r="I41" s="554"/>
      <c r="J41" s="554"/>
      <c r="K41" s="598"/>
      <c r="L41" s="598"/>
      <c r="M41" s="598"/>
      <c r="N41" s="598"/>
      <c r="O41" s="598"/>
    </row>
    <row r="42" spans="1:15" s="130" customFormat="1" ht="20.100000000000001" customHeight="1">
      <c r="A42" s="554"/>
      <c r="B42" s="554"/>
      <c r="C42" s="554"/>
      <c r="D42" s="554"/>
      <c r="E42" s="554"/>
      <c r="F42" s="554"/>
      <c r="G42" s="554"/>
      <c r="H42" s="554"/>
      <c r="I42" s="554"/>
      <c r="J42" s="554"/>
      <c r="K42" s="598"/>
      <c r="L42" s="598"/>
      <c r="M42" s="598"/>
      <c r="N42" s="598"/>
      <c r="O42" s="598"/>
    </row>
    <row r="43" spans="1:15" s="130" customFormat="1" ht="20.100000000000001" customHeight="1">
      <c r="A43" s="554"/>
      <c r="B43" s="554"/>
      <c r="C43" s="554"/>
      <c r="D43" s="554"/>
      <c r="E43" s="554"/>
      <c r="F43" s="554"/>
      <c r="G43" s="554"/>
      <c r="H43" s="554"/>
      <c r="I43" s="554"/>
      <c r="J43" s="554"/>
      <c r="K43" s="598"/>
      <c r="L43" s="598"/>
      <c r="M43" s="598"/>
      <c r="N43" s="598"/>
      <c r="O43" s="598"/>
    </row>
    <row r="44" spans="1:15" s="130" customFormat="1" ht="20.100000000000001" customHeight="1">
      <c r="A44" s="554"/>
      <c r="B44" s="554"/>
      <c r="C44" s="554"/>
      <c r="D44" s="554"/>
      <c r="E44" s="554"/>
      <c r="F44" s="554"/>
      <c r="G44" s="554"/>
      <c r="H44" s="554"/>
      <c r="I44" s="554"/>
      <c r="J44" s="554"/>
      <c r="K44" s="598"/>
      <c r="L44" s="598"/>
      <c r="M44" s="598"/>
      <c r="N44" s="598"/>
      <c r="O44" s="598"/>
    </row>
    <row r="45" spans="1:15" s="130" customFormat="1" ht="20.100000000000001" customHeight="1">
      <c r="A45" s="554"/>
      <c r="B45" s="554"/>
      <c r="C45" s="554"/>
      <c r="D45" s="554"/>
      <c r="E45" s="554"/>
      <c r="F45" s="554"/>
      <c r="G45" s="554"/>
      <c r="H45" s="554"/>
      <c r="I45" s="554"/>
      <c r="J45" s="554"/>
      <c r="K45" s="598"/>
      <c r="L45" s="598"/>
      <c r="M45" s="598"/>
      <c r="N45" s="598"/>
      <c r="O45" s="598"/>
    </row>
    <row r="46" spans="1:15" s="130" customFormat="1" ht="20.100000000000001" customHeight="1">
      <c r="A46" s="554"/>
      <c r="B46" s="554"/>
      <c r="C46" s="554"/>
      <c r="D46" s="554"/>
      <c r="E46" s="554"/>
      <c r="F46" s="554"/>
      <c r="G46" s="554"/>
      <c r="H46" s="554"/>
      <c r="I46" s="554"/>
      <c r="J46" s="554"/>
      <c r="K46" s="598"/>
      <c r="L46" s="598"/>
      <c r="M46" s="598"/>
      <c r="N46" s="598"/>
      <c r="O46" s="598"/>
    </row>
    <row r="47" spans="1:15" s="130" customFormat="1" ht="20.100000000000001" customHeight="1">
      <c r="A47" s="554"/>
      <c r="B47" s="554"/>
      <c r="C47" s="554"/>
      <c r="D47" s="554"/>
      <c r="E47" s="554"/>
      <c r="F47" s="554"/>
      <c r="G47" s="554"/>
      <c r="H47" s="554"/>
      <c r="I47" s="554"/>
      <c r="J47" s="554"/>
      <c r="K47" s="598"/>
      <c r="L47" s="598"/>
      <c r="M47" s="598"/>
      <c r="N47" s="598"/>
      <c r="O47" s="598"/>
    </row>
    <row r="48" spans="1:15" s="130" customFormat="1" ht="20.100000000000001" customHeight="1">
      <c r="A48" s="554"/>
      <c r="B48" s="554"/>
      <c r="C48" s="554"/>
      <c r="D48" s="554"/>
      <c r="E48" s="554"/>
      <c r="F48" s="554"/>
      <c r="G48" s="554"/>
      <c r="H48" s="554"/>
      <c r="I48" s="554"/>
      <c r="J48" s="554"/>
    </row>
    <row r="49" spans="1:10" s="130" customFormat="1" ht="20.100000000000001" customHeight="1">
      <c r="A49" s="554"/>
      <c r="B49" s="554"/>
      <c r="C49" s="554"/>
      <c r="D49" s="554"/>
      <c r="E49" s="554"/>
      <c r="F49" s="554"/>
      <c r="G49" s="554"/>
      <c r="H49" s="554"/>
      <c r="I49" s="554"/>
      <c r="J49" s="554"/>
    </row>
    <row r="50" spans="1:10" s="130" customFormat="1" ht="20.100000000000001" customHeight="1">
      <c r="A50" s="554"/>
      <c r="B50" s="554"/>
      <c r="C50" s="554"/>
      <c r="D50" s="554"/>
      <c r="E50" s="554"/>
      <c r="F50" s="554"/>
      <c r="G50" s="554"/>
      <c r="H50" s="554"/>
      <c r="I50" s="554"/>
      <c r="J50" s="554"/>
    </row>
  </sheetData>
  <sheetProtection selectLockedCells="1" selectUnlockedCells="1"/>
  <mergeCells count="24">
    <mergeCell ref="A14:A17"/>
    <mergeCell ref="F6:J6"/>
    <mergeCell ref="A19:D19"/>
    <mergeCell ref="K1:K4"/>
    <mergeCell ref="A2:B3"/>
    <mergeCell ref="C2:F3"/>
    <mergeCell ref="J3:J4"/>
    <mergeCell ref="A4:B4"/>
    <mergeCell ref="C4:F4"/>
    <mergeCell ref="A1:J1"/>
    <mergeCell ref="K17:O25"/>
    <mergeCell ref="A5:J5"/>
    <mergeCell ref="A6:B7"/>
    <mergeCell ref="C6:E6"/>
    <mergeCell ref="A18:B18"/>
    <mergeCell ref="C20:J20"/>
    <mergeCell ref="A20:B21"/>
    <mergeCell ref="C21:J21"/>
    <mergeCell ref="E22:J22"/>
    <mergeCell ref="A25:B25"/>
    <mergeCell ref="C25:J25"/>
    <mergeCell ref="A22:B24"/>
    <mergeCell ref="C22:D22"/>
    <mergeCell ref="C23:J24"/>
  </mergeCells>
  <phoneticPr fontId="51" type="noConversion"/>
  <dataValidations count="2">
    <dataValidation allowBlank="1" showErrorMessage="1" sqref="H3">
      <formula1>0</formula1>
      <formula2>0</formula2>
    </dataValidation>
    <dataValidation allowBlank="1" showErrorMessage="1" promptTitle="存在调整事项时" prompt="_x000a_选择 “E”" sqref="E22:J22">
      <formula1>0</formula1>
      <formula2>0</formula2>
    </dataValidation>
  </dataValidations>
  <hyperlinks>
    <hyperlink ref="K7" location="纳税申报数据!A1" display="纳税申报数据"/>
    <hyperlink ref="K8" location="税费缴纳测算!A1" display="税费缴纳测算"/>
    <hyperlink ref="K10" location="主营税金!A1" display="主营税金审核表"/>
    <hyperlink ref="K11" location="收入与申报核对表!A1" display="收入与申报核对表"/>
    <hyperlink ref="K12" location="收入明细表!A1" display="收入明细表"/>
    <hyperlink ref="K13" location="利润!A1" display="利润及利润分配表"/>
    <hyperlink ref="K14" location="企业各税审核汇总表!A1" display="企业各税审核汇总表"/>
    <hyperlink ref="K15" location="成本费用明细表!A1" display="成本费用明细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fitToPage="1"/>
  </sheetPr>
  <dimension ref="A1:N48"/>
  <sheetViews>
    <sheetView workbookViewId="0">
      <selection activeCell="H12" sqref="H12"/>
    </sheetView>
  </sheetViews>
  <sheetFormatPr defaultRowHeight="15.6"/>
  <cols>
    <col min="1" max="1" width="6" style="954" customWidth="1"/>
    <col min="2" max="2" width="4.19921875" style="954" customWidth="1"/>
    <col min="3" max="3" width="26.3984375" style="771" customWidth="1"/>
    <col min="4" max="4" width="8" style="771" customWidth="1"/>
    <col min="5" max="5" width="9.59765625" style="771" customWidth="1"/>
    <col min="6" max="8" width="14.09765625" style="771" customWidth="1"/>
    <col min="9" max="9" width="30.19921875" customWidth="1"/>
    <col min="10" max="10" width="18" customWidth="1"/>
  </cols>
  <sheetData>
    <row r="1" spans="1:14" ht="29.25" customHeight="1">
      <c r="A1" s="3136" t="s">
        <v>320</v>
      </c>
      <c r="B1" s="3136"/>
      <c r="C1" s="3136"/>
      <c r="D1" s="3136"/>
      <c r="E1" s="3136"/>
      <c r="F1" s="3136"/>
      <c r="G1" s="3136"/>
      <c r="H1" s="3136"/>
      <c r="I1" s="3596"/>
      <c r="J1" s="84"/>
      <c r="K1" s="84"/>
      <c r="L1" s="84"/>
    </row>
    <row r="2" spans="1:14" ht="21.75" customHeight="1">
      <c r="A2" s="3065" t="s">
        <v>447</v>
      </c>
      <c r="B2" s="3065"/>
      <c r="C2" s="955">
        <f>基本情况!$B$2</f>
        <v>0</v>
      </c>
      <c r="D2" s="3640" t="s">
        <v>450</v>
      </c>
      <c r="E2" s="3641"/>
      <c r="F2" s="1801">
        <f>基本情况!B12</f>
        <v>0</v>
      </c>
      <c r="G2" s="644" t="str">
        <f>TEXT(基本情况!B21,"yyyy-mm-dd")</f>
        <v>2017-03-16</v>
      </c>
      <c r="H2" s="485" t="s">
        <v>283</v>
      </c>
      <c r="I2" s="3596"/>
      <c r="J2" s="84"/>
      <c r="K2" s="84"/>
      <c r="L2" s="84"/>
    </row>
    <row r="3" spans="1:14" ht="21.75" customHeight="1">
      <c r="A3" s="3154" t="s">
        <v>451</v>
      </c>
      <c r="B3" s="3154"/>
      <c r="C3" s="958" t="str">
        <f>基本情况!$B$7</f>
        <v>2016年01月01日至2016年12月31日</v>
      </c>
      <c r="D3" s="3642" t="s">
        <v>452</v>
      </c>
      <c r="E3" s="3643"/>
      <c r="F3" s="960">
        <f>基本情况!B11</f>
        <v>0</v>
      </c>
      <c r="G3" s="1799" t="str">
        <f>TEXT(基本情况!B22,"yyyy-mm-dd")</f>
        <v>2017-05-04</v>
      </c>
      <c r="H3" s="961" t="str">
        <f>档案索引!D28</f>
        <v>3-7</v>
      </c>
      <c r="I3" s="3596"/>
      <c r="J3" s="84"/>
      <c r="K3" s="84"/>
      <c r="L3" s="84"/>
    </row>
    <row r="4" spans="1:14" ht="6.75" customHeight="1">
      <c r="A4" s="2926"/>
      <c r="B4" s="2926"/>
      <c r="C4" s="2926"/>
      <c r="D4" s="2926"/>
      <c r="E4" s="2926"/>
      <c r="F4" s="2926"/>
      <c r="G4" s="2926"/>
      <c r="H4" s="2926"/>
      <c r="I4" s="3596"/>
      <c r="J4" s="84"/>
      <c r="K4" s="84"/>
      <c r="L4" s="84"/>
    </row>
    <row r="5" spans="1:14" ht="21.75" customHeight="1">
      <c r="A5" s="3051" t="s">
        <v>645</v>
      </c>
      <c r="B5" s="3051"/>
      <c r="C5" s="582" t="s">
        <v>665</v>
      </c>
      <c r="D5" s="3063" t="s">
        <v>1181</v>
      </c>
      <c r="E5" s="3063"/>
      <c r="F5" s="582" t="s">
        <v>906</v>
      </c>
      <c r="G5" s="779" t="s">
        <v>6510</v>
      </c>
      <c r="H5" s="772" t="s">
        <v>502</v>
      </c>
      <c r="I5" s="962" t="s">
        <v>395</v>
      </c>
      <c r="J5" s="812"/>
      <c r="K5" s="84"/>
      <c r="L5" s="84"/>
    </row>
    <row r="6" spans="1:14" ht="16.5" customHeight="1">
      <c r="A6" s="3176">
        <v>1</v>
      </c>
      <c r="B6" s="3176"/>
      <c r="C6" s="963" t="s">
        <v>907</v>
      </c>
      <c r="D6" s="3639">
        <f>SUMIF(余额表!J:J,"销售费用-"&amp;C6,余额表!E:E)</f>
        <v>0</v>
      </c>
      <c r="E6" s="3639"/>
      <c r="F6" s="1118"/>
      <c r="G6" s="1800"/>
      <c r="H6" s="967">
        <f>D6+F6</f>
        <v>0</v>
      </c>
      <c r="I6" s="575" t="s">
        <v>75</v>
      </c>
      <c r="J6" s="84"/>
      <c r="K6" s="84"/>
      <c r="L6" s="84"/>
    </row>
    <row r="7" spans="1:14" ht="16.5" customHeight="1">
      <c r="A7" s="2921">
        <v>2</v>
      </c>
      <c r="B7" s="2921"/>
      <c r="C7" s="494" t="s">
        <v>908</v>
      </c>
      <c r="D7" s="3634">
        <f>SUMIF(余额表!J:J,"销售费用-"&amp;C7,余额表!E:E)</f>
        <v>0</v>
      </c>
      <c r="E7" s="3635"/>
      <c r="F7" s="1120">
        <f>-SUMIFS(凭证检查!G6:G205,凭证检查!E6:E205,"营业费用",凭证检查!F6:F205,"福利费",凭证检查!M6:M205,"&lt;&gt;")-SUMIFS(凭证检查!G6:G205,凭证检查!E6:E205,"销售费用",凭证检查!F6:F205,"福利费",凭证检查!M6:M205,"&lt;&gt;")</f>
        <v>0</v>
      </c>
      <c r="G7" s="1200"/>
      <c r="H7" s="699">
        <f>D7+F7</f>
        <v>0</v>
      </c>
      <c r="I7" s="232" t="s">
        <v>642</v>
      </c>
      <c r="J7" s="84"/>
      <c r="K7" s="84"/>
      <c r="L7" s="84"/>
    </row>
    <row r="8" spans="1:14" ht="16.5" customHeight="1">
      <c r="A8" s="2921">
        <v>3</v>
      </c>
      <c r="B8" s="2921"/>
      <c r="C8" s="494" t="s">
        <v>909</v>
      </c>
      <c r="D8" s="3634">
        <f>SUMIF(余额表!J:J,"销售费用-"&amp;C8,余额表!E:E)</f>
        <v>0</v>
      </c>
      <c r="E8" s="3635"/>
      <c r="F8" s="1120">
        <f>-SUMIFS(凭证检查!G6:G205,凭证检查!E6:E205,"营业费用",凭证检查!F6:F205,"职工教育经费",凭证检查!M6:M205,"&lt;&gt;")-SUMIFS(凭证检查!G6:G205,凭证检查!E6:E205,"销售费用",凭证检查!F6:F205,"职工教育经费",凭证检查!M6:M205,"&lt;&gt;")</f>
        <v>0</v>
      </c>
      <c r="G8" s="1200"/>
      <c r="H8" s="699">
        <f t="shared" ref="H8:H43" si="0">D8+F8</f>
        <v>0</v>
      </c>
      <c r="I8" s="575" t="s">
        <v>1291</v>
      </c>
      <c r="J8" s="84"/>
      <c r="K8" s="84"/>
      <c r="L8" s="84"/>
    </row>
    <row r="9" spans="1:14" ht="16.5" customHeight="1">
      <c r="A9" s="2921">
        <v>4</v>
      </c>
      <c r="B9" s="2921"/>
      <c r="C9" s="494" t="s">
        <v>910</v>
      </c>
      <c r="D9" s="3634">
        <f>SUMIF(余额表!J:J,"销售费用-"&amp;C9,余额表!E:E)</f>
        <v>0</v>
      </c>
      <c r="E9" s="3635"/>
      <c r="F9" s="1120"/>
      <c r="G9" s="1200"/>
      <c r="H9" s="699">
        <f t="shared" si="0"/>
        <v>0</v>
      </c>
      <c r="I9" s="575" t="s">
        <v>619</v>
      </c>
      <c r="J9" s="84"/>
      <c r="K9" s="84"/>
      <c r="L9" s="84"/>
    </row>
    <row r="10" spans="1:14" ht="16.5" customHeight="1">
      <c r="A10" s="2921">
        <v>5</v>
      </c>
      <c r="B10" s="2921"/>
      <c r="C10" s="494" t="s">
        <v>911</v>
      </c>
      <c r="D10" s="3634">
        <f>SUMIF(余额表!J:J,"销售费用-"&amp;C10,余额表!E:E)</f>
        <v>0</v>
      </c>
      <c r="E10" s="3635"/>
      <c r="F10" s="1120">
        <f>-SUMIFS(凭证检查!G6:G205,凭证检查!E6:E205,"营业费用",凭证检查!F6:F205,"业务招待费",凭证检查!M6:M205,"&lt;&gt;")-SUMIFS(凭证检查!G6:G205,凭证检查!E6:E205,"销售费用",凭证检查!F6:F205,"业务招待费",凭证检查!M6:M205,"&lt;&gt;")</f>
        <v>0</v>
      </c>
      <c r="G10" s="1200"/>
      <c r="H10" s="699">
        <f t="shared" si="0"/>
        <v>0</v>
      </c>
      <c r="I10" s="232" t="s">
        <v>1259</v>
      </c>
      <c r="J10" s="84"/>
      <c r="K10" s="84"/>
      <c r="L10" s="84"/>
    </row>
    <row r="11" spans="1:14" ht="16.5" customHeight="1">
      <c r="A11" s="2921">
        <v>6</v>
      </c>
      <c r="B11" s="2921"/>
      <c r="C11" s="494" t="s">
        <v>912</v>
      </c>
      <c r="D11" s="3634">
        <f>SUMIF(余额表!J:J,"销售费用-"&amp;C11,余额表!E:E)</f>
        <v>0</v>
      </c>
      <c r="E11" s="3635"/>
      <c r="F11" s="1120"/>
      <c r="G11" s="1200"/>
      <c r="H11" s="699">
        <f t="shared" si="0"/>
        <v>0</v>
      </c>
      <c r="I11" s="232" t="s">
        <v>879</v>
      </c>
      <c r="J11" s="84"/>
      <c r="K11" s="84"/>
      <c r="L11" s="84"/>
    </row>
    <row r="12" spans="1:14" ht="16.5" customHeight="1">
      <c r="A12" s="2921">
        <v>7</v>
      </c>
      <c r="B12" s="2921"/>
      <c r="C12" s="494" t="s">
        <v>913</v>
      </c>
      <c r="D12" s="3634">
        <f>SUMIF(余额表!J:J,"销售费用-"&amp;C12,余额表!E:E)</f>
        <v>0</v>
      </c>
      <c r="E12" s="3635"/>
      <c r="F12" s="1120"/>
      <c r="G12" s="1200"/>
      <c r="H12" s="699">
        <f t="shared" si="0"/>
        <v>0</v>
      </c>
      <c r="I12" s="575" t="s">
        <v>85</v>
      </c>
      <c r="J12" s="84"/>
      <c r="K12" s="84"/>
      <c r="L12" s="84"/>
    </row>
    <row r="13" spans="1:14" ht="16.5" customHeight="1">
      <c r="A13" s="2921">
        <v>8</v>
      </c>
      <c r="B13" s="2921"/>
      <c r="C13" s="494" t="s">
        <v>1480</v>
      </c>
      <c r="D13" s="3634">
        <f>SUMIF(余额表!J:J,"销售费用-"&amp;C13,余额表!E:E)</f>
        <v>0</v>
      </c>
      <c r="E13" s="3635"/>
      <c r="F13" s="1120"/>
      <c r="G13" s="1200"/>
      <c r="H13" s="699">
        <f t="shared" si="0"/>
        <v>0</v>
      </c>
      <c r="I13" s="232" t="s">
        <v>1155</v>
      </c>
      <c r="J13" s="84"/>
      <c r="K13" s="84"/>
      <c r="L13" s="84"/>
    </row>
    <row r="14" spans="1:14" ht="16.5" customHeight="1">
      <c r="A14" s="2921">
        <v>9</v>
      </c>
      <c r="B14" s="2921"/>
      <c r="C14" s="790" t="s">
        <v>914</v>
      </c>
      <c r="D14" s="3634">
        <f>SUMIF(余额表!J:J,"销售费用-"&amp;C14,余额表!E:E)</f>
        <v>0</v>
      </c>
      <c r="E14" s="3635"/>
      <c r="F14" s="1120"/>
      <c r="G14" s="1200"/>
      <c r="H14" s="699">
        <f t="shared" si="0"/>
        <v>0</v>
      </c>
      <c r="I14" s="232" t="s">
        <v>915</v>
      </c>
      <c r="J14" s="84"/>
      <c r="K14" s="84"/>
      <c r="L14" s="84"/>
    </row>
    <row r="15" spans="1:14" ht="16.5" customHeight="1">
      <c r="A15" s="2921">
        <v>10</v>
      </c>
      <c r="B15" s="2921"/>
      <c r="C15" s="494" t="s">
        <v>571</v>
      </c>
      <c r="D15" s="3634">
        <f>SUMIF(余额表!J:J,"销售费用-"&amp;C15,余额表!E:E)</f>
        <v>0</v>
      </c>
      <c r="E15" s="3635"/>
      <c r="F15" s="1120"/>
      <c r="G15" s="1200"/>
      <c r="H15" s="699">
        <f t="shared" si="0"/>
        <v>0</v>
      </c>
      <c r="I15" s="232" t="s">
        <v>916</v>
      </c>
      <c r="J15" s="84"/>
      <c r="K15" s="84"/>
      <c r="L15" s="84"/>
      <c r="M15" s="673"/>
      <c r="N15" s="673"/>
    </row>
    <row r="16" spans="1:14" ht="16.5" customHeight="1">
      <c r="A16" s="2921">
        <v>11</v>
      </c>
      <c r="B16" s="2921"/>
      <c r="C16" s="494" t="s">
        <v>917</v>
      </c>
      <c r="D16" s="3634">
        <f>SUMIF(余额表!J:J,"销售费用-"&amp;C16,余额表!E:E)</f>
        <v>0</v>
      </c>
      <c r="E16" s="3635"/>
      <c r="F16" s="1120"/>
      <c r="G16" s="1200"/>
      <c r="H16" s="699">
        <f t="shared" si="0"/>
        <v>0</v>
      </c>
      <c r="I16" s="232" t="s">
        <v>918</v>
      </c>
      <c r="J16" s="84"/>
      <c r="K16" s="84"/>
      <c r="L16" s="84"/>
      <c r="M16" s="673"/>
      <c r="N16" s="673"/>
    </row>
    <row r="17" spans="1:14" ht="16.5" customHeight="1">
      <c r="A17" s="2921">
        <v>12</v>
      </c>
      <c r="B17" s="2921"/>
      <c r="C17" s="494" t="s">
        <v>919</v>
      </c>
      <c r="D17" s="3634">
        <f>SUMIF(余额表!J:J,"销售费用-"&amp;C17,余额表!E:E)</f>
        <v>0</v>
      </c>
      <c r="E17" s="3635"/>
      <c r="F17" s="1120"/>
      <c r="G17" s="1200"/>
      <c r="H17" s="699">
        <f t="shared" si="0"/>
        <v>0</v>
      </c>
      <c r="I17" s="2032" t="s">
        <v>6596</v>
      </c>
      <c r="J17" s="84"/>
      <c r="K17" s="84"/>
      <c r="L17" s="84"/>
      <c r="M17" s="673"/>
      <c r="N17" s="673"/>
    </row>
    <row r="18" spans="1:14" ht="16.5" customHeight="1">
      <c r="A18" s="2921">
        <v>13</v>
      </c>
      <c r="B18" s="2921"/>
      <c r="C18" s="494" t="s">
        <v>920</v>
      </c>
      <c r="D18" s="3634">
        <f>SUMIF(余额表!J:J,"销售费用-"&amp;C18,余额表!E:E)</f>
        <v>0</v>
      </c>
      <c r="E18" s="3635"/>
      <c r="F18" s="1120"/>
      <c r="G18" s="1200"/>
      <c r="H18" s="699">
        <f t="shared" si="0"/>
        <v>0</v>
      </c>
      <c r="I18" s="3107" t="s">
        <v>470</v>
      </c>
      <c r="J18" s="3107"/>
      <c r="K18" s="3107"/>
      <c r="L18" s="3107"/>
      <c r="M18" s="673"/>
      <c r="N18" s="673"/>
    </row>
    <row r="19" spans="1:14" ht="16.5" customHeight="1">
      <c r="A19" s="2921">
        <v>14</v>
      </c>
      <c r="B19" s="2921"/>
      <c r="C19" s="494" t="s">
        <v>36</v>
      </c>
      <c r="D19" s="3634">
        <f>SUMIF(余额表!J:J,"销售费用-"&amp;C19,余额表!E:E)</f>
        <v>0</v>
      </c>
      <c r="E19" s="3635"/>
      <c r="F19" s="1120"/>
      <c r="G19" s="1200"/>
      <c r="H19" s="699">
        <f t="shared" si="0"/>
        <v>0</v>
      </c>
      <c r="I19" s="3107"/>
      <c r="J19" s="3107"/>
      <c r="K19" s="3107"/>
      <c r="L19" s="3107"/>
      <c r="M19" s="673"/>
      <c r="N19" s="673"/>
    </row>
    <row r="20" spans="1:14" ht="16.5" customHeight="1">
      <c r="A20" s="2921">
        <v>15</v>
      </c>
      <c r="B20" s="2921"/>
      <c r="C20" s="494" t="s">
        <v>471</v>
      </c>
      <c r="D20" s="3634">
        <f>SUMIF(余额表!J:J,"销售费用-"&amp;C20,余额表!E:E)</f>
        <v>0</v>
      </c>
      <c r="E20" s="3635"/>
      <c r="F20" s="1120"/>
      <c r="G20" s="1200"/>
      <c r="H20" s="699">
        <f t="shared" si="0"/>
        <v>0</v>
      </c>
      <c r="I20" s="3107"/>
      <c r="J20" s="3107"/>
      <c r="K20" s="3107"/>
      <c r="L20" s="3107"/>
      <c r="M20" s="673"/>
      <c r="N20" s="673"/>
    </row>
    <row r="21" spans="1:14" ht="16.5" customHeight="1">
      <c r="A21" s="2921">
        <v>16</v>
      </c>
      <c r="B21" s="2921"/>
      <c r="C21" s="494" t="s">
        <v>472</v>
      </c>
      <c r="D21" s="3634">
        <f>SUMIF(余额表!J:J,"销售费用-"&amp;C21,余额表!E:E)</f>
        <v>0</v>
      </c>
      <c r="E21" s="3635"/>
      <c r="F21" s="1120"/>
      <c r="G21" s="1200"/>
      <c r="H21" s="699">
        <f t="shared" si="0"/>
        <v>0</v>
      </c>
      <c r="I21" s="3107"/>
      <c r="J21" s="3107"/>
      <c r="K21" s="3107"/>
      <c r="L21" s="3107"/>
      <c r="M21" s="673"/>
      <c r="N21" s="673"/>
    </row>
    <row r="22" spans="1:14" ht="16.5" customHeight="1">
      <c r="A22" s="2921">
        <v>17</v>
      </c>
      <c r="B22" s="2921"/>
      <c r="C22" s="2031" t="s">
        <v>6513</v>
      </c>
      <c r="D22" s="3634">
        <f>SUMIF(余额表!J:J,"销售费用-"&amp;C22,余额表!E:E)</f>
        <v>0</v>
      </c>
      <c r="E22" s="3635"/>
      <c r="F22" s="1120"/>
      <c r="G22" s="1200"/>
      <c r="H22" s="699">
        <f t="shared" si="0"/>
        <v>0</v>
      </c>
      <c r="I22" s="3107"/>
      <c r="J22" s="3107"/>
      <c r="K22" s="3107"/>
      <c r="L22" s="3107"/>
      <c r="M22" s="673"/>
      <c r="N22" s="673"/>
    </row>
    <row r="23" spans="1:14" ht="16.5" customHeight="1">
      <c r="A23" s="2921">
        <v>18</v>
      </c>
      <c r="B23" s="2921"/>
      <c r="C23" s="2031" t="s">
        <v>1630</v>
      </c>
      <c r="D23" s="3634">
        <f>SUMIF(余额表!J:J,"销售费用-"&amp;C23,余额表!E:E)</f>
        <v>0</v>
      </c>
      <c r="E23" s="3635"/>
      <c r="F23" s="1120"/>
      <c r="G23" s="1200"/>
      <c r="H23" s="699">
        <f t="shared" si="0"/>
        <v>0</v>
      </c>
      <c r="I23" s="3107"/>
      <c r="J23" s="3107"/>
      <c r="K23" s="3107"/>
      <c r="L23" s="3107"/>
      <c r="M23" s="673"/>
      <c r="N23" s="673"/>
    </row>
    <row r="24" spans="1:14" ht="16.5" customHeight="1">
      <c r="A24" s="2921">
        <v>19</v>
      </c>
      <c r="B24" s="2921"/>
      <c r="C24" s="2031" t="s">
        <v>6514</v>
      </c>
      <c r="D24" s="3634">
        <f>SUMIF(余额表!J:J,"销售费用-"&amp;C24,余额表!E:E)</f>
        <v>0</v>
      </c>
      <c r="E24" s="3635"/>
      <c r="F24" s="1120"/>
      <c r="G24" s="1200"/>
      <c r="H24" s="699">
        <f t="shared" si="0"/>
        <v>0</v>
      </c>
      <c r="I24" s="3107"/>
      <c r="J24" s="3107"/>
      <c r="K24" s="3107"/>
      <c r="L24" s="3107"/>
      <c r="M24" s="673"/>
      <c r="N24" s="673"/>
    </row>
    <row r="25" spans="1:14" ht="16.5" customHeight="1">
      <c r="A25" s="2921">
        <v>20</v>
      </c>
      <c r="B25" s="2921"/>
      <c r="C25" s="2031" t="s">
        <v>1279</v>
      </c>
      <c r="D25" s="3634">
        <f>SUMIF(余额表!J:J,"销售费用-"&amp;C25,余额表!E:E)</f>
        <v>0</v>
      </c>
      <c r="E25" s="3635"/>
      <c r="F25" s="1120"/>
      <c r="G25" s="1200"/>
      <c r="H25" s="699">
        <f t="shared" si="0"/>
        <v>0</v>
      </c>
      <c r="I25" s="3107"/>
      <c r="J25" s="3107"/>
      <c r="K25" s="3107"/>
      <c r="L25" s="3107"/>
    </row>
    <row r="26" spans="1:14" ht="16.5" customHeight="1">
      <c r="A26" s="2921">
        <v>21</v>
      </c>
      <c r="B26" s="2921"/>
      <c r="C26" s="2031" t="s">
        <v>1277</v>
      </c>
      <c r="D26" s="3634">
        <f>SUMIF(余额表!J:J,"销售费用-"&amp;C26,余额表!E:E)</f>
        <v>0</v>
      </c>
      <c r="E26" s="3635"/>
      <c r="F26" s="1120"/>
      <c r="G26" s="1200"/>
      <c r="H26" s="699">
        <f t="shared" si="0"/>
        <v>0</v>
      </c>
      <c r="I26" s="3107" t="s">
        <v>473</v>
      </c>
      <c r="J26" s="3107"/>
      <c r="K26" s="3107"/>
      <c r="L26" s="3107"/>
      <c r="M26" s="607"/>
    </row>
    <row r="27" spans="1:14" ht="16.5" customHeight="1">
      <c r="A27" s="2921">
        <v>22</v>
      </c>
      <c r="B27" s="2921"/>
      <c r="C27" s="2031" t="s">
        <v>1278</v>
      </c>
      <c r="D27" s="3634">
        <f>SUMIF(余额表!J:J,"销售费用-"&amp;C27,余额表!E:E)</f>
        <v>0</v>
      </c>
      <c r="E27" s="3635"/>
      <c r="F27" s="2006"/>
      <c r="G27" s="1200"/>
      <c r="H27" s="699">
        <f t="shared" ref="H27:H32" si="1">D27+F27</f>
        <v>0</v>
      </c>
      <c r="I27" s="3107"/>
      <c r="J27" s="3107"/>
      <c r="K27" s="3107"/>
      <c r="L27" s="3107"/>
      <c r="M27" s="2005"/>
    </row>
    <row r="28" spans="1:14" ht="16.5" customHeight="1">
      <c r="A28" s="2921">
        <v>23</v>
      </c>
      <c r="B28" s="2921"/>
      <c r="C28" s="2031" t="s">
        <v>6515</v>
      </c>
      <c r="D28" s="3634">
        <f>SUMIF(余额表!J:J,"销售费用-"&amp;C28,余额表!E:E)</f>
        <v>0</v>
      </c>
      <c r="E28" s="3635"/>
      <c r="F28" s="2006"/>
      <c r="G28" s="1200"/>
      <c r="H28" s="699">
        <f t="shared" si="1"/>
        <v>0</v>
      </c>
      <c r="I28" s="3107"/>
      <c r="J28" s="3107"/>
      <c r="K28" s="3107"/>
      <c r="L28" s="3107"/>
      <c r="M28" s="2005"/>
    </row>
    <row r="29" spans="1:14" ht="16.5" customHeight="1">
      <c r="A29" s="2921">
        <v>24</v>
      </c>
      <c r="B29" s="2921"/>
      <c r="C29" s="2031" t="s">
        <v>6233</v>
      </c>
      <c r="D29" s="3634">
        <f>SUMIF(余额表!J:J,"销售费用-"&amp;C29,余额表!E:E)</f>
        <v>0</v>
      </c>
      <c r="E29" s="3635"/>
      <c r="F29" s="2006"/>
      <c r="G29" s="1200"/>
      <c r="H29" s="699">
        <f t="shared" si="1"/>
        <v>0</v>
      </c>
      <c r="I29" s="3107"/>
      <c r="J29" s="3107"/>
      <c r="K29" s="3107"/>
      <c r="L29" s="3107"/>
      <c r="M29" s="2005"/>
    </row>
    <row r="30" spans="1:14" ht="16.5" customHeight="1">
      <c r="A30" s="2921">
        <v>25</v>
      </c>
      <c r="B30" s="2921"/>
      <c r="C30" s="2031" t="s">
        <v>6234</v>
      </c>
      <c r="D30" s="3634">
        <f>SUMIF(余额表!J:J,"销售费用-"&amp;C30,余额表!E:E)</f>
        <v>0</v>
      </c>
      <c r="E30" s="3635"/>
      <c r="F30" s="2006"/>
      <c r="G30" s="1200"/>
      <c r="H30" s="699">
        <f t="shared" si="1"/>
        <v>0</v>
      </c>
      <c r="I30" s="3107"/>
      <c r="J30" s="3107"/>
      <c r="K30" s="3107"/>
      <c r="L30" s="3107"/>
      <c r="M30" s="2005"/>
    </row>
    <row r="31" spans="1:14" ht="16.5" customHeight="1">
      <c r="A31" s="2921">
        <v>26</v>
      </c>
      <c r="B31" s="2921"/>
      <c r="C31" s="2031" t="s">
        <v>6237</v>
      </c>
      <c r="D31" s="3634">
        <f>SUMIF(余额表!J:J,"销售费用-"&amp;C31,余额表!E:E)</f>
        <v>0</v>
      </c>
      <c r="E31" s="3635"/>
      <c r="F31" s="2006"/>
      <c r="G31" s="1200"/>
      <c r="H31" s="699">
        <f t="shared" si="1"/>
        <v>0</v>
      </c>
      <c r="I31" s="3107"/>
      <c r="J31" s="3107"/>
      <c r="K31" s="3107"/>
      <c r="L31" s="3107"/>
      <c r="M31" s="2005"/>
    </row>
    <row r="32" spans="1:14" ht="16.5" customHeight="1">
      <c r="A32" s="2921">
        <v>27</v>
      </c>
      <c r="B32" s="2921"/>
      <c r="C32" s="2031" t="s">
        <v>6241</v>
      </c>
      <c r="D32" s="3634">
        <f>SUMIF(余额表!J:J,"销售费用-"&amp;C32,余额表!E:E)</f>
        <v>0</v>
      </c>
      <c r="E32" s="3635"/>
      <c r="F32" s="2006"/>
      <c r="G32" s="1200"/>
      <c r="H32" s="699">
        <f t="shared" si="1"/>
        <v>0</v>
      </c>
      <c r="I32" s="3107"/>
      <c r="J32" s="3107"/>
      <c r="K32" s="3107"/>
      <c r="L32" s="3107"/>
      <c r="M32" s="2005"/>
    </row>
    <row r="33" spans="1:13" ht="16.5" customHeight="1">
      <c r="A33" s="2921">
        <v>28</v>
      </c>
      <c r="B33" s="2921"/>
      <c r="C33" s="2031" t="s">
        <v>6242</v>
      </c>
      <c r="D33" s="3634">
        <f>SUMIF(余额表!J:J,"销售费用-"&amp;C33,余额表!E:E)</f>
        <v>0</v>
      </c>
      <c r="E33" s="3635"/>
      <c r="F33" s="1120"/>
      <c r="G33" s="1200"/>
      <c r="H33" s="699">
        <f t="shared" si="0"/>
        <v>0</v>
      </c>
      <c r="I33" s="3107"/>
      <c r="J33" s="3107"/>
      <c r="K33" s="3107"/>
      <c r="L33" s="3107"/>
      <c r="M33" s="587"/>
    </row>
    <row r="34" spans="1:13" ht="16.5" customHeight="1">
      <c r="A34" s="2921">
        <v>29</v>
      </c>
      <c r="B34" s="2921"/>
      <c r="C34" s="2031" t="s">
        <v>6244</v>
      </c>
      <c r="D34" s="3634">
        <f>SUMIF(余额表!J:J,"销售费用-"&amp;C34,余额表!E:E)</f>
        <v>0</v>
      </c>
      <c r="E34" s="3635"/>
      <c r="F34" s="1120"/>
      <c r="G34" s="1200"/>
      <c r="H34" s="699">
        <f t="shared" si="0"/>
        <v>0</v>
      </c>
      <c r="I34" s="84"/>
      <c r="J34" s="84"/>
      <c r="K34" s="84"/>
      <c r="L34" s="84"/>
      <c r="M34" s="587"/>
    </row>
    <row r="35" spans="1:13" ht="16.5" customHeight="1">
      <c r="A35" s="2921">
        <v>30</v>
      </c>
      <c r="B35" s="2921"/>
      <c r="C35" s="2031" t="s">
        <v>6245</v>
      </c>
      <c r="D35" s="3634">
        <f>SUMIF(余额表!J:J,"销售费用-"&amp;C35,余额表!E:E)</f>
        <v>0</v>
      </c>
      <c r="E35" s="3635"/>
      <c r="F35" s="1120"/>
      <c r="G35" s="1200"/>
      <c r="H35" s="699">
        <f t="shared" si="0"/>
        <v>0</v>
      </c>
      <c r="I35" s="84"/>
      <c r="J35" s="84"/>
      <c r="K35" s="84"/>
      <c r="L35" s="84"/>
      <c r="M35" s="587"/>
    </row>
    <row r="36" spans="1:13" ht="16.5" customHeight="1">
      <c r="A36" s="2921">
        <v>31</v>
      </c>
      <c r="B36" s="2921"/>
      <c r="C36" s="2031" t="s">
        <v>6246</v>
      </c>
      <c r="D36" s="3634">
        <f>SUMIF(余额表!J:J,"销售费用-"&amp;C36,余额表!E:E)</f>
        <v>0</v>
      </c>
      <c r="E36" s="3635"/>
      <c r="F36" s="1120"/>
      <c r="G36" s="1200"/>
      <c r="H36" s="699">
        <f t="shared" si="0"/>
        <v>0</v>
      </c>
      <c r="I36" s="84"/>
      <c r="J36" s="84"/>
      <c r="K36" s="84"/>
      <c r="L36" s="84"/>
      <c r="M36" s="587"/>
    </row>
    <row r="37" spans="1:13" ht="16.5" customHeight="1">
      <c r="A37" s="2921">
        <v>32</v>
      </c>
      <c r="B37" s="2921"/>
      <c r="C37" s="2031" t="s">
        <v>6516</v>
      </c>
      <c r="D37" s="3634">
        <f>SUMIF(余额表!J:J,"销售费用-"&amp;C37,余额表!E:E)</f>
        <v>0</v>
      </c>
      <c r="E37" s="3635"/>
      <c r="F37" s="1120"/>
      <c r="G37" s="1200"/>
      <c r="H37" s="699">
        <f t="shared" si="0"/>
        <v>0</v>
      </c>
      <c r="I37" s="84"/>
      <c r="J37" s="84"/>
      <c r="K37" s="84"/>
      <c r="L37" s="84"/>
      <c r="M37" s="587"/>
    </row>
    <row r="38" spans="1:13" ht="16.5" customHeight="1">
      <c r="A38" s="2921">
        <v>33</v>
      </c>
      <c r="B38" s="2921"/>
      <c r="C38" s="2031" t="s">
        <v>6249</v>
      </c>
      <c r="D38" s="3634">
        <f>SUMIF(余额表!J:J,"销售费用-"&amp;C38,余额表!E:E)</f>
        <v>0</v>
      </c>
      <c r="E38" s="3635"/>
      <c r="F38" s="1120"/>
      <c r="G38" s="1200"/>
      <c r="H38" s="699">
        <f t="shared" si="0"/>
        <v>0</v>
      </c>
      <c r="I38" s="3107" t="s">
        <v>474</v>
      </c>
      <c r="J38" s="3107"/>
      <c r="K38" s="3107"/>
      <c r="L38" s="3107"/>
      <c r="M38" s="587"/>
    </row>
    <row r="39" spans="1:13" ht="16.5" customHeight="1">
      <c r="A39" s="2921">
        <v>34</v>
      </c>
      <c r="B39" s="2921"/>
      <c r="C39" s="2031" t="s">
        <v>6250</v>
      </c>
      <c r="D39" s="3634">
        <f>SUMIF(余额表!J:J,"销售费用-"&amp;C39,余额表!E:E)</f>
        <v>0</v>
      </c>
      <c r="E39" s="3635"/>
      <c r="F39" s="1120"/>
      <c r="G39" s="1200"/>
      <c r="H39" s="699">
        <f t="shared" si="0"/>
        <v>0</v>
      </c>
      <c r="I39" s="3107"/>
      <c r="J39" s="3107"/>
      <c r="K39" s="3107"/>
      <c r="L39" s="3107"/>
      <c r="M39" s="587"/>
    </row>
    <row r="40" spans="1:13" ht="16.5" customHeight="1">
      <c r="A40" s="2921">
        <v>35</v>
      </c>
      <c r="B40" s="2921"/>
      <c r="C40" s="2031" t="s">
        <v>6251</v>
      </c>
      <c r="D40" s="3634">
        <f>SUMIF(余额表!J:J,"销售费用-"&amp;C40,余额表!E:E)</f>
        <v>0</v>
      </c>
      <c r="E40" s="3635"/>
      <c r="F40" s="1120"/>
      <c r="G40" s="1200"/>
      <c r="H40" s="699">
        <f t="shared" si="0"/>
        <v>0</v>
      </c>
      <c r="I40" s="3107" t="s">
        <v>475</v>
      </c>
      <c r="J40" s="3107"/>
      <c r="K40" s="3107"/>
      <c r="L40" s="3107"/>
    </row>
    <row r="41" spans="1:13" ht="16.5" customHeight="1">
      <c r="A41" s="2921">
        <v>36</v>
      </c>
      <c r="B41" s="2921"/>
      <c r="C41" s="2031" t="s">
        <v>6252</v>
      </c>
      <c r="D41" s="3634">
        <f>SUMIF(余额表!J:J,"销售费用-"&amp;C41,余额表!E:E)</f>
        <v>0</v>
      </c>
      <c r="E41" s="3635"/>
      <c r="F41" s="1120"/>
      <c r="G41" s="1200"/>
      <c r="H41" s="699">
        <f t="shared" si="0"/>
        <v>0</v>
      </c>
      <c r="I41" s="3107"/>
      <c r="J41" s="3107"/>
      <c r="K41" s="3107"/>
      <c r="L41" s="3107"/>
    </row>
    <row r="42" spans="1:13" ht="16.5" customHeight="1">
      <c r="A42" s="2921">
        <v>37</v>
      </c>
      <c r="B42" s="2921"/>
      <c r="C42" s="2031" t="s">
        <v>1295</v>
      </c>
      <c r="D42" s="3634">
        <f>SUMIF(余额表!J:J,"销售费用-"&amp;C42,余额表!E:E)</f>
        <v>0</v>
      </c>
      <c r="E42" s="3635"/>
      <c r="F42" s="1120">
        <f>-F7-F8-F10</f>
        <v>0</v>
      </c>
      <c r="G42" s="1200"/>
      <c r="H42" s="699">
        <f t="shared" si="0"/>
        <v>0</v>
      </c>
      <c r="I42" s="3107" t="s">
        <v>476</v>
      </c>
      <c r="J42" s="3107"/>
      <c r="K42" s="3107"/>
      <c r="L42" s="3107"/>
    </row>
    <row r="43" spans="1:13" ht="16.5" customHeight="1">
      <c r="A43" s="3637" t="s">
        <v>6549</v>
      </c>
      <c r="B43" s="3638"/>
      <c r="C43" s="964" t="s">
        <v>6602</v>
      </c>
      <c r="D43" s="3162"/>
      <c r="E43" s="3162"/>
      <c r="F43" s="1120"/>
      <c r="G43" s="1200"/>
      <c r="H43" s="699">
        <f t="shared" si="0"/>
        <v>0</v>
      </c>
      <c r="I43" s="3107"/>
      <c r="J43" s="3107"/>
      <c r="K43" s="3107"/>
      <c r="L43" s="3107"/>
    </row>
    <row r="44" spans="1:13" ht="21.75" customHeight="1">
      <c r="A44" s="2922" t="s">
        <v>702</v>
      </c>
      <c r="B44" s="2922"/>
      <c r="C44" s="2922"/>
      <c r="D44" s="3257">
        <f>SUM(D6:D42)</f>
        <v>0</v>
      </c>
      <c r="E44" s="3257"/>
      <c r="F44" s="721">
        <f>SUM(F6:F42)</f>
        <v>0</v>
      </c>
      <c r="G44" s="721">
        <f>SUM(G6:G42)</f>
        <v>0</v>
      </c>
      <c r="H44" s="702">
        <f>SUM(H6:H42)</f>
        <v>0</v>
      </c>
      <c r="I44" s="3107" t="s">
        <v>477</v>
      </c>
      <c r="J44" s="3107"/>
      <c r="K44" s="3107"/>
      <c r="L44" s="3107"/>
    </row>
    <row r="45" spans="1:13" ht="21.75" customHeight="1">
      <c r="A45" s="3065" t="s">
        <v>641</v>
      </c>
      <c r="B45" s="3065"/>
      <c r="C45" s="3177" t="str">
        <f>IF(D44&lt;&gt;利润!C15,"账载数与报表数相差"&amp;DOLLAR(D44-利润!C15,2)&amp;"元！","账载数与报表数相符！")</f>
        <v>账载数与报表数相符！</v>
      </c>
      <c r="D45" s="3177"/>
      <c r="E45" s="3177"/>
      <c r="F45" s="3177"/>
      <c r="G45" s="3177"/>
      <c r="H45" s="3177"/>
      <c r="I45" s="3107"/>
      <c r="J45" s="3107"/>
      <c r="K45" s="3107"/>
      <c r="L45" s="3107"/>
    </row>
    <row r="46" spans="1:13" ht="15" customHeight="1">
      <c r="A46" s="3093" t="s">
        <v>1323</v>
      </c>
      <c r="B46" s="3093"/>
      <c r="C46" s="965" t="s">
        <v>175</v>
      </c>
      <c r="D46" s="3636" t="str">
        <f>IF(F44&lt;&gt;0,"、E","")</f>
        <v/>
      </c>
      <c r="E46" s="3636"/>
      <c r="F46" s="3636"/>
      <c r="G46" s="3636"/>
      <c r="H46" s="3636"/>
      <c r="I46" s="3107"/>
      <c r="J46" s="3107"/>
      <c r="K46" s="3107"/>
      <c r="L46" s="3107"/>
    </row>
    <row r="47" spans="1:13" ht="49.5" customHeight="1">
      <c r="A47" s="3093"/>
      <c r="B47" s="3093"/>
      <c r="C47" s="3175"/>
      <c r="D47" s="3175"/>
      <c r="E47" s="3175"/>
      <c r="F47" s="3175"/>
      <c r="G47" s="3175"/>
      <c r="H47" s="3175"/>
      <c r="I47" s="84"/>
      <c r="J47" s="84"/>
      <c r="K47" s="84"/>
      <c r="L47" s="84"/>
    </row>
    <row r="48" spans="1:13" ht="18.75" customHeight="1">
      <c r="A48" s="3172" t="s">
        <v>574</v>
      </c>
      <c r="B48" s="3172"/>
      <c r="C48" s="3141" t="str">
        <f>IF(F44=0,"不存在调整事项，认可！","调整后认可！")</f>
        <v>不存在调整事项，认可！</v>
      </c>
      <c r="D48" s="3141"/>
      <c r="E48" s="3141"/>
      <c r="F48" s="3141"/>
      <c r="G48" s="3141"/>
      <c r="H48" s="3141"/>
      <c r="I48" s="84"/>
      <c r="J48" s="84"/>
      <c r="K48" s="84"/>
      <c r="L48" s="84"/>
    </row>
  </sheetData>
  <sheetProtection selectLockedCells="1" selectUnlockedCells="1"/>
  <mergeCells count="100">
    <mergeCell ref="D6:E6"/>
    <mergeCell ref="A6:B6"/>
    <mergeCell ref="D2:E2"/>
    <mergeCell ref="D3:E3"/>
    <mergeCell ref="A10:B10"/>
    <mergeCell ref="D10:E10"/>
    <mergeCell ref="A7:B7"/>
    <mergeCell ref="D7:E7"/>
    <mergeCell ref="I1:I4"/>
    <mergeCell ref="A2:B2"/>
    <mergeCell ref="A3:B3"/>
    <mergeCell ref="A4:H4"/>
    <mergeCell ref="A5:B5"/>
    <mergeCell ref="D5:E5"/>
    <mergeCell ref="A1:H1"/>
    <mergeCell ref="A16:B16"/>
    <mergeCell ref="D16:E16"/>
    <mergeCell ref="A17:B17"/>
    <mergeCell ref="D17:E17"/>
    <mergeCell ref="A18:B18"/>
    <mergeCell ref="D18:E18"/>
    <mergeCell ref="A14:B14"/>
    <mergeCell ref="D14:E14"/>
    <mergeCell ref="A15:B15"/>
    <mergeCell ref="A12:B12"/>
    <mergeCell ref="D12:E12"/>
    <mergeCell ref="A13:B13"/>
    <mergeCell ref="D13:E13"/>
    <mergeCell ref="D15:E15"/>
    <mergeCell ref="A11:B11"/>
    <mergeCell ref="D11:E11"/>
    <mergeCell ref="A8:B8"/>
    <mergeCell ref="D8:E8"/>
    <mergeCell ref="A9:B9"/>
    <mergeCell ref="D9:E9"/>
    <mergeCell ref="I18:L25"/>
    <mergeCell ref="A21:B21"/>
    <mergeCell ref="D21:E21"/>
    <mergeCell ref="A19:B19"/>
    <mergeCell ref="D19:E19"/>
    <mergeCell ref="A20:B20"/>
    <mergeCell ref="A24:B24"/>
    <mergeCell ref="D24:E24"/>
    <mergeCell ref="A25:B25"/>
    <mergeCell ref="D25:E25"/>
    <mergeCell ref="A22:B22"/>
    <mergeCell ref="A23:B23"/>
    <mergeCell ref="D23:E23"/>
    <mergeCell ref="D22:E22"/>
    <mergeCell ref="D20:E20"/>
    <mergeCell ref="D33:E33"/>
    <mergeCell ref="D37:E37"/>
    <mergeCell ref="A34:B34"/>
    <mergeCell ref="D34:E34"/>
    <mergeCell ref="A36:B36"/>
    <mergeCell ref="D36:E36"/>
    <mergeCell ref="A35:B35"/>
    <mergeCell ref="D35:E35"/>
    <mergeCell ref="I26:L33"/>
    <mergeCell ref="A26:B26"/>
    <mergeCell ref="D26:E26"/>
    <mergeCell ref="A33:B33"/>
    <mergeCell ref="A27:B27"/>
    <mergeCell ref="D27:E27"/>
    <mergeCell ref="A28:B28"/>
    <mergeCell ref="D28:E28"/>
    <mergeCell ref="A29:B29"/>
    <mergeCell ref="D29:E29"/>
    <mergeCell ref="A30:B30"/>
    <mergeCell ref="D30:E30"/>
    <mergeCell ref="A31:B31"/>
    <mergeCell ref="D31:E31"/>
    <mergeCell ref="A32:B32"/>
    <mergeCell ref="D32:E32"/>
    <mergeCell ref="I38:L39"/>
    <mergeCell ref="A39:B39"/>
    <mergeCell ref="D39:E39"/>
    <mergeCell ref="A38:B38"/>
    <mergeCell ref="D38:E38"/>
    <mergeCell ref="D43:E43"/>
    <mergeCell ref="A42:B42"/>
    <mergeCell ref="A40:B40"/>
    <mergeCell ref="D40:E40"/>
    <mergeCell ref="A37:B37"/>
    <mergeCell ref="A48:B48"/>
    <mergeCell ref="C48:H48"/>
    <mergeCell ref="D44:E44"/>
    <mergeCell ref="I40:L41"/>
    <mergeCell ref="A41:B41"/>
    <mergeCell ref="D41:E41"/>
    <mergeCell ref="I44:L46"/>
    <mergeCell ref="A45:B45"/>
    <mergeCell ref="C45:H45"/>
    <mergeCell ref="A46:B47"/>
    <mergeCell ref="D46:H46"/>
    <mergeCell ref="C47:H47"/>
    <mergeCell ref="A44:C44"/>
    <mergeCell ref="D42:E42"/>
    <mergeCell ref="I42:L43"/>
    <mergeCell ref="A43:B43"/>
  </mergeCells>
  <phoneticPr fontId="51" type="noConversion"/>
  <dataValidations count="2">
    <dataValidation allowBlank="1" sqref="C22:C43">
      <formula1>0</formula1>
      <formula2>0</formula2>
    </dataValidation>
    <dataValidation type="list" allowBlank="1" sqref="C21">
      <formula1>"办公费,邮电费,交通差旅费,房租,物业水电费,车辆使用费,各种税金,开办费,低值易耗品,运杂费,残保金,其他"</formula1>
      <formula2>0</formula2>
    </dataValidation>
  </dataValidations>
  <hyperlinks>
    <hyperlink ref="I6" location="成本费用明细表!A1" display="成本费用明细表"/>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捐赠!A1" display="捐赠支出审核表"/>
    <hyperlink ref="I17" location="A104000期间费用明细表!A1" display="A104000期间费用明细表!A1"/>
  </hyperlinks>
  <pageMargins left="0.78740157480314998" right="0.35433070866141703" top="0.511811023622047" bottom="0.11811023622047198" header="0.511811023622047" footer="0.511811023622047"/>
  <pageSetup paperSize="9" scale="88" firstPageNumber="0" fitToHeight="0" orientation="portrait" blackAndWhite="1"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pageSetUpPr fitToPage="1"/>
  </sheetPr>
  <dimension ref="A1:M110"/>
  <sheetViews>
    <sheetView workbookViewId="0">
      <selection activeCell="F8" sqref="F8"/>
    </sheetView>
  </sheetViews>
  <sheetFormatPr defaultRowHeight="15.6"/>
  <cols>
    <col min="1" max="1" width="6" style="954" customWidth="1"/>
    <col min="2" max="2" width="4.19921875" style="954" customWidth="1"/>
    <col min="3" max="3" width="26.3984375" style="771" customWidth="1"/>
    <col min="4" max="4" width="6.09765625" style="771" customWidth="1"/>
    <col min="5" max="5" width="9.59765625" style="771" customWidth="1"/>
    <col min="6" max="8" width="14.09765625" style="771" customWidth="1"/>
    <col min="9" max="9" width="31.5" customWidth="1"/>
    <col min="10" max="10" width="19.59765625" style="131" customWidth="1"/>
  </cols>
  <sheetData>
    <row r="1" spans="1:12" ht="29.25" customHeight="1">
      <c r="A1" s="3136" t="s">
        <v>324</v>
      </c>
      <c r="B1" s="3136"/>
      <c r="C1" s="3136"/>
      <c r="D1" s="3136"/>
      <c r="E1" s="3136"/>
      <c r="F1" s="3136"/>
      <c r="G1" s="3136"/>
      <c r="H1" s="3136"/>
      <c r="I1" s="3596"/>
      <c r="J1" s="812"/>
      <c r="K1" s="84"/>
      <c r="L1" s="84"/>
    </row>
    <row r="2" spans="1:12" ht="21.75" customHeight="1">
      <c r="A2" s="3065" t="s">
        <v>447</v>
      </c>
      <c r="B2" s="3065"/>
      <c r="C2" s="955">
        <f>基本情况!$B$2</f>
        <v>0</v>
      </c>
      <c r="D2" s="3640" t="s">
        <v>450</v>
      </c>
      <c r="E2" s="3641"/>
      <c r="F2" s="1801">
        <f>基本情况!B12</f>
        <v>0</v>
      </c>
      <c r="G2" s="644" t="str">
        <f>TEXT(基本情况!B21,"yyyy-mm-dd")</f>
        <v>2017-03-16</v>
      </c>
      <c r="H2" s="485" t="s">
        <v>283</v>
      </c>
      <c r="I2" s="3596"/>
      <c r="J2" s="812"/>
      <c r="K2" s="84"/>
      <c r="L2" s="84"/>
    </row>
    <row r="3" spans="1:12" ht="21.75" customHeight="1">
      <c r="A3" s="2922" t="s">
        <v>451</v>
      </c>
      <c r="B3" s="2922"/>
      <c r="C3" s="139" t="str">
        <f>基本情况!$B$7</f>
        <v>2016年01月01日至2016年12月31日</v>
      </c>
      <c r="D3" s="3642" t="s">
        <v>452</v>
      </c>
      <c r="E3" s="3643"/>
      <c r="F3" s="960">
        <f>基本情况!B11</f>
        <v>0</v>
      </c>
      <c r="G3" s="1799" t="str">
        <f>TEXT(基本情况!B22,"yyyy-mm-dd")</f>
        <v>2017-05-04</v>
      </c>
      <c r="H3" s="512" t="str">
        <f>档案索引!D29</f>
        <v>3-8</v>
      </c>
      <c r="I3" s="3596"/>
      <c r="J3" s="812"/>
      <c r="K3" s="84"/>
      <c r="L3" s="84"/>
    </row>
    <row r="4" spans="1:12" ht="6.75" customHeight="1">
      <c r="A4" s="2926"/>
      <c r="B4" s="2926"/>
      <c r="C4" s="2926"/>
      <c r="D4" s="2926"/>
      <c r="E4" s="2926"/>
      <c r="F4" s="2926"/>
      <c r="G4" s="2926"/>
      <c r="H4" s="2926"/>
      <c r="I4" s="3596"/>
      <c r="J4" s="812"/>
      <c r="K4" s="84"/>
      <c r="L4" s="84"/>
    </row>
    <row r="5" spans="1:12" ht="21.75" customHeight="1">
      <c r="A5" s="3051" t="s">
        <v>645</v>
      </c>
      <c r="B5" s="3051"/>
      <c r="C5" s="582" t="s">
        <v>665</v>
      </c>
      <c r="D5" s="3063" t="s">
        <v>1181</v>
      </c>
      <c r="E5" s="3063"/>
      <c r="F5" s="582" t="s">
        <v>906</v>
      </c>
      <c r="G5" s="779" t="s">
        <v>6510</v>
      </c>
      <c r="H5" s="772" t="s">
        <v>502</v>
      </c>
      <c r="I5" s="962" t="s">
        <v>395</v>
      </c>
      <c r="J5" s="966"/>
      <c r="K5" s="84"/>
      <c r="L5" s="84"/>
    </row>
    <row r="6" spans="1:12" ht="16.5" customHeight="1">
      <c r="A6" s="3176">
        <v>1</v>
      </c>
      <c r="B6" s="3176"/>
      <c r="C6" s="963" t="s">
        <v>907</v>
      </c>
      <c r="D6" s="3639">
        <f>SUMIF(余额表!J:J,"管理费用-"&amp;C6,余额表!E:E)</f>
        <v>0</v>
      </c>
      <c r="E6" s="3639"/>
      <c r="F6" s="1118"/>
      <c r="G6" s="1800"/>
      <c r="H6" s="967">
        <f>D6+F6</f>
        <v>0</v>
      </c>
      <c r="I6" s="1266" t="s">
        <v>6596</v>
      </c>
      <c r="J6" s="812"/>
      <c r="K6" s="84"/>
      <c r="L6" s="84"/>
    </row>
    <row r="7" spans="1:12" ht="16.5" customHeight="1">
      <c r="A7" s="2921">
        <v>2</v>
      </c>
      <c r="B7" s="2921"/>
      <c r="C7" s="494" t="s">
        <v>908</v>
      </c>
      <c r="D7" s="3634">
        <f>SUMIF(余额表!J:J,"管理费用-"&amp;C7,余额表!E:E)</f>
        <v>0</v>
      </c>
      <c r="E7" s="3635"/>
      <c r="F7" s="1120">
        <f>-SUMIFS(凭证检查!G6:G205,凭证检查!E6:E205,"管理费用",凭证检查!F6:F205,"福利费",凭证检查!M6:M205,"&lt;&gt;")</f>
        <v>0</v>
      </c>
      <c r="G7" s="1200"/>
      <c r="H7" s="699">
        <f>D7+F7</f>
        <v>0</v>
      </c>
      <c r="I7" s="232" t="s">
        <v>642</v>
      </c>
      <c r="J7" s="812"/>
      <c r="K7" s="84"/>
      <c r="L7" s="84"/>
    </row>
    <row r="8" spans="1:12" ht="16.5" customHeight="1">
      <c r="A8" s="2921">
        <v>3</v>
      </c>
      <c r="B8" s="2921"/>
      <c r="C8" s="494" t="s">
        <v>909</v>
      </c>
      <c r="D8" s="3634">
        <f>SUMIF(余额表!J:J,"管理费用-"&amp;C8,余额表!E:E)</f>
        <v>0</v>
      </c>
      <c r="E8" s="3635"/>
      <c r="F8" s="1120">
        <f>-SUMIFS(凭证检查!G6:G205,凭证检查!E6:E205,"管理费用",凭证检查!F6:F205,"职工教育经费",凭证检查!M6:M205,"&lt;&gt;")</f>
        <v>0</v>
      </c>
      <c r="G8" s="1200"/>
      <c r="H8" s="699">
        <f t="shared" ref="H8:H43" si="0">D8+F8</f>
        <v>0</v>
      </c>
      <c r="I8" s="575" t="s">
        <v>1291</v>
      </c>
      <c r="J8" s="812"/>
      <c r="K8" s="84"/>
      <c r="L8" s="84"/>
    </row>
    <row r="9" spans="1:12" ht="16.5" customHeight="1">
      <c r="A9" s="2921">
        <v>4</v>
      </c>
      <c r="B9" s="2921"/>
      <c r="C9" s="494" t="s">
        <v>910</v>
      </c>
      <c r="D9" s="3634">
        <f>SUMIF(余额表!J:J,"管理费用-"&amp;C9,余额表!E:E)</f>
        <v>0</v>
      </c>
      <c r="E9" s="3635"/>
      <c r="F9" s="1120"/>
      <c r="G9" s="1200"/>
      <c r="H9" s="699">
        <f t="shared" si="0"/>
        <v>0</v>
      </c>
      <c r="I9" s="575" t="s">
        <v>619</v>
      </c>
      <c r="J9" s="812"/>
      <c r="K9" s="84"/>
      <c r="L9" s="84"/>
    </row>
    <row r="10" spans="1:12" ht="16.5" customHeight="1">
      <c r="A10" s="2921">
        <v>5</v>
      </c>
      <c r="B10" s="2921"/>
      <c r="C10" s="494" t="s">
        <v>911</v>
      </c>
      <c r="D10" s="3634">
        <f>SUMIF(余额表!J:J,"管理费用-"&amp;C10,余额表!E:E)</f>
        <v>0</v>
      </c>
      <c r="E10" s="3635"/>
      <c r="F10" s="1120">
        <f>-SUMIFS(凭证检查!G6:G205,凭证检查!E6:E205,"管理费用",凭证检查!F6:F205,"业务招待费",凭证检查!M6:M205,"&lt;&gt;")</f>
        <v>0</v>
      </c>
      <c r="G10" s="1200"/>
      <c r="H10" s="699">
        <f t="shared" si="0"/>
        <v>0</v>
      </c>
      <c r="I10" s="232" t="s">
        <v>1259</v>
      </c>
      <c r="J10" s="812"/>
      <c r="K10" s="84"/>
      <c r="L10" s="84"/>
    </row>
    <row r="11" spans="1:12" ht="16.5" customHeight="1">
      <c r="A11" s="2921">
        <v>6</v>
      </c>
      <c r="B11" s="2921"/>
      <c r="C11" s="494" t="s">
        <v>912</v>
      </c>
      <c r="D11" s="3634">
        <f>SUMIF(余额表!J:J,"管理费用-"&amp;C11,余额表!E:E)</f>
        <v>0</v>
      </c>
      <c r="E11" s="3635"/>
      <c r="F11" s="1120"/>
      <c r="G11" s="1200"/>
      <c r="H11" s="699">
        <f t="shared" si="0"/>
        <v>0</v>
      </c>
      <c r="I11" s="232" t="s">
        <v>879</v>
      </c>
      <c r="J11" s="812"/>
      <c r="K11" s="84"/>
      <c r="L11" s="84"/>
    </row>
    <row r="12" spans="1:12" ht="16.5" customHeight="1">
      <c r="A12" s="2921">
        <v>7</v>
      </c>
      <c r="B12" s="2921"/>
      <c r="C12" s="494" t="s">
        <v>913</v>
      </c>
      <c r="D12" s="3634">
        <f>SUMIF(余额表!J:J,"管理费用-"&amp;C12,余额表!E:E)</f>
        <v>0</v>
      </c>
      <c r="E12" s="3635"/>
      <c r="F12" s="1120"/>
      <c r="G12" s="1200"/>
      <c r="H12" s="699">
        <f t="shared" si="0"/>
        <v>0</v>
      </c>
      <c r="I12" s="575" t="s">
        <v>85</v>
      </c>
      <c r="J12" s="812"/>
      <c r="K12" s="84"/>
      <c r="L12" s="84"/>
    </row>
    <row r="13" spans="1:12" ht="16.5" customHeight="1">
      <c r="A13" s="2921">
        <v>8</v>
      </c>
      <c r="B13" s="2921"/>
      <c r="C13" s="494" t="s">
        <v>1480</v>
      </c>
      <c r="D13" s="3634">
        <f>SUMIF(余额表!J:J,"管理费用-"&amp;C13,余额表!E:E)</f>
        <v>0</v>
      </c>
      <c r="E13" s="3635"/>
      <c r="F13" s="1120"/>
      <c r="G13" s="1200"/>
      <c r="H13" s="699">
        <f t="shared" si="0"/>
        <v>0</v>
      </c>
      <c r="I13" s="232" t="s">
        <v>1155</v>
      </c>
      <c r="J13" s="812"/>
      <c r="K13" s="84"/>
      <c r="L13" s="84"/>
    </row>
    <row r="14" spans="1:12" ht="16.5" customHeight="1">
      <c r="A14" s="2921">
        <v>9</v>
      </c>
      <c r="B14" s="2921"/>
      <c r="C14" s="790" t="s">
        <v>914</v>
      </c>
      <c r="D14" s="3634">
        <f>SUMIF(余额表!J:J,"管理费用-"&amp;C14,余额表!E:E)</f>
        <v>0</v>
      </c>
      <c r="E14" s="3635"/>
      <c r="F14" s="1120"/>
      <c r="G14" s="1200"/>
      <c r="H14" s="699">
        <f t="shared" si="0"/>
        <v>0</v>
      </c>
      <c r="I14" s="232" t="s">
        <v>915</v>
      </c>
      <c r="J14" s="812"/>
      <c r="K14" s="84"/>
      <c r="L14" s="84"/>
    </row>
    <row r="15" spans="1:12" ht="16.5" customHeight="1">
      <c r="A15" s="2921">
        <v>10</v>
      </c>
      <c r="B15" s="2921"/>
      <c r="C15" s="492" t="s">
        <v>571</v>
      </c>
      <c r="D15" s="3634">
        <f>SUMIF(余额表!J:J,"管理费用-"&amp;C15,余额表!E:E)</f>
        <v>0</v>
      </c>
      <c r="E15" s="3635"/>
      <c r="F15" s="1120"/>
      <c r="G15" s="1200"/>
      <c r="H15" s="699">
        <f t="shared" si="0"/>
        <v>0</v>
      </c>
      <c r="I15" s="232" t="s">
        <v>916</v>
      </c>
      <c r="J15" s="812"/>
      <c r="K15" s="84"/>
      <c r="L15" s="84"/>
    </row>
    <row r="16" spans="1:12" ht="16.5" customHeight="1">
      <c r="A16" s="2921">
        <v>11</v>
      </c>
      <c r="B16" s="2921"/>
      <c r="C16" s="494" t="s">
        <v>917</v>
      </c>
      <c r="D16" s="3634">
        <f>SUMIF(余额表!J:J,"管理费用-"&amp;C16,余额表!E:E)</f>
        <v>0</v>
      </c>
      <c r="E16" s="3635"/>
      <c r="F16" s="1120"/>
      <c r="G16" s="1200"/>
      <c r="H16" s="699">
        <f t="shared" si="0"/>
        <v>0</v>
      </c>
      <c r="I16" s="232" t="s">
        <v>931</v>
      </c>
      <c r="J16" s="812"/>
      <c r="K16" s="84"/>
      <c r="L16" s="84"/>
    </row>
    <row r="17" spans="1:13" ht="16.5" customHeight="1">
      <c r="A17" s="2921">
        <v>12</v>
      </c>
      <c r="B17" s="2921"/>
      <c r="C17" s="494" t="s">
        <v>919</v>
      </c>
      <c r="D17" s="3634">
        <f>SUMIF(余额表!J:J,"管理费用-"&amp;C17,余额表!E:E)</f>
        <v>0</v>
      </c>
      <c r="E17" s="3635"/>
      <c r="F17" s="1120"/>
      <c r="G17" s="1200"/>
      <c r="H17" s="699">
        <f t="shared" si="0"/>
        <v>0</v>
      </c>
      <c r="I17" s="232" t="s">
        <v>918</v>
      </c>
      <c r="J17" s="812"/>
      <c r="K17" s="84"/>
      <c r="L17" s="84"/>
    </row>
    <row r="18" spans="1:13" ht="16.5" customHeight="1">
      <c r="A18" s="2921">
        <v>13</v>
      </c>
      <c r="B18" s="2921"/>
      <c r="C18" s="494" t="s">
        <v>920</v>
      </c>
      <c r="D18" s="3634">
        <f>SUMIF(余额表!J:J,"管理费用-"&amp;C18,余额表!E:E)</f>
        <v>0</v>
      </c>
      <c r="E18" s="3635"/>
      <c r="F18" s="1120"/>
      <c r="G18" s="1200"/>
      <c r="H18" s="699">
        <f t="shared" si="0"/>
        <v>0</v>
      </c>
      <c r="I18" s="3107" t="s">
        <v>478</v>
      </c>
      <c r="J18" s="3107"/>
      <c r="K18" s="3107"/>
      <c r="L18" s="3107"/>
    </row>
    <row r="19" spans="1:13" ht="16.5" customHeight="1">
      <c r="A19" s="2921">
        <v>14</v>
      </c>
      <c r="B19" s="2921"/>
      <c r="C19" s="494" t="s">
        <v>36</v>
      </c>
      <c r="D19" s="3634">
        <f>SUMIF(余额表!J:J,"管理费用-"&amp;C19,余额表!E:E)</f>
        <v>0</v>
      </c>
      <c r="E19" s="3635"/>
      <c r="F19" s="1120"/>
      <c r="G19" s="1200"/>
      <c r="H19" s="699">
        <f t="shared" si="0"/>
        <v>0</v>
      </c>
      <c r="I19" s="3107"/>
      <c r="J19" s="3107"/>
      <c r="K19" s="3107"/>
      <c r="L19" s="3107"/>
      <c r="M19" s="673"/>
    </row>
    <row r="20" spans="1:13" ht="16.5" customHeight="1">
      <c r="A20" s="2921">
        <v>15</v>
      </c>
      <c r="B20" s="2921"/>
      <c r="C20" s="494" t="s">
        <v>471</v>
      </c>
      <c r="D20" s="3634">
        <f>SUMIF(余额表!J:J,"管理费用-"&amp;C20,余额表!E:E)</f>
        <v>0</v>
      </c>
      <c r="E20" s="3635"/>
      <c r="F20" s="1120"/>
      <c r="G20" s="1200"/>
      <c r="H20" s="699">
        <f t="shared" si="0"/>
        <v>0</v>
      </c>
      <c r="I20" s="3107"/>
      <c r="J20" s="3107"/>
      <c r="K20" s="3107"/>
      <c r="L20" s="3107"/>
      <c r="M20" s="673"/>
    </row>
    <row r="21" spans="1:13" ht="16.5" customHeight="1">
      <c r="A21" s="2921">
        <v>16</v>
      </c>
      <c r="B21" s="2921"/>
      <c r="C21" s="494" t="s">
        <v>472</v>
      </c>
      <c r="D21" s="3634">
        <f>SUMIF(余额表!J:J,"管理费用-"&amp;C21,余额表!E:E)</f>
        <v>0</v>
      </c>
      <c r="E21" s="3635"/>
      <c r="F21" s="1120"/>
      <c r="G21" s="1200"/>
      <c r="H21" s="699">
        <f t="shared" si="0"/>
        <v>0</v>
      </c>
      <c r="I21" s="3107"/>
      <c r="J21" s="3107"/>
      <c r="K21" s="3107"/>
      <c r="L21" s="3107"/>
      <c r="M21" s="673"/>
    </row>
    <row r="22" spans="1:13" ht="16.5" customHeight="1">
      <c r="A22" s="2921">
        <v>17</v>
      </c>
      <c r="B22" s="2921"/>
      <c r="C22" s="2031" t="s">
        <v>6513</v>
      </c>
      <c r="D22" s="3634">
        <f>SUMIF(余额表!J:J,"管理费用-"&amp;C22,余额表!E:E)</f>
        <v>0</v>
      </c>
      <c r="E22" s="3635"/>
      <c r="F22" s="1120"/>
      <c r="G22" s="1200"/>
      <c r="H22" s="699">
        <f t="shared" si="0"/>
        <v>0</v>
      </c>
      <c r="I22" s="3107"/>
      <c r="J22" s="3107"/>
      <c r="K22" s="3107"/>
      <c r="L22" s="3107"/>
      <c r="M22" s="673"/>
    </row>
    <row r="23" spans="1:13" ht="16.5" customHeight="1">
      <c r="A23" s="2921">
        <v>18</v>
      </c>
      <c r="B23" s="2921"/>
      <c r="C23" s="2031" t="s">
        <v>1630</v>
      </c>
      <c r="D23" s="3634">
        <f>SUMIF(余额表!J:J,"管理费用-"&amp;C23,余额表!E:E)</f>
        <v>0</v>
      </c>
      <c r="E23" s="3635"/>
      <c r="F23" s="1120"/>
      <c r="G23" s="1200"/>
      <c r="H23" s="699">
        <f t="shared" si="0"/>
        <v>0</v>
      </c>
      <c r="I23" s="3107"/>
      <c r="J23" s="3107"/>
      <c r="K23" s="3107"/>
      <c r="L23" s="3107"/>
      <c r="M23" s="673"/>
    </row>
    <row r="24" spans="1:13" ht="16.5" customHeight="1">
      <c r="A24" s="2921">
        <v>19</v>
      </c>
      <c r="B24" s="2921"/>
      <c r="C24" s="2031" t="s">
        <v>6514</v>
      </c>
      <c r="D24" s="3634">
        <f>SUMIF(余额表!J:J,"管理费用-"&amp;C24,余额表!E:E)</f>
        <v>0</v>
      </c>
      <c r="E24" s="3635"/>
      <c r="F24" s="1120"/>
      <c r="G24" s="1200"/>
      <c r="H24" s="699">
        <f t="shared" si="0"/>
        <v>0</v>
      </c>
      <c r="I24" s="3107"/>
      <c r="J24" s="3107"/>
      <c r="K24" s="3107"/>
      <c r="L24" s="3107"/>
      <c r="M24" s="673"/>
    </row>
    <row r="25" spans="1:13" ht="16.5" customHeight="1">
      <c r="A25" s="2921">
        <v>20</v>
      </c>
      <c r="B25" s="2921"/>
      <c r="C25" s="2031" t="s">
        <v>1279</v>
      </c>
      <c r="D25" s="3634">
        <f>SUMIF(余额表!J:J,"管理费用-"&amp;C25,余额表!E:E)</f>
        <v>0</v>
      </c>
      <c r="E25" s="3635"/>
      <c r="F25" s="1120"/>
      <c r="G25" s="1200"/>
      <c r="H25" s="699">
        <f t="shared" si="0"/>
        <v>0</v>
      </c>
      <c r="I25" s="3107"/>
      <c r="J25" s="3107"/>
      <c r="K25" s="3107"/>
      <c r="L25" s="3107"/>
      <c r="M25" s="673"/>
    </row>
    <row r="26" spans="1:13" ht="16.5" customHeight="1">
      <c r="A26" s="2921">
        <v>21</v>
      </c>
      <c r="B26" s="2921"/>
      <c r="C26" s="2031" t="s">
        <v>1277</v>
      </c>
      <c r="D26" s="3634">
        <f>SUMIF(余额表!J:J,"管理费用-"&amp;C26,余额表!E:E)</f>
        <v>0</v>
      </c>
      <c r="E26" s="3635"/>
      <c r="F26" s="1120"/>
      <c r="G26" s="1200"/>
      <c r="H26" s="699">
        <f t="shared" si="0"/>
        <v>0</v>
      </c>
      <c r="I26" s="523"/>
      <c r="J26" s="748"/>
      <c r="K26" s="748"/>
      <c r="L26" s="748"/>
      <c r="M26" s="673"/>
    </row>
    <row r="27" spans="1:13" ht="16.5" customHeight="1">
      <c r="A27" s="2921">
        <v>22</v>
      </c>
      <c r="B27" s="2921"/>
      <c r="C27" s="2031" t="s">
        <v>1278</v>
      </c>
      <c r="D27" s="3634">
        <f>SUMIF(余额表!J:J,"管理费用-"&amp;C27,余额表!E:E)</f>
        <v>0</v>
      </c>
      <c r="E27" s="3635"/>
      <c r="F27" s="1120"/>
      <c r="G27" s="1200"/>
      <c r="H27" s="699">
        <f t="shared" si="0"/>
        <v>0</v>
      </c>
      <c r="I27" s="84"/>
      <c r="J27" s="812"/>
      <c r="K27" s="84"/>
      <c r="L27" s="84"/>
      <c r="M27" s="673"/>
    </row>
    <row r="28" spans="1:13" ht="16.5" customHeight="1">
      <c r="A28" s="2921">
        <v>23</v>
      </c>
      <c r="B28" s="2921"/>
      <c r="C28" s="2031" t="s">
        <v>6515</v>
      </c>
      <c r="D28" s="3634">
        <f>SUMIF(余额表!J:J,"管理费用-"&amp;C28,余额表!E:E)</f>
        <v>0</v>
      </c>
      <c r="E28" s="3635"/>
      <c r="F28" s="1120"/>
      <c r="G28" s="1200"/>
      <c r="H28" s="699">
        <f t="shared" si="0"/>
        <v>0</v>
      </c>
      <c r="I28" s="84"/>
      <c r="J28" s="812"/>
      <c r="K28" s="84"/>
      <c r="L28" s="84"/>
      <c r="M28" s="673"/>
    </row>
    <row r="29" spans="1:13" ht="16.5" customHeight="1">
      <c r="A29" s="2921">
        <v>24</v>
      </c>
      <c r="B29" s="2921"/>
      <c r="C29" s="2031" t="s">
        <v>6233</v>
      </c>
      <c r="D29" s="3634">
        <f>SUMIF(余额表!J:J,"管理费用-"&amp;C29,余额表!E:E)</f>
        <v>0</v>
      </c>
      <c r="E29" s="3635"/>
      <c r="F29" s="1120"/>
      <c r="G29" s="1200"/>
      <c r="H29" s="699">
        <f t="shared" si="0"/>
        <v>0</v>
      </c>
      <c r="I29" s="3107" t="s">
        <v>479</v>
      </c>
      <c r="J29" s="3107"/>
      <c r="K29" s="3107"/>
      <c r="L29" s="3107"/>
    </row>
    <row r="30" spans="1:13" ht="16.5" customHeight="1">
      <c r="A30" s="2921">
        <v>25</v>
      </c>
      <c r="B30" s="2921"/>
      <c r="C30" s="2031" t="s">
        <v>6234</v>
      </c>
      <c r="D30" s="3634">
        <f>SUMIF(余额表!J:J,"管理费用-"&amp;C30,余额表!E:E)</f>
        <v>0</v>
      </c>
      <c r="E30" s="3635"/>
      <c r="F30" s="1120"/>
      <c r="G30" s="1200"/>
      <c r="H30" s="699">
        <f t="shared" si="0"/>
        <v>0</v>
      </c>
      <c r="I30" s="3107"/>
      <c r="J30" s="3107"/>
      <c r="K30" s="3107"/>
      <c r="L30" s="3107"/>
    </row>
    <row r="31" spans="1:13" ht="16.5" customHeight="1">
      <c r="A31" s="2921">
        <v>26</v>
      </c>
      <c r="B31" s="2921"/>
      <c r="C31" s="2031" t="s">
        <v>6237</v>
      </c>
      <c r="D31" s="3634">
        <f>SUMIF(余额表!J:J,"管理费用-"&amp;C31,余额表!E:E)</f>
        <v>0</v>
      </c>
      <c r="E31" s="3635"/>
      <c r="F31" s="1120"/>
      <c r="G31" s="1200"/>
      <c r="H31" s="699">
        <f t="shared" si="0"/>
        <v>0</v>
      </c>
      <c r="I31" s="3107" t="s">
        <v>480</v>
      </c>
      <c r="J31" s="3107"/>
      <c r="K31" s="3107"/>
      <c r="L31" s="3107"/>
    </row>
    <row r="32" spans="1:13" ht="16.5" customHeight="1">
      <c r="A32" s="2921">
        <v>27</v>
      </c>
      <c r="B32" s="2921"/>
      <c r="C32" s="2031" t="s">
        <v>6241</v>
      </c>
      <c r="D32" s="3634">
        <f>SUMIF(余额表!J:J,"管理费用-"&amp;C32,余额表!E:E)</f>
        <v>0</v>
      </c>
      <c r="E32" s="3635"/>
      <c r="F32" s="1120"/>
      <c r="G32" s="1200"/>
      <c r="H32" s="699">
        <f t="shared" si="0"/>
        <v>0</v>
      </c>
      <c r="I32" s="3107"/>
      <c r="J32" s="3107"/>
      <c r="K32" s="3107"/>
      <c r="L32" s="3107"/>
    </row>
    <row r="33" spans="1:12" ht="16.5" customHeight="1">
      <c r="A33" s="2921">
        <v>28</v>
      </c>
      <c r="B33" s="2921"/>
      <c r="C33" s="2031" t="s">
        <v>6242</v>
      </c>
      <c r="D33" s="3634">
        <f>SUMIF(余额表!J:J,"管理费用-"&amp;C33,余额表!E:E)</f>
        <v>0</v>
      </c>
      <c r="E33" s="3635"/>
      <c r="F33" s="1120"/>
      <c r="G33" s="1200"/>
      <c r="H33" s="699">
        <f t="shared" si="0"/>
        <v>0</v>
      </c>
      <c r="I33" s="3107" t="s">
        <v>476</v>
      </c>
      <c r="J33" s="3107"/>
      <c r="K33" s="3107"/>
      <c r="L33" s="3107"/>
    </row>
    <row r="34" spans="1:12" ht="16.5" customHeight="1">
      <c r="A34" s="2921">
        <v>29</v>
      </c>
      <c r="B34" s="2921"/>
      <c r="C34" s="2031" t="s">
        <v>6244</v>
      </c>
      <c r="D34" s="3634">
        <f>SUMIF(余额表!J:J,"管理费用-"&amp;C34,余额表!E:E)</f>
        <v>0</v>
      </c>
      <c r="E34" s="3635"/>
      <c r="F34" s="2006"/>
      <c r="G34" s="1200"/>
      <c r="H34" s="699">
        <f t="shared" si="0"/>
        <v>0</v>
      </c>
      <c r="I34" s="3107"/>
      <c r="J34" s="3107"/>
      <c r="K34" s="3107"/>
      <c r="L34" s="3107"/>
    </row>
    <row r="35" spans="1:12" ht="16.5" customHeight="1">
      <c r="A35" s="2921">
        <v>30</v>
      </c>
      <c r="B35" s="2921"/>
      <c r="C35" s="2031" t="s">
        <v>6245</v>
      </c>
      <c r="D35" s="3634">
        <f>SUMIF(余额表!J:J,"管理费用-"&amp;C35,余额表!E:E)</f>
        <v>0</v>
      </c>
      <c r="E35" s="3635"/>
      <c r="F35" s="2006"/>
      <c r="G35" s="1200"/>
      <c r="H35" s="699">
        <f t="shared" si="0"/>
        <v>0</v>
      </c>
      <c r="I35" s="3107"/>
      <c r="J35" s="3107"/>
      <c r="K35" s="3107"/>
      <c r="L35" s="3107"/>
    </row>
    <row r="36" spans="1:12" ht="16.5" customHeight="1">
      <c r="A36" s="2921">
        <v>31</v>
      </c>
      <c r="B36" s="2921"/>
      <c r="C36" s="2031" t="s">
        <v>6246</v>
      </c>
      <c r="D36" s="3634">
        <f>SUMIF(余额表!J:J,"管理费用-"&amp;C36,余额表!E:E)</f>
        <v>0</v>
      </c>
      <c r="E36" s="3635"/>
      <c r="F36" s="2006"/>
      <c r="G36" s="1200"/>
      <c r="H36" s="699">
        <f t="shared" si="0"/>
        <v>0</v>
      </c>
      <c r="I36" s="3107"/>
      <c r="J36" s="3107"/>
      <c r="K36" s="3107"/>
      <c r="L36" s="3107"/>
    </row>
    <row r="37" spans="1:12" ht="16.5" customHeight="1">
      <c r="A37" s="2921">
        <v>32</v>
      </c>
      <c r="B37" s="2921"/>
      <c r="C37" s="2031" t="s">
        <v>6516</v>
      </c>
      <c r="D37" s="3634">
        <f>SUMIF(余额表!J:J,"管理费用-"&amp;C37,余额表!E:E)</f>
        <v>0</v>
      </c>
      <c r="E37" s="3635"/>
      <c r="F37" s="2006"/>
      <c r="G37" s="1200"/>
      <c r="H37" s="699">
        <f t="shared" si="0"/>
        <v>0</v>
      </c>
      <c r="I37" s="3107"/>
      <c r="J37" s="3107"/>
      <c r="K37" s="3107"/>
      <c r="L37" s="3107"/>
    </row>
    <row r="38" spans="1:12" ht="16.5" customHeight="1">
      <c r="A38" s="2921">
        <v>33</v>
      </c>
      <c r="B38" s="2921"/>
      <c r="C38" s="2031" t="s">
        <v>6249</v>
      </c>
      <c r="D38" s="3634">
        <f>SUMIF(余额表!J:J,"管理费用-"&amp;C38,余额表!E:E)</f>
        <v>0</v>
      </c>
      <c r="E38" s="3635"/>
      <c r="F38" s="1120"/>
      <c r="G38" s="1200"/>
      <c r="H38" s="699">
        <f t="shared" si="0"/>
        <v>0</v>
      </c>
      <c r="I38" s="3107"/>
      <c r="J38" s="3107"/>
      <c r="K38" s="3107"/>
      <c r="L38" s="3107"/>
    </row>
    <row r="39" spans="1:12" ht="16.5" customHeight="1">
      <c r="A39" s="2921">
        <v>34</v>
      </c>
      <c r="B39" s="2921"/>
      <c r="C39" s="2031" t="s">
        <v>6250</v>
      </c>
      <c r="D39" s="3634">
        <f>SUMIF(余额表!J:J,"管理费用-"&amp;C39,余额表!E:E)</f>
        <v>0</v>
      </c>
      <c r="E39" s="3635"/>
      <c r="F39" s="1120"/>
      <c r="G39" s="1200"/>
      <c r="H39" s="699">
        <f t="shared" si="0"/>
        <v>0</v>
      </c>
      <c r="I39" s="3107" t="s">
        <v>481</v>
      </c>
      <c r="J39" s="3107"/>
      <c r="K39" s="3107"/>
      <c r="L39" s="3107"/>
    </row>
    <row r="40" spans="1:12" ht="16.5" customHeight="1">
      <c r="A40" s="2921">
        <v>35</v>
      </c>
      <c r="B40" s="2921"/>
      <c r="C40" s="2031" t="s">
        <v>6251</v>
      </c>
      <c r="D40" s="3634">
        <f>SUMIF(余额表!J:J,"管理费用-"&amp;C40,余额表!E:E)</f>
        <v>0</v>
      </c>
      <c r="E40" s="3635"/>
      <c r="F40" s="1120"/>
      <c r="G40" s="1200"/>
      <c r="H40" s="699">
        <f t="shared" si="0"/>
        <v>0</v>
      </c>
      <c r="I40" s="3107"/>
      <c r="J40" s="3107"/>
      <c r="K40" s="3107"/>
      <c r="L40" s="3107"/>
    </row>
    <row r="41" spans="1:12" ht="16.5" customHeight="1">
      <c r="A41" s="2921">
        <v>36</v>
      </c>
      <c r="B41" s="2921"/>
      <c r="C41" s="2031" t="s">
        <v>6252</v>
      </c>
      <c r="D41" s="3634">
        <f>SUMIF(余额表!J:J,"管理费用-"&amp;C41,余额表!E:E)</f>
        <v>0</v>
      </c>
      <c r="E41" s="3635"/>
      <c r="F41" s="2006"/>
      <c r="G41" s="1200"/>
      <c r="H41" s="699">
        <f t="shared" si="0"/>
        <v>0</v>
      </c>
      <c r="I41" s="3107"/>
      <c r="J41" s="3107"/>
      <c r="K41" s="3107"/>
      <c r="L41" s="3107"/>
    </row>
    <row r="42" spans="1:12" ht="16.5" customHeight="1">
      <c r="A42" s="2921">
        <v>37</v>
      </c>
      <c r="B42" s="2921"/>
      <c r="C42" s="2031" t="s">
        <v>1295</v>
      </c>
      <c r="D42" s="3634">
        <f>SUMIF(余额表!J:J,"管理费用-"&amp;C42,余额表!E:E)</f>
        <v>0</v>
      </c>
      <c r="E42" s="3635"/>
      <c r="F42" s="2637">
        <f>-F7-F8-F10</f>
        <v>0</v>
      </c>
      <c r="G42" s="1200"/>
      <c r="H42" s="699">
        <f t="shared" si="0"/>
        <v>0</v>
      </c>
      <c r="I42" s="3107"/>
      <c r="J42" s="3107"/>
      <c r="K42" s="3107"/>
      <c r="L42" s="3107"/>
    </row>
    <row r="43" spans="1:12" ht="16.5" customHeight="1">
      <c r="A43" s="3637" t="s">
        <v>6549</v>
      </c>
      <c r="B43" s="3638"/>
      <c r="C43" s="964" t="s">
        <v>6601</v>
      </c>
      <c r="D43" s="3162"/>
      <c r="E43" s="3162"/>
      <c r="F43" s="1120"/>
      <c r="G43" s="1200"/>
      <c r="H43" s="699">
        <f t="shared" si="0"/>
        <v>0</v>
      </c>
      <c r="I43" s="3107"/>
      <c r="J43" s="3107"/>
      <c r="K43" s="3107"/>
      <c r="L43" s="3107"/>
    </row>
    <row r="44" spans="1:12" ht="21.75" customHeight="1">
      <c r="A44" s="2922" t="s">
        <v>702</v>
      </c>
      <c r="B44" s="2922"/>
      <c r="C44" s="2922"/>
      <c r="D44" s="3257">
        <f>SUM(D6:D42)</f>
        <v>0</v>
      </c>
      <c r="E44" s="3257"/>
      <c r="F44" s="721">
        <f>SUM(F6:F42)</f>
        <v>0</v>
      </c>
      <c r="G44" s="721">
        <f>SUM(G6:G42)</f>
        <v>0</v>
      </c>
      <c r="H44" s="596">
        <f>SUM(H6:H42)</f>
        <v>0</v>
      </c>
      <c r="I44" s="84"/>
      <c r="J44" s="812"/>
      <c r="K44" s="84"/>
      <c r="L44" s="84"/>
    </row>
    <row r="45" spans="1:12" ht="21.75" customHeight="1">
      <c r="A45" s="3065" t="s">
        <v>641</v>
      </c>
      <c r="B45" s="3065"/>
      <c r="C45" s="3177" t="str">
        <f>IF(D44&lt;&gt;利润!C18,"账载数与报表数相差"&amp;DOLLAR(D44-利润!C18,2)&amp;"元！","账载数与报表数相符！")</f>
        <v>账载数与报表数相符！</v>
      </c>
      <c r="D45" s="3177"/>
      <c r="E45" s="3177"/>
      <c r="F45" s="3177"/>
      <c r="G45" s="3177"/>
      <c r="H45" s="3177"/>
      <c r="I45" s="84"/>
      <c r="J45" s="812"/>
      <c r="K45" s="84"/>
      <c r="L45" s="84"/>
    </row>
    <row r="46" spans="1:12" ht="15" customHeight="1">
      <c r="A46" s="3093" t="s">
        <v>1323</v>
      </c>
      <c r="B46" s="3093"/>
      <c r="C46" s="965" t="s">
        <v>175</v>
      </c>
      <c r="D46" s="3636" t="str">
        <f>IF(F44&lt;&gt;0,"、E","")</f>
        <v/>
      </c>
      <c r="E46" s="3636"/>
      <c r="F46" s="3636"/>
      <c r="G46" s="3636"/>
      <c r="H46" s="3636"/>
      <c r="I46" s="84"/>
      <c r="J46" s="812"/>
      <c r="K46" s="84"/>
      <c r="L46" s="84"/>
    </row>
    <row r="47" spans="1:12" ht="33.75" customHeight="1">
      <c r="A47" s="3093"/>
      <c r="B47" s="3093"/>
      <c r="C47" s="3175"/>
      <c r="D47" s="3175"/>
      <c r="E47" s="3175"/>
      <c r="F47" s="3175"/>
      <c r="G47" s="3175"/>
      <c r="H47" s="3175"/>
      <c r="I47" s="84"/>
      <c r="J47" s="812"/>
      <c r="K47" s="84"/>
      <c r="L47" s="84"/>
    </row>
    <row r="48" spans="1:12" ht="18.75" customHeight="1">
      <c r="A48" s="3172" t="s">
        <v>574</v>
      </c>
      <c r="B48" s="3172"/>
      <c r="C48" s="3141" t="str">
        <f>IF(F44=0,"不存在调整事项，认可！","调整后认可！")</f>
        <v>不存在调整事项，认可！</v>
      </c>
      <c r="D48" s="3141"/>
      <c r="E48" s="3141"/>
      <c r="F48" s="3141"/>
      <c r="G48" s="3141"/>
      <c r="H48" s="3141"/>
      <c r="I48" s="84"/>
      <c r="J48" s="812"/>
      <c r="K48" s="84"/>
      <c r="L48" s="84"/>
    </row>
    <row r="49" spans="1:8">
      <c r="A49" s="969"/>
      <c r="B49" s="969"/>
      <c r="C49" s="502"/>
      <c r="D49" s="502"/>
      <c r="E49" s="502"/>
      <c r="F49" s="502"/>
      <c r="G49" s="502"/>
      <c r="H49" s="502"/>
    </row>
    <row r="50" spans="1:8">
      <c r="A50" s="969"/>
      <c r="B50" s="969"/>
      <c r="C50" s="502"/>
      <c r="D50" s="502"/>
      <c r="E50" s="502"/>
      <c r="F50" s="502"/>
      <c r="G50" s="502"/>
      <c r="H50" s="502"/>
    </row>
    <row r="51" spans="1:8">
      <c r="A51" s="969"/>
      <c r="B51" s="969"/>
      <c r="C51" s="502"/>
      <c r="D51" s="502"/>
      <c r="E51" s="502"/>
      <c r="F51" s="502"/>
      <c r="G51" s="502"/>
      <c r="H51" s="502"/>
    </row>
    <row r="52" spans="1:8">
      <c r="A52" s="969"/>
      <c r="B52" s="969"/>
      <c r="C52" s="502"/>
      <c r="D52" s="502"/>
      <c r="E52" s="502"/>
      <c r="F52" s="502"/>
      <c r="G52" s="502"/>
      <c r="H52" s="502"/>
    </row>
    <row r="53" spans="1:8">
      <c r="A53" s="969"/>
      <c r="B53" s="969"/>
      <c r="C53" s="502"/>
      <c r="D53" s="502"/>
      <c r="E53" s="502"/>
      <c r="F53" s="502"/>
      <c r="G53" s="502"/>
      <c r="H53" s="502"/>
    </row>
    <row r="54" spans="1:8">
      <c r="A54" s="969"/>
      <c r="B54" s="969"/>
      <c r="C54" s="502"/>
      <c r="D54" s="502"/>
      <c r="E54" s="502"/>
      <c r="F54" s="502"/>
      <c r="G54" s="502"/>
      <c r="H54" s="502"/>
    </row>
    <row r="55" spans="1:8">
      <c r="A55" s="969"/>
      <c r="B55" s="969"/>
      <c r="C55" s="502"/>
      <c r="D55" s="502"/>
      <c r="E55" s="502"/>
      <c r="F55" s="502"/>
      <c r="G55" s="502"/>
      <c r="H55" s="502"/>
    </row>
    <row r="56" spans="1:8">
      <c r="A56" s="969"/>
      <c r="B56" s="969"/>
      <c r="C56" s="502"/>
      <c r="D56" s="502"/>
      <c r="E56" s="502"/>
      <c r="F56" s="502"/>
      <c r="G56" s="502"/>
      <c r="H56" s="502"/>
    </row>
    <row r="57" spans="1:8">
      <c r="A57" s="969"/>
      <c r="B57" s="969"/>
      <c r="C57" s="502"/>
      <c r="D57" s="502"/>
      <c r="E57" s="502"/>
      <c r="F57" s="502"/>
      <c r="G57" s="502"/>
      <c r="H57" s="502"/>
    </row>
    <row r="58" spans="1:8">
      <c r="A58" s="969"/>
      <c r="B58" s="969"/>
      <c r="C58" s="502"/>
      <c r="D58" s="502"/>
      <c r="E58" s="502"/>
      <c r="F58" s="502"/>
      <c r="G58" s="502"/>
      <c r="H58" s="502"/>
    </row>
    <row r="59" spans="1:8">
      <c r="A59" s="969"/>
      <c r="B59" s="969"/>
      <c r="C59" s="502"/>
      <c r="D59" s="502"/>
      <c r="E59" s="502"/>
      <c r="F59" s="502"/>
      <c r="G59" s="502"/>
      <c r="H59" s="502"/>
    </row>
    <row r="60" spans="1:8">
      <c r="A60" s="969"/>
      <c r="B60" s="969"/>
      <c r="C60" s="502"/>
      <c r="D60" s="502"/>
      <c r="E60" s="502"/>
      <c r="F60" s="502"/>
      <c r="G60" s="502"/>
      <c r="H60" s="502"/>
    </row>
    <row r="61" spans="1:8">
      <c r="A61" s="969"/>
      <c r="B61" s="969"/>
      <c r="C61" s="502"/>
      <c r="D61" s="502"/>
      <c r="E61" s="502"/>
      <c r="F61" s="502"/>
      <c r="G61" s="502"/>
      <c r="H61" s="502"/>
    </row>
    <row r="62" spans="1:8">
      <c r="A62" s="969"/>
      <c r="B62" s="969"/>
      <c r="C62" s="502"/>
      <c r="D62" s="502"/>
      <c r="E62" s="502"/>
      <c r="F62" s="502"/>
      <c r="G62" s="502"/>
      <c r="H62" s="502"/>
    </row>
    <row r="63" spans="1:8">
      <c r="A63" s="969"/>
      <c r="B63" s="969"/>
      <c r="C63" s="502"/>
      <c r="D63" s="502"/>
      <c r="E63" s="502"/>
      <c r="F63" s="502"/>
      <c r="G63" s="502"/>
      <c r="H63" s="502"/>
    </row>
    <row r="64" spans="1:8">
      <c r="A64" s="969"/>
      <c r="B64" s="969"/>
      <c r="C64" s="502"/>
      <c r="D64" s="502"/>
      <c r="E64" s="502"/>
      <c r="F64" s="502"/>
      <c r="G64" s="502"/>
      <c r="H64" s="502"/>
    </row>
    <row r="65" spans="1:8">
      <c r="A65" s="969"/>
      <c r="B65" s="969"/>
      <c r="C65" s="502"/>
      <c r="D65" s="502"/>
      <c r="E65" s="502"/>
      <c r="F65" s="502"/>
      <c r="G65" s="502"/>
      <c r="H65" s="502"/>
    </row>
    <row r="66" spans="1:8">
      <c r="A66" s="969"/>
      <c r="B66" s="969"/>
      <c r="C66" s="502"/>
      <c r="D66" s="502"/>
      <c r="E66" s="502"/>
      <c r="F66" s="502"/>
      <c r="G66" s="502"/>
      <c r="H66" s="502"/>
    </row>
    <row r="67" spans="1:8">
      <c r="A67" s="969"/>
      <c r="B67" s="969"/>
      <c r="C67" s="502"/>
      <c r="D67" s="502"/>
      <c r="E67" s="502"/>
      <c r="F67" s="502"/>
      <c r="G67" s="502"/>
      <c r="H67" s="502"/>
    </row>
    <row r="68" spans="1:8">
      <c r="A68" s="969"/>
      <c r="B68" s="969"/>
      <c r="C68" s="502"/>
      <c r="D68" s="502"/>
      <c r="E68" s="502"/>
      <c r="F68" s="502"/>
      <c r="G68" s="502"/>
      <c r="H68" s="502"/>
    </row>
    <row r="69" spans="1:8">
      <c r="A69" s="969"/>
      <c r="B69" s="969"/>
      <c r="C69" s="502"/>
      <c r="D69" s="502"/>
      <c r="E69" s="502"/>
      <c r="F69" s="502"/>
      <c r="G69" s="502"/>
      <c r="H69" s="502"/>
    </row>
    <row r="70" spans="1:8">
      <c r="A70" s="969"/>
      <c r="B70" s="969"/>
      <c r="C70" s="502"/>
      <c r="D70" s="502"/>
      <c r="E70" s="502"/>
      <c r="F70" s="502"/>
      <c r="G70" s="502"/>
      <c r="H70" s="502"/>
    </row>
    <row r="71" spans="1:8">
      <c r="A71" s="969"/>
      <c r="B71" s="969"/>
      <c r="C71" s="502"/>
      <c r="D71" s="502"/>
      <c r="E71" s="502"/>
      <c r="F71" s="502"/>
      <c r="G71" s="502"/>
      <c r="H71" s="502"/>
    </row>
    <row r="72" spans="1:8">
      <c r="A72" s="969"/>
      <c r="B72" s="969"/>
      <c r="C72" s="502"/>
      <c r="D72" s="502"/>
      <c r="E72" s="502"/>
      <c r="F72" s="502"/>
      <c r="G72" s="502"/>
      <c r="H72" s="502"/>
    </row>
    <row r="73" spans="1:8">
      <c r="A73" s="969"/>
      <c r="B73" s="969"/>
      <c r="C73" s="502"/>
      <c r="D73" s="502"/>
      <c r="E73" s="502"/>
      <c r="F73" s="502"/>
      <c r="G73" s="502"/>
      <c r="H73" s="502"/>
    </row>
    <row r="74" spans="1:8">
      <c r="A74" s="969"/>
      <c r="B74" s="969"/>
      <c r="C74" s="502"/>
      <c r="D74" s="502"/>
      <c r="E74" s="502"/>
      <c r="F74" s="502"/>
      <c r="G74" s="502"/>
      <c r="H74" s="502"/>
    </row>
    <row r="75" spans="1:8">
      <c r="A75" s="969"/>
      <c r="B75" s="969"/>
      <c r="C75" s="502"/>
      <c r="D75" s="502"/>
      <c r="E75" s="502"/>
      <c r="F75" s="502"/>
      <c r="G75" s="502"/>
      <c r="H75" s="502"/>
    </row>
    <row r="76" spans="1:8">
      <c r="A76" s="969"/>
      <c r="B76" s="969"/>
      <c r="C76" s="502"/>
      <c r="D76" s="502"/>
      <c r="E76" s="502"/>
      <c r="F76" s="502"/>
      <c r="G76" s="502"/>
      <c r="H76" s="502"/>
    </row>
    <row r="77" spans="1:8">
      <c r="A77" s="969"/>
      <c r="B77" s="969"/>
      <c r="C77" s="502"/>
      <c r="D77" s="502"/>
      <c r="E77" s="502"/>
      <c r="F77" s="502"/>
      <c r="G77" s="502"/>
      <c r="H77" s="502"/>
    </row>
    <row r="78" spans="1:8">
      <c r="A78" s="969"/>
      <c r="B78" s="969"/>
      <c r="C78" s="502"/>
      <c r="D78" s="502"/>
      <c r="E78" s="502"/>
      <c r="F78" s="502"/>
      <c r="G78" s="502"/>
      <c r="H78" s="502"/>
    </row>
    <row r="79" spans="1:8">
      <c r="A79" s="969"/>
      <c r="B79" s="969"/>
      <c r="C79" s="502"/>
      <c r="D79" s="502"/>
      <c r="E79" s="502"/>
      <c r="F79" s="502"/>
      <c r="G79" s="502"/>
      <c r="H79" s="502"/>
    </row>
    <row r="80" spans="1:8">
      <c r="A80" s="969"/>
      <c r="B80" s="969"/>
      <c r="C80" s="502"/>
      <c r="D80" s="502"/>
      <c r="E80" s="502"/>
      <c r="F80" s="502"/>
      <c r="G80" s="502"/>
      <c r="H80" s="502"/>
    </row>
    <row r="81" spans="1:8">
      <c r="A81" s="969"/>
      <c r="B81" s="969"/>
      <c r="C81" s="502"/>
      <c r="D81" s="502"/>
      <c r="E81" s="502"/>
      <c r="F81" s="502"/>
      <c r="G81" s="502"/>
      <c r="H81" s="502"/>
    </row>
    <row r="82" spans="1:8">
      <c r="A82" s="969"/>
      <c r="B82" s="969"/>
      <c r="C82" s="502"/>
      <c r="D82" s="502"/>
      <c r="E82" s="502"/>
      <c r="F82" s="502"/>
      <c r="G82" s="502"/>
      <c r="H82" s="502"/>
    </row>
    <row r="83" spans="1:8">
      <c r="A83" s="969"/>
      <c r="B83" s="969"/>
      <c r="C83" s="502"/>
      <c r="D83" s="502"/>
      <c r="E83" s="502"/>
      <c r="F83" s="502"/>
      <c r="G83" s="502"/>
      <c r="H83" s="502"/>
    </row>
    <row r="84" spans="1:8">
      <c r="A84" s="969"/>
      <c r="B84" s="969"/>
      <c r="C84" s="502"/>
      <c r="D84" s="502"/>
      <c r="E84" s="502"/>
      <c r="F84" s="502"/>
      <c r="G84" s="502"/>
      <c r="H84" s="502"/>
    </row>
    <row r="85" spans="1:8">
      <c r="A85" s="969"/>
      <c r="B85" s="969"/>
      <c r="C85" s="502"/>
      <c r="D85" s="502"/>
      <c r="E85" s="502"/>
      <c r="F85" s="502"/>
      <c r="G85" s="502"/>
      <c r="H85" s="502"/>
    </row>
    <row r="86" spans="1:8">
      <c r="A86" s="969"/>
      <c r="B86" s="969"/>
      <c r="C86" s="502"/>
      <c r="D86" s="502"/>
      <c r="E86" s="502"/>
      <c r="F86" s="502"/>
      <c r="G86" s="502"/>
      <c r="H86" s="502"/>
    </row>
    <row r="87" spans="1:8">
      <c r="A87" s="969"/>
      <c r="B87" s="969"/>
      <c r="C87" s="502"/>
      <c r="D87" s="502"/>
      <c r="E87" s="502"/>
      <c r="F87" s="502"/>
      <c r="G87" s="502"/>
      <c r="H87" s="502"/>
    </row>
    <row r="88" spans="1:8">
      <c r="A88" s="969"/>
      <c r="B88" s="969"/>
      <c r="C88" s="502"/>
      <c r="D88" s="502"/>
      <c r="E88" s="502"/>
      <c r="F88" s="502"/>
      <c r="G88" s="502"/>
      <c r="H88" s="502"/>
    </row>
    <row r="89" spans="1:8">
      <c r="A89" s="969"/>
      <c r="B89" s="969"/>
      <c r="C89" s="502"/>
      <c r="D89" s="502"/>
      <c r="E89" s="502"/>
      <c r="F89" s="502"/>
      <c r="G89" s="502"/>
      <c r="H89" s="502"/>
    </row>
    <row r="90" spans="1:8">
      <c r="A90" s="969"/>
      <c r="B90" s="969"/>
      <c r="C90" s="502"/>
      <c r="D90" s="502"/>
      <c r="E90" s="502"/>
      <c r="F90" s="502"/>
      <c r="G90" s="502"/>
      <c r="H90" s="502"/>
    </row>
    <row r="91" spans="1:8">
      <c r="A91" s="969"/>
      <c r="B91" s="969"/>
      <c r="C91" s="502"/>
      <c r="D91" s="502"/>
      <c r="E91" s="502"/>
      <c r="F91" s="502"/>
      <c r="G91" s="502"/>
      <c r="H91" s="502"/>
    </row>
    <row r="92" spans="1:8">
      <c r="A92" s="969"/>
      <c r="B92" s="969"/>
      <c r="C92" s="502"/>
      <c r="D92" s="502"/>
      <c r="E92" s="502"/>
      <c r="F92" s="502"/>
      <c r="G92" s="502"/>
      <c r="H92" s="502"/>
    </row>
    <row r="93" spans="1:8">
      <c r="A93" s="969"/>
      <c r="B93" s="969"/>
      <c r="C93" s="502"/>
      <c r="D93" s="502"/>
      <c r="E93" s="502"/>
      <c r="F93" s="502"/>
      <c r="G93" s="502"/>
      <c r="H93" s="502"/>
    </row>
    <row r="94" spans="1:8">
      <c r="A94" s="969"/>
      <c r="B94" s="969"/>
      <c r="C94" s="502"/>
      <c r="D94" s="502"/>
      <c r="E94" s="502"/>
      <c r="F94" s="502"/>
      <c r="G94" s="502"/>
      <c r="H94" s="502"/>
    </row>
    <row r="95" spans="1:8">
      <c r="A95" s="969"/>
      <c r="B95" s="969"/>
      <c r="C95" s="502"/>
      <c r="D95" s="502"/>
      <c r="E95" s="502"/>
      <c r="F95" s="502"/>
      <c r="G95" s="502"/>
      <c r="H95" s="502"/>
    </row>
    <row r="96" spans="1:8">
      <c r="A96" s="969"/>
      <c r="B96" s="969"/>
      <c r="C96" s="502"/>
      <c r="D96" s="502"/>
      <c r="E96" s="502"/>
      <c r="F96" s="502"/>
      <c r="G96" s="502"/>
      <c r="H96" s="502"/>
    </row>
    <row r="97" spans="1:8">
      <c r="A97" s="969"/>
      <c r="B97" s="969"/>
      <c r="C97" s="502"/>
      <c r="D97" s="502"/>
      <c r="E97" s="502"/>
      <c r="F97" s="502"/>
      <c r="G97" s="502"/>
      <c r="H97" s="502"/>
    </row>
    <row r="98" spans="1:8">
      <c r="A98" s="969"/>
      <c r="B98" s="969"/>
      <c r="C98" s="502"/>
      <c r="D98" s="502"/>
      <c r="E98" s="502"/>
      <c r="F98" s="502"/>
      <c r="G98" s="502"/>
      <c r="H98" s="502"/>
    </row>
    <row r="99" spans="1:8">
      <c r="A99" s="969"/>
      <c r="B99" s="969"/>
      <c r="C99" s="502"/>
      <c r="D99" s="502"/>
      <c r="E99" s="502"/>
      <c r="F99" s="502"/>
      <c r="G99" s="502"/>
      <c r="H99" s="502"/>
    </row>
    <row r="100" spans="1:8">
      <c r="A100" s="969"/>
      <c r="B100" s="969"/>
      <c r="C100" s="502"/>
      <c r="D100" s="502"/>
      <c r="E100" s="502"/>
      <c r="F100" s="502"/>
      <c r="G100" s="502"/>
      <c r="H100" s="502"/>
    </row>
    <row r="101" spans="1:8">
      <c r="A101" s="969"/>
      <c r="B101" s="969"/>
      <c r="C101" s="502"/>
      <c r="D101" s="502"/>
      <c r="E101" s="502"/>
      <c r="F101" s="502"/>
      <c r="G101" s="502"/>
      <c r="H101" s="502"/>
    </row>
    <row r="102" spans="1:8">
      <c r="A102" s="969"/>
      <c r="B102" s="969"/>
      <c r="C102" s="502"/>
      <c r="D102" s="502"/>
      <c r="E102" s="502"/>
      <c r="F102" s="502"/>
      <c r="G102" s="502"/>
      <c r="H102" s="502"/>
    </row>
    <row r="103" spans="1:8">
      <c r="A103" s="969"/>
      <c r="B103" s="969"/>
      <c r="C103" s="502"/>
      <c r="D103" s="502"/>
      <c r="E103" s="502"/>
      <c r="F103" s="502"/>
      <c r="G103" s="502"/>
      <c r="H103" s="502"/>
    </row>
    <row r="104" spans="1:8">
      <c r="A104" s="969"/>
      <c r="B104" s="969"/>
      <c r="C104" s="502"/>
      <c r="D104" s="502"/>
      <c r="E104" s="502"/>
      <c r="F104" s="502"/>
      <c r="G104" s="502"/>
      <c r="H104" s="502"/>
    </row>
    <row r="105" spans="1:8">
      <c r="A105" s="969"/>
      <c r="B105" s="969"/>
      <c r="C105" s="502"/>
      <c r="D105" s="502"/>
      <c r="E105" s="502"/>
      <c r="F105" s="502"/>
      <c r="G105" s="502"/>
      <c r="H105" s="502"/>
    </row>
    <row r="106" spans="1:8">
      <c r="A106" s="969"/>
      <c r="B106" s="969"/>
      <c r="C106" s="502"/>
      <c r="D106" s="502"/>
      <c r="E106" s="502"/>
      <c r="F106" s="502"/>
      <c r="G106" s="502"/>
      <c r="H106" s="502"/>
    </row>
    <row r="107" spans="1:8">
      <c r="A107" s="969"/>
      <c r="B107" s="969"/>
      <c r="C107" s="502"/>
      <c r="D107" s="502"/>
      <c r="E107" s="502"/>
      <c r="F107" s="502"/>
      <c r="G107" s="502"/>
      <c r="H107" s="502"/>
    </row>
    <row r="108" spans="1:8">
      <c r="A108" s="969"/>
      <c r="B108" s="969"/>
      <c r="C108" s="502"/>
      <c r="D108" s="502"/>
      <c r="E108" s="502"/>
      <c r="F108" s="502"/>
      <c r="G108" s="502"/>
      <c r="H108" s="502"/>
    </row>
    <row r="109" spans="1:8">
      <c r="A109" s="969"/>
      <c r="B109" s="969"/>
      <c r="C109" s="502"/>
      <c r="D109" s="502"/>
      <c r="E109" s="502"/>
      <c r="F109" s="502"/>
      <c r="G109" s="502"/>
      <c r="H109" s="502"/>
    </row>
    <row r="110" spans="1:8">
      <c r="A110" s="969"/>
      <c r="B110" s="969"/>
      <c r="C110" s="502"/>
      <c r="D110" s="502"/>
      <c r="E110" s="502"/>
      <c r="F110" s="502"/>
      <c r="G110" s="502"/>
      <c r="H110" s="502"/>
    </row>
  </sheetData>
  <sheetProtection selectLockedCells="1" selectUnlockedCells="1"/>
  <mergeCells count="99">
    <mergeCell ref="A10:B10"/>
    <mergeCell ref="D10:E10"/>
    <mergeCell ref="D11:E11"/>
    <mergeCell ref="A8:B8"/>
    <mergeCell ref="D8:E8"/>
    <mergeCell ref="I1:I4"/>
    <mergeCell ref="A2:B2"/>
    <mergeCell ref="A3:B3"/>
    <mergeCell ref="A4:H4"/>
    <mergeCell ref="A12:B12"/>
    <mergeCell ref="D12:E12"/>
    <mergeCell ref="A5:B5"/>
    <mergeCell ref="A7:B7"/>
    <mergeCell ref="D7:E7"/>
    <mergeCell ref="D5:E5"/>
    <mergeCell ref="A6:B6"/>
    <mergeCell ref="D6:E6"/>
    <mergeCell ref="A9:B9"/>
    <mergeCell ref="D9:E9"/>
    <mergeCell ref="A1:H1"/>
    <mergeCell ref="A11:B11"/>
    <mergeCell ref="A13:B13"/>
    <mergeCell ref="D13:E13"/>
    <mergeCell ref="D14:E14"/>
    <mergeCell ref="A21:B21"/>
    <mergeCell ref="D21:E21"/>
    <mergeCell ref="A18:B18"/>
    <mergeCell ref="D18:E18"/>
    <mergeCell ref="D17:E17"/>
    <mergeCell ref="A14:B14"/>
    <mergeCell ref="A15:B15"/>
    <mergeCell ref="D15:E15"/>
    <mergeCell ref="A16:B16"/>
    <mergeCell ref="D16:E16"/>
    <mergeCell ref="A17:B17"/>
    <mergeCell ref="I18:L25"/>
    <mergeCell ref="A19:B19"/>
    <mergeCell ref="D19:E19"/>
    <mergeCell ref="A20:B20"/>
    <mergeCell ref="D20:E20"/>
    <mergeCell ref="A23:B23"/>
    <mergeCell ref="D23:E23"/>
    <mergeCell ref="A24:B24"/>
    <mergeCell ref="D24:E24"/>
    <mergeCell ref="A25:B25"/>
    <mergeCell ref="D25:E25"/>
    <mergeCell ref="A22:B22"/>
    <mergeCell ref="D22:E22"/>
    <mergeCell ref="A26:B26"/>
    <mergeCell ref="D26:E26"/>
    <mergeCell ref="A29:B29"/>
    <mergeCell ref="D29:E29"/>
    <mergeCell ref="D27:E27"/>
    <mergeCell ref="A27:B27"/>
    <mergeCell ref="I29:L30"/>
    <mergeCell ref="A30:B30"/>
    <mergeCell ref="D32:E32"/>
    <mergeCell ref="A31:B31"/>
    <mergeCell ref="D31:E31"/>
    <mergeCell ref="I31:L32"/>
    <mergeCell ref="A32:B32"/>
    <mergeCell ref="D30:E30"/>
    <mergeCell ref="I39:L43"/>
    <mergeCell ref="D38:E38"/>
    <mergeCell ref="A40:B40"/>
    <mergeCell ref="D40:E40"/>
    <mergeCell ref="D33:E33"/>
    <mergeCell ref="I33:L38"/>
    <mergeCell ref="A38:B38"/>
    <mergeCell ref="A39:B39"/>
    <mergeCell ref="D39:E39"/>
    <mergeCell ref="A34:B34"/>
    <mergeCell ref="D34:E34"/>
    <mergeCell ref="A35:B35"/>
    <mergeCell ref="D35:E35"/>
    <mergeCell ref="A36:B36"/>
    <mergeCell ref="D36:E36"/>
    <mergeCell ref="A37:B37"/>
    <mergeCell ref="D2:E2"/>
    <mergeCell ref="D3:E3"/>
    <mergeCell ref="A48:B48"/>
    <mergeCell ref="C48:H48"/>
    <mergeCell ref="A45:B45"/>
    <mergeCell ref="A43:B43"/>
    <mergeCell ref="D43:E43"/>
    <mergeCell ref="A44:C44"/>
    <mergeCell ref="A46:B47"/>
    <mergeCell ref="D46:H46"/>
    <mergeCell ref="C47:H47"/>
    <mergeCell ref="D44:E44"/>
    <mergeCell ref="C45:H45"/>
    <mergeCell ref="A33:B33"/>
    <mergeCell ref="A28:B28"/>
    <mergeCell ref="D28:E28"/>
    <mergeCell ref="D37:E37"/>
    <mergeCell ref="A41:B41"/>
    <mergeCell ref="D41:E41"/>
    <mergeCell ref="A42:B42"/>
    <mergeCell ref="D42:E42"/>
  </mergeCells>
  <phoneticPr fontId="51" type="noConversion"/>
  <dataValidations count="2">
    <dataValidation allowBlank="1" sqref="C20 C22:C43">
      <formula1>0</formula1>
      <formula2>0</formula2>
    </dataValidation>
    <dataValidation type="list" allowBlank="1" sqref="C21">
      <formula1>"办公费,邮电费,交通差旅费,房租,物业水电费,车辆使用费,各种税金,开办费,低值易耗品,运杂费,残保金,其他"</formula1>
      <formula2>0</formula2>
    </dataValidation>
  </dataValidations>
  <hyperlinks>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实收公积!A1" display="实收公积审核表"/>
    <hyperlink ref="I17" location="捐赠!A1" display="捐赠支出审核表"/>
    <hyperlink ref="I6" location="A104000期间费用明细表!A1" display="A104000期间费用明细表!A1"/>
  </hyperlinks>
  <pageMargins left="0.78740157480314998" right="0.35433070866141703" top="0.511811023622047" bottom="0.11811023622047198" header="0.511811023622047" footer="0.511811023622047"/>
  <pageSetup paperSize="9" scale="90" firstPageNumber="0" fitToHeight="0" orientation="portrait" blackAndWhite="1"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pageSetUpPr fitToPage="1"/>
  </sheetPr>
  <dimension ref="A1:P90"/>
  <sheetViews>
    <sheetView workbookViewId="0">
      <selection activeCell="H9" sqref="H9"/>
    </sheetView>
  </sheetViews>
  <sheetFormatPr defaultRowHeight="15.6"/>
  <cols>
    <col min="1" max="1" width="6" style="954" customWidth="1"/>
    <col min="2" max="2" width="1.5" style="954" customWidth="1"/>
    <col min="3" max="3" width="31" style="771" customWidth="1"/>
    <col min="4" max="4" width="6.3984375" style="771" customWidth="1"/>
    <col min="5" max="5" width="8.5" style="771" customWidth="1"/>
    <col min="6" max="8" width="14.09765625" style="771" customWidth="1"/>
    <col min="9" max="9" width="28.09765625" customWidth="1"/>
    <col min="10" max="10" width="19.59765625" customWidth="1"/>
  </cols>
  <sheetData>
    <row r="1" spans="1:13" ht="29.25" customHeight="1">
      <c r="A1" s="3136" t="s">
        <v>328</v>
      </c>
      <c r="B1" s="3136"/>
      <c r="C1" s="3136"/>
      <c r="D1" s="3136"/>
      <c r="E1" s="3136"/>
      <c r="F1" s="3136"/>
      <c r="G1" s="3136"/>
      <c r="H1" s="3136"/>
      <c r="I1" s="3596"/>
      <c r="J1" s="84"/>
      <c r="K1" s="84"/>
      <c r="L1" s="84"/>
    </row>
    <row r="2" spans="1:13" ht="21.75" customHeight="1">
      <c r="A2" s="3065" t="s">
        <v>447</v>
      </c>
      <c r="B2" s="3065"/>
      <c r="C2" s="955">
        <f>基本情况!$B$2</f>
        <v>0</v>
      </c>
      <c r="D2" s="3640" t="s">
        <v>450</v>
      </c>
      <c r="E2" s="3641"/>
      <c r="F2" s="1801">
        <f>基本情况!B12</f>
        <v>0</v>
      </c>
      <c r="G2" s="644" t="str">
        <f>TEXT(基本情况!B21,"yyyy-mm-dd")</f>
        <v>2017-03-16</v>
      </c>
      <c r="H2" s="485" t="s">
        <v>283</v>
      </c>
      <c r="I2" s="3596"/>
      <c r="J2" s="84"/>
      <c r="K2" s="84"/>
      <c r="L2" s="84"/>
    </row>
    <row r="3" spans="1:13" ht="21.75" customHeight="1">
      <c r="A3" s="3154" t="s">
        <v>451</v>
      </c>
      <c r="B3" s="3154"/>
      <c r="C3" s="958" t="str">
        <f>基本情况!$B$7</f>
        <v>2016年01月01日至2016年12月31日</v>
      </c>
      <c r="D3" s="3642" t="s">
        <v>452</v>
      </c>
      <c r="E3" s="3643"/>
      <c r="F3" s="960">
        <f>基本情况!B11</f>
        <v>0</v>
      </c>
      <c r="G3" s="1799" t="str">
        <f>TEXT(基本情况!B22,"yyyy-mm-dd")</f>
        <v>2017-05-04</v>
      </c>
      <c r="H3" s="961" t="str">
        <f>档案索引!D30</f>
        <v>3-9</v>
      </c>
      <c r="I3" s="3596"/>
      <c r="J3" s="84"/>
      <c r="K3" s="84"/>
      <c r="L3" s="84"/>
    </row>
    <row r="4" spans="1:13" ht="6.75" customHeight="1">
      <c r="A4" s="2926"/>
      <c r="B4" s="2926"/>
      <c r="C4" s="2926"/>
      <c r="D4" s="2926"/>
      <c r="E4" s="2926"/>
      <c r="F4" s="2926"/>
      <c r="G4" s="2926"/>
      <c r="H4" s="2926"/>
      <c r="I4" s="3596"/>
      <c r="J4" s="84"/>
      <c r="K4" s="84"/>
      <c r="L4" s="84"/>
    </row>
    <row r="5" spans="1:13" ht="21.75" customHeight="1">
      <c r="A5" s="3051" t="s">
        <v>645</v>
      </c>
      <c r="B5" s="3051"/>
      <c r="C5" s="582" t="s">
        <v>665</v>
      </c>
      <c r="D5" s="3063" t="s">
        <v>1181</v>
      </c>
      <c r="E5" s="3063"/>
      <c r="F5" s="582" t="s">
        <v>906</v>
      </c>
      <c r="G5" s="779" t="s">
        <v>6510</v>
      </c>
      <c r="H5" s="772" t="s">
        <v>502</v>
      </c>
      <c r="I5" s="962" t="s">
        <v>395</v>
      </c>
      <c r="J5" s="966"/>
      <c r="K5" s="84"/>
      <c r="L5" s="84"/>
    </row>
    <row r="6" spans="1:13" ht="23.25" customHeight="1">
      <c r="A6" s="3176">
        <v>1</v>
      </c>
      <c r="B6" s="3176"/>
      <c r="C6" s="963" t="s">
        <v>482</v>
      </c>
      <c r="D6" s="3639">
        <f>SUMIF(余额表!J:J,"财务费用-"&amp;C6,余额表!E:E)</f>
        <v>0</v>
      </c>
      <c r="E6" s="3639"/>
      <c r="F6" s="1118"/>
      <c r="G6" s="1800"/>
      <c r="H6" s="967">
        <f>D6+F6</f>
        <v>0</v>
      </c>
      <c r="I6" s="1266" t="s">
        <v>6596</v>
      </c>
      <c r="J6" s="84"/>
      <c r="K6" s="84"/>
      <c r="L6" s="84"/>
    </row>
    <row r="7" spans="1:13" ht="23.25" customHeight="1">
      <c r="A7" s="2921">
        <v>2</v>
      </c>
      <c r="B7" s="2921"/>
      <c r="C7" s="494" t="s">
        <v>483</v>
      </c>
      <c r="D7" s="3634">
        <f>SUMIF(余额表!J:J,"财务费用-"&amp;C7,余额表!E:E)</f>
        <v>0</v>
      </c>
      <c r="E7" s="3635"/>
      <c r="F7" s="1120"/>
      <c r="G7" s="1200"/>
      <c r="H7" s="699">
        <f>D7+F7</f>
        <v>0</v>
      </c>
      <c r="I7" s="232" t="s">
        <v>642</v>
      </c>
      <c r="J7" s="84"/>
      <c r="K7" s="84"/>
      <c r="L7" s="84"/>
    </row>
    <row r="8" spans="1:13" ht="23.25" customHeight="1">
      <c r="A8" s="2921">
        <v>3</v>
      </c>
      <c r="B8" s="2921"/>
      <c r="C8" s="970" t="s">
        <v>484</v>
      </c>
      <c r="D8" s="3162"/>
      <c r="E8" s="3162"/>
      <c r="F8" s="1120"/>
      <c r="G8" s="1200"/>
      <c r="H8" s="699">
        <f t="shared" ref="H8:H26" si="0">D8+F8</f>
        <v>0</v>
      </c>
      <c r="I8" s="575" t="s">
        <v>1291</v>
      </c>
      <c r="J8" s="84"/>
      <c r="K8" s="84"/>
      <c r="L8" s="84"/>
    </row>
    <row r="9" spans="1:13" ht="23.25" customHeight="1">
      <c r="A9" s="2921">
        <v>4</v>
      </c>
      <c r="B9" s="2921"/>
      <c r="C9" s="494" t="s">
        <v>485</v>
      </c>
      <c r="D9" s="3634">
        <f>SUMIF(余额表!J:J,"财务费用-"&amp;C9,余额表!E:E)</f>
        <v>0</v>
      </c>
      <c r="E9" s="3635"/>
      <c r="F9" s="1120"/>
      <c r="G9" s="1200"/>
      <c r="H9" s="699">
        <f t="shared" si="0"/>
        <v>0</v>
      </c>
      <c r="I9" s="575" t="s">
        <v>72</v>
      </c>
      <c r="J9" s="84"/>
      <c r="K9" s="84"/>
      <c r="L9" s="84"/>
    </row>
    <row r="10" spans="1:13" ht="23.25" customHeight="1">
      <c r="A10" s="2921">
        <v>5</v>
      </c>
      <c r="B10" s="2921"/>
      <c r="C10" s="2029" t="s">
        <v>6557</v>
      </c>
      <c r="D10" s="3634">
        <f>SUMIF(余额表!J:J,"财务费用-"&amp;C10,余额表!E:E)</f>
        <v>0</v>
      </c>
      <c r="E10" s="3635"/>
      <c r="F10" s="1120"/>
      <c r="G10" s="1200"/>
      <c r="H10" s="699">
        <f t="shared" si="0"/>
        <v>0</v>
      </c>
      <c r="I10" s="575" t="s">
        <v>1485</v>
      </c>
      <c r="J10" s="84"/>
      <c r="K10" s="84"/>
      <c r="L10" s="84"/>
    </row>
    <row r="11" spans="1:13" ht="23.25" customHeight="1">
      <c r="A11" s="2921">
        <v>6</v>
      </c>
      <c r="B11" s="2921"/>
      <c r="C11" s="2029" t="s">
        <v>486</v>
      </c>
      <c r="D11" s="3634">
        <f>-SUMIF(余额表!J:J,"财务费用-利息收入",余额表!E:E)</f>
        <v>0</v>
      </c>
      <c r="E11" s="3635"/>
      <c r="F11" s="1120"/>
      <c r="G11" s="1200"/>
      <c r="H11" s="699">
        <f t="shared" si="0"/>
        <v>0</v>
      </c>
      <c r="I11" s="232" t="s">
        <v>487</v>
      </c>
      <c r="J11" s="84"/>
      <c r="K11" s="84"/>
      <c r="L11" s="84"/>
    </row>
    <row r="12" spans="1:13" ht="23.25" customHeight="1">
      <c r="A12" s="2921">
        <v>7</v>
      </c>
      <c r="B12" s="2921"/>
      <c r="C12" s="2029" t="s">
        <v>488</v>
      </c>
      <c r="D12" s="3162"/>
      <c r="E12" s="3162"/>
      <c r="F12" s="1120"/>
      <c r="G12" s="1200"/>
      <c r="H12" s="699">
        <f t="shared" si="0"/>
        <v>0</v>
      </c>
      <c r="I12" s="232" t="s">
        <v>931</v>
      </c>
      <c r="J12" s="84"/>
      <c r="K12" s="84"/>
      <c r="L12" s="84"/>
    </row>
    <row r="13" spans="1:13" ht="23.25" customHeight="1">
      <c r="A13" s="2921">
        <v>8</v>
      </c>
      <c r="B13" s="2921"/>
      <c r="C13" s="2029" t="s">
        <v>489</v>
      </c>
      <c r="D13" s="3634">
        <f>-SUMIF(余额表!J:J,"财务费用-汇兑收益",余额表!E:E)</f>
        <v>0</v>
      </c>
      <c r="E13" s="3635"/>
      <c r="F13" s="1120"/>
      <c r="G13" s="1200"/>
      <c r="H13" s="699">
        <f t="shared" si="0"/>
        <v>0</v>
      </c>
      <c r="I13" s="232" t="s">
        <v>918</v>
      </c>
      <c r="J13" s="84"/>
      <c r="K13" s="84"/>
      <c r="L13" s="84"/>
    </row>
    <row r="14" spans="1:13" ht="23.25" customHeight="1">
      <c r="A14" s="2921">
        <v>9</v>
      </c>
      <c r="B14" s="2921"/>
      <c r="C14" s="2029" t="s">
        <v>6558</v>
      </c>
      <c r="D14" s="3634">
        <f>SUMIF(余额表!J:J,"财务费用-其他",余额表!E:E)</f>
        <v>0</v>
      </c>
      <c r="E14" s="3635"/>
      <c r="F14" s="1120"/>
      <c r="G14" s="1200"/>
      <c r="H14" s="699">
        <f t="shared" si="0"/>
        <v>0</v>
      </c>
      <c r="I14" s="1235" t="s">
        <v>368</v>
      </c>
      <c r="J14" s="84"/>
      <c r="K14" s="84"/>
      <c r="L14" s="84"/>
    </row>
    <row r="15" spans="1:13" ht="23.25" customHeight="1">
      <c r="A15" s="2921">
        <v>10</v>
      </c>
      <c r="B15" s="2921"/>
      <c r="C15" s="2038" t="s">
        <v>6550</v>
      </c>
      <c r="D15" s="3162"/>
      <c r="E15" s="3162"/>
      <c r="F15" s="1120"/>
      <c r="G15" s="1200"/>
      <c r="H15" s="699">
        <f t="shared" si="0"/>
        <v>0</v>
      </c>
      <c r="I15" s="3107" t="s">
        <v>490</v>
      </c>
      <c r="J15" s="3107"/>
      <c r="K15" s="3107"/>
      <c r="L15" s="3107"/>
      <c r="M15" s="673"/>
    </row>
    <row r="16" spans="1:13" ht="23.25" customHeight="1">
      <c r="A16" s="2921">
        <v>11</v>
      </c>
      <c r="B16" s="2921"/>
      <c r="C16" s="971"/>
      <c r="D16" s="3162"/>
      <c r="E16" s="3162"/>
      <c r="F16" s="1120"/>
      <c r="G16" s="1200"/>
      <c r="H16" s="699">
        <f t="shared" si="0"/>
        <v>0</v>
      </c>
      <c r="I16" s="3107"/>
      <c r="J16" s="3107"/>
      <c r="K16" s="3107"/>
      <c r="L16" s="3107"/>
      <c r="M16" s="673"/>
    </row>
    <row r="17" spans="1:16" ht="23.25" customHeight="1">
      <c r="A17" s="2921">
        <v>12</v>
      </c>
      <c r="B17" s="2921"/>
      <c r="C17" s="964"/>
      <c r="D17" s="3162"/>
      <c r="E17" s="3162"/>
      <c r="F17" s="1120"/>
      <c r="G17" s="1200"/>
      <c r="H17" s="699">
        <f t="shared" si="0"/>
        <v>0</v>
      </c>
      <c r="I17" s="3107"/>
      <c r="J17" s="3107"/>
      <c r="K17" s="3107"/>
      <c r="L17" s="3107"/>
      <c r="M17" s="673"/>
    </row>
    <row r="18" spans="1:16" ht="23.25" customHeight="1">
      <c r="A18" s="2921">
        <v>13</v>
      </c>
      <c r="B18" s="2921"/>
      <c r="C18" s="964"/>
      <c r="D18" s="3162"/>
      <c r="E18" s="3162"/>
      <c r="F18" s="1120"/>
      <c r="G18" s="1200"/>
      <c r="H18" s="699">
        <f t="shared" si="0"/>
        <v>0</v>
      </c>
      <c r="I18" s="3107"/>
      <c r="J18" s="3107"/>
      <c r="K18" s="3107"/>
      <c r="L18" s="3107"/>
      <c r="M18" s="673"/>
    </row>
    <row r="19" spans="1:16" ht="23.25" customHeight="1">
      <c r="A19" s="2921">
        <v>14</v>
      </c>
      <c r="B19" s="2921"/>
      <c r="C19" s="964"/>
      <c r="D19" s="3162"/>
      <c r="E19" s="3162"/>
      <c r="F19" s="1120"/>
      <c r="G19" s="1200"/>
      <c r="H19" s="699">
        <f t="shared" si="0"/>
        <v>0</v>
      </c>
      <c r="I19" s="3107"/>
      <c r="J19" s="3107"/>
      <c r="K19" s="3107"/>
      <c r="L19" s="3107"/>
      <c r="M19" s="673"/>
    </row>
    <row r="20" spans="1:16" ht="23.25" customHeight="1">
      <c r="A20" s="2921">
        <v>15</v>
      </c>
      <c r="B20" s="2921"/>
      <c r="C20" s="964"/>
      <c r="D20" s="3162"/>
      <c r="E20" s="3162"/>
      <c r="F20" s="1120"/>
      <c r="G20" s="1200"/>
      <c r="H20" s="699">
        <f t="shared" si="0"/>
        <v>0</v>
      </c>
      <c r="I20" s="3107"/>
      <c r="J20" s="3107"/>
      <c r="K20" s="3107"/>
      <c r="L20" s="3107"/>
      <c r="M20" s="673"/>
    </row>
    <row r="21" spans="1:16" ht="23.25" customHeight="1">
      <c r="A21" s="2921">
        <v>16</v>
      </c>
      <c r="B21" s="2921"/>
      <c r="C21" s="968"/>
      <c r="D21" s="3162"/>
      <c r="E21" s="3162"/>
      <c r="F21" s="1120"/>
      <c r="G21" s="1200"/>
      <c r="H21" s="699">
        <f t="shared" si="0"/>
        <v>0</v>
      </c>
      <c r="I21" s="3107" t="s">
        <v>491</v>
      </c>
      <c r="J21" s="3107"/>
      <c r="K21" s="3107"/>
      <c r="L21" s="3107"/>
      <c r="M21" s="673"/>
    </row>
    <row r="22" spans="1:16" ht="23.25" customHeight="1">
      <c r="A22" s="2921">
        <v>17</v>
      </c>
      <c r="B22" s="2921"/>
      <c r="C22" s="968"/>
      <c r="D22" s="3162"/>
      <c r="E22" s="3162"/>
      <c r="F22" s="1120"/>
      <c r="G22" s="1200"/>
      <c r="H22" s="699">
        <f t="shared" si="0"/>
        <v>0</v>
      </c>
      <c r="I22" s="3107"/>
      <c r="J22" s="3107"/>
      <c r="K22" s="3107"/>
      <c r="L22" s="3107"/>
    </row>
    <row r="23" spans="1:16" ht="23.25" customHeight="1">
      <c r="A23" s="2921">
        <v>18</v>
      </c>
      <c r="B23" s="2921"/>
      <c r="C23" s="968"/>
      <c r="D23" s="3162"/>
      <c r="E23" s="3162"/>
      <c r="F23" s="1120"/>
      <c r="G23" s="1200"/>
      <c r="H23" s="699">
        <f t="shared" si="0"/>
        <v>0</v>
      </c>
      <c r="I23" s="3107"/>
      <c r="J23" s="3107"/>
      <c r="K23" s="3107"/>
      <c r="L23" s="3107"/>
    </row>
    <row r="24" spans="1:16" ht="23.25" customHeight="1">
      <c r="A24" s="2921">
        <v>19</v>
      </c>
      <c r="B24" s="2921"/>
      <c r="C24" s="968"/>
      <c r="D24" s="3162"/>
      <c r="E24" s="3162"/>
      <c r="F24" s="1120"/>
      <c r="G24" s="1200"/>
      <c r="H24" s="699">
        <f t="shared" si="0"/>
        <v>0</v>
      </c>
      <c r="I24" s="3107"/>
      <c r="J24" s="3107"/>
      <c r="K24" s="3107"/>
      <c r="L24" s="3107"/>
    </row>
    <row r="25" spans="1:16" ht="23.25" customHeight="1">
      <c r="A25" s="2921">
        <v>20</v>
      </c>
      <c r="B25" s="2921"/>
      <c r="C25" s="968"/>
      <c r="D25" s="3162"/>
      <c r="E25" s="3162"/>
      <c r="F25" s="1120"/>
      <c r="G25" s="1200"/>
      <c r="H25" s="699">
        <f t="shared" si="0"/>
        <v>0</v>
      </c>
      <c r="I25" s="3107"/>
      <c r="J25" s="3107"/>
      <c r="K25" s="3107"/>
      <c r="L25" s="3107"/>
    </row>
    <row r="26" spans="1:16" ht="23.25" customHeight="1">
      <c r="A26" s="2921">
        <v>21</v>
      </c>
      <c r="B26" s="2921"/>
      <c r="C26" s="968"/>
      <c r="D26" s="3162"/>
      <c r="E26" s="3162"/>
      <c r="F26" s="1120"/>
      <c r="G26" s="1200"/>
      <c r="H26" s="699">
        <f t="shared" si="0"/>
        <v>0</v>
      </c>
      <c r="I26" s="3645" t="s">
        <v>1353</v>
      </c>
      <c r="J26" s="3645"/>
      <c r="K26" s="3645"/>
      <c r="L26" s="3645"/>
      <c r="M26" s="502"/>
      <c r="N26" s="502"/>
      <c r="O26" s="502"/>
      <c r="P26" s="502"/>
    </row>
    <row r="27" spans="1:16" ht="23.25" customHeight="1">
      <c r="A27" s="2922" t="s">
        <v>702</v>
      </c>
      <c r="B27" s="2922"/>
      <c r="C27" s="2922"/>
      <c r="D27" s="3257">
        <f>D6+D7+D9+D10-D11-D13+D14</f>
        <v>0</v>
      </c>
      <c r="E27" s="3257"/>
      <c r="F27" s="721">
        <f>F6+F7+F9+F10-F11-F13+F14</f>
        <v>0</v>
      </c>
      <c r="G27" s="721">
        <f>G6+G7+G9+G10-G11-G13+G14</f>
        <v>0</v>
      </c>
      <c r="H27" s="702">
        <f>H6+H7+H9+H10-H11-H13+H14</f>
        <v>0</v>
      </c>
      <c r="I27" s="3645"/>
      <c r="J27" s="3645"/>
      <c r="K27" s="3645"/>
      <c r="L27" s="3645"/>
      <c r="M27" s="502"/>
      <c r="N27" s="502"/>
      <c r="O27" s="502"/>
      <c r="P27" s="502"/>
    </row>
    <row r="28" spans="1:16" ht="23.25" customHeight="1">
      <c r="A28" s="3147" t="s">
        <v>641</v>
      </c>
      <c r="B28" s="3147"/>
      <c r="C28" s="3177" t="str">
        <f>IF(D27&lt;&gt;利润!C22,"账载数与报表数相差"&amp;DOLLAR(D27-利润!C22,2)&amp;"元！","账载数与报表数相符！")</f>
        <v>账载数与报表数相符！</v>
      </c>
      <c r="D28" s="3177"/>
      <c r="E28" s="3177"/>
      <c r="F28" s="3177"/>
      <c r="G28" s="3177"/>
      <c r="H28" s="3177"/>
      <c r="I28" s="3645"/>
      <c r="J28" s="3645"/>
      <c r="K28" s="3645"/>
      <c r="L28" s="3645"/>
      <c r="M28" s="502"/>
      <c r="N28" s="502"/>
      <c r="O28" s="502"/>
      <c r="P28" s="502"/>
    </row>
    <row r="29" spans="1:16" ht="15" customHeight="1">
      <c r="A29" s="3093" t="s">
        <v>1323</v>
      </c>
      <c r="B29" s="3093"/>
      <c r="C29" s="965" t="s">
        <v>175</v>
      </c>
      <c r="D29" s="3636" t="str">
        <f>IF(F27&lt;&gt;0,"、E","")</f>
        <v/>
      </c>
      <c r="E29" s="3636"/>
      <c r="F29" s="3636"/>
      <c r="G29" s="3636"/>
      <c r="H29" s="3636"/>
      <c r="I29" s="3645"/>
      <c r="J29" s="3645"/>
      <c r="K29" s="3645"/>
      <c r="L29" s="3645"/>
      <c r="M29" s="502"/>
      <c r="N29" s="502"/>
      <c r="O29" s="502"/>
      <c r="P29" s="502"/>
    </row>
    <row r="30" spans="1:16" ht="70.5" customHeight="1">
      <c r="A30" s="3093"/>
      <c r="B30" s="3093"/>
      <c r="C30" s="3175"/>
      <c r="D30" s="3175"/>
      <c r="E30" s="3175"/>
      <c r="F30" s="3175"/>
      <c r="G30" s="3175"/>
      <c r="H30" s="3175"/>
      <c r="I30" s="3645"/>
      <c r="J30" s="3645"/>
      <c r="K30" s="3645"/>
      <c r="L30" s="3645"/>
      <c r="M30" s="502"/>
      <c r="N30" s="502"/>
      <c r="O30" s="502"/>
      <c r="P30" s="502"/>
    </row>
    <row r="31" spans="1:16" ht="23.25" customHeight="1">
      <c r="A31" s="3172" t="s">
        <v>574</v>
      </c>
      <c r="B31" s="3172"/>
      <c r="C31" s="3141" t="str">
        <f>IF(F27=0,"不存在调整事项，认可！","调整后认可！")</f>
        <v>不存在调整事项，认可！</v>
      </c>
      <c r="D31" s="3141"/>
      <c r="E31" s="3141"/>
      <c r="F31" s="3141"/>
      <c r="G31" s="3141"/>
      <c r="H31" s="3141"/>
      <c r="I31" s="3644" t="s">
        <v>1354</v>
      </c>
      <c r="J31" s="3644"/>
      <c r="K31" s="3644"/>
      <c r="L31" s="3644"/>
      <c r="M31" s="502"/>
      <c r="N31" s="502"/>
      <c r="O31" s="502"/>
      <c r="P31" s="502"/>
    </row>
    <row r="32" spans="1:16">
      <c r="A32" s="969"/>
      <c r="B32" s="969"/>
      <c r="C32" s="502"/>
      <c r="D32" s="502"/>
      <c r="E32" s="502"/>
      <c r="F32" s="502"/>
      <c r="G32" s="502"/>
      <c r="H32" s="502"/>
      <c r="I32" s="3644"/>
      <c r="J32" s="3644"/>
      <c r="K32" s="3644"/>
      <c r="L32" s="3644"/>
      <c r="M32" s="502"/>
      <c r="N32" s="502"/>
      <c r="O32" s="502"/>
      <c r="P32" s="502"/>
    </row>
    <row r="33" spans="1:16">
      <c r="A33" s="969"/>
      <c r="B33" s="969"/>
      <c r="C33" s="502"/>
      <c r="D33" s="502"/>
      <c r="E33" s="502"/>
      <c r="F33" s="502"/>
      <c r="G33" s="502"/>
      <c r="H33" s="502"/>
      <c r="I33" s="3644"/>
      <c r="J33" s="3644"/>
      <c r="K33" s="3644"/>
      <c r="L33" s="3644"/>
      <c r="M33" s="502"/>
      <c r="N33" s="502"/>
      <c r="O33" s="502"/>
      <c r="P33" s="502"/>
    </row>
    <row r="34" spans="1:16" ht="14.25" customHeight="1">
      <c r="A34" s="969"/>
      <c r="B34" s="969"/>
      <c r="C34" s="502"/>
      <c r="D34" s="502"/>
      <c r="E34" s="502"/>
      <c r="F34" s="502"/>
      <c r="G34" s="502"/>
      <c r="H34" s="502"/>
      <c r="I34" s="3142" t="s">
        <v>1355</v>
      </c>
      <c r="J34" s="3142"/>
      <c r="K34" s="3142"/>
      <c r="L34" s="3142"/>
      <c r="M34" s="502"/>
      <c r="N34" s="502"/>
      <c r="O34" s="502"/>
      <c r="P34" s="502"/>
    </row>
    <row r="35" spans="1:16">
      <c r="A35" s="969"/>
      <c r="B35" s="969"/>
      <c r="C35" s="502"/>
      <c r="D35" s="502"/>
      <c r="E35" s="502"/>
      <c r="F35" s="502"/>
      <c r="G35" s="502"/>
      <c r="H35" s="502"/>
      <c r="I35" s="3142"/>
      <c r="J35" s="3142"/>
      <c r="K35" s="3142"/>
      <c r="L35" s="3142"/>
      <c r="M35" s="502"/>
      <c r="N35" s="502"/>
      <c r="O35" s="502"/>
      <c r="P35" s="502"/>
    </row>
    <row r="36" spans="1:16" ht="15.15" customHeight="1">
      <c r="A36" s="969"/>
      <c r="B36" s="969"/>
      <c r="C36" s="502"/>
      <c r="D36" s="502"/>
      <c r="E36" s="502"/>
      <c r="F36" s="502"/>
      <c r="G36" s="502"/>
      <c r="H36" s="502"/>
      <c r="I36" s="3142" t="s">
        <v>1356</v>
      </c>
      <c r="J36" s="3142"/>
      <c r="K36" s="3142"/>
      <c r="L36" s="3142"/>
      <c r="M36" s="502"/>
      <c r="N36" s="502"/>
      <c r="O36" s="502"/>
      <c r="P36" s="502"/>
    </row>
    <row r="37" spans="1:16" ht="14.25" customHeight="1">
      <c r="A37" s="969"/>
      <c r="B37" s="969"/>
      <c r="C37" s="502"/>
      <c r="D37" s="502"/>
      <c r="E37" s="502"/>
      <c r="F37" s="502"/>
      <c r="G37" s="502"/>
      <c r="H37" s="502"/>
      <c r="I37" s="3142" t="s">
        <v>476</v>
      </c>
      <c r="J37" s="3142"/>
      <c r="K37" s="3142"/>
      <c r="L37" s="3142"/>
      <c r="M37" s="502"/>
      <c r="N37" s="502"/>
      <c r="O37" s="502"/>
      <c r="P37" s="502"/>
    </row>
    <row r="38" spans="1:16">
      <c r="A38" s="969"/>
      <c r="B38" s="969"/>
      <c r="C38" s="502"/>
      <c r="D38" s="502"/>
      <c r="E38" s="502"/>
      <c r="F38" s="502"/>
      <c r="G38" s="502"/>
      <c r="H38" s="502"/>
      <c r="I38" s="3142"/>
      <c r="J38" s="3142"/>
      <c r="K38" s="3142"/>
      <c r="L38" s="3142"/>
      <c r="M38" s="502"/>
      <c r="N38" s="502"/>
      <c r="O38" s="502"/>
      <c r="P38" s="502"/>
    </row>
    <row r="39" spans="1:16" ht="14.25" customHeight="1">
      <c r="A39" s="969"/>
      <c r="B39" s="969"/>
      <c r="C39" s="502"/>
      <c r="D39" s="502"/>
      <c r="E39" s="502"/>
      <c r="F39" s="502"/>
      <c r="G39" s="502"/>
      <c r="H39" s="502"/>
      <c r="I39" s="3142" t="s">
        <v>1357</v>
      </c>
      <c r="J39" s="3142"/>
      <c r="K39" s="3142"/>
      <c r="L39" s="3142"/>
      <c r="M39" s="502"/>
      <c r="N39" s="502"/>
      <c r="O39" s="502"/>
      <c r="P39" s="502"/>
    </row>
    <row r="40" spans="1:16">
      <c r="A40" s="969"/>
      <c r="B40" s="969"/>
      <c r="C40" s="502"/>
      <c r="D40" s="502"/>
      <c r="E40" s="502"/>
      <c r="F40" s="502"/>
      <c r="G40" s="502"/>
      <c r="H40" s="502"/>
      <c r="I40" s="3142"/>
      <c r="J40" s="3142"/>
      <c r="K40" s="3142"/>
      <c r="L40" s="3142"/>
      <c r="M40" s="502"/>
      <c r="N40" s="502"/>
      <c r="O40" s="502"/>
      <c r="P40" s="502"/>
    </row>
    <row r="41" spans="1:16">
      <c r="A41" s="969"/>
      <c r="B41" s="969"/>
      <c r="C41" s="502"/>
      <c r="D41" s="502"/>
      <c r="E41" s="502"/>
      <c r="F41" s="502"/>
      <c r="G41" s="502"/>
      <c r="H41" s="502"/>
      <c r="I41" s="3142"/>
      <c r="J41" s="3142"/>
      <c r="K41" s="3142"/>
      <c r="L41" s="3142"/>
      <c r="M41" s="502"/>
      <c r="N41" s="502"/>
      <c r="O41" s="502"/>
      <c r="P41" s="502"/>
    </row>
    <row r="42" spans="1:16">
      <c r="A42" s="969"/>
      <c r="B42" s="969"/>
      <c r="C42" s="502"/>
      <c r="D42" s="502"/>
      <c r="E42" s="502"/>
      <c r="F42" s="502"/>
      <c r="G42" s="502"/>
      <c r="H42" s="502"/>
      <c r="I42" s="3142"/>
      <c r="J42" s="3142"/>
      <c r="K42" s="3142"/>
      <c r="L42" s="3142"/>
      <c r="M42" s="502"/>
      <c r="N42" s="502"/>
      <c r="O42" s="502"/>
      <c r="P42" s="502"/>
    </row>
    <row r="43" spans="1:16">
      <c r="A43" s="969"/>
      <c r="B43" s="969"/>
      <c r="C43" s="502"/>
      <c r="D43" s="502"/>
      <c r="E43" s="502"/>
      <c r="F43" s="502"/>
      <c r="G43" s="502"/>
      <c r="H43" s="502"/>
      <c r="I43" s="502"/>
      <c r="J43" s="502"/>
      <c r="K43" s="502"/>
      <c r="L43" s="502"/>
      <c r="M43" s="502"/>
      <c r="N43" s="502"/>
      <c r="O43" s="502"/>
      <c r="P43" s="502"/>
    </row>
    <row r="44" spans="1:16">
      <c r="A44" s="969"/>
      <c r="B44" s="969"/>
      <c r="C44" s="502"/>
      <c r="D44" s="502"/>
      <c r="E44" s="502"/>
      <c r="F44" s="502"/>
      <c r="G44" s="502"/>
      <c r="H44" s="502"/>
      <c r="I44" s="502"/>
      <c r="J44" s="502"/>
      <c r="K44" s="502"/>
      <c r="L44" s="502"/>
      <c r="M44" s="502"/>
      <c r="N44" s="502"/>
      <c r="O44" s="502"/>
      <c r="P44" s="502"/>
    </row>
    <row r="45" spans="1:16">
      <c r="A45" s="969"/>
      <c r="B45" s="969"/>
      <c r="C45" s="502"/>
      <c r="D45" s="502"/>
      <c r="E45" s="502"/>
      <c r="F45" s="502"/>
      <c r="G45" s="502"/>
      <c r="H45" s="502"/>
      <c r="I45" s="502"/>
      <c r="J45" s="502"/>
      <c r="K45" s="502"/>
      <c r="L45" s="502"/>
      <c r="M45" s="502"/>
      <c r="N45" s="502"/>
      <c r="O45" s="502"/>
      <c r="P45" s="502"/>
    </row>
    <row r="46" spans="1:16">
      <c r="A46" s="969"/>
      <c r="B46" s="969"/>
      <c r="C46" s="502"/>
      <c r="D46" s="502"/>
      <c r="E46" s="502"/>
      <c r="F46" s="502"/>
      <c r="G46" s="502"/>
      <c r="H46" s="502"/>
      <c r="M46" s="502"/>
      <c r="N46" s="502"/>
      <c r="O46" s="502"/>
      <c r="P46" s="502"/>
    </row>
    <row r="47" spans="1:16">
      <c r="A47" s="969"/>
      <c r="B47" s="969"/>
      <c r="C47" s="502"/>
      <c r="D47" s="502"/>
      <c r="E47" s="502"/>
      <c r="F47" s="502"/>
      <c r="G47" s="502"/>
      <c r="H47" s="502"/>
      <c r="M47" s="502"/>
      <c r="N47" s="502"/>
      <c r="O47" s="502"/>
      <c r="P47" s="502"/>
    </row>
    <row r="48" spans="1:16">
      <c r="A48" s="969"/>
      <c r="B48" s="969"/>
      <c r="C48" s="502"/>
      <c r="D48" s="502"/>
      <c r="E48" s="502"/>
      <c r="F48" s="502"/>
      <c r="G48" s="502"/>
      <c r="H48" s="502"/>
      <c r="M48" s="502"/>
      <c r="N48" s="502"/>
      <c r="O48" s="502"/>
      <c r="P48" s="502"/>
    </row>
    <row r="49" spans="1:16">
      <c r="A49" s="969"/>
      <c r="B49" s="969"/>
      <c r="C49" s="502"/>
      <c r="D49" s="502"/>
      <c r="E49" s="502"/>
      <c r="F49" s="502"/>
      <c r="G49" s="502"/>
      <c r="H49" s="502"/>
      <c r="M49" s="502"/>
      <c r="N49" s="502"/>
      <c r="O49" s="502"/>
      <c r="P49" s="502"/>
    </row>
    <row r="50" spans="1:16">
      <c r="A50" s="969"/>
      <c r="B50" s="969"/>
      <c r="C50" s="502"/>
      <c r="D50" s="502"/>
      <c r="E50" s="502"/>
      <c r="F50" s="502"/>
      <c r="G50" s="502"/>
      <c r="H50" s="502"/>
      <c r="M50" s="502"/>
      <c r="N50" s="502"/>
      <c r="O50" s="502"/>
      <c r="P50" s="502"/>
    </row>
    <row r="51" spans="1:16">
      <c r="A51" s="969"/>
      <c r="B51" s="969"/>
      <c r="C51" s="502"/>
      <c r="D51" s="502"/>
      <c r="E51" s="502"/>
      <c r="F51" s="502"/>
      <c r="G51" s="502"/>
      <c r="H51" s="502"/>
      <c r="I51" s="502"/>
      <c r="J51" s="502"/>
      <c r="K51" s="502"/>
      <c r="L51" s="502"/>
      <c r="M51" s="502"/>
      <c r="N51" s="502"/>
      <c r="O51" s="502"/>
      <c r="P51" s="502"/>
    </row>
    <row r="52" spans="1:16">
      <c r="A52" s="969"/>
      <c r="B52" s="969"/>
      <c r="C52" s="502"/>
      <c r="D52" s="502"/>
      <c r="E52" s="502"/>
      <c r="F52" s="502"/>
      <c r="G52" s="502"/>
      <c r="H52" s="502"/>
      <c r="I52" s="502"/>
      <c r="J52" s="502"/>
      <c r="K52" s="502"/>
      <c r="L52" s="502"/>
      <c r="M52" s="502"/>
      <c r="N52" s="502"/>
      <c r="O52" s="502"/>
      <c r="P52" s="502"/>
    </row>
    <row r="53" spans="1:16">
      <c r="A53" s="969"/>
      <c r="B53" s="969"/>
      <c r="C53" s="502"/>
      <c r="D53" s="502"/>
      <c r="E53" s="502"/>
      <c r="F53" s="502"/>
      <c r="G53" s="502"/>
      <c r="H53" s="502"/>
      <c r="I53" s="502"/>
      <c r="J53" s="502"/>
      <c r="K53" s="502"/>
      <c r="L53" s="502"/>
      <c r="M53" s="502"/>
      <c r="N53" s="502"/>
      <c r="O53" s="502"/>
      <c r="P53" s="502"/>
    </row>
    <row r="54" spans="1:16">
      <c r="A54" s="969"/>
      <c r="B54" s="969"/>
      <c r="C54" s="502"/>
      <c r="D54" s="502"/>
      <c r="E54" s="502"/>
      <c r="F54" s="502"/>
      <c r="G54" s="502"/>
      <c r="H54" s="502"/>
      <c r="I54" s="502"/>
      <c r="J54" s="502"/>
      <c r="K54" s="502"/>
      <c r="L54" s="502"/>
      <c r="M54" s="502"/>
      <c r="N54" s="502"/>
      <c r="O54" s="502"/>
      <c r="P54" s="502"/>
    </row>
    <row r="55" spans="1:16">
      <c r="A55" s="969"/>
      <c r="B55" s="969"/>
      <c r="C55" s="502"/>
      <c r="D55" s="502"/>
      <c r="E55" s="502"/>
      <c r="F55" s="502"/>
      <c r="G55" s="502"/>
      <c r="H55" s="502"/>
      <c r="I55" s="502"/>
      <c r="J55" s="502"/>
      <c r="K55" s="502"/>
      <c r="L55" s="502"/>
      <c r="M55" s="502"/>
      <c r="N55" s="502"/>
      <c r="O55" s="502"/>
      <c r="P55" s="502"/>
    </row>
    <row r="56" spans="1:16">
      <c r="A56" s="969"/>
      <c r="B56" s="969"/>
      <c r="C56" s="502"/>
      <c r="D56" s="502"/>
      <c r="E56" s="502"/>
      <c r="F56" s="502"/>
      <c r="G56" s="502"/>
      <c r="H56" s="502"/>
      <c r="I56" s="502"/>
      <c r="J56" s="502"/>
      <c r="K56" s="502"/>
      <c r="L56" s="502"/>
      <c r="M56" s="502"/>
      <c r="N56" s="502"/>
      <c r="O56" s="502"/>
      <c r="P56" s="502"/>
    </row>
    <row r="57" spans="1:16">
      <c r="A57" s="969"/>
      <c r="B57" s="969"/>
      <c r="C57" s="502"/>
      <c r="D57" s="502"/>
      <c r="E57" s="502"/>
      <c r="F57" s="502"/>
      <c r="G57" s="502"/>
      <c r="H57" s="502"/>
      <c r="I57" s="502"/>
      <c r="J57" s="502"/>
      <c r="K57" s="502"/>
      <c r="L57" s="502"/>
      <c r="M57" s="502"/>
      <c r="N57" s="502"/>
      <c r="O57" s="502"/>
      <c r="P57" s="502"/>
    </row>
    <row r="58" spans="1:16">
      <c r="A58" s="969"/>
      <c r="B58" s="969"/>
      <c r="C58" s="502"/>
      <c r="D58" s="502"/>
      <c r="E58" s="502"/>
      <c r="F58" s="502"/>
      <c r="G58" s="502"/>
      <c r="H58" s="502"/>
      <c r="I58" s="502"/>
      <c r="J58" s="502"/>
      <c r="K58" s="502"/>
      <c r="L58" s="502"/>
      <c r="M58" s="502"/>
      <c r="N58" s="502"/>
      <c r="O58" s="502"/>
      <c r="P58" s="502"/>
    </row>
    <row r="59" spans="1:16">
      <c r="A59" s="969"/>
      <c r="B59" s="969"/>
      <c r="C59" s="502"/>
      <c r="D59" s="502"/>
      <c r="E59" s="502"/>
      <c r="F59" s="502"/>
      <c r="G59" s="502"/>
      <c r="H59" s="502"/>
      <c r="I59" s="502"/>
      <c r="J59" s="502"/>
      <c r="K59" s="502"/>
      <c r="L59" s="502"/>
      <c r="M59" s="502"/>
      <c r="N59" s="502"/>
      <c r="O59" s="502"/>
      <c r="P59" s="502"/>
    </row>
    <row r="60" spans="1:16">
      <c r="A60" s="969"/>
      <c r="B60" s="969"/>
      <c r="C60" s="502"/>
      <c r="D60" s="502"/>
      <c r="E60" s="502"/>
      <c r="F60" s="502"/>
      <c r="G60" s="502"/>
      <c r="H60" s="502"/>
      <c r="I60" s="502"/>
      <c r="J60" s="502"/>
      <c r="K60" s="502"/>
      <c r="L60" s="502"/>
      <c r="M60" s="502"/>
      <c r="N60" s="502"/>
      <c r="O60" s="502"/>
      <c r="P60" s="502"/>
    </row>
    <row r="61" spans="1:16">
      <c r="A61" s="969"/>
      <c r="B61" s="969"/>
      <c r="C61" s="502"/>
      <c r="D61" s="502"/>
      <c r="E61" s="502"/>
      <c r="F61" s="502"/>
      <c r="G61" s="502"/>
      <c r="H61" s="502"/>
      <c r="I61" s="502"/>
      <c r="J61" s="502"/>
      <c r="K61" s="502"/>
      <c r="L61" s="502"/>
      <c r="M61" s="502"/>
      <c r="N61" s="502"/>
      <c r="O61" s="502"/>
      <c r="P61" s="502"/>
    </row>
    <row r="62" spans="1:16">
      <c r="A62" s="969"/>
      <c r="B62" s="969"/>
      <c r="C62" s="502"/>
      <c r="D62" s="502"/>
      <c r="E62" s="502"/>
      <c r="F62" s="502"/>
      <c r="G62" s="502"/>
      <c r="H62" s="502"/>
      <c r="I62" s="502"/>
      <c r="J62" s="502"/>
      <c r="K62" s="502"/>
      <c r="L62" s="502"/>
      <c r="M62" s="502"/>
      <c r="N62" s="502"/>
      <c r="O62" s="502"/>
      <c r="P62" s="502"/>
    </row>
    <row r="63" spans="1:16">
      <c r="A63" s="969"/>
      <c r="B63" s="969"/>
      <c r="C63" s="502"/>
      <c r="D63" s="502"/>
      <c r="E63" s="502"/>
      <c r="F63" s="502"/>
      <c r="G63" s="502"/>
      <c r="H63" s="502"/>
      <c r="I63" s="502"/>
      <c r="J63" s="502"/>
      <c r="K63" s="502"/>
      <c r="L63" s="502"/>
      <c r="M63" s="502"/>
      <c r="N63" s="502"/>
      <c r="O63" s="502"/>
      <c r="P63" s="502"/>
    </row>
    <row r="64" spans="1:16">
      <c r="A64" s="969"/>
      <c r="B64" s="969"/>
      <c r="C64" s="502"/>
      <c r="D64" s="502"/>
      <c r="E64" s="502"/>
      <c r="F64" s="502"/>
      <c r="G64" s="502"/>
      <c r="H64" s="502"/>
      <c r="I64" s="502"/>
      <c r="J64" s="502"/>
      <c r="K64" s="502"/>
      <c r="L64" s="502"/>
      <c r="M64" s="502"/>
      <c r="N64" s="502"/>
      <c r="O64" s="502"/>
      <c r="P64" s="502"/>
    </row>
    <row r="65" spans="1:16">
      <c r="A65" s="969"/>
      <c r="B65" s="969"/>
      <c r="C65" s="502"/>
      <c r="D65" s="502"/>
      <c r="E65" s="502"/>
      <c r="F65" s="502"/>
      <c r="G65" s="502"/>
      <c r="H65" s="502"/>
      <c r="I65" s="502"/>
      <c r="J65" s="502"/>
      <c r="K65" s="502"/>
      <c r="L65" s="502"/>
      <c r="M65" s="502"/>
      <c r="N65" s="502"/>
      <c r="O65" s="502"/>
      <c r="P65" s="502"/>
    </row>
    <row r="66" spans="1:16">
      <c r="A66" s="969"/>
      <c r="B66" s="969"/>
      <c r="C66" s="502"/>
      <c r="D66" s="502"/>
      <c r="E66" s="502"/>
      <c r="F66" s="502"/>
      <c r="G66" s="502"/>
      <c r="H66" s="502"/>
      <c r="I66" s="502"/>
      <c r="J66" s="502"/>
      <c r="K66" s="502"/>
      <c r="L66" s="502"/>
      <c r="M66" s="502"/>
      <c r="N66" s="502"/>
      <c r="O66" s="502"/>
      <c r="P66" s="502"/>
    </row>
    <row r="67" spans="1:16">
      <c r="A67" s="969"/>
      <c r="B67" s="969"/>
      <c r="C67" s="502"/>
      <c r="D67" s="502"/>
      <c r="E67" s="502"/>
      <c r="F67" s="502"/>
      <c r="G67" s="502"/>
      <c r="H67" s="502"/>
      <c r="I67" s="502"/>
      <c r="J67" s="502"/>
      <c r="K67" s="502"/>
      <c r="L67" s="502"/>
      <c r="M67" s="502"/>
      <c r="N67" s="502"/>
      <c r="O67" s="502"/>
      <c r="P67" s="502"/>
    </row>
    <row r="68" spans="1:16">
      <c r="A68" s="969"/>
      <c r="B68" s="969"/>
      <c r="C68" s="502"/>
      <c r="D68" s="502"/>
      <c r="E68" s="502"/>
      <c r="F68" s="502"/>
      <c r="G68" s="502"/>
      <c r="H68" s="502"/>
      <c r="I68" s="502"/>
      <c r="J68" s="502"/>
      <c r="K68" s="502"/>
      <c r="L68" s="502"/>
      <c r="M68" s="502"/>
      <c r="N68" s="502"/>
      <c r="O68" s="502"/>
      <c r="P68" s="502"/>
    </row>
    <row r="69" spans="1:16">
      <c r="A69" s="969"/>
      <c r="B69" s="969"/>
      <c r="C69" s="502"/>
      <c r="D69" s="502"/>
      <c r="E69" s="502"/>
      <c r="F69" s="502"/>
      <c r="G69" s="502"/>
      <c r="H69" s="502"/>
      <c r="I69" s="502"/>
      <c r="J69" s="502"/>
      <c r="K69" s="502"/>
      <c r="L69" s="502"/>
      <c r="M69" s="502"/>
      <c r="N69" s="502"/>
      <c r="O69" s="502"/>
      <c r="P69" s="502"/>
    </row>
    <row r="70" spans="1:16">
      <c r="A70" s="969"/>
      <c r="B70" s="969"/>
      <c r="C70" s="502"/>
      <c r="D70" s="502"/>
      <c r="E70" s="502"/>
      <c r="F70" s="502"/>
      <c r="G70" s="502"/>
      <c r="H70" s="502"/>
      <c r="I70" s="502"/>
      <c r="J70" s="502"/>
      <c r="K70" s="502"/>
      <c r="L70" s="502"/>
      <c r="M70" s="502"/>
      <c r="N70" s="502"/>
      <c r="O70" s="502"/>
      <c r="P70" s="502"/>
    </row>
    <row r="71" spans="1:16">
      <c r="A71" s="969"/>
      <c r="B71" s="969"/>
      <c r="C71" s="502"/>
      <c r="D71" s="502"/>
      <c r="E71" s="502"/>
      <c r="F71" s="502"/>
      <c r="G71" s="502"/>
      <c r="H71" s="502"/>
      <c r="I71" s="502"/>
      <c r="J71" s="502"/>
      <c r="K71" s="502"/>
      <c r="L71" s="502"/>
      <c r="M71" s="502"/>
      <c r="N71" s="502"/>
      <c r="O71" s="502"/>
      <c r="P71" s="502"/>
    </row>
    <row r="72" spans="1:16">
      <c r="A72" s="969"/>
      <c r="B72" s="969"/>
      <c r="C72" s="502"/>
      <c r="D72" s="502"/>
      <c r="E72" s="502"/>
      <c r="F72" s="502"/>
      <c r="G72" s="502"/>
      <c r="H72" s="502"/>
      <c r="I72" s="502"/>
      <c r="J72" s="502"/>
      <c r="K72" s="502"/>
      <c r="L72" s="502"/>
      <c r="M72" s="502"/>
      <c r="N72" s="502"/>
      <c r="O72" s="502"/>
      <c r="P72" s="502"/>
    </row>
    <row r="73" spans="1:16">
      <c r="A73" s="969"/>
      <c r="B73" s="969"/>
      <c r="C73" s="502"/>
      <c r="D73" s="502"/>
      <c r="E73" s="502"/>
      <c r="F73" s="502"/>
      <c r="G73" s="502"/>
      <c r="H73" s="502"/>
      <c r="I73" s="502"/>
      <c r="J73" s="502"/>
      <c r="K73" s="502"/>
      <c r="L73" s="502"/>
      <c r="M73" s="502"/>
      <c r="N73" s="502"/>
      <c r="O73" s="502"/>
      <c r="P73" s="502"/>
    </row>
    <row r="74" spans="1:16">
      <c r="I74" s="502"/>
      <c r="J74" s="502"/>
      <c r="K74" s="502"/>
      <c r="L74" s="502"/>
      <c r="M74" s="502"/>
      <c r="N74" s="502"/>
      <c r="O74" s="502"/>
      <c r="P74" s="502"/>
    </row>
    <row r="75" spans="1:16">
      <c r="I75" s="502"/>
      <c r="J75" s="502"/>
      <c r="K75" s="502"/>
      <c r="L75" s="502"/>
      <c r="M75" s="502"/>
      <c r="N75" s="502"/>
      <c r="O75" s="502"/>
      <c r="P75" s="502"/>
    </row>
    <row r="76" spans="1:16">
      <c r="I76" s="502"/>
      <c r="J76" s="502"/>
      <c r="K76" s="502"/>
      <c r="L76" s="502"/>
      <c r="M76" s="502"/>
      <c r="N76" s="502"/>
      <c r="O76" s="502"/>
      <c r="P76" s="502"/>
    </row>
    <row r="77" spans="1:16">
      <c r="I77" s="502"/>
      <c r="J77" s="502"/>
      <c r="K77" s="502"/>
      <c r="L77" s="502"/>
      <c r="M77" s="502"/>
      <c r="N77" s="502"/>
      <c r="O77" s="502"/>
      <c r="P77" s="502"/>
    </row>
    <row r="78" spans="1:16">
      <c r="I78" s="502"/>
      <c r="J78" s="502"/>
      <c r="K78" s="502"/>
      <c r="L78" s="502"/>
      <c r="M78" s="502"/>
      <c r="N78" s="502"/>
      <c r="O78" s="502"/>
      <c r="P78" s="502"/>
    </row>
    <row r="79" spans="1:16">
      <c r="I79" s="502"/>
      <c r="J79" s="502"/>
      <c r="K79" s="502"/>
      <c r="L79" s="502"/>
      <c r="M79" s="502"/>
      <c r="N79" s="502"/>
      <c r="O79" s="502"/>
      <c r="P79" s="502"/>
    </row>
    <row r="80" spans="1:16">
      <c r="I80" s="502"/>
      <c r="J80" s="502"/>
      <c r="K80" s="502"/>
      <c r="L80" s="502"/>
      <c r="M80" s="502"/>
      <c r="N80" s="502"/>
      <c r="O80" s="502"/>
      <c r="P80" s="502"/>
    </row>
    <row r="81" spans="9:16">
      <c r="I81" s="502"/>
      <c r="J81" s="502"/>
      <c r="K81" s="502"/>
      <c r="L81" s="502"/>
      <c r="M81" s="502"/>
      <c r="N81" s="502"/>
      <c r="O81" s="502"/>
      <c r="P81" s="502"/>
    </row>
    <row r="82" spans="9:16">
      <c r="I82" s="502"/>
      <c r="J82" s="502"/>
      <c r="K82" s="502"/>
      <c r="L82" s="502"/>
      <c r="M82" s="502"/>
      <c r="N82" s="502"/>
      <c r="O82" s="502"/>
      <c r="P82" s="502"/>
    </row>
    <row r="83" spans="9:16">
      <c r="I83" s="502"/>
      <c r="J83" s="502"/>
      <c r="K83" s="502"/>
      <c r="L83" s="502"/>
      <c r="M83" s="502"/>
      <c r="N83" s="502"/>
      <c r="O83" s="502"/>
      <c r="P83" s="502"/>
    </row>
    <row r="84" spans="9:16">
      <c r="I84" s="502"/>
      <c r="J84" s="502"/>
      <c r="K84" s="502"/>
      <c r="L84" s="502"/>
      <c r="M84" s="502"/>
      <c r="N84" s="502"/>
      <c r="O84" s="502"/>
      <c r="P84" s="502"/>
    </row>
    <row r="85" spans="9:16">
      <c r="I85" s="502"/>
      <c r="J85" s="502"/>
      <c r="K85" s="502"/>
      <c r="L85" s="502"/>
      <c r="M85" s="502"/>
      <c r="N85" s="502"/>
      <c r="O85" s="502"/>
      <c r="P85" s="502"/>
    </row>
    <row r="86" spans="9:16">
      <c r="I86" s="502"/>
      <c r="J86" s="502"/>
      <c r="K86" s="502"/>
      <c r="L86" s="502"/>
      <c r="M86" s="502"/>
      <c r="N86" s="502"/>
      <c r="O86" s="502"/>
      <c r="P86" s="502"/>
    </row>
    <row r="87" spans="9:16">
      <c r="I87" s="502"/>
      <c r="J87" s="502"/>
      <c r="K87" s="502"/>
      <c r="L87" s="502"/>
      <c r="M87" s="502"/>
      <c r="N87" s="502"/>
      <c r="O87" s="502"/>
      <c r="P87" s="502"/>
    </row>
    <row r="88" spans="9:16">
      <c r="I88" s="502"/>
      <c r="J88" s="502"/>
      <c r="K88" s="502"/>
      <c r="L88" s="502"/>
      <c r="M88" s="502"/>
      <c r="N88" s="502"/>
      <c r="O88" s="502"/>
      <c r="P88" s="502"/>
    </row>
    <row r="89" spans="9:16">
      <c r="I89" s="502"/>
      <c r="J89" s="502"/>
      <c r="K89" s="502"/>
      <c r="L89" s="502"/>
      <c r="M89" s="502"/>
      <c r="N89" s="502"/>
      <c r="O89" s="502"/>
      <c r="P89" s="502"/>
    </row>
    <row r="90" spans="9:16">
      <c r="I90" s="502"/>
      <c r="J90" s="502"/>
      <c r="K90" s="502"/>
      <c r="L90" s="502"/>
      <c r="M90" s="502"/>
      <c r="N90" s="502"/>
      <c r="O90" s="502"/>
      <c r="P90" s="502"/>
    </row>
  </sheetData>
  <sheetProtection selectLockedCells="1" selectUnlockedCells="1"/>
  <mergeCells count="68">
    <mergeCell ref="A5:B5"/>
    <mergeCell ref="D5:E5"/>
    <mergeCell ref="A6:B6"/>
    <mergeCell ref="A1:H1"/>
    <mergeCell ref="I1:I4"/>
    <mergeCell ref="A2:B2"/>
    <mergeCell ref="A3:B3"/>
    <mergeCell ref="A4:H4"/>
    <mergeCell ref="D6:E6"/>
    <mergeCell ref="D2:E2"/>
    <mergeCell ref="D3:E3"/>
    <mergeCell ref="A7:B7"/>
    <mergeCell ref="D7:E7"/>
    <mergeCell ref="A11:B11"/>
    <mergeCell ref="D11:E11"/>
    <mergeCell ref="A9:B9"/>
    <mergeCell ref="D9:E9"/>
    <mergeCell ref="A10:B10"/>
    <mergeCell ref="A8:B8"/>
    <mergeCell ref="D8:E8"/>
    <mergeCell ref="D10:E10"/>
    <mergeCell ref="I15:L20"/>
    <mergeCell ref="A16:B16"/>
    <mergeCell ref="D16:E16"/>
    <mergeCell ref="A17:B17"/>
    <mergeCell ref="D17:E17"/>
    <mergeCell ref="A19:B19"/>
    <mergeCell ref="D19:E19"/>
    <mergeCell ref="D13:E13"/>
    <mergeCell ref="A14:B14"/>
    <mergeCell ref="A12:B12"/>
    <mergeCell ref="D12:E12"/>
    <mergeCell ref="A24:B24"/>
    <mergeCell ref="D24:E24"/>
    <mergeCell ref="D14:E14"/>
    <mergeCell ref="A13:B13"/>
    <mergeCell ref="D20:E20"/>
    <mergeCell ref="A15:B15"/>
    <mergeCell ref="D15:E15"/>
    <mergeCell ref="A20:B20"/>
    <mergeCell ref="A18:B18"/>
    <mergeCell ref="D18:E18"/>
    <mergeCell ref="I21:L25"/>
    <mergeCell ref="A22:B22"/>
    <mergeCell ref="D22:E22"/>
    <mergeCell ref="A23:B23"/>
    <mergeCell ref="D23:E23"/>
    <mergeCell ref="A21:B21"/>
    <mergeCell ref="D21:E21"/>
    <mergeCell ref="A25:B25"/>
    <mergeCell ref="D25:E25"/>
    <mergeCell ref="I26:L30"/>
    <mergeCell ref="A27:C27"/>
    <mergeCell ref="D27:E27"/>
    <mergeCell ref="A28:B28"/>
    <mergeCell ref="C28:H28"/>
    <mergeCell ref="A29:B30"/>
    <mergeCell ref="D29:H29"/>
    <mergeCell ref="C30:H30"/>
    <mergeCell ref="A26:B26"/>
    <mergeCell ref="D26:E26"/>
    <mergeCell ref="I39:L42"/>
    <mergeCell ref="A31:B31"/>
    <mergeCell ref="C31:H31"/>
    <mergeCell ref="I31:L33"/>
    <mergeCell ref="I34:L35"/>
    <mergeCell ref="I36:L36"/>
    <mergeCell ref="I37:L38"/>
  </mergeCells>
  <phoneticPr fontId="51" type="noConversion"/>
  <dataValidations count="1">
    <dataValidation allowBlank="1" sqref="C20:C26">
      <formula1>0</formula1>
      <formula2>0</formula2>
    </dataValidation>
  </dataValidations>
  <hyperlinks>
    <hyperlink ref="I7" location="利润!A1" display="利润及利润分配表"/>
    <hyperlink ref="I8" location="纳税调整明细表!A1" display="纳税调整明细表"/>
    <hyperlink ref="I9" location="收入明细表!A1" display="收入明细表"/>
    <hyperlink ref="I10" location="税收优惠明细表!A1" display="税收优惠明细表"/>
    <hyperlink ref="I11" location="其他事项!A1" display="其他事项!A1"/>
    <hyperlink ref="I12" location="实收公积!A1" display="实收公积审核表"/>
    <hyperlink ref="I13" location="捐赠!A1" display="捐赠支出审核表"/>
    <hyperlink ref="I14" location="利息!A1" display="利息支出审核表"/>
    <hyperlink ref="I6" location="A104000期间费用明细表!A1" display="A104000期间费用明细表!A1"/>
  </hyperlinks>
  <pageMargins left="0.78740157480314998" right="0.35433070866141703" top="0.511811023622047" bottom="0.11811023622047198" header="0.511811023622047" footer="0.511811023622047"/>
  <pageSetup paperSize="9" scale="89" firstPageNumber="0" fitToHeight="0" orientation="portrait" blackAndWhite="1"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M192"/>
  <sheetViews>
    <sheetView workbookViewId="0">
      <selection activeCell="H10" sqref="H10"/>
    </sheetView>
  </sheetViews>
  <sheetFormatPr defaultRowHeight="15.6"/>
  <cols>
    <col min="1" max="1" width="5.69921875" style="954" customWidth="1"/>
    <col min="2" max="2" width="24.5" style="954" customWidth="1"/>
    <col min="3" max="3" width="12.5" style="954" customWidth="1"/>
    <col min="4" max="4" width="11.69921875" style="954" customWidth="1"/>
    <col min="5" max="5" width="7.8984375" style="954" customWidth="1"/>
    <col min="6" max="6" width="9.8984375" style="954" customWidth="1"/>
    <col min="7" max="7" width="9.3984375" style="954" customWidth="1"/>
    <col min="8" max="8" width="54" customWidth="1"/>
    <col min="11" max="11" width="9" style="131"/>
    <col min="12" max="13" width="9" style="973"/>
  </cols>
  <sheetData>
    <row r="1" spans="1:12" ht="30" customHeight="1">
      <c r="A1" s="2785" t="s">
        <v>332</v>
      </c>
      <c r="B1" s="2785"/>
      <c r="C1" s="2785"/>
      <c r="D1" s="2785"/>
      <c r="E1" s="2785"/>
      <c r="F1" s="2785"/>
      <c r="G1" s="2785"/>
      <c r="H1" s="3596"/>
      <c r="I1" s="84"/>
      <c r="J1" s="84"/>
      <c r="K1" s="812"/>
    </row>
    <row r="2" spans="1:12" ht="21" customHeight="1">
      <c r="A2" s="3191" t="str">
        <f>"委托单位："&amp;基本情况!B2</f>
        <v>委托单位：0</v>
      </c>
      <c r="B2" s="3191"/>
      <c r="C2" s="3191"/>
      <c r="D2" s="136" t="s">
        <v>450</v>
      </c>
      <c r="E2" s="603">
        <f>基本情况!B12</f>
        <v>0</v>
      </c>
      <c r="F2" s="957" t="str">
        <f>TEXT(基本情况!B21,"yyyy-mm-dd")</f>
        <v>2017-03-16</v>
      </c>
      <c r="G2" s="485" t="s">
        <v>283</v>
      </c>
      <c r="H2" s="3596"/>
      <c r="I2" s="84"/>
      <c r="J2" s="84"/>
      <c r="K2" s="812"/>
    </row>
    <row r="3" spans="1:12" ht="21" customHeight="1">
      <c r="A3" s="3189" t="str">
        <f>"会计期间："&amp;基本情况!B7</f>
        <v>会计期间：2016年01月01日至2016年12月31日</v>
      </c>
      <c r="B3" s="3189"/>
      <c r="C3" s="3189"/>
      <c r="D3" s="140" t="s">
        <v>452</v>
      </c>
      <c r="E3" s="974">
        <f>基本情况!B11</f>
        <v>0</v>
      </c>
      <c r="F3" s="960" t="str">
        <f>TEXT(基本情况!B22,"yyyy-mm-dd")</f>
        <v>2017-05-04</v>
      </c>
      <c r="G3" s="512" t="str">
        <f>档案索引!D31</f>
        <v>3-10</v>
      </c>
      <c r="H3" s="3596"/>
      <c r="I3" s="84"/>
      <c r="J3" s="84"/>
      <c r="K3" s="812"/>
    </row>
    <row r="4" spans="1:12" ht="7.5" customHeight="1">
      <c r="A4" s="2926"/>
      <c r="B4" s="2926"/>
      <c r="C4" s="2926"/>
      <c r="D4" s="2926"/>
      <c r="E4" s="2926"/>
      <c r="F4" s="2926"/>
      <c r="G4" s="2926"/>
      <c r="H4" s="3596"/>
      <c r="I4" s="84"/>
      <c r="J4" s="84"/>
      <c r="K4" s="812"/>
    </row>
    <row r="5" spans="1:12" ht="30.75" customHeight="1">
      <c r="A5" s="532" t="s">
        <v>453</v>
      </c>
      <c r="B5" s="582" t="s">
        <v>665</v>
      </c>
      <c r="C5" s="582" t="s">
        <v>1181</v>
      </c>
      <c r="D5" s="582" t="s">
        <v>980</v>
      </c>
      <c r="E5" s="3063" t="s">
        <v>502</v>
      </c>
      <c r="F5" s="3063"/>
      <c r="G5" s="772" t="s">
        <v>455</v>
      </c>
      <c r="H5" s="962" t="s">
        <v>395</v>
      </c>
      <c r="I5" s="84"/>
      <c r="J5" s="84"/>
      <c r="K5" s="812"/>
    </row>
    <row r="6" spans="1:12" ht="14.25" customHeight="1">
      <c r="A6" s="135">
        <v>1</v>
      </c>
      <c r="B6" s="975" t="s">
        <v>4885</v>
      </c>
      <c r="C6" s="1161"/>
      <c r="D6" s="1161"/>
      <c r="E6" s="3255">
        <f t="shared" ref="E6:E20" si="0">C6+D6</f>
        <v>0</v>
      </c>
      <c r="F6" s="3255"/>
      <c r="G6" s="976"/>
      <c r="H6" s="232" t="s">
        <v>653</v>
      </c>
      <c r="I6" s="84"/>
      <c r="J6" s="84"/>
      <c r="K6" s="812"/>
      <c r="L6" s="977"/>
    </row>
    <row r="7" spans="1:12" ht="14.25" customHeight="1">
      <c r="A7" s="143">
        <v>2</v>
      </c>
      <c r="B7" s="978" t="s">
        <v>4886</v>
      </c>
      <c r="C7" s="1120"/>
      <c r="D7" s="1120"/>
      <c r="E7" s="3159">
        <f t="shared" si="0"/>
        <v>0</v>
      </c>
      <c r="F7" s="3159"/>
      <c r="G7" s="164"/>
      <c r="H7" s="232" t="s">
        <v>252</v>
      </c>
      <c r="I7" s="84"/>
      <c r="J7" s="84"/>
      <c r="K7" s="812"/>
      <c r="L7" s="979"/>
    </row>
    <row r="8" spans="1:12" ht="14.25" customHeight="1">
      <c r="A8" s="143">
        <v>3</v>
      </c>
      <c r="B8" s="978" t="s">
        <v>4887</v>
      </c>
      <c r="C8" s="1120"/>
      <c r="D8" s="1120"/>
      <c r="E8" s="3159">
        <f t="shared" si="0"/>
        <v>0</v>
      </c>
      <c r="F8" s="3159"/>
      <c r="G8" s="164"/>
      <c r="H8" s="493" t="s">
        <v>673</v>
      </c>
      <c r="I8" s="84"/>
      <c r="J8" s="84"/>
      <c r="K8" s="812"/>
      <c r="L8" s="979"/>
    </row>
    <row r="9" spans="1:12" ht="14.25" customHeight="1">
      <c r="A9" s="143">
        <v>4</v>
      </c>
      <c r="B9" s="978" t="s">
        <v>4888</v>
      </c>
      <c r="C9" s="1120"/>
      <c r="D9" s="1120"/>
      <c r="E9" s="3159">
        <f t="shared" si="0"/>
        <v>0</v>
      </c>
      <c r="F9" s="3159"/>
      <c r="G9" s="164"/>
      <c r="H9" s="493" t="s">
        <v>669</v>
      </c>
      <c r="I9" s="84"/>
      <c r="J9" s="84"/>
      <c r="K9" s="812"/>
      <c r="L9" s="979"/>
    </row>
    <row r="10" spans="1:12" ht="14.25" customHeight="1">
      <c r="A10" s="143">
        <v>5</v>
      </c>
      <c r="B10" s="978" t="s">
        <v>4889</v>
      </c>
      <c r="C10" s="1120"/>
      <c r="D10" s="1120"/>
      <c r="E10" s="3159">
        <f t="shared" si="0"/>
        <v>0</v>
      </c>
      <c r="F10" s="3159"/>
      <c r="G10" s="164"/>
      <c r="H10" s="493" t="s">
        <v>642</v>
      </c>
      <c r="I10" s="84"/>
      <c r="J10" s="84"/>
      <c r="K10" s="812"/>
      <c r="L10" s="979"/>
    </row>
    <row r="11" spans="1:12" ht="14.25" customHeight="1">
      <c r="A11" s="143">
        <v>6</v>
      </c>
      <c r="B11" s="978" t="s">
        <v>4890</v>
      </c>
      <c r="C11" s="1120"/>
      <c r="D11" s="1120"/>
      <c r="E11" s="3159">
        <f t="shared" si="0"/>
        <v>0</v>
      </c>
      <c r="F11" s="3159"/>
      <c r="G11" s="164"/>
      <c r="H11" s="493" t="s">
        <v>676</v>
      </c>
      <c r="I11" s="84"/>
      <c r="J11" s="84"/>
      <c r="K11" s="812"/>
      <c r="L11" s="979"/>
    </row>
    <row r="12" spans="1:12" ht="14.25" customHeight="1">
      <c r="A12" s="143">
        <v>7</v>
      </c>
      <c r="B12" s="978" t="s">
        <v>4891</v>
      </c>
      <c r="C12" s="1120"/>
      <c r="D12" s="1120"/>
      <c r="E12" s="3159">
        <f t="shared" si="0"/>
        <v>0</v>
      </c>
      <c r="F12" s="3159"/>
      <c r="G12" s="164"/>
      <c r="H12" s="493" t="s">
        <v>72</v>
      </c>
      <c r="I12" s="84"/>
      <c r="J12" s="84"/>
      <c r="K12" s="812"/>
      <c r="L12" s="977"/>
    </row>
    <row r="13" spans="1:12" ht="14.25" customHeight="1">
      <c r="A13" s="143">
        <v>8</v>
      </c>
      <c r="B13" s="978" t="s">
        <v>4892</v>
      </c>
      <c r="C13" s="1120"/>
      <c r="D13" s="1120"/>
      <c r="E13" s="3159">
        <f t="shared" si="0"/>
        <v>0</v>
      </c>
      <c r="F13" s="3159"/>
      <c r="G13" s="164"/>
      <c r="H13" s="493" t="s">
        <v>75</v>
      </c>
      <c r="I13" s="84"/>
      <c r="J13" s="84"/>
      <c r="K13" s="812"/>
    </row>
    <row r="14" spans="1:12" ht="14.25" customHeight="1">
      <c r="A14" s="143">
        <v>9</v>
      </c>
      <c r="B14" s="978" t="s">
        <v>4893</v>
      </c>
      <c r="C14" s="1632"/>
      <c r="D14" s="1632"/>
      <c r="E14" s="3159">
        <f t="shared" si="0"/>
        <v>0</v>
      </c>
      <c r="F14" s="3159"/>
      <c r="G14" s="164"/>
      <c r="H14" s="232" t="s">
        <v>1486</v>
      </c>
      <c r="I14" s="84"/>
      <c r="J14" s="84"/>
      <c r="K14" s="812"/>
    </row>
    <row r="15" spans="1:12" ht="14.25" customHeight="1">
      <c r="A15" s="143"/>
      <c r="B15" s="978" t="s">
        <v>4894</v>
      </c>
      <c r="C15" s="525">
        <f>SUM(C16:C20)</f>
        <v>0</v>
      </c>
      <c r="D15" s="525">
        <f>SUM(D16:D20)</f>
        <v>0</v>
      </c>
      <c r="E15" s="3159">
        <f t="shared" si="0"/>
        <v>0</v>
      </c>
      <c r="F15" s="3159"/>
      <c r="G15" s="164"/>
      <c r="H15" s="232" t="s">
        <v>487</v>
      </c>
      <c r="I15" s="84"/>
      <c r="J15" s="84"/>
      <c r="K15" s="812"/>
    </row>
    <row r="16" spans="1:12" ht="14.25" customHeight="1">
      <c r="A16" s="143"/>
      <c r="B16" s="980" t="s">
        <v>1358</v>
      </c>
      <c r="C16" s="1120"/>
      <c r="D16" s="1120"/>
      <c r="E16" s="3159">
        <f t="shared" si="0"/>
        <v>0</v>
      </c>
      <c r="F16" s="3159"/>
      <c r="G16" s="164"/>
      <c r="H16" s="232" t="s">
        <v>1360</v>
      </c>
      <c r="I16" s="84"/>
      <c r="J16" s="84"/>
      <c r="K16" s="812"/>
    </row>
    <row r="17" spans="1:11" ht="14.25" customHeight="1">
      <c r="A17" s="143"/>
      <c r="B17" s="980" t="s">
        <v>1359</v>
      </c>
      <c r="C17" s="1120"/>
      <c r="D17" s="1120"/>
      <c r="E17" s="3159">
        <f t="shared" si="0"/>
        <v>0</v>
      </c>
      <c r="F17" s="3159"/>
      <c r="G17" s="164"/>
      <c r="H17" s="836"/>
      <c r="I17" s="84"/>
      <c r="J17" s="84"/>
      <c r="K17" s="812"/>
    </row>
    <row r="18" spans="1:11" ht="14.25" customHeight="1">
      <c r="A18" s="143"/>
      <c r="B18" s="980" t="s">
        <v>1361</v>
      </c>
      <c r="C18" s="1120"/>
      <c r="D18" s="1120"/>
      <c r="E18" s="3159">
        <f t="shared" si="0"/>
        <v>0</v>
      </c>
      <c r="F18" s="3159"/>
      <c r="G18" s="164"/>
      <c r="H18" s="3530"/>
      <c r="I18" s="3530"/>
      <c r="J18" s="84"/>
      <c r="K18" s="812"/>
    </row>
    <row r="19" spans="1:11" ht="14.25" customHeight="1">
      <c r="A19" s="143"/>
      <c r="B19" s="980"/>
      <c r="C19" s="1120"/>
      <c r="D19" s="1120"/>
      <c r="E19" s="3159">
        <f t="shared" si="0"/>
        <v>0</v>
      </c>
      <c r="F19" s="3159"/>
      <c r="G19" s="164"/>
      <c r="H19" s="3530"/>
      <c r="I19" s="3530"/>
      <c r="J19" s="84"/>
      <c r="K19" s="812"/>
    </row>
    <row r="20" spans="1:11" ht="14.25" customHeight="1">
      <c r="A20" s="138"/>
      <c r="B20" s="981"/>
      <c r="C20" s="1125"/>
      <c r="D20" s="1125"/>
      <c r="E20" s="3159">
        <f t="shared" si="0"/>
        <v>0</v>
      </c>
      <c r="F20" s="3159"/>
      <c r="G20" s="167"/>
      <c r="H20" s="3530"/>
      <c r="I20" s="3530"/>
      <c r="J20" s="84"/>
      <c r="K20" s="812"/>
    </row>
    <row r="21" spans="1:11" ht="14.25" customHeight="1">
      <c r="A21" s="3051" t="s">
        <v>1362</v>
      </c>
      <c r="B21" s="3051"/>
      <c r="C21" s="590">
        <f>SUM(C6:C15)</f>
        <v>0</v>
      </c>
      <c r="D21" s="590">
        <f>SUM(D6:D15)</f>
        <v>0</v>
      </c>
      <c r="E21" s="3648">
        <f>SUM(E6:F15)</f>
        <v>0</v>
      </c>
      <c r="F21" s="3648"/>
      <c r="G21" s="982"/>
      <c r="H21" s="983" t="str">
        <f>"账载营业外收入与报表数相差"&amp;DOLLAR(C21-利润!C28,2)</f>
        <v>账载营业外收入与报表数相差¥0.00</v>
      </c>
      <c r="I21" s="84"/>
      <c r="J21" s="84"/>
      <c r="K21" s="812"/>
    </row>
    <row r="22" spans="1:11" ht="14.25" customHeight="1">
      <c r="A22" s="135">
        <v>1</v>
      </c>
      <c r="B22" s="975" t="s">
        <v>4962</v>
      </c>
      <c r="C22" s="1161"/>
      <c r="D22" s="1161"/>
      <c r="E22" s="3159">
        <f>C22+D22</f>
        <v>0</v>
      </c>
      <c r="F22" s="3159"/>
      <c r="G22" s="976"/>
      <c r="H22" s="3142" t="s">
        <v>1346</v>
      </c>
      <c r="I22" s="3142"/>
      <c r="J22" s="3142"/>
      <c r="K22" s="3142"/>
    </row>
    <row r="23" spans="1:11" ht="14.25" customHeight="1">
      <c r="A23" s="143">
        <v>2</v>
      </c>
      <c r="B23" s="978" t="s">
        <v>4963</v>
      </c>
      <c r="C23" s="1120"/>
      <c r="D23" s="1120"/>
      <c r="E23" s="3159">
        <f>C23+D23</f>
        <v>0</v>
      </c>
      <c r="F23" s="3159"/>
      <c r="G23" s="164"/>
      <c r="H23" s="3142"/>
      <c r="I23" s="3142"/>
      <c r="J23" s="3142"/>
      <c r="K23" s="3142"/>
    </row>
    <row r="24" spans="1:11" ht="14.25" customHeight="1">
      <c r="A24" s="143">
        <v>3</v>
      </c>
      <c r="B24" s="978" t="s">
        <v>4964</v>
      </c>
      <c r="C24" s="1120"/>
      <c r="D24" s="1120"/>
      <c r="E24" s="3159">
        <f t="shared" ref="E24:E35" si="1">C24+D24</f>
        <v>0</v>
      </c>
      <c r="F24" s="3159"/>
      <c r="G24" s="164"/>
      <c r="H24" s="3142"/>
      <c r="I24" s="3142"/>
      <c r="J24" s="3142"/>
      <c r="K24" s="3142"/>
    </row>
    <row r="25" spans="1:11" ht="14.25" customHeight="1">
      <c r="A25" s="143">
        <v>4</v>
      </c>
      <c r="B25" s="978" t="s">
        <v>4965</v>
      </c>
      <c r="C25" s="1120"/>
      <c r="D25" s="1120"/>
      <c r="E25" s="3159">
        <f t="shared" si="1"/>
        <v>0</v>
      </c>
      <c r="F25" s="3159"/>
      <c r="G25" s="164"/>
      <c r="H25" s="3142"/>
      <c r="I25" s="3142"/>
      <c r="J25" s="3142"/>
      <c r="K25" s="3142"/>
    </row>
    <row r="26" spans="1:11" ht="14.25" customHeight="1">
      <c r="A26" s="143">
        <v>5</v>
      </c>
      <c r="B26" s="978" t="s">
        <v>4966</v>
      </c>
      <c r="C26" s="1120"/>
      <c r="D26" s="1120"/>
      <c r="E26" s="3159">
        <f t="shared" si="1"/>
        <v>0</v>
      </c>
      <c r="F26" s="3159"/>
      <c r="G26" s="164"/>
      <c r="H26" s="3142"/>
      <c r="I26" s="3142"/>
      <c r="J26" s="3142"/>
      <c r="K26" s="3142"/>
    </row>
    <row r="27" spans="1:11" ht="14.25" customHeight="1">
      <c r="A27" s="143">
        <v>6</v>
      </c>
      <c r="B27" s="978" t="s">
        <v>4967</v>
      </c>
      <c r="C27" s="1120"/>
      <c r="D27" s="1120"/>
      <c r="E27" s="3159">
        <f t="shared" ref="E27:E33" si="2">C27+D27</f>
        <v>0</v>
      </c>
      <c r="F27" s="3159"/>
      <c r="G27" s="164"/>
      <c r="H27" s="3142"/>
      <c r="I27" s="3142"/>
      <c r="J27" s="3142"/>
      <c r="K27" s="3142"/>
    </row>
    <row r="28" spans="1:11" ht="14.25" customHeight="1">
      <c r="A28" s="143">
        <v>7</v>
      </c>
      <c r="B28" s="978" t="s">
        <v>4968</v>
      </c>
      <c r="C28" s="1120"/>
      <c r="D28" s="1120"/>
      <c r="E28" s="3159">
        <f t="shared" si="2"/>
        <v>0</v>
      </c>
      <c r="F28" s="3159"/>
      <c r="G28" s="164"/>
      <c r="H28" s="3142"/>
      <c r="I28" s="3142"/>
      <c r="J28" s="3142"/>
      <c r="K28" s="3142"/>
    </row>
    <row r="29" spans="1:11" ht="14.25" customHeight="1">
      <c r="A29" s="143">
        <v>8</v>
      </c>
      <c r="B29" s="978" t="s">
        <v>4969</v>
      </c>
      <c r="E29" s="3159">
        <f t="shared" si="2"/>
        <v>0</v>
      </c>
      <c r="F29" s="3159"/>
      <c r="G29" s="164"/>
      <c r="H29" s="3142"/>
      <c r="I29" s="3142"/>
      <c r="J29" s="3142"/>
      <c r="K29" s="3142"/>
    </row>
    <row r="30" spans="1:11" ht="14.25" customHeight="1">
      <c r="A30" s="143">
        <v>9</v>
      </c>
      <c r="B30" s="978" t="s">
        <v>4970</v>
      </c>
      <c r="C30" s="1120"/>
      <c r="D30" s="1120"/>
      <c r="E30" s="3159">
        <f t="shared" si="2"/>
        <v>0</v>
      </c>
      <c r="F30" s="3159"/>
      <c r="G30" s="164"/>
      <c r="H30" s="3142"/>
      <c r="I30" s="3142"/>
      <c r="J30" s="3142"/>
      <c r="K30" s="3142"/>
    </row>
    <row r="31" spans="1:11" ht="14.25" customHeight="1">
      <c r="A31" s="143">
        <v>10</v>
      </c>
      <c r="B31" s="978" t="s">
        <v>4894</v>
      </c>
      <c r="C31" s="525">
        <f>SUM(C32:C35)</f>
        <v>0</v>
      </c>
      <c r="D31" s="525">
        <f>SUM(D32:D35)</f>
        <v>0</v>
      </c>
      <c r="E31" s="3159">
        <f t="shared" si="2"/>
        <v>0</v>
      </c>
      <c r="F31" s="3159"/>
      <c r="G31" s="164"/>
      <c r="H31" s="3142"/>
      <c r="I31" s="3142"/>
      <c r="J31" s="3142"/>
      <c r="K31" s="3142"/>
    </row>
    <row r="32" spans="1:11" ht="14.25" customHeight="1">
      <c r="A32" s="143">
        <v>11</v>
      </c>
      <c r="B32" s="2059" t="s">
        <v>6625</v>
      </c>
      <c r="C32" s="1120"/>
      <c r="D32" s="1120"/>
      <c r="E32" s="3159">
        <f t="shared" si="2"/>
        <v>0</v>
      </c>
      <c r="F32" s="3159"/>
      <c r="G32" s="164"/>
      <c r="H32" s="3142"/>
      <c r="I32" s="3142"/>
      <c r="J32" s="3142"/>
      <c r="K32" s="3142"/>
    </row>
    <row r="33" spans="1:11" ht="14.25" customHeight="1">
      <c r="A33" s="143">
        <v>12</v>
      </c>
      <c r="B33" s="980"/>
      <c r="C33" s="1120"/>
      <c r="D33" s="1120"/>
      <c r="E33" s="3159">
        <f t="shared" si="2"/>
        <v>0</v>
      </c>
      <c r="F33" s="3159"/>
      <c r="G33" s="164"/>
      <c r="H33" s="3142"/>
      <c r="I33" s="3142"/>
      <c r="J33" s="3142"/>
      <c r="K33" s="3142"/>
    </row>
    <row r="34" spans="1:11" ht="14.25" customHeight="1">
      <c r="A34" s="143"/>
      <c r="B34" s="980"/>
      <c r="C34" s="1120"/>
      <c r="D34" s="1120"/>
      <c r="E34" s="3159">
        <f t="shared" si="1"/>
        <v>0</v>
      </c>
      <c r="F34" s="3159"/>
      <c r="G34" s="164"/>
      <c r="H34" s="3142"/>
      <c r="I34" s="3142"/>
      <c r="J34" s="3142"/>
      <c r="K34" s="3142"/>
    </row>
    <row r="35" spans="1:11" ht="14.25" customHeight="1">
      <c r="A35" s="138"/>
      <c r="B35" s="981"/>
      <c r="C35" s="1125"/>
      <c r="D35" s="1125"/>
      <c r="E35" s="3159">
        <f t="shared" si="1"/>
        <v>0</v>
      </c>
      <c r="F35" s="3159"/>
      <c r="G35" s="167"/>
      <c r="H35" s="3142"/>
      <c r="I35" s="3142"/>
      <c r="J35" s="3142"/>
      <c r="K35" s="3142"/>
    </row>
    <row r="36" spans="1:11" ht="14.25" customHeight="1">
      <c r="A36" s="3051" t="s">
        <v>1365</v>
      </c>
      <c r="B36" s="3051"/>
      <c r="C36" s="590">
        <f>SUM(C22:C31)</f>
        <v>0</v>
      </c>
      <c r="D36" s="590">
        <f>SUM(D22:D31)</f>
        <v>0</v>
      </c>
      <c r="E36" s="3648">
        <f>SUM(E22:E29)</f>
        <v>0</v>
      </c>
      <c r="F36" s="3648"/>
      <c r="G36" s="982"/>
      <c r="H36" s="983" t="str">
        <f>"账载营业外支出与报表数相差"&amp;DOLLAR(C36-利润!C30,2)</f>
        <v>账载营业外支出与报表数相差¥0.00</v>
      </c>
      <c r="I36" s="84"/>
      <c r="J36" s="84"/>
      <c r="K36" s="812"/>
    </row>
    <row r="37" spans="1:11" ht="30" customHeight="1">
      <c r="A37" s="566" t="s">
        <v>641</v>
      </c>
      <c r="B37" s="3646" t="str">
        <f>IF(C21&lt;&gt;利润!C28,"营业外收入账载数与报表数相差"&amp;DOLLAR(C21-利润!C28,2)&amp;"元！","营业外收入账载数与报表数一致！")</f>
        <v>营业外收入账载数与报表数一致！</v>
      </c>
      <c r="C37" s="3646"/>
      <c r="D37" s="3647" t="str">
        <f>IF(C36&lt;&gt;利润!C30,"营业外支出账载数与报表数相差"&amp;DOLLAR(C36-利润!C30,2)&amp;"元！","营业外支出账载数与报表数一致！")</f>
        <v>营业外支出账载数与报表数一致！</v>
      </c>
      <c r="E37" s="3647"/>
      <c r="F37" s="3647"/>
      <c r="G37" s="3647"/>
      <c r="H37" s="836" t="s">
        <v>456</v>
      </c>
      <c r="I37" s="84"/>
      <c r="J37" s="84"/>
      <c r="K37" s="812"/>
    </row>
    <row r="38" spans="1:11" ht="15" customHeight="1">
      <c r="A38" s="3147" t="s">
        <v>1366</v>
      </c>
      <c r="B38" s="550" t="s">
        <v>1367</v>
      </c>
      <c r="C38" s="3102" t="str">
        <f>IF(OR(D21&lt;&gt;0,D36&lt;&gt;0),"、E","")</f>
        <v/>
      </c>
      <c r="D38" s="3102"/>
      <c r="E38" s="3102"/>
      <c r="F38" s="3102"/>
      <c r="G38" s="3102"/>
      <c r="H38" s="3530" t="s">
        <v>1368</v>
      </c>
      <c r="I38" s="3530"/>
      <c r="J38" s="84"/>
      <c r="K38" s="812"/>
    </row>
    <row r="39" spans="1:11" ht="18" customHeight="1">
      <c r="A39" s="3147"/>
      <c r="B39" s="3593"/>
      <c r="C39" s="3175"/>
      <c r="D39" s="3175"/>
      <c r="E39" s="3175"/>
      <c r="F39" s="3175"/>
      <c r="G39" s="3175"/>
      <c r="H39" s="3530"/>
      <c r="I39" s="3530"/>
      <c r="J39" s="84"/>
      <c r="K39" s="812"/>
    </row>
    <row r="40" spans="1:11" ht="18" customHeight="1">
      <c r="A40" s="3147"/>
      <c r="B40" s="3175"/>
      <c r="C40" s="3175"/>
      <c r="D40" s="3175"/>
      <c r="E40" s="3175"/>
      <c r="F40" s="3175"/>
      <c r="G40" s="3175"/>
      <c r="H40" s="3530"/>
      <c r="I40" s="3530"/>
      <c r="J40" s="84"/>
      <c r="K40" s="812"/>
    </row>
    <row r="41" spans="1:11" ht="15.75" customHeight="1">
      <c r="A41" s="3147"/>
      <c r="B41" s="3175"/>
      <c r="C41" s="3175"/>
      <c r="D41" s="3175"/>
      <c r="E41" s="3175"/>
      <c r="F41" s="3175"/>
      <c r="G41" s="3175"/>
      <c r="H41" s="3142" t="s">
        <v>1369</v>
      </c>
      <c r="I41" s="3142"/>
      <c r="J41" s="84"/>
      <c r="K41" s="812"/>
    </row>
    <row r="42" spans="1:11" ht="18" customHeight="1">
      <c r="A42" s="3147"/>
      <c r="B42" s="3175"/>
      <c r="C42" s="3175"/>
      <c r="D42" s="3175"/>
      <c r="E42" s="3175"/>
      <c r="F42" s="3175"/>
      <c r="G42" s="3175"/>
      <c r="H42" s="3142"/>
      <c r="I42" s="3142"/>
      <c r="J42" s="84"/>
      <c r="K42" s="812"/>
    </row>
    <row r="43" spans="1:11" ht="24" customHeight="1">
      <c r="A43" s="3147"/>
      <c r="B43" s="3175"/>
      <c r="C43" s="3175"/>
      <c r="D43" s="3175"/>
      <c r="E43" s="3175"/>
      <c r="F43" s="3175"/>
      <c r="G43" s="3175"/>
      <c r="H43" s="3142"/>
      <c r="I43" s="3142"/>
      <c r="J43" s="84"/>
      <c r="K43" s="812"/>
    </row>
    <row r="44" spans="1:11" ht="30" customHeight="1">
      <c r="A44" s="528" t="s">
        <v>15</v>
      </c>
      <c r="B44" s="3141" t="str">
        <f>IF(AND(D21=0,D36=0),"没有调整事项，且勾稽关系正确，认可！","调整后，认可！")</f>
        <v>没有调整事项，且勾稽关系正确，认可！</v>
      </c>
      <c r="C44" s="3141"/>
      <c r="D44" s="3141"/>
      <c r="E44" s="3141"/>
      <c r="F44" s="3141"/>
      <c r="G44" s="3141"/>
      <c r="H44" s="3142"/>
      <c r="I44" s="3142"/>
      <c r="J44" s="84"/>
      <c r="K44" s="812"/>
    </row>
    <row r="45" spans="1:11" ht="25.5" customHeight="1">
      <c r="H45" s="3142"/>
      <c r="I45" s="3142"/>
      <c r="J45" s="84"/>
      <c r="K45" s="812"/>
    </row>
    <row r="46" spans="1:11" ht="25.5" customHeight="1">
      <c r="H46" s="84"/>
      <c r="I46" s="84"/>
      <c r="J46" s="84"/>
      <c r="K46" s="812"/>
    </row>
    <row r="47" spans="1:11" ht="25.5" customHeight="1">
      <c r="H47" s="84"/>
      <c r="I47" s="84"/>
      <c r="J47" s="84"/>
      <c r="K47" s="812"/>
    </row>
    <row r="48" spans="1:11" ht="25.5" customHeight="1">
      <c r="H48" s="84"/>
      <c r="I48" s="84"/>
      <c r="J48" s="84"/>
      <c r="K48" s="812"/>
    </row>
    <row r="49" spans="8:11" ht="46.5" customHeight="1">
      <c r="H49" s="84"/>
      <c r="I49" s="84"/>
      <c r="J49" s="84"/>
      <c r="K49" s="812"/>
    </row>
    <row r="50" spans="8:11" ht="25.5" customHeight="1">
      <c r="H50" s="84"/>
      <c r="I50" s="84"/>
      <c r="J50" s="84"/>
      <c r="K50" s="812"/>
    </row>
    <row r="51" spans="8:11" ht="25.5" customHeight="1">
      <c r="H51" s="84"/>
      <c r="I51" s="84"/>
      <c r="J51" s="84"/>
      <c r="K51" s="812"/>
    </row>
    <row r="52" spans="8:11" ht="25.5" customHeight="1">
      <c r="H52" s="84"/>
      <c r="I52" s="84"/>
      <c r="J52" s="84"/>
      <c r="K52" s="812"/>
    </row>
    <row r="53" spans="8:11" ht="25.5" customHeight="1">
      <c r="H53" s="84"/>
      <c r="I53" s="84"/>
      <c r="J53" s="84"/>
      <c r="K53" s="812"/>
    </row>
    <row r="54" spans="8:11" ht="25.5" customHeight="1">
      <c r="H54" s="84"/>
      <c r="I54" s="84"/>
      <c r="J54" s="84"/>
      <c r="K54" s="812"/>
    </row>
    <row r="55" spans="8:11" ht="25.5" customHeight="1">
      <c r="H55" s="84"/>
      <c r="I55" s="84"/>
      <c r="J55" s="84"/>
      <c r="K55" s="812"/>
    </row>
    <row r="56" spans="8:11" ht="25.5" customHeight="1">
      <c r="H56" s="84"/>
      <c r="I56" s="84"/>
      <c r="J56" s="84"/>
      <c r="K56" s="812"/>
    </row>
    <row r="57" spans="8:11" ht="25.5" customHeight="1">
      <c r="H57" s="84"/>
      <c r="I57" s="84"/>
      <c r="J57" s="84"/>
      <c r="K57" s="812"/>
    </row>
    <row r="58" spans="8:11" ht="25.5" customHeight="1">
      <c r="H58" s="84"/>
      <c r="I58" s="84"/>
      <c r="J58" s="84"/>
      <c r="K58" s="812"/>
    </row>
    <row r="59" spans="8:11" ht="25.5" customHeight="1">
      <c r="H59" s="84"/>
      <c r="I59" s="84"/>
      <c r="J59" s="84"/>
      <c r="K59" s="812"/>
    </row>
    <row r="60" spans="8:11" ht="25.5" customHeight="1">
      <c r="H60" s="84"/>
      <c r="I60" s="84"/>
      <c r="J60" s="84"/>
      <c r="K60" s="812"/>
    </row>
    <row r="61" spans="8:11" ht="25.5" customHeight="1">
      <c r="H61" s="84"/>
      <c r="I61" s="84"/>
      <c r="J61" s="84"/>
      <c r="K61" s="812"/>
    </row>
    <row r="62" spans="8:11" ht="25.5" customHeight="1">
      <c r="H62" s="84"/>
      <c r="I62" s="84"/>
      <c r="J62" s="84"/>
      <c r="K62" s="812"/>
    </row>
    <row r="63" spans="8:11" ht="25.5" customHeight="1">
      <c r="H63" s="84"/>
      <c r="I63" s="84"/>
      <c r="J63" s="84"/>
      <c r="K63" s="812"/>
    </row>
    <row r="64" spans="8:11" ht="25.5" customHeight="1">
      <c r="H64" s="84"/>
      <c r="I64" s="84"/>
      <c r="J64" s="84"/>
      <c r="K64" s="812"/>
    </row>
    <row r="65" ht="25.5" customHeight="1"/>
    <row r="66" ht="25.5" customHeight="1"/>
    <row r="67" ht="25.5" customHeight="1"/>
    <row r="68" ht="25.5" customHeight="1"/>
    <row r="69" ht="25.5" customHeight="1"/>
    <row r="70" ht="25.5" customHeight="1"/>
    <row r="71" ht="25.5" customHeight="1"/>
    <row r="72" ht="25.5" customHeight="1"/>
    <row r="73" ht="25.5" customHeight="1"/>
    <row r="74" ht="25.5" customHeight="1"/>
    <row r="75" ht="25.5" customHeight="1"/>
    <row r="76" ht="25.5" customHeight="1"/>
    <row r="77" ht="25.5" customHeight="1"/>
    <row r="78" ht="25.5" customHeight="1"/>
    <row r="79" ht="25.5" customHeight="1"/>
    <row r="80"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sheetData>
  <sheetProtection selectLockedCells="1" selectUnlockedCells="1"/>
  <mergeCells count="49">
    <mergeCell ref="E6:F6"/>
    <mergeCell ref="E7:F7"/>
    <mergeCell ref="A1:G1"/>
    <mergeCell ref="H1:H4"/>
    <mergeCell ref="A2:C2"/>
    <mergeCell ref="A3:C3"/>
    <mergeCell ref="A4:G4"/>
    <mergeCell ref="E5:F5"/>
    <mergeCell ref="H18:I20"/>
    <mergeCell ref="E19:F19"/>
    <mergeCell ref="E20:F20"/>
    <mergeCell ref="H22:K35"/>
    <mergeCell ref="E29:F29"/>
    <mergeCell ref="E30:F30"/>
    <mergeCell ref="E24:F24"/>
    <mergeCell ref="E25:F25"/>
    <mergeCell ref="E33:F33"/>
    <mergeCell ref="E26:F26"/>
    <mergeCell ref="E27:F27"/>
    <mergeCell ref="E23:F23"/>
    <mergeCell ref="E28:F28"/>
    <mergeCell ref="E8:F8"/>
    <mergeCell ref="E9:F9"/>
    <mergeCell ref="E10:F10"/>
    <mergeCell ref="E18:F18"/>
    <mergeCell ref="E11:F11"/>
    <mergeCell ref="E12:F12"/>
    <mergeCell ref="E17:F17"/>
    <mergeCell ref="E13:F13"/>
    <mergeCell ref="E14:F14"/>
    <mergeCell ref="E15:F15"/>
    <mergeCell ref="E16:F16"/>
    <mergeCell ref="A36:B36"/>
    <mergeCell ref="E36:F36"/>
    <mergeCell ref="A38:A43"/>
    <mergeCell ref="C38:G38"/>
    <mergeCell ref="A21:B21"/>
    <mergeCell ref="E21:F21"/>
    <mergeCell ref="E22:F22"/>
    <mergeCell ref="E34:F34"/>
    <mergeCell ref="E35:F35"/>
    <mergeCell ref="E32:F32"/>
    <mergeCell ref="E31:F31"/>
    <mergeCell ref="H41:I45"/>
    <mergeCell ref="B44:G44"/>
    <mergeCell ref="B39:G43"/>
    <mergeCell ref="H38:I40"/>
    <mergeCell ref="B37:C37"/>
    <mergeCell ref="D37:G37"/>
  </mergeCells>
  <phoneticPr fontId="51" type="noConversion"/>
  <dataValidations count="1">
    <dataValidation allowBlank="1" showErrorMessage="1" promptTitle="存在调整事项时" prompt="_x000a_选择 “E”" sqref="C38:G38">
      <formula1>0</formula1>
      <formula2>0</formula2>
    </dataValidation>
  </dataValidations>
  <hyperlinks>
    <hyperlink ref="H6" location="纳税申报数据!A1" display="纳税申报数据"/>
    <hyperlink ref="H7" location="税费缴纳测算!A1" display="税费缴纳测算"/>
    <hyperlink ref="H8" location="主营税金!A1" display="主营税金审核表"/>
    <hyperlink ref="H9" location="收入与申报核对表!A1" display="收入与申报核对表"/>
    <hyperlink ref="H10" location="利润!A1" display="利润及利润分配表"/>
    <hyperlink ref="H11" location="企业各税审核汇总表!A1" display="企业各税审核汇总表"/>
    <hyperlink ref="H12" location="收入明细表!A1" display="收入明细表"/>
    <hyperlink ref="H13" location="成本费用明细表!A1" display="成本费用明细表"/>
    <hyperlink ref="H14" location="纳税调整明细表!A1" display="纳税调整明细表!A1"/>
    <hyperlink ref="H15" location="其他事项!A1" display="其他事项!A1"/>
    <hyperlink ref="H16" location="捐赠!A1" display="捐赠"/>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M28"/>
  <sheetViews>
    <sheetView workbookViewId="0">
      <selection activeCell="I7" sqref="I7"/>
    </sheetView>
  </sheetViews>
  <sheetFormatPr defaultRowHeight="15.6"/>
  <cols>
    <col min="1" max="1" width="3.5" style="130" customWidth="1"/>
    <col min="2" max="2" width="23.3984375" style="130" customWidth="1"/>
    <col min="3" max="3" width="18.5" style="130" customWidth="1"/>
    <col min="4" max="5" width="14.3984375" style="130" customWidth="1"/>
    <col min="6" max="6" width="12.09765625" style="130" customWidth="1"/>
    <col min="7" max="8" width="14.3984375" style="130" customWidth="1"/>
    <col min="9" max="9" width="30.3984375" customWidth="1"/>
  </cols>
  <sheetData>
    <row r="1" spans="1:13" ht="31.5" customHeight="1">
      <c r="A1" s="3179" t="s">
        <v>339</v>
      </c>
      <c r="B1" s="3179"/>
      <c r="C1" s="3179"/>
      <c r="D1" s="3179"/>
      <c r="E1" s="3179"/>
      <c r="F1" s="3179"/>
      <c r="G1" s="3179"/>
      <c r="H1" s="3179"/>
      <c r="I1" s="3596"/>
      <c r="J1" s="84"/>
      <c r="K1" s="84"/>
      <c r="L1" s="84"/>
      <c r="M1" s="84"/>
    </row>
    <row r="2" spans="1:13" ht="15.75" customHeight="1">
      <c r="A2" s="3658" t="str">
        <f>"委托单位："&amp;基本情况!B2</f>
        <v>委托单位：0</v>
      </c>
      <c r="B2" s="3658"/>
      <c r="C2" s="3658"/>
      <c r="D2" s="956" t="s">
        <v>450</v>
      </c>
      <c r="E2" s="984">
        <f>基本情况!B12</f>
        <v>0</v>
      </c>
      <c r="F2" s="593" t="s">
        <v>1455</v>
      </c>
      <c r="G2" s="957" t="str">
        <f>TEXT(基本情况!B21,"yyyy-mm-dd")</f>
        <v>2017-03-16</v>
      </c>
      <c r="H2" s="594" t="s">
        <v>283</v>
      </c>
      <c r="I2" s="3596"/>
      <c r="J2" s="84"/>
      <c r="K2" s="84"/>
      <c r="L2" s="84"/>
      <c r="M2" s="84"/>
    </row>
    <row r="3" spans="1:13" ht="15.75" customHeight="1">
      <c r="A3" s="3324" t="str">
        <f>"会计期间："&amp;基本情况!B7</f>
        <v>会计期间：2016年01月01日至2016年12月31日</v>
      </c>
      <c r="B3" s="3324"/>
      <c r="C3" s="3324"/>
      <c r="D3" s="140" t="s">
        <v>452</v>
      </c>
      <c r="E3" s="959">
        <f>基本情况!B11</f>
        <v>0</v>
      </c>
      <c r="F3" s="140" t="s">
        <v>1455</v>
      </c>
      <c r="G3" s="513" t="str">
        <f>TEXT(基本情况!B22,"yyyy-mm-dd")</f>
        <v>2017-05-04</v>
      </c>
      <c r="H3" s="512" t="str">
        <f>档案索引!D34</f>
        <v>4-1</v>
      </c>
      <c r="I3" s="3596"/>
      <c r="J3" s="84"/>
      <c r="K3" s="84"/>
      <c r="L3" s="84"/>
      <c r="M3" s="84"/>
    </row>
    <row r="4" spans="1:13" ht="7.5" customHeight="1">
      <c r="A4" s="2926"/>
      <c r="B4" s="2926"/>
      <c r="C4" s="2926"/>
      <c r="D4" s="2926"/>
      <c r="E4" s="2926"/>
      <c r="F4" s="2926"/>
      <c r="G4" s="2926"/>
      <c r="H4" s="2926"/>
      <c r="I4" s="3596"/>
      <c r="J4" s="84"/>
      <c r="K4" s="84"/>
      <c r="L4" s="84"/>
      <c r="M4" s="84"/>
    </row>
    <row r="5" spans="1:13" ht="15.75" customHeight="1">
      <c r="A5" s="3584" t="s">
        <v>1370</v>
      </c>
      <c r="B5" s="3584"/>
      <c r="C5" s="3584"/>
      <c r="D5" s="582" t="s">
        <v>1181</v>
      </c>
      <c r="E5" s="3063" t="s">
        <v>1371</v>
      </c>
      <c r="F5" s="3063"/>
      <c r="G5" s="582" t="s">
        <v>980</v>
      </c>
      <c r="H5" s="772" t="s">
        <v>502</v>
      </c>
      <c r="I5" s="3596"/>
      <c r="J5" s="84"/>
      <c r="K5" s="84"/>
      <c r="L5" s="84"/>
      <c r="M5" s="84"/>
    </row>
    <row r="6" spans="1:13" ht="15.75" customHeight="1">
      <c r="A6" s="3163" t="s">
        <v>1372</v>
      </c>
      <c r="B6" s="3652" t="s">
        <v>1373</v>
      </c>
      <c r="C6" s="3652"/>
      <c r="D6" s="1175"/>
      <c r="E6" s="3653">
        <f>D6</f>
        <v>0</v>
      </c>
      <c r="F6" s="3653"/>
      <c r="G6" s="985">
        <f>E6-D6</f>
        <v>0</v>
      </c>
      <c r="H6" s="986">
        <f>IF(D6-E6=0,D6,E6)</f>
        <v>0</v>
      </c>
      <c r="I6" s="84" t="s">
        <v>395</v>
      </c>
      <c r="J6" s="84"/>
      <c r="K6" s="84"/>
      <c r="L6" s="84"/>
      <c r="M6" s="84"/>
    </row>
    <row r="7" spans="1:13" ht="15.75" customHeight="1">
      <c r="A7" s="3163"/>
      <c r="B7" s="3654" t="s">
        <v>1374</v>
      </c>
      <c r="C7" s="3654"/>
      <c r="D7" s="1110"/>
      <c r="E7" s="3655">
        <f>D7</f>
        <v>0</v>
      </c>
      <c r="F7" s="3655"/>
      <c r="G7" s="524">
        <f>E7-D7</f>
        <v>0</v>
      </c>
      <c r="H7" s="736">
        <f>IF(D7-E7=0,D7,E7)</f>
        <v>0</v>
      </c>
      <c r="I7" s="493" t="s">
        <v>1288</v>
      </c>
      <c r="J7" s="84"/>
      <c r="K7" s="84"/>
      <c r="L7" s="84"/>
      <c r="M7" s="84"/>
    </row>
    <row r="8" spans="1:13" ht="15.75" customHeight="1">
      <c r="A8" s="3163"/>
      <c r="B8" s="3656" t="s">
        <v>1375</v>
      </c>
      <c r="C8" s="3656"/>
      <c r="D8" s="1113"/>
      <c r="E8" s="3655">
        <f>D8</f>
        <v>0</v>
      </c>
      <c r="F8" s="3655"/>
      <c r="G8" s="524">
        <f>E8-D8</f>
        <v>0</v>
      </c>
      <c r="H8" s="736">
        <f>IF(D8-E8=0,D8,E8)</f>
        <v>0</v>
      </c>
      <c r="I8" s="493"/>
      <c r="J8" s="84"/>
      <c r="K8" s="84"/>
      <c r="L8" s="84"/>
      <c r="M8" s="84"/>
    </row>
    <row r="9" spans="1:13" ht="15.75" customHeight="1">
      <c r="A9" s="3163"/>
      <c r="B9" s="987"/>
      <c r="C9" s="988"/>
      <c r="D9" s="1113"/>
      <c r="E9" s="3259"/>
      <c r="F9" s="3259"/>
      <c r="G9" s="524">
        <f>E9-D9</f>
        <v>0</v>
      </c>
      <c r="H9" s="736">
        <f>IF(D9-E9=0,D9,E9)</f>
        <v>0</v>
      </c>
      <c r="I9" s="493"/>
      <c r="J9" s="84"/>
      <c r="K9" s="84"/>
      <c r="L9" s="84"/>
      <c r="M9" s="84"/>
    </row>
    <row r="10" spans="1:13" ht="15.75" customHeight="1">
      <c r="A10" s="3163"/>
      <c r="B10" s="3657" t="s">
        <v>1376</v>
      </c>
      <c r="C10" s="3657"/>
      <c r="D10" s="529">
        <f>SUM(D6:D9)</f>
        <v>0</v>
      </c>
      <c r="E10" s="3257">
        <f>SUM(E6:E9)</f>
        <v>0</v>
      </c>
      <c r="F10" s="3257"/>
      <c r="G10" s="529">
        <f>SUM(G6:G9)</f>
        <v>0</v>
      </c>
      <c r="H10" s="989">
        <f>SUM(H6:H9)</f>
        <v>0</v>
      </c>
      <c r="I10" s="84"/>
      <c r="J10" s="84"/>
      <c r="K10" s="84"/>
      <c r="L10" s="84"/>
      <c r="M10" s="84"/>
    </row>
    <row r="11" spans="1:13" ht="26.25" customHeight="1">
      <c r="A11" s="3163" t="s">
        <v>1377</v>
      </c>
      <c r="B11" s="136" t="s">
        <v>424</v>
      </c>
      <c r="C11" s="136" t="s">
        <v>426</v>
      </c>
      <c r="D11" s="990" t="s">
        <v>1181</v>
      </c>
      <c r="E11" s="990" t="s">
        <v>1378</v>
      </c>
      <c r="F11" s="608" t="s">
        <v>1379</v>
      </c>
      <c r="G11" s="990" t="s">
        <v>980</v>
      </c>
      <c r="H11" s="991" t="s">
        <v>502</v>
      </c>
      <c r="I11" s="992" t="s">
        <v>1380</v>
      </c>
      <c r="J11" s="84"/>
      <c r="K11" s="84"/>
      <c r="L11" s="84"/>
      <c r="M11" s="84"/>
    </row>
    <row r="12" spans="1:13" ht="15.75" customHeight="1">
      <c r="A12" s="3163"/>
      <c r="B12" s="1479" t="s">
        <v>6560</v>
      </c>
      <c r="C12" s="1480" t="str">
        <f>IFERROR(基本情况!B40,"")</f>
        <v/>
      </c>
      <c r="D12" s="1190"/>
      <c r="E12" s="993">
        <f t="shared" ref="E12:E18" si="0">D12</f>
        <v>0</v>
      </c>
      <c r="F12" s="1191"/>
      <c r="G12" s="524">
        <f>H12-D12</f>
        <v>0</v>
      </c>
      <c r="H12" s="736">
        <f>IF(F12="否",E12,D12)</f>
        <v>0</v>
      </c>
      <c r="I12" s="84"/>
      <c r="J12" s="84"/>
      <c r="K12" s="84"/>
      <c r="L12" s="84"/>
      <c r="M12" s="84"/>
    </row>
    <row r="13" spans="1:13" ht="15.75" customHeight="1">
      <c r="A13" s="3163"/>
      <c r="B13" s="1323" t="s">
        <v>6561</v>
      </c>
      <c r="C13" s="994"/>
      <c r="D13" s="1190"/>
      <c r="E13" s="993">
        <f t="shared" si="0"/>
        <v>0</v>
      </c>
      <c r="F13" s="1191"/>
      <c r="G13" s="524">
        <f t="shared" ref="G13:G18" si="1">H13-D13</f>
        <v>0</v>
      </c>
      <c r="H13" s="736">
        <f t="shared" ref="H13:H18" si="2">IF(F13="否",E13,D13)</f>
        <v>0</v>
      </c>
      <c r="I13" s="84"/>
      <c r="J13" s="84"/>
      <c r="K13" s="84"/>
      <c r="L13" s="84"/>
      <c r="M13" s="84"/>
    </row>
    <row r="14" spans="1:13" ht="15.75" customHeight="1">
      <c r="A14" s="3163"/>
      <c r="B14" s="1323" t="s">
        <v>6562</v>
      </c>
      <c r="C14" s="994"/>
      <c r="D14" s="1190"/>
      <c r="E14" s="993">
        <f t="shared" si="0"/>
        <v>0</v>
      </c>
      <c r="F14" s="1191"/>
      <c r="G14" s="524">
        <f t="shared" si="1"/>
        <v>0</v>
      </c>
      <c r="H14" s="736">
        <f t="shared" si="2"/>
        <v>0</v>
      </c>
      <c r="I14" s="3107" t="s">
        <v>1381</v>
      </c>
      <c r="J14" s="3107"/>
      <c r="K14" s="3107"/>
      <c r="L14" s="3107"/>
      <c r="M14" s="3107"/>
    </row>
    <row r="15" spans="1:13" ht="15.75" customHeight="1">
      <c r="A15" s="3163"/>
      <c r="B15" s="1323" t="s">
        <v>6563</v>
      </c>
      <c r="C15" s="994"/>
      <c r="D15" s="1190"/>
      <c r="E15" s="993">
        <f t="shared" si="0"/>
        <v>0</v>
      </c>
      <c r="F15" s="1191"/>
      <c r="G15" s="524">
        <f t="shared" si="1"/>
        <v>0</v>
      </c>
      <c r="H15" s="736">
        <f t="shared" si="2"/>
        <v>0</v>
      </c>
      <c r="I15" s="3107"/>
      <c r="J15" s="3107"/>
      <c r="K15" s="3107"/>
      <c r="L15" s="3107"/>
      <c r="M15" s="3107"/>
    </row>
    <row r="16" spans="1:13" ht="15.75" customHeight="1">
      <c r="A16" s="3163"/>
      <c r="B16" s="1323" t="s">
        <v>6564</v>
      </c>
      <c r="C16" s="994"/>
      <c r="D16" s="1190"/>
      <c r="E16" s="993">
        <f t="shared" si="0"/>
        <v>0</v>
      </c>
      <c r="F16" s="1191"/>
      <c r="G16" s="524">
        <f t="shared" si="1"/>
        <v>0</v>
      </c>
      <c r="H16" s="736">
        <f t="shared" si="2"/>
        <v>0</v>
      </c>
      <c r="I16" s="3107"/>
      <c r="J16" s="3107"/>
      <c r="K16" s="3107"/>
      <c r="L16" s="3107"/>
      <c r="M16" s="3107"/>
    </row>
    <row r="17" spans="1:13" ht="15.75" customHeight="1">
      <c r="A17" s="3163"/>
      <c r="B17" s="1323" t="s">
        <v>6565</v>
      </c>
      <c r="C17" s="994"/>
      <c r="D17" s="1190"/>
      <c r="E17" s="993">
        <f t="shared" si="0"/>
        <v>0</v>
      </c>
      <c r="F17" s="1191"/>
      <c r="G17" s="524">
        <f t="shared" si="1"/>
        <v>0</v>
      </c>
      <c r="H17" s="736">
        <f t="shared" si="2"/>
        <v>0</v>
      </c>
      <c r="I17" s="3107"/>
      <c r="J17" s="3107"/>
      <c r="K17" s="3107"/>
      <c r="L17" s="3107"/>
      <c r="M17" s="3107"/>
    </row>
    <row r="18" spans="1:13" ht="15.75" customHeight="1">
      <c r="A18" s="3163"/>
      <c r="B18" s="1323" t="s">
        <v>6566</v>
      </c>
      <c r="C18" s="994"/>
      <c r="D18" s="1190"/>
      <c r="E18" s="993">
        <f t="shared" si="0"/>
        <v>0</v>
      </c>
      <c r="F18" s="1191"/>
      <c r="G18" s="524">
        <f t="shared" si="1"/>
        <v>0</v>
      </c>
      <c r="H18" s="736">
        <f t="shared" si="2"/>
        <v>0</v>
      </c>
      <c r="I18" s="3107"/>
      <c r="J18" s="3107"/>
      <c r="K18" s="3107"/>
      <c r="L18" s="3107"/>
      <c r="M18" s="3107"/>
    </row>
    <row r="19" spans="1:13" ht="15.75" customHeight="1">
      <c r="A19" s="3163"/>
      <c r="B19" s="2931" t="s">
        <v>1382</v>
      </c>
      <c r="C19" s="2931"/>
      <c r="D19" s="529">
        <f>SUM(D12:D18)</f>
        <v>0</v>
      </c>
      <c r="E19" s="529">
        <f>SUM(E12:E18)</f>
        <v>0</v>
      </c>
      <c r="F19" s="1192"/>
      <c r="G19" s="529">
        <f>SUM(G12:G18)</f>
        <v>0</v>
      </c>
      <c r="H19" s="989">
        <f>SUM(H12:H18)</f>
        <v>0</v>
      </c>
      <c r="I19" s="3107"/>
      <c r="J19" s="3107"/>
      <c r="K19" s="3107"/>
      <c r="L19" s="3107"/>
      <c r="M19" s="3107"/>
    </row>
    <row r="20" spans="1:13" ht="15.75" customHeight="1">
      <c r="A20" s="3163" t="s">
        <v>1383</v>
      </c>
      <c r="B20" s="3650"/>
      <c r="C20" s="3650"/>
      <c r="D20" s="1193"/>
      <c r="E20" s="1194"/>
      <c r="F20" s="1194"/>
      <c r="G20" s="1193"/>
      <c r="H20" s="986">
        <f>D20+G20</f>
        <v>0</v>
      </c>
      <c r="I20" s="3107"/>
      <c r="J20" s="3107"/>
      <c r="K20" s="3107"/>
      <c r="L20" s="3107"/>
      <c r="M20" s="3107"/>
    </row>
    <row r="21" spans="1:13" ht="15.75" customHeight="1">
      <c r="A21" s="3163"/>
      <c r="B21" s="3651"/>
      <c r="C21" s="3651"/>
      <c r="D21" s="1190"/>
      <c r="E21" s="1108"/>
      <c r="F21" s="1108"/>
      <c r="G21" s="1190"/>
      <c r="H21" s="736">
        <f>D21+G21</f>
        <v>0</v>
      </c>
      <c r="I21" s="3107"/>
      <c r="J21" s="3107"/>
      <c r="K21" s="3107"/>
      <c r="L21" s="3107"/>
      <c r="M21" s="3107"/>
    </row>
    <row r="22" spans="1:13" ht="15.75" customHeight="1">
      <c r="A22" s="3163"/>
      <c r="B22" s="3651"/>
      <c r="C22" s="3651"/>
      <c r="D22" s="1190"/>
      <c r="E22" s="1108"/>
      <c r="F22" s="1108"/>
      <c r="G22" s="1190"/>
      <c r="H22" s="736">
        <f>D22+G22</f>
        <v>0</v>
      </c>
      <c r="I22" s="3107"/>
      <c r="J22" s="3107"/>
      <c r="K22" s="3107"/>
      <c r="L22" s="3107"/>
      <c r="M22" s="3107"/>
    </row>
    <row r="23" spans="1:13" ht="15.75" customHeight="1">
      <c r="A23" s="3163"/>
      <c r="B23" s="2931" t="s">
        <v>1384</v>
      </c>
      <c r="C23" s="2931"/>
      <c r="D23" s="529">
        <f>SUM(D20:D22)</f>
        <v>0</v>
      </c>
      <c r="E23" s="529">
        <f>SUM(E20:E22)</f>
        <v>0</v>
      </c>
      <c r="F23" s="529">
        <f>SUM(F20:F22)</f>
        <v>0</v>
      </c>
      <c r="G23" s="529">
        <f>SUM(G20:G22)</f>
        <v>0</v>
      </c>
      <c r="H23" s="989">
        <f>SUM(H20:H22)</f>
        <v>0</v>
      </c>
      <c r="I23" s="3107" t="s">
        <v>1385</v>
      </c>
      <c r="J23" s="3107"/>
      <c r="K23" s="3107"/>
      <c r="L23" s="3107"/>
      <c r="M23" s="3107"/>
    </row>
    <row r="24" spans="1:13" ht="15.75" customHeight="1">
      <c r="A24" s="3140" t="s">
        <v>1386</v>
      </c>
      <c r="B24" s="3140"/>
      <c r="C24" s="3140"/>
      <c r="D24" s="995">
        <f>D10+D19+D23</f>
        <v>0</v>
      </c>
      <c r="E24" s="996"/>
      <c r="F24" s="996"/>
      <c r="G24" s="995">
        <f>G10+G19+G23</f>
        <v>0</v>
      </c>
      <c r="H24" s="997">
        <f>H10+H19+H23</f>
        <v>0</v>
      </c>
      <c r="I24" s="3107"/>
      <c r="J24" s="3107"/>
      <c r="K24" s="3107"/>
      <c r="L24" s="3107"/>
      <c r="M24" s="3107"/>
    </row>
    <row r="25" spans="1:13" ht="27.75" customHeight="1">
      <c r="A25" s="3051" t="s">
        <v>641</v>
      </c>
      <c r="B25" s="3051"/>
      <c r="C25" s="3270" t="str">
        <f>IF(D24&lt;&gt;资产负债!D5,"货币资金账载数与报表数相差"&amp;DOLLAR(D24-资产负债!D5,2)&amp;"元，请查明原因！","货币资金账载数与报表数相符！")</f>
        <v>货币资金账载数与报表数相符！</v>
      </c>
      <c r="D25" s="3270"/>
      <c r="E25" s="3270"/>
      <c r="F25" s="3270"/>
      <c r="G25" s="3270"/>
      <c r="H25" s="3270"/>
      <c r="I25" s="3107"/>
      <c r="J25" s="3107"/>
      <c r="K25" s="3107"/>
      <c r="L25" s="3107"/>
      <c r="M25" s="3107"/>
    </row>
    <row r="26" spans="1:13" ht="15" customHeight="1">
      <c r="A26" s="3065" t="s">
        <v>1323</v>
      </c>
      <c r="B26" s="3065"/>
      <c r="C26" s="550" t="s">
        <v>1387</v>
      </c>
      <c r="D26" s="3102" t="str">
        <f>IF(G24&lt;&gt;0,"、E","")</f>
        <v/>
      </c>
      <c r="E26" s="3102"/>
      <c r="F26" s="3102"/>
      <c r="G26" s="3102"/>
      <c r="H26" s="3102"/>
      <c r="I26" s="523"/>
      <c r="J26" s="748"/>
      <c r="K26" s="748"/>
      <c r="L26" s="748"/>
      <c r="M26" s="748"/>
    </row>
    <row r="27" spans="1:13" ht="25.5" customHeight="1">
      <c r="A27" s="3065"/>
      <c r="B27" s="3065"/>
      <c r="C27" s="3649"/>
      <c r="D27" s="3649"/>
      <c r="E27" s="3649"/>
      <c r="F27" s="3649"/>
      <c r="G27" s="3649"/>
      <c r="H27" s="3649"/>
    </row>
    <row r="28" spans="1:13" ht="21" customHeight="1">
      <c r="A28" s="3172" t="s">
        <v>574</v>
      </c>
      <c r="B28" s="3172"/>
      <c r="C28" s="3141" t="str">
        <f>IF(H24&lt;&gt;D24,"货币资金调整后认可！","货币资金与相关文件相符,认可！")</f>
        <v>货币资金与相关文件相符,认可！</v>
      </c>
      <c r="D28" s="3141"/>
      <c r="E28" s="3141"/>
      <c r="F28" s="3141"/>
      <c r="G28" s="3141"/>
      <c r="H28" s="3141"/>
    </row>
  </sheetData>
  <sheetProtection selectLockedCells="1" selectUnlockedCells="1"/>
  <mergeCells count="34">
    <mergeCell ref="A1:H1"/>
    <mergeCell ref="I1:I5"/>
    <mergeCell ref="A2:C2"/>
    <mergeCell ref="A3:C3"/>
    <mergeCell ref="A4:H4"/>
    <mergeCell ref="A5:C5"/>
    <mergeCell ref="E5:F5"/>
    <mergeCell ref="A6:A10"/>
    <mergeCell ref="B6:C6"/>
    <mergeCell ref="E6:F6"/>
    <mergeCell ref="B7:C7"/>
    <mergeCell ref="E7:F7"/>
    <mergeCell ref="B8:C8"/>
    <mergeCell ref="E8:F8"/>
    <mergeCell ref="E9:F9"/>
    <mergeCell ref="B10:C10"/>
    <mergeCell ref="E10:F10"/>
    <mergeCell ref="A11:A19"/>
    <mergeCell ref="I14:M22"/>
    <mergeCell ref="B19:C19"/>
    <mergeCell ref="A20:A23"/>
    <mergeCell ref="B20:C20"/>
    <mergeCell ref="B21:C21"/>
    <mergeCell ref="B22:C22"/>
    <mergeCell ref="B23:C23"/>
    <mergeCell ref="I23:M25"/>
    <mergeCell ref="A24:C24"/>
    <mergeCell ref="A25:B25"/>
    <mergeCell ref="C25:H25"/>
    <mergeCell ref="A26:B27"/>
    <mergeCell ref="D26:H26"/>
    <mergeCell ref="C27:H27"/>
    <mergeCell ref="A28:B28"/>
    <mergeCell ref="C28:H28"/>
  </mergeCells>
  <phoneticPr fontId="51" type="noConversion"/>
  <dataValidations count="2">
    <dataValidation allowBlank="1" showErrorMessage="1" promptTitle="存在调整事项时" prompt="_x000a_选择 “E”" sqref="D26:H26">
      <formula1>0</formula1>
      <formula2>0</formula2>
    </dataValidation>
    <dataValidation type="list" allowBlank="1" showErrorMessage="1" sqref="F12:F18">
      <formula1>"是,否"</formula1>
      <formula2>0</formula2>
    </dataValidation>
  </dataValidations>
  <hyperlinks>
    <hyperlink ref="I7" location="资产负债!A1" display="资产负债表"/>
    <hyperlink ref="I11" location="现金证明!A1" display="现金证明"/>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L24"/>
  <sheetViews>
    <sheetView workbookViewId="0"/>
  </sheetViews>
  <sheetFormatPr defaultColWidth="9" defaultRowHeight="15.6"/>
  <cols>
    <col min="1" max="1" width="14.69921875" style="92" customWidth="1"/>
    <col min="2" max="2" width="35" style="92" customWidth="1"/>
    <col min="3" max="3" width="6" style="92" customWidth="1"/>
    <col min="4" max="4" width="17.59765625" style="92" customWidth="1"/>
    <col min="5" max="5" width="2.19921875" style="92" customWidth="1"/>
    <col min="6" max="16384" width="9" style="92"/>
  </cols>
  <sheetData>
    <row r="1" spans="1:12" s="317" customFormat="1" ht="44.25" customHeight="1">
      <c r="A1" s="315"/>
      <c r="B1" s="2729" t="s">
        <v>515</v>
      </c>
      <c r="C1" s="2729"/>
      <c r="D1" s="2729"/>
      <c r="E1" s="2729"/>
      <c r="F1" s="316"/>
      <c r="G1" s="316"/>
      <c r="H1" s="316"/>
      <c r="I1" s="316"/>
      <c r="J1" s="316"/>
      <c r="K1" s="316"/>
      <c r="L1" s="316"/>
    </row>
    <row r="2" spans="1:12" ht="18.75" customHeight="1">
      <c r="A2" s="318"/>
      <c r="B2" s="3029"/>
      <c r="C2" s="3029"/>
      <c r="D2" s="3029"/>
      <c r="E2" s="3029"/>
      <c r="F2" s="98"/>
      <c r="G2" s="98"/>
      <c r="H2" s="98"/>
      <c r="I2" s="98"/>
      <c r="J2" s="98"/>
      <c r="K2" s="98"/>
      <c r="L2" s="98"/>
    </row>
    <row r="3" spans="1:12" ht="33" customHeight="1">
      <c r="A3" s="319" t="s">
        <v>516</v>
      </c>
      <c r="B3" s="3664">
        <f>基本情况!B2</f>
        <v>0</v>
      </c>
      <c r="C3" s="3664"/>
      <c r="D3" s="3664"/>
      <c r="E3" s="3664"/>
      <c r="F3" s="98"/>
      <c r="G3" s="98"/>
      <c r="H3" s="98"/>
      <c r="I3" s="98"/>
      <c r="J3" s="98"/>
      <c r="K3" s="98"/>
      <c r="L3" s="98"/>
    </row>
    <row r="4" spans="1:12" ht="33" customHeight="1">
      <c r="A4" s="320"/>
      <c r="B4" s="3665"/>
      <c r="C4" s="3665"/>
      <c r="D4" s="3665"/>
      <c r="E4" s="3665"/>
      <c r="F4" s="98"/>
      <c r="G4" s="98"/>
      <c r="H4" s="98"/>
      <c r="I4" s="98"/>
      <c r="J4" s="98"/>
      <c r="K4" s="98"/>
      <c r="L4" s="98"/>
    </row>
    <row r="5" spans="1:12" ht="33" customHeight="1">
      <c r="A5" s="3663" t="str">
        <f>"兹证明上述公司在以下结算日  "&amp;本年度&amp;"年"&amp;截止月&amp;"月"&amp;截止日&amp;"日"&amp;"  持有现金额为："</f>
        <v>兹证明上述公司在以下结算日  2016年12月31日  持有现金额为：</v>
      </c>
      <c r="B5" s="3663"/>
      <c r="C5" s="3663"/>
      <c r="D5" s="3663"/>
      <c r="E5" s="3663"/>
      <c r="F5" s="2915" t="s">
        <v>395</v>
      </c>
      <c r="G5" s="2915"/>
      <c r="H5" s="98"/>
      <c r="I5" s="321"/>
      <c r="J5" s="98"/>
      <c r="K5" s="98"/>
      <c r="L5" s="98"/>
    </row>
    <row r="6" spans="1:12" ht="33" customHeight="1">
      <c r="A6" s="318" t="s">
        <v>517</v>
      </c>
      <c r="B6" s="322" t="str">
        <f>IF(D6&lt;0,"負","")&amp;TEXT(TRUNC(ABS(ROUND(D6,2))),"[DBNum2]")&amp;"元"&amp;IF(ISERR(FIND(".",ROUND(D6,2))),"",TEXT(RIGHT(TRUNC(ROUND(D6,2)*10)),"[DBNum2]"))&amp;IF(ISERR(FIND(".0",TEXT(D6,"0.00"))),"角","")&amp;IF(LEFT(RIGHT(ROUND(D6,2),3))=".",TEXT(RIGHT(ROUND(D6,2)),"[DBNum2]")&amp;"分","整")</f>
        <v>零元整</v>
      </c>
      <c r="C6" s="318" t="s">
        <v>518</v>
      </c>
      <c r="D6" s="323">
        <f>货币资金!E6</f>
        <v>0</v>
      </c>
      <c r="E6" s="324" t="s">
        <v>519</v>
      </c>
      <c r="F6" s="3660" t="s">
        <v>339</v>
      </c>
      <c r="G6" s="3660"/>
      <c r="H6" s="98"/>
      <c r="I6" s="98"/>
      <c r="J6" s="98"/>
      <c r="K6" s="98"/>
      <c r="L6" s="98"/>
    </row>
    <row r="7" spans="1:12" ht="33" customHeight="1">
      <c r="A7" s="318" t="s">
        <v>520</v>
      </c>
      <c r="B7" s="322" t="str">
        <f>IF(D7&lt;0,"負","")&amp;TEXT(TRUNC(ABS(ROUND(D7,2))),"[DBNum2]")&amp;"元"&amp;IF(ISERR(FIND(".",ROUND(D7,2))),"",TEXT(RIGHT(TRUNC(ROUND(D7,2)*10)),"[DBNum2]"))&amp;IF(ISERR(FIND(".0",TEXT(D7,"0.00"))),"角","")&amp;IF(LEFT(RIGHT(ROUND(D7,2),3))=".",TEXT(RIGHT(ROUND(D7,2)),"[DBNum2]")&amp;"分","整")</f>
        <v>零元整</v>
      </c>
      <c r="C7" s="318" t="s">
        <v>521</v>
      </c>
      <c r="D7" s="323">
        <f>货币资金!E7</f>
        <v>0</v>
      </c>
      <c r="E7" s="324" t="s">
        <v>519</v>
      </c>
      <c r="F7" s="98"/>
      <c r="G7" s="98"/>
      <c r="H7" s="98"/>
      <c r="I7" s="98"/>
      <c r="J7" s="98"/>
      <c r="K7" s="98"/>
      <c r="L7" s="98"/>
    </row>
    <row r="8" spans="1:12" ht="33" customHeight="1">
      <c r="A8" s="318" t="s">
        <v>522</v>
      </c>
      <c r="B8" s="322" t="str">
        <f>IF(D8&lt;0,"負","")&amp;TEXT(TRUNC(ABS(ROUND(D8,2))),"[DBNum2]")&amp;"元"&amp;IF(ISERR(FIND(".",ROUND(D8,2))),"",TEXT(RIGHT(TRUNC(ROUND(D8,2)*10)),"[DBNum2]"))&amp;IF(ISERR(FIND(".0",TEXT(D8,"0.00"))),"角","")&amp;IF(LEFT(RIGHT(ROUND(D8,2),3))=".",TEXT(RIGHT(ROUND(D8,2)),"[DBNum2]")&amp;"分","整")</f>
        <v>零元整</v>
      </c>
      <c r="C8" s="318" t="s">
        <v>523</v>
      </c>
      <c r="D8" s="323">
        <f>货币资金!E8</f>
        <v>0</v>
      </c>
      <c r="E8" s="324" t="s">
        <v>524</v>
      </c>
      <c r="F8" s="98"/>
      <c r="G8" s="98"/>
      <c r="H8" s="98"/>
      <c r="I8" s="98"/>
      <c r="J8" s="98"/>
      <c r="K8" s="98"/>
      <c r="L8" s="98"/>
    </row>
    <row r="9" spans="1:12" ht="33" customHeight="1">
      <c r="A9" s="318"/>
      <c r="B9" s="325"/>
      <c r="C9" s="318"/>
      <c r="D9" s="1093"/>
      <c r="E9" s="324"/>
      <c r="F9" s="98"/>
      <c r="G9" s="98"/>
      <c r="H9" s="98"/>
      <c r="I9" s="98"/>
      <c r="J9" s="98"/>
      <c r="K9" s="98"/>
      <c r="L9" s="98"/>
    </row>
    <row r="10" spans="1:12" ht="33" customHeight="1">
      <c r="A10" s="318"/>
      <c r="B10" s="325"/>
      <c r="C10" s="318"/>
      <c r="D10" s="1093"/>
      <c r="E10" s="324"/>
      <c r="F10" s="98"/>
      <c r="G10" s="98"/>
      <c r="H10" s="98"/>
      <c r="I10" s="98"/>
      <c r="J10" s="98"/>
      <c r="K10" s="98"/>
      <c r="L10" s="98"/>
    </row>
    <row r="11" spans="1:12" ht="33" customHeight="1">
      <c r="A11" s="318"/>
      <c r="B11" s="318" t="s">
        <v>525</v>
      </c>
      <c r="C11" s="3661" t="s">
        <v>526</v>
      </c>
      <c r="D11" s="3661"/>
      <c r="E11" s="3661"/>
      <c r="F11" s="98"/>
      <c r="G11" s="98"/>
      <c r="H11" s="98"/>
      <c r="I11" s="98"/>
      <c r="J11" s="98"/>
      <c r="K11" s="98"/>
      <c r="L11" s="98"/>
    </row>
    <row r="12" spans="1:12" ht="40.5" customHeight="1">
      <c r="A12" s="318"/>
      <c r="B12" s="318"/>
      <c r="C12" s="3662"/>
      <c r="D12" s="3662"/>
      <c r="E12" s="3662"/>
      <c r="F12" s="98"/>
      <c r="G12" s="98"/>
      <c r="H12" s="98"/>
      <c r="I12" s="98"/>
      <c r="J12" s="98"/>
      <c r="K12" s="98"/>
      <c r="L12" s="98"/>
    </row>
    <row r="13" spans="1:12" s="329" customFormat="1" ht="33" customHeight="1">
      <c r="A13" s="326"/>
      <c r="B13" s="327" t="s">
        <v>527</v>
      </c>
      <c r="C13" s="3661"/>
      <c r="D13" s="3661"/>
      <c r="E13" s="3661"/>
      <c r="F13" s="328"/>
      <c r="G13" s="328"/>
      <c r="H13" s="328"/>
      <c r="I13" s="328"/>
      <c r="J13" s="328"/>
      <c r="K13" s="328"/>
      <c r="L13" s="328"/>
    </row>
    <row r="14" spans="1:12" s="329" customFormat="1" ht="40.5" customHeight="1">
      <c r="A14" s="326"/>
      <c r="B14" s="327" t="s">
        <v>528</v>
      </c>
      <c r="C14" s="3661"/>
      <c r="D14" s="3661"/>
      <c r="E14" s="3661"/>
      <c r="F14" s="328"/>
      <c r="G14" s="328"/>
      <c r="H14" s="328"/>
      <c r="I14" s="328"/>
      <c r="J14" s="328"/>
      <c r="K14" s="328"/>
      <c r="L14" s="328"/>
    </row>
    <row r="15" spans="1:12" s="329" customFormat="1" ht="40.5" customHeight="1">
      <c r="A15" s="326"/>
      <c r="B15" s="327" t="s">
        <v>529</v>
      </c>
      <c r="C15" s="3661"/>
      <c r="D15" s="3661"/>
      <c r="E15" s="3661"/>
      <c r="F15" s="328"/>
      <c r="G15" s="328"/>
      <c r="H15" s="328"/>
      <c r="I15" s="328"/>
      <c r="J15" s="328"/>
      <c r="K15" s="328"/>
      <c r="L15" s="328"/>
    </row>
    <row r="16" spans="1:12" s="329" customFormat="1" ht="33" customHeight="1">
      <c r="A16" s="326"/>
      <c r="B16" s="327" t="s">
        <v>1455</v>
      </c>
      <c r="C16" s="3659" t="str">
        <f>基本情况!B21</f>
        <v>2017年3月16日</v>
      </c>
      <c r="D16" s="3659"/>
      <c r="E16" s="3659"/>
      <c r="F16" s="328"/>
      <c r="G16" s="328"/>
      <c r="H16" s="328"/>
      <c r="I16" s="328"/>
      <c r="J16" s="328"/>
      <c r="K16" s="328"/>
      <c r="L16" s="328"/>
    </row>
    <row r="17" spans="5:5">
      <c r="E17" s="330"/>
    </row>
    <row r="18" spans="5:5">
      <c r="E18" s="330"/>
    </row>
    <row r="19" spans="5:5">
      <c r="E19" s="330"/>
    </row>
    <row r="20" spans="5:5">
      <c r="E20" s="330"/>
    </row>
    <row r="21" spans="5:5">
      <c r="E21" s="330"/>
    </row>
    <row r="22" spans="5:5">
      <c r="E22" s="330"/>
    </row>
    <row r="23" spans="5:5">
      <c r="E23" s="330"/>
    </row>
    <row r="24" spans="5:5">
      <c r="E24" s="330"/>
    </row>
  </sheetData>
  <sheetProtection selectLockedCells="1" selectUnlockedCells="1"/>
  <mergeCells count="13">
    <mergeCell ref="A5:E5"/>
    <mergeCell ref="F5:G5"/>
    <mergeCell ref="B1:E1"/>
    <mergeCell ref="B2:E2"/>
    <mergeCell ref="B3:E3"/>
    <mergeCell ref="B4:E4"/>
    <mergeCell ref="C16:E16"/>
    <mergeCell ref="F6:G6"/>
    <mergeCell ref="C11:E11"/>
    <mergeCell ref="C12:E12"/>
    <mergeCell ref="C13:E13"/>
    <mergeCell ref="C14:E14"/>
    <mergeCell ref="C15:E15"/>
  </mergeCells>
  <phoneticPr fontId="51" type="noConversion"/>
  <hyperlinks>
    <hyperlink ref="F6" location="货币资金!A1" display="货币资金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G34"/>
  <sheetViews>
    <sheetView workbookViewId="0">
      <selection sqref="A1:B1"/>
    </sheetView>
  </sheetViews>
  <sheetFormatPr defaultColWidth="9" defaultRowHeight="15.6"/>
  <cols>
    <col min="1" max="2" width="37.3984375" style="317" customWidth="1"/>
    <col min="3" max="16384" width="9" style="317"/>
  </cols>
  <sheetData>
    <row r="1" spans="1:7" ht="26.25" customHeight="1">
      <c r="A1" s="3667" t="s">
        <v>61</v>
      </c>
      <c r="B1" s="3668"/>
      <c r="C1" s="316"/>
      <c r="D1" s="316"/>
      <c r="E1" s="316"/>
      <c r="F1" s="316"/>
      <c r="G1" s="316"/>
    </row>
    <row r="2" spans="1:7">
      <c r="A2" s="3669"/>
      <c r="B2" s="3670"/>
      <c r="C2" s="316"/>
      <c r="D2" s="316"/>
      <c r="E2" s="316"/>
      <c r="F2" s="316"/>
      <c r="G2" s="316"/>
    </row>
    <row r="3" spans="1:7">
      <c r="A3" s="1949" t="s">
        <v>1388</v>
      </c>
      <c r="B3" s="1948" t="str">
        <f>本年度&amp;"年"&amp;截止月&amp;"月"&amp;截止日&amp;"日"</f>
        <v>2016年12月31日</v>
      </c>
      <c r="C3" s="316"/>
      <c r="D3" s="316"/>
      <c r="E3" s="316"/>
      <c r="F3" s="316"/>
      <c r="G3" s="316"/>
    </row>
    <row r="4" spans="1:7">
      <c r="A4" s="3669"/>
      <c r="B4" s="3670"/>
      <c r="C4" s="316"/>
      <c r="D4" s="316"/>
      <c r="E4" s="316"/>
      <c r="F4" s="316"/>
      <c r="G4" s="316"/>
    </row>
    <row r="5" spans="1:7" ht="21" customHeight="1">
      <c r="A5" s="998" t="str">
        <f>"编制单位："&amp;基本情况!B2</f>
        <v>编制单位：0</v>
      </c>
      <c r="B5" s="1951" t="s">
        <v>1389</v>
      </c>
      <c r="C5" s="316"/>
      <c r="D5" s="316"/>
      <c r="E5" s="316"/>
      <c r="F5" s="316"/>
      <c r="G5" s="316"/>
    </row>
    <row r="6" spans="1:7" ht="21" customHeight="1">
      <c r="A6" s="999" t="s">
        <v>1390</v>
      </c>
      <c r="B6" s="1950" t="s">
        <v>1391</v>
      </c>
      <c r="C6" s="316"/>
      <c r="D6" s="316"/>
      <c r="E6" s="316"/>
      <c r="F6" s="316"/>
      <c r="G6" s="316"/>
    </row>
    <row r="7" spans="1:7" ht="21" customHeight="1">
      <c r="A7" s="1000" t="s">
        <v>1392</v>
      </c>
      <c r="B7" s="1000" t="s">
        <v>1393</v>
      </c>
      <c r="C7" s="316"/>
      <c r="D7" s="316"/>
      <c r="E7" s="316"/>
      <c r="F7" s="316"/>
      <c r="G7" s="316"/>
    </row>
    <row r="8" spans="1:7" ht="18" customHeight="1">
      <c r="A8" s="1001" t="s">
        <v>1394</v>
      </c>
      <c r="B8" s="1001" t="s">
        <v>1394</v>
      </c>
      <c r="C8" s="316"/>
      <c r="D8" s="316"/>
      <c r="E8" s="316"/>
      <c r="F8" s="316"/>
      <c r="G8" s="316"/>
    </row>
    <row r="9" spans="1:7" ht="18" customHeight="1">
      <c r="A9" s="1001" t="s">
        <v>1395</v>
      </c>
      <c r="B9" s="1001" t="s">
        <v>1395</v>
      </c>
      <c r="C9" s="316"/>
      <c r="D9" s="316"/>
      <c r="E9" s="316"/>
      <c r="F9" s="316"/>
      <c r="G9" s="316"/>
    </row>
    <row r="10" spans="1:7" ht="18" customHeight="1">
      <c r="A10" s="1001" t="s">
        <v>1396</v>
      </c>
      <c r="B10" s="1001" t="s">
        <v>1396</v>
      </c>
      <c r="C10" s="316"/>
      <c r="D10" s="316"/>
      <c r="E10" s="316"/>
      <c r="F10" s="316"/>
      <c r="G10" s="316"/>
    </row>
    <row r="11" spans="1:7" ht="18" customHeight="1">
      <c r="A11" s="1001" t="s">
        <v>1395</v>
      </c>
      <c r="B11" s="1001" t="s">
        <v>1395</v>
      </c>
      <c r="C11" s="316"/>
      <c r="D11" s="316"/>
      <c r="E11" s="316"/>
      <c r="F11" s="316"/>
      <c r="G11" s="316"/>
    </row>
    <row r="12" spans="1:7" ht="18" customHeight="1">
      <c r="A12" s="1001" t="s">
        <v>1397</v>
      </c>
      <c r="B12" s="1001" t="s">
        <v>1397</v>
      </c>
      <c r="C12" s="316"/>
      <c r="D12" s="316"/>
      <c r="E12" s="316"/>
      <c r="F12" s="316"/>
      <c r="G12" s="316"/>
    </row>
    <row r="13" spans="1:7" ht="18" customHeight="1">
      <c r="A13" s="1001" t="s">
        <v>1395</v>
      </c>
      <c r="B13" s="1001" t="s">
        <v>1395</v>
      </c>
      <c r="C13" s="316"/>
      <c r="D13" s="316"/>
      <c r="E13" s="316"/>
      <c r="F13" s="316"/>
      <c r="G13" s="316"/>
    </row>
    <row r="14" spans="1:7" ht="18" customHeight="1">
      <c r="A14" s="1001" t="s">
        <v>1398</v>
      </c>
      <c r="B14" s="1001" t="s">
        <v>1398</v>
      </c>
      <c r="C14" s="316"/>
      <c r="D14" s="316"/>
      <c r="E14" s="316"/>
      <c r="F14" s="316"/>
      <c r="G14" s="316"/>
    </row>
    <row r="15" spans="1:7" ht="18" customHeight="1">
      <c r="A15" s="1001" t="s">
        <v>1395</v>
      </c>
      <c r="B15" s="1001" t="s">
        <v>1395</v>
      </c>
      <c r="C15" s="316"/>
      <c r="D15" s="316"/>
      <c r="E15" s="316"/>
      <c r="F15" s="316"/>
      <c r="G15" s="316"/>
    </row>
    <row r="16" spans="1:7" ht="18" customHeight="1">
      <c r="A16" s="1002"/>
      <c r="B16" s="1002"/>
      <c r="C16" s="316"/>
      <c r="D16" s="316"/>
      <c r="E16" s="316"/>
      <c r="F16" s="316"/>
      <c r="G16" s="316"/>
    </row>
    <row r="17" spans="1:7" ht="18" customHeight="1">
      <c r="A17" s="1002"/>
      <c r="B17" s="1002"/>
      <c r="C17" s="316"/>
      <c r="D17" s="316"/>
      <c r="E17" s="316"/>
      <c r="F17" s="316"/>
      <c r="G17" s="316"/>
    </row>
    <row r="18" spans="1:7" ht="21" customHeight="1">
      <c r="A18" s="1000" t="s">
        <v>1399</v>
      </c>
      <c r="B18" s="1000" t="s">
        <v>1400</v>
      </c>
      <c r="C18" s="316"/>
      <c r="D18" s="316"/>
      <c r="E18" s="316"/>
      <c r="F18" s="316"/>
      <c r="G18" s="316"/>
    </row>
    <row r="19" spans="1:7" ht="18" customHeight="1">
      <c r="A19" s="1001" t="s">
        <v>1394</v>
      </c>
      <c r="B19" s="1001" t="s">
        <v>1394</v>
      </c>
      <c r="C19" s="316"/>
      <c r="D19" s="316"/>
      <c r="E19" s="316"/>
      <c r="F19" s="316"/>
      <c r="G19" s="316"/>
    </row>
    <row r="20" spans="1:7" ht="18" customHeight="1">
      <c r="A20" s="1001" t="s">
        <v>1395</v>
      </c>
      <c r="B20" s="1001" t="s">
        <v>1395</v>
      </c>
      <c r="C20" s="316"/>
      <c r="D20" s="316"/>
      <c r="E20" s="316"/>
      <c r="F20" s="316"/>
      <c r="G20" s="316"/>
    </row>
    <row r="21" spans="1:7" ht="18" customHeight="1">
      <c r="A21" s="1001" t="s">
        <v>1396</v>
      </c>
      <c r="B21" s="1001" t="s">
        <v>1396</v>
      </c>
      <c r="C21" s="316"/>
      <c r="D21" s="316"/>
      <c r="E21" s="316"/>
      <c r="F21" s="316"/>
      <c r="G21" s="316"/>
    </row>
    <row r="22" spans="1:7" ht="18" customHeight="1">
      <c r="A22" s="1001" t="s">
        <v>1395</v>
      </c>
      <c r="B22" s="1001" t="s">
        <v>1395</v>
      </c>
      <c r="C22" s="316"/>
      <c r="D22" s="316"/>
      <c r="E22" s="316"/>
      <c r="F22" s="316"/>
      <c r="G22" s="316"/>
    </row>
    <row r="23" spans="1:7" ht="18" customHeight="1">
      <c r="A23" s="1001" t="s">
        <v>1397</v>
      </c>
      <c r="B23" s="1001" t="s">
        <v>1397</v>
      </c>
      <c r="C23" s="316"/>
      <c r="D23" s="316"/>
      <c r="E23" s="316"/>
      <c r="F23" s="316"/>
      <c r="G23" s="316"/>
    </row>
    <row r="24" spans="1:7" ht="18" customHeight="1">
      <c r="A24" s="1001" t="s">
        <v>1395</v>
      </c>
      <c r="B24" s="1001" t="s">
        <v>1395</v>
      </c>
      <c r="C24" s="316"/>
      <c r="D24" s="316"/>
      <c r="E24" s="316"/>
      <c r="F24" s="316"/>
      <c r="G24" s="316"/>
    </row>
    <row r="25" spans="1:7" ht="18" customHeight="1">
      <c r="A25" s="1001" t="s">
        <v>1398</v>
      </c>
      <c r="B25" s="1001" t="s">
        <v>1398</v>
      </c>
      <c r="C25" s="316"/>
      <c r="D25" s="316"/>
      <c r="E25" s="316"/>
      <c r="F25" s="316"/>
      <c r="G25" s="316"/>
    </row>
    <row r="26" spans="1:7" ht="18" customHeight="1">
      <c r="A26" s="1001" t="s">
        <v>1395</v>
      </c>
      <c r="B26" s="1001" t="s">
        <v>1395</v>
      </c>
      <c r="C26" s="316"/>
      <c r="D26" s="316"/>
      <c r="E26" s="316"/>
      <c r="F26" s="316"/>
      <c r="G26" s="316"/>
    </row>
    <row r="27" spans="1:7" ht="18" customHeight="1">
      <c r="A27" s="1002"/>
      <c r="B27" s="1002"/>
      <c r="C27" s="316"/>
      <c r="D27" s="316"/>
      <c r="E27" s="316"/>
      <c r="F27" s="316"/>
      <c r="G27" s="316"/>
    </row>
    <row r="28" spans="1:7" ht="18" customHeight="1">
      <c r="A28" s="1002"/>
      <c r="B28" s="1002"/>
      <c r="C28" s="316"/>
      <c r="D28" s="316"/>
      <c r="E28" s="316"/>
      <c r="F28" s="316"/>
      <c r="G28" s="316"/>
    </row>
    <row r="29" spans="1:7" ht="21" customHeight="1">
      <c r="A29" s="1003" t="s">
        <v>1401</v>
      </c>
      <c r="B29" s="1004" t="s">
        <v>1402</v>
      </c>
      <c r="C29" s="316"/>
      <c r="D29" s="316"/>
      <c r="E29" s="316"/>
      <c r="F29" s="316"/>
      <c r="G29" s="316"/>
    </row>
    <row r="30" spans="1:7">
      <c r="A30" s="1005" t="s">
        <v>1403</v>
      </c>
      <c r="B30" s="316"/>
      <c r="C30" s="316"/>
      <c r="D30" s="316"/>
      <c r="E30" s="316"/>
      <c r="F30" s="316"/>
      <c r="G30" s="316"/>
    </row>
    <row r="31" spans="1:7">
      <c r="A31" s="1006" t="s">
        <v>1404</v>
      </c>
    </row>
    <row r="32" spans="1:7" ht="21" customHeight="1">
      <c r="A32" s="3671" t="s">
        <v>1405</v>
      </c>
      <c r="B32" s="3671"/>
    </row>
    <row r="33" spans="1:2" ht="21" customHeight="1">
      <c r="A33" s="1007" t="s">
        <v>1406</v>
      </c>
    </row>
    <row r="34" spans="1:2" ht="21" customHeight="1">
      <c r="A34" s="3666" t="str">
        <f>基本情况!B21</f>
        <v>2017年3月16日</v>
      </c>
      <c r="B34" s="3666"/>
    </row>
  </sheetData>
  <sheetProtection selectLockedCells="1" selectUnlockedCells="1"/>
  <mergeCells count="5">
    <mergeCell ref="A34:B34"/>
    <mergeCell ref="A1:B1"/>
    <mergeCell ref="A2:B2"/>
    <mergeCell ref="A4:B4"/>
    <mergeCell ref="A32:B32"/>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H392"/>
  <sheetViews>
    <sheetView workbookViewId="0">
      <selection sqref="A1:F1"/>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65.09765625" style="444" customWidth="1"/>
    <col min="8" max="16384" width="9" style="554"/>
  </cols>
  <sheetData>
    <row r="1" spans="1:8" ht="30" customHeight="1">
      <c r="A1" s="2729" t="s">
        <v>343</v>
      </c>
      <c r="B1" s="2729"/>
      <c r="C1" s="2729"/>
      <c r="D1" s="2729"/>
      <c r="E1" s="2729"/>
      <c r="F1" s="2729"/>
      <c r="G1" s="3243"/>
    </row>
    <row r="2" spans="1:8" s="558" customFormat="1" ht="20.25" customHeight="1">
      <c r="A2" s="3223" t="str">
        <f>"委托单位："&amp;基本情况!B2</f>
        <v>委托单位：0</v>
      </c>
      <c r="B2" s="3223"/>
      <c r="C2" s="509"/>
      <c r="D2" s="136" t="s">
        <v>1282</v>
      </c>
      <c r="E2" s="136" t="s">
        <v>1053</v>
      </c>
      <c r="F2" s="485" t="s">
        <v>283</v>
      </c>
      <c r="G2" s="3243"/>
    </row>
    <row r="3" spans="1:8" s="558" customFormat="1" ht="20.25" customHeight="1">
      <c r="A3" s="3223"/>
      <c r="B3" s="3223"/>
      <c r="C3" s="158" t="s">
        <v>450</v>
      </c>
      <c r="D3" s="510">
        <f>基本情况!B12</f>
        <v>0</v>
      </c>
      <c r="E3" s="559" t="str">
        <f>TEXT(基本情况!B21,"yyyy-mm-dd")</f>
        <v>2017-03-16</v>
      </c>
      <c r="F3" s="3138" t="str">
        <f>档案索引!D35</f>
        <v>4-2</v>
      </c>
      <c r="G3" s="3243"/>
    </row>
    <row r="4" spans="1:8" s="558" customFormat="1" ht="20.25" customHeight="1">
      <c r="A4" s="3189" t="str">
        <f>"会计期间："&amp;基本情况!B7</f>
        <v>会计期间：2016年01月01日至2016年12月31日</v>
      </c>
      <c r="B4" s="3189"/>
      <c r="C4" s="140" t="s">
        <v>452</v>
      </c>
      <c r="D4" s="513">
        <f>基本情况!B11</f>
        <v>0</v>
      </c>
      <c r="E4" s="513" t="str">
        <f>TEXT(基本情况!B22,"yyyy-mm-dd")</f>
        <v>2017-05-04</v>
      </c>
      <c r="F4" s="3138"/>
      <c r="G4" s="3243"/>
    </row>
    <row r="5" spans="1:8" s="565" customFormat="1" ht="7.5" customHeight="1">
      <c r="A5" s="2926"/>
      <c r="B5" s="2926"/>
      <c r="C5" s="2926"/>
      <c r="D5" s="2926"/>
      <c r="E5" s="2926"/>
      <c r="F5" s="2926"/>
      <c r="G5" s="1008"/>
    </row>
    <row r="6" spans="1:8" s="649" customFormat="1" ht="20.25" customHeight="1">
      <c r="A6" s="532" t="s">
        <v>641</v>
      </c>
      <c r="B6" s="3674" t="str">
        <f>IF(基本情况!B29="否",IF(B14-C14-F11&lt;&gt;资产负债!D8,"账载数与报表数相差"&amp;DOLLAR(B14-C14-F11-资产负债!D8,2)&amp;"元！","账载数与报表数相符！"),IF(B13-F11&lt;&gt;资产负债!D8,"账载数与报表数相差"&amp;DOLLAR(B13-F11-资产负债!D8,2)&amp;"元！","账载数与报表数相符！"))</f>
        <v>账载数与报表数相符！</v>
      </c>
      <c r="C6" s="3674"/>
      <c r="D6" s="3674"/>
      <c r="E6" s="3674"/>
      <c r="F6" s="3674"/>
      <c r="G6" s="1009" t="s">
        <v>395</v>
      </c>
      <c r="H6" s="607"/>
    </row>
    <row r="7" spans="1:8" s="649" customFormat="1" ht="15" customHeight="1">
      <c r="A7" s="3065" t="s">
        <v>1323</v>
      </c>
      <c r="B7" s="3148" t="s">
        <v>1407</v>
      </c>
      <c r="C7" s="3148"/>
      <c r="D7" s="3148"/>
      <c r="E7" s="3102" t="str">
        <f>IF(OR(D14&lt;&gt;0,D13&lt;&gt;0),"、E","")</f>
        <v/>
      </c>
      <c r="F7" s="3102"/>
      <c r="G7" s="470"/>
      <c r="H7" s="607"/>
    </row>
    <row r="8" spans="1:8" s="649" customFormat="1" ht="61.5" customHeight="1">
      <c r="A8" s="3065"/>
      <c r="B8" s="3673"/>
      <c r="C8" s="3673"/>
      <c r="D8" s="3673"/>
      <c r="E8" s="3673"/>
      <c r="F8" s="3673"/>
      <c r="G8" s="1010" t="s">
        <v>1288</v>
      </c>
      <c r="H8" s="607"/>
    </row>
    <row r="9" spans="1:8" s="649" customFormat="1" ht="20.25" customHeight="1">
      <c r="A9" s="528" t="s">
        <v>574</v>
      </c>
      <c r="B9" s="3141" t="str">
        <f>IF(OR(D14&lt;&gt;0,D13&lt;&gt;0),"调整后认可！","不存在调整事项,认可！")</f>
        <v>不存在调整事项,认可！</v>
      </c>
      <c r="C9" s="3141"/>
      <c r="D9" s="3141"/>
      <c r="E9" s="3141"/>
      <c r="F9" s="3141"/>
      <c r="G9" s="3675"/>
      <c r="H9" s="607"/>
    </row>
    <row r="10" spans="1:8" s="649" customFormat="1" ht="20.25" customHeight="1">
      <c r="A10" s="3163" t="s">
        <v>1408</v>
      </c>
      <c r="B10" s="1011" t="s">
        <v>1251</v>
      </c>
      <c r="C10" s="2929" t="s">
        <v>1252</v>
      </c>
      <c r="D10" s="2929"/>
      <c r="E10" s="136" t="s">
        <v>1253</v>
      </c>
      <c r="F10" s="485" t="s">
        <v>1254</v>
      </c>
      <c r="G10" s="3675"/>
    </row>
    <row r="11" spans="1:8" s="649" customFormat="1" ht="20.25" customHeight="1">
      <c r="A11" s="3163"/>
      <c r="B11" s="1195"/>
      <c r="C11" s="3676"/>
      <c r="D11" s="3676"/>
      <c r="E11" s="1196"/>
      <c r="F11" s="596">
        <f>B11+C11-E11</f>
        <v>0</v>
      </c>
      <c r="G11" s="1012"/>
    </row>
    <row r="12" spans="1:8" s="649" customFormat="1" ht="20.25" customHeight="1">
      <c r="A12" s="135" t="s">
        <v>665</v>
      </c>
      <c r="B12" s="1011" t="s">
        <v>1409</v>
      </c>
      <c r="C12" s="136" t="s">
        <v>1410</v>
      </c>
      <c r="D12" s="136" t="s">
        <v>980</v>
      </c>
      <c r="E12" s="136" t="s">
        <v>502</v>
      </c>
      <c r="F12" s="485" t="s">
        <v>1411</v>
      </c>
      <c r="G12" s="1012"/>
    </row>
    <row r="13" spans="1:8" s="649" customFormat="1" ht="20.25" customHeight="1">
      <c r="A13" s="1013" t="s">
        <v>1412</v>
      </c>
      <c r="B13" s="1014">
        <f>IF(基本情况!B29="否",0,B14+预收!B12)</f>
        <v>0</v>
      </c>
      <c r="C13" s="1014">
        <f>IF(基本情况!B29="否",0,C14+预收!C12)</f>
        <v>0</v>
      </c>
      <c r="D13" s="1197"/>
      <c r="E13" s="1015">
        <f>B13+D13</f>
        <v>0</v>
      </c>
      <c r="F13" s="1016">
        <f>IF(基本情况!B29="否",0,F14+预收!F12)</f>
        <v>0</v>
      </c>
      <c r="G13" s="1012"/>
    </row>
    <row r="14" spans="1:8" s="649" customFormat="1" ht="20.25" customHeight="1">
      <c r="A14" s="528" t="s">
        <v>1413</v>
      </c>
      <c r="B14" s="1017">
        <f>SUM(B15:B3004)</f>
        <v>0</v>
      </c>
      <c r="C14" s="1017">
        <f>SUM(C15:C3004)</f>
        <v>0</v>
      </c>
      <c r="D14" s="529">
        <f>SUM(D15:D304)</f>
        <v>0</v>
      </c>
      <c r="E14" s="529">
        <f>SUM(E15:E304)</f>
        <v>0</v>
      </c>
      <c r="F14" s="989">
        <f>SUM(F15:F304)</f>
        <v>0</v>
      </c>
      <c r="G14" s="752"/>
    </row>
    <row r="15" spans="1:8" s="558" customFormat="1" ht="15" customHeight="1">
      <c r="A15" s="1018"/>
      <c r="B15" s="1198"/>
      <c r="C15" s="1161"/>
      <c r="D15" s="1161"/>
      <c r="E15" s="1019">
        <f>B15-C15+D15</f>
        <v>0</v>
      </c>
      <c r="F15" s="1199"/>
      <c r="G15" s="3672" t="s">
        <v>1414</v>
      </c>
    </row>
    <row r="16" spans="1:8" s="558" customFormat="1" ht="15" customHeight="1">
      <c r="A16" s="680"/>
      <c r="B16" s="1200"/>
      <c r="C16" s="1120"/>
      <c r="D16" s="1120"/>
      <c r="E16" s="1015">
        <f>B16-C16+D16</f>
        <v>0</v>
      </c>
      <c r="F16" s="1201"/>
      <c r="G16" s="3672"/>
    </row>
    <row r="17" spans="1:7" s="558" customFormat="1" ht="15" customHeight="1">
      <c r="A17" s="680"/>
      <c r="B17" s="1200"/>
      <c r="C17" s="1120"/>
      <c r="D17" s="1120"/>
      <c r="E17" s="1015">
        <f t="shared" ref="E17:E80" si="0">B17-C17+D17</f>
        <v>0</v>
      </c>
      <c r="F17" s="1201"/>
      <c r="G17" s="3672"/>
    </row>
    <row r="18" spans="1:7" s="558" customFormat="1" ht="15" customHeight="1">
      <c r="A18" s="680"/>
      <c r="B18" s="1200"/>
      <c r="C18" s="1120"/>
      <c r="D18" s="1120"/>
      <c r="E18" s="1015">
        <f t="shared" si="0"/>
        <v>0</v>
      </c>
      <c r="F18" s="1201"/>
      <c r="G18" s="3672"/>
    </row>
    <row r="19" spans="1:7" s="558" customFormat="1" ht="15" customHeight="1">
      <c r="A19" s="680"/>
      <c r="B19" s="1200"/>
      <c r="C19" s="1120"/>
      <c r="D19" s="1120"/>
      <c r="E19" s="1015">
        <f t="shared" si="0"/>
        <v>0</v>
      </c>
      <c r="F19" s="1201"/>
      <c r="G19" s="3672"/>
    </row>
    <row r="20" spans="1:7" s="558" customFormat="1" ht="15" customHeight="1">
      <c r="A20" s="680"/>
      <c r="B20" s="1200"/>
      <c r="C20" s="1120"/>
      <c r="D20" s="1120"/>
      <c r="E20" s="1015">
        <f t="shared" si="0"/>
        <v>0</v>
      </c>
      <c r="F20" s="1201"/>
      <c r="G20" s="3672"/>
    </row>
    <row r="21" spans="1:7" s="558" customFormat="1" ht="15" customHeight="1">
      <c r="A21" s="680"/>
      <c r="B21" s="1200"/>
      <c r="C21" s="1120"/>
      <c r="D21" s="1120"/>
      <c r="E21" s="1015">
        <f t="shared" si="0"/>
        <v>0</v>
      </c>
      <c r="F21" s="1201"/>
      <c r="G21" s="3672"/>
    </row>
    <row r="22" spans="1:7" s="558" customFormat="1" ht="15" customHeight="1">
      <c r="A22" s="680"/>
      <c r="B22" s="1200"/>
      <c r="C22" s="1120"/>
      <c r="D22" s="1120"/>
      <c r="E22" s="1015">
        <f t="shared" si="0"/>
        <v>0</v>
      </c>
      <c r="F22" s="1201"/>
      <c r="G22" s="3672"/>
    </row>
    <row r="23" spans="1:7" s="558" customFormat="1" ht="15" customHeight="1">
      <c r="A23" s="680"/>
      <c r="B23" s="1200"/>
      <c r="C23" s="1120"/>
      <c r="D23" s="1120"/>
      <c r="E23" s="1015">
        <f t="shared" si="0"/>
        <v>0</v>
      </c>
      <c r="F23" s="1201"/>
      <c r="G23" s="3675" t="s">
        <v>1415</v>
      </c>
    </row>
    <row r="24" spans="1:7" s="558" customFormat="1" ht="15" customHeight="1">
      <c r="A24" s="680"/>
      <c r="B24" s="1200"/>
      <c r="C24" s="1120"/>
      <c r="D24" s="1120"/>
      <c r="E24" s="1015">
        <f t="shared" si="0"/>
        <v>0</v>
      </c>
      <c r="F24" s="1201"/>
      <c r="G24" s="3675"/>
    </row>
    <row r="25" spans="1:7" s="558" customFormat="1" ht="15" customHeight="1">
      <c r="A25" s="680"/>
      <c r="B25" s="1200"/>
      <c r="C25" s="1120"/>
      <c r="D25" s="1120"/>
      <c r="E25" s="1015">
        <f t="shared" si="0"/>
        <v>0</v>
      </c>
      <c r="F25" s="1201"/>
      <c r="G25" s="1012" t="s">
        <v>1416</v>
      </c>
    </row>
    <row r="26" spans="1:7" s="558" customFormat="1" ht="15" customHeight="1">
      <c r="A26" s="680"/>
      <c r="B26" s="1200"/>
      <c r="C26" s="1120"/>
      <c r="D26" s="1120"/>
      <c r="E26" s="1015">
        <f t="shared" si="0"/>
        <v>0</v>
      </c>
      <c r="F26" s="1201"/>
      <c r="G26" s="470"/>
    </row>
    <row r="27" spans="1:7" s="558" customFormat="1" ht="15" customHeight="1">
      <c r="A27" s="680"/>
      <c r="B27" s="1200"/>
      <c r="C27" s="1120"/>
      <c r="D27" s="1120"/>
      <c r="E27" s="1015">
        <f t="shared" si="0"/>
        <v>0</v>
      </c>
      <c r="F27" s="1201"/>
      <c r="G27" s="470"/>
    </row>
    <row r="28" spans="1:7" s="558" customFormat="1" ht="15" customHeight="1">
      <c r="A28" s="680"/>
      <c r="B28" s="1200"/>
      <c r="C28" s="1120"/>
      <c r="D28" s="1120"/>
      <c r="E28" s="1015">
        <f t="shared" si="0"/>
        <v>0</v>
      </c>
      <c r="F28" s="1201"/>
      <c r="G28" s="470"/>
    </row>
    <row r="29" spans="1:7" s="558" customFormat="1" ht="15" customHeight="1">
      <c r="A29" s="680"/>
      <c r="B29" s="1200"/>
      <c r="C29" s="1120"/>
      <c r="D29" s="1120"/>
      <c r="E29" s="1015">
        <f t="shared" si="0"/>
        <v>0</v>
      </c>
      <c r="F29" s="1201"/>
      <c r="G29" s="470"/>
    </row>
    <row r="30" spans="1:7" s="558" customFormat="1" ht="15" customHeight="1">
      <c r="A30" s="680"/>
      <c r="B30" s="1200"/>
      <c r="C30" s="1120"/>
      <c r="D30" s="1120"/>
      <c r="E30" s="1015">
        <f t="shared" si="0"/>
        <v>0</v>
      </c>
      <c r="F30" s="1201"/>
      <c r="G30" s="470"/>
    </row>
    <row r="31" spans="1:7" s="558" customFormat="1" ht="15" customHeight="1">
      <c r="A31" s="680"/>
      <c r="B31" s="1200"/>
      <c r="C31" s="1120"/>
      <c r="D31" s="1120"/>
      <c r="E31" s="1015">
        <f t="shared" si="0"/>
        <v>0</v>
      </c>
      <c r="F31" s="1201"/>
      <c r="G31" s="470"/>
    </row>
    <row r="32" spans="1:7" s="558" customFormat="1" ht="15" customHeight="1">
      <c r="A32" s="680"/>
      <c r="B32" s="1200"/>
      <c r="C32" s="1120"/>
      <c r="D32" s="1120"/>
      <c r="E32" s="1015">
        <f t="shared" si="0"/>
        <v>0</v>
      </c>
      <c r="F32" s="1201"/>
      <c r="G32" s="470"/>
    </row>
    <row r="33" spans="1:7" s="558" customFormat="1" ht="15" customHeight="1">
      <c r="A33" s="680"/>
      <c r="B33" s="1200"/>
      <c r="C33" s="1120"/>
      <c r="D33" s="1120"/>
      <c r="E33" s="1015">
        <f t="shared" si="0"/>
        <v>0</v>
      </c>
      <c r="F33" s="1201"/>
      <c r="G33" s="470"/>
    </row>
    <row r="34" spans="1:7" s="558" customFormat="1" ht="15" customHeight="1">
      <c r="A34" s="680"/>
      <c r="B34" s="1200"/>
      <c r="C34" s="1120"/>
      <c r="D34" s="1120"/>
      <c r="E34" s="1015">
        <f t="shared" si="0"/>
        <v>0</v>
      </c>
      <c r="F34" s="1201"/>
      <c r="G34" s="470"/>
    </row>
    <row r="35" spans="1:7" s="558" customFormat="1" ht="15" customHeight="1">
      <c r="A35" s="680"/>
      <c r="B35" s="1200"/>
      <c r="C35" s="1120"/>
      <c r="D35" s="1120"/>
      <c r="E35" s="1015">
        <f t="shared" si="0"/>
        <v>0</v>
      </c>
      <c r="F35" s="1201"/>
      <c r="G35" s="470"/>
    </row>
    <row r="36" spans="1:7" s="558" customFormat="1" ht="15" customHeight="1">
      <c r="A36" s="680"/>
      <c r="B36" s="1200"/>
      <c r="C36" s="1120"/>
      <c r="D36" s="1120"/>
      <c r="E36" s="1015">
        <f t="shared" si="0"/>
        <v>0</v>
      </c>
      <c r="F36" s="1201"/>
      <c r="G36" s="470"/>
    </row>
    <row r="37" spans="1:7" s="558" customFormat="1" ht="15" customHeight="1">
      <c r="A37" s="680"/>
      <c r="B37" s="1200"/>
      <c r="C37" s="1120"/>
      <c r="D37" s="1120"/>
      <c r="E37" s="1015">
        <f t="shared" si="0"/>
        <v>0</v>
      </c>
      <c r="F37" s="1201"/>
      <c r="G37" s="470"/>
    </row>
    <row r="38" spans="1:7" s="558" customFormat="1" ht="15" customHeight="1">
      <c r="A38" s="680"/>
      <c r="B38" s="1200"/>
      <c r="C38" s="1120"/>
      <c r="D38" s="1120"/>
      <c r="E38" s="1015">
        <f t="shared" si="0"/>
        <v>0</v>
      </c>
      <c r="F38" s="1201"/>
      <c r="G38" s="470"/>
    </row>
    <row r="39" spans="1:7" s="558" customFormat="1" ht="15" customHeight="1">
      <c r="A39" s="680"/>
      <c r="B39" s="1200"/>
      <c r="C39" s="1120"/>
      <c r="D39" s="1120"/>
      <c r="E39" s="1015">
        <f t="shared" si="0"/>
        <v>0</v>
      </c>
      <c r="F39" s="1201"/>
      <c r="G39" s="470"/>
    </row>
    <row r="40" spans="1:7" s="558" customFormat="1" ht="15" customHeight="1">
      <c r="A40" s="680"/>
      <c r="B40" s="1200"/>
      <c r="C40" s="1120"/>
      <c r="D40" s="1120"/>
      <c r="E40" s="1015">
        <f t="shared" si="0"/>
        <v>0</v>
      </c>
      <c r="F40" s="1201"/>
      <c r="G40" s="470"/>
    </row>
    <row r="41" spans="1:7" s="558" customFormat="1" ht="15" customHeight="1">
      <c r="A41" s="680"/>
      <c r="B41" s="1200"/>
      <c r="C41" s="1120"/>
      <c r="D41" s="1120"/>
      <c r="E41" s="1015">
        <f t="shared" si="0"/>
        <v>0</v>
      </c>
      <c r="F41" s="1201"/>
      <c r="G41" s="470"/>
    </row>
    <row r="42" spans="1:7" s="558" customFormat="1" ht="15" customHeight="1">
      <c r="A42" s="680"/>
      <c r="B42" s="1200"/>
      <c r="C42" s="1120"/>
      <c r="D42" s="1120"/>
      <c r="E42" s="1015">
        <f t="shared" si="0"/>
        <v>0</v>
      </c>
      <c r="F42" s="1201"/>
      <c r="G42" s="470"/>
    </row>
    <row r="43" spans="1:7" s="558" customFormat="1" ht="15" customHeight="1">
      <c r="A43" s="680"/>
      <c r="B43" s="1200"/>
      <c r="C43" s="1120"/>
      <c r="D43" s="1120"/>
      <c r="E43" s="1015">
        <f t="shared" si="0"/>
        <v>0</v>
      </c>
      <c r="F43" s="1201"/>
      <c r="G43" s="470"/>
    </row>
    <row r="44" spans="1:7" s="558" customFormat="1" ht="15" customHeight="1">
      <c r="A44" s="680"/>
      <c r="B44" s="1200"/>
      <c r="C44" s="1120"/>
      <c r="D44" s="1120"/>
      <c r="E44" s="1015">
        <f t="shared" si="0"/>
        <v>0</v>
      </c>
      <c r="F44" s="1201"/>
      <c r="G44" s="470"/>
    </row>
    <row r="45" spans="1:7" s="558" customFormat="1" ht="15" customHeight="1">
      <c r="A45" s="680"/>
      <c r="B45" s="1200"/>
      <c r="C45" s="1120"/>
      <c r="D45" s="1120"/>
      <c r="E45" s="1015">
        <f t="shared" si="0"/>
        <v>0</v>
      </c>
      <c r="F45" s="1201"/>
      <c r="G45" s="470"/>
    </row>
    <row r="46" spans="1:7" s="558" customFormat="1" ht="15" customHeight="1">
      <c r="A46" s="680"/>
      <c r="B46" s="1200"/>
      <c r="C46" s="1120"/>
      <c r="D46" s="1120"/>
      <c r="E46" s="1015">
        <f t="shared" si="0"/>
        <v>0</v>
      </c>
      <c r="F46" s="1201"/>
      <c r="G46" s="470"/>
    </row>
    <row r="47" spans="1:7" s="558" customFormat="1" ht="15" customHeight="1">
      <c r="A47" s="680"/>
      <c r="B47" s="1200"/>
      <c r="C47" s="1120"/>
      <c r="D47" s="1120"/>
      <c r="E47" s="1015">
        <f t="shared" si="0"/>
        <v>0</v>
      </c>
      <c r="F47" s="1201"/>
      <c r="G47" s="470"/>
    </row>
    <row r="48" spans="1:7" s="558" customFormat="1" ht="15" customHeight="1">
      <c r="A48" s="680"/>
      <c r="B48" s="1200"/>
      <c r="C48" s="1120"/>
      <c r="D48" s="1120"/>
      <c r="E48" s="1015">
        <f t="shared" si="0"/>
        <v>0</v>
      </c>
      <c r="F48" s="1201"/>
      <c r="G48" s="470"/>
    </row>
    <row r="49" spans="1:7" s="558" customFormat="1" ht="15" customHeight="1">
      <c r="A49" s="680"/>
      <c r="B49" s="1200"/>
      <c r="C49" s="1120"/>
      <c r="D49" s="1120"/>
      <c r="E49" s="1015">
        <f t="shared" si="0"/>
        <v>0</v>
      </c>
      <c r="F49" s="1201"/>
      <c r="G49" s="470"/>
    </row>
    <row r="50" spans="1:7" s="502" customFormat="1" ht="15" customHeight="1">
      <c r="A50" s="680"/>
      <c r="B50" s="1200"/>
      <c r="C50" s="1120"/>
      <c r="D50" s="1120"/>
      <c r="E50" s="1015">
        <f t="shared" si="0"/>
        <v>0</v>
      </c>
      <c r="F50" s="1201"/>
      <c r="G50" s="470"/>
    </row>
    <row r="51" spans="1:7" s="502" customFormat="1" ht="15" customHeight="1">
      <c r="A51" s="680"/>
      <c r="B51" s="1200"/>
      <c r="C51" s="1120"/>
      <c r="D51" s="1120"/>
      <c r="E51" s="1015">
        <f t="shared" si="0"/>
        <v>0</v>
      </c>
      <c r="F51" s="1201"/>
      <c r="G51" s="470"/>
    </row>
    <row r="52" spans="1:7" s="502" customFormat="1" ht="15" customHeight="1">
      <c r="A52" s="680"/>
      <c r="B52" s="1200"/>
      <c r="C52" s="1120"/>
      <c r="D52" s="1120"/>
      <c r="E52" s="1015">
        <f t="shared" si="0"/>
        <v>0</v>
      </c>
      <c r="F52" s="1201"/>
      <c r="G52" s="470"/>
    </row>
    <row r="53" spans="1:7" s="502" customFormat="1" ht="15" customHeight="1">
      <c r="A53" s="680"/>
      <c r="B53" s="1200"/>
      <c r="C53" s="1120"/>
      <c r="D53" s="1120"/>
      <c r="E53" s="1015">
        <f t="shared" si="0"/>
        <v>0</v>
      </c>
      <c r="F53" s="1201"/>
      <c r="G53" s="470"/>
    </row>
    <row r="54" spans="1:7" s="502" customFormat="1" ht="15" customHeight="1">
      <c r="A54" s="680"/>
      <c r="B54" s="1200"/>
      <c r="C54" s="1120"/>
      <c r="D54" s="1120"/>
      <c r="E54" s="1015">
        <f t="shared" si="0"/>
        <v>0</v>
      </c>
      <c r="F54" s="1201"/>
      <c r="G54" s="470"/>
    </row>
    <row r="55" spans="1:7" ht="15" customHeight="1">
      <c r="A55" s="680"/>
      <c r="B55" s="1200"/>
      <c r="C55" s="1120"/>
      <c r="D55" s="1120"/>
      <c r="E55" s="1015">
        <f t="shared" si="0"/>
        <v>0</v>
      </c>
      <c r="F55" s="1201"/>
      <c r="G55" s="470"/>
    </row>
    <row r="56" spans="1:7" ht="15" customHeight="1">
      <c r="A56" s="680"/>
      <c r="B56" s="1200"/>
      <c r="C56" s="1120"/>
      <c r="D56" s="1120"/>
      <c r="E56" s="1015">
        <f t="shared" si="0"/>
        <v>0</v>
      </c>
      <c r="F56" s="1201"/>
      <c r="G56" s="470"/>
    </row>
    <row r="57" spans="1:7" ht="15" customHeight="1">
      <c r="A57" s="680"/>
      <c r="B57" s="1200"/>
      <c r="C57" s="1120"/>
      <c r="D57" s="1120"/>
      <c r="E57" s="1015">
        <f t="shared" si="0"/>
        <v>0</v>
      </c>
      <c r="F57" s="1201"/>
      <c r="G57" s="470"/>
    </row>
    <row r="58" spans="1:7" ht="15" customHeight="1">
      <c r="A58" s="680"/>
      <c r="B58" s="1200"/>
      <c r="C58" s="1120"/>
      <c r="D58" s="1120"/>
      <c r="E58" s="1015">
        <f t="shared" si="0"/>
        <v>0</v>
      </c>
      <c r="F58" s="1201"/>
      <c r="G58" s="470"/>
    </row>
    <row r="59" spans="1:7" ht="15" customHeight="1">
      <c r="A59" s="680"/>
      <c r="B59" s="1200"/>
      <c r="C59" s="1120"/>
      <c r="D59" s="1120"/>
      <c r="E59" s="1015">
        <f t="shared" si="0"/>
        <v>0</v>
      </c>
      <c r="F59" s="1201"/>
      <c r="G59" s="470"/>
    </row>
    <row r="60" spans="1:7" ht="15" customHeight="1">
      <c r="A60" s="680"/>
      <c r="B60" s="1200"/>
      <c r="C60" s="1120"/>
      <c r="D60" s="1120"/>
      <c r="E60" s="1015">
        <f t="shared" si="0"/>
        <v>0</v>
      </c>
      <c r="F60" s="1201"/>
      <c r="G60" s="470"/>
    </row>
    <row r="61" spans="1:7" ht="15" customHeight="1">
      <c r="A61" s="680"/>
      <c r="B61" s="1200"/>
      <c r="C61" s="1120"/>
      <c r="D61" s="1120"/>
      <c r="E61" s="1015">
        <f t="shared" si="0"/>
        <v>0</v>
      </c>
      <c r="F61" s="1201"/>
      <c r="G61" s="470"/>
    </row>
    <row r="62" spans="1:7" ht="15" customHeight="1">
      <c r="A62" s="680"/>
      <c r="B62" s="1200"/>
      <c r="C62" s="1120"/>
      <c r="D62" s="1120"/>
      <c r="E62" s="1015">
        <f t="shared" si="0"/>
        <v>0</v>
      </c>
      <c r="F62" s="1201"/>
      <c r="G62" s="470"/>
    </row>
    <row r="63" spans="1:7" ht="15" customHeight="1">
      <c r="A63" s="680"/>
      <c r="B63" s="1200"/>
      <c r="C63" s="1120"/>
      <c r="D63" s="1120"/>
      <c r="E63" s="1015">
        <f t="shared" si="0"/>
        <v>0</v>
      </c>
      <c r="F63" s="1201"/>
      <c r="G63" s="470"/>
    </row>
    <row r="64" spans="1:7" ht="15" customHeight="1">
      <c r="A64" s="680"/>
      <c r="B64" s="1200"/>
      <c r="C64" s="1120"/>
      <c r="D64" s="1120"/>
      <c r="E64" s="1015">
        <f t="shared" si="0"/>
        <v>0</v>
      </c>
      <c r="F64" s="1201"/>
      <c r="G64" s="470"/>
    </row>
    <row r="65" spans="1:7" ht="15" customHeight="1">
      <c r="A65" s="680"/>
      <c r="B65" s="1200"/>
      <c r="C65" s="1120"/>
      <c r="D65" s="1120"/>
      <c r="E65" s="1015">
        <f t="shared" si="0"/>
        <v>0</v>
      </c>
      <c r="F65" s="1201"/>
      <c r="G65" s="470"/>
    </row>
    <row r="66" spans="1:7" ht="15" customHeight="1">
      <c r="A66" s="680"/>
      <c r="B66" s="1200"/>
      <c r="C66" s="1120"/>
      <c r="D66" s="1120"/>
      <c r="E66" s="1015">
        <f t="shared" si="0"/>
        <v>0</v>
      </c>
      <c r="F66" s="1201"/>
      <c r="G66" s="470"/>
    </row>
    <row r="67" spans="1:7" ht="15" customHeight="1">
      <c r="A67" s="680"/>
      <c r="B67" s="1200"/>
      <c r="C67" s="1120"/>
      <c r="D67" s="1120"/>
      <c r="E67" s="1015">
        <f t="shared" si="0"/>
        <v>0</v>
      </c>
      <c r="F67" s="1201"/>
      <c r="G67" s="470"/>
    </row>
    <row r="68" spans="1:7" ht="15" customHeight="1">
      <c r="A68" s="680"/>
      <c r="B68" s="1200"/>
      <c r="C68" s="1120"/>
      <c r="D68" s="1120"/>
      <c r="E68" s="1015">
        <f t="shared" si="0"/>
        <v>0</v>
      </c>
      <c r="F68" s="1201"/>
      <c r="G68" s="470"/>
    </row>
    <row r="69" spans="1:7" ht="15" customHeight="1">
      <c r="A69" s="680"/>
      <c r="B69" s="1200"/>
      <c r="C69" s="1120"/>
      <c r="D69" s="1120"/>
      <c r="E69" s="1015">
        <f t="shared" si="0"/>
        <v>0</v>
      </c>
      <c r="F69" s="1201"/>
      <c r="G69" s="470"/>
    </row>
    <row r="70" spans="1:7" ht="15" customHeight="1">
      <c r="A70" s="680"/>
      <c r="B70" s="1200"/>
      <c r="C70" s="1120"/>
      <c r="D70" s="1120"/>
      <c r="E70" s="1015">
        <f t="shared" si="0"/>
        <v>0</v>
      </c>
      <c r="F70" s="1201"/>
      <c r="G70" s="470"/>
    </row>
    <row r="71" spans="1:7" ht="15" customHeight="1">
      <c r="A71" s="680"/>
      <c r="B71" s="1200"/>
      <c r="C71" s="1120"/>
      <c r="D71" s="1120"/>
      <c r="E71" s="1015">
        <f t="shared" si="0"/>
        <v>0</v>
      </c>
      <c r="F71" s="1201"/>
      <c r="G71" s="470"/>
    </row>
    <row r="72" spans="1:7" ht="15" customHeight="1">
      <c r="A72" s="680"/>
      <c r="B72" s="1200"/>
      <c r="C72" s="1120"/>
      <c r="D72" s="1120"/>
      <c r="E72" s="1015">
        <f t="shared" si="0"/>
        <v>0</v>
      </c>
      <c r="F72" s="1201"/>
      <c r="G72" s="470"/>
    </row>
    <row r="73" spans="1:7" ht="15" customHeight="1">
      <c r="A73" s="680"/>
      <c r="B73" s="1200"/>
      <c r="C73" s="1120"/>
      <c r="D73" s="1120"/>
      <c r="E73" s="1015">
        <f t="shared" si="0"/>
        <v>0</v>
      </c>
      <c r="F73" s="1201"/>
      <c r="G73" s="470"/>
    </row>
    <row r="74" spans="1:7" ht="15" customHeight="1">
      <c r="A74" s="680"/>
      <c r="B74" s="1200"/>
      <c r="C74" s="1120"/>
      <c r="D74" s="1120"/>
      <c r="E74" s="1015">
        <f t="shared" si="0"/>
        <v>0</v>
      </c>
      <c r="F74" s="1201"/>
      <c r="G74" s="470"/>
    </row>
    <row r="75" spans="1:7" ht="15" customHeight="1">
      <c r="A75" s="680"/>
      <c r="B75" s="1200"/>
      <c r="C75" s="1120"/>
      <c r="D75" s="1120"/>
      <c r="E75" s="1015">
        <f t="shared" si="0"/>
        <v>0</v>
      </c>
      <c r="F75" s="1201"/>
      <c r="G75" s="470"/>
    </row>
    <row r="76" spans="1:7" ht="15" customHeight="1">
      <c r="A76" s="680"/>
      <c r="B76" s="1200"/>
      <c r="C76" s="1120"/>
      <c r="D76" s="1120"/>
      <c r="E76" s="1015">
        <f t="shared" si="0"/>
        <v>0</v>
      </c>
      <c r="F76" s="1201"/>
      <c r="G76" s="470"/>
    </row>
    <row r="77" spans="1:7" ht="15" customHeight="1">
      <c r="A77" s="680"/>
      <c r="B77" s="1200"/>
      <c r="C77" s="1120"/>
      <c r="D77" s="1120"/>
      <c r="E77" s="1015">
        <f t="shared" si="0"/>
        <v>0</v>
      </c>
      <c r="F77" s="1201"/>
      <c r="G77" s="470"/>
    </row>
    <row r="78" spans="1:7" ht="15" customHeight="1">
      <c r="A78" s="680"/>
      <c r="B78" s="1200"/>
      <c r="C78" s="1120"/>
      <c r="D78" s="1120"/>
      <c r="E78" s="1015">
        <f t="shared" si="0"/>
        <v>0</v>
      </c>
      <c r="F78" s="1201"/>
      <c r="G78" s="470"/>
    </row>
    <row r="79" spans="1:7" ht="15" customHeight="1">
      <c r="A79" s="680"/>
      <c r="B79" s="1200"/>
      <c r="C79" s="1120"/>
      <c r="D79" s="1120"/>
      <c r="E79" s="1015">
        <f t="shared" si="0"/>
        <v>0</v>
      </c>
      <c r="F79" s="1201"/>
      <c r="G79" s="470"/>
    </row>
    <row r="80" spans="1:7" ht="15" customHeight="1">
      <c r="A80" s="680"/>
      <c r="B80" s="1200"/>
      <c r="C80" s="1120"/>
      <c r="D80" s="1120"/>
      <c r="E80" s="1015">
        <f t="shared" si="0"/>
        <v>0</v>
      </c>
      <c r="F80" s="1201"/>
      <c r="G80" s="470"/>
    </row>
    <row r="81" spans="1:7" ht="15" customHeight="1">
      <c r="A81" s="680"/>
      <c r="B81" s="1200"/>
      <c r="C81" s="1120"/>
      <c r="D81" s="1120"/>
      <c r="E81" s="1015">
        <f t="shared" ref="E81:E144" si="1">B81-C81+D81</f>
        <v>0</v>
      </c>
      <c r="F81" s="1201"/>
      <c r="G81" s="470"/>
    </row>
    <row r="82" spans="1:7" ht="15" customHeight="1">
      <c r="A82" s="680"/>
      <c r="B82" s="1200"/>
      <c r="C82" s="1120"/>
      <c r="D82" s="1120"/>
      <c r="E82" s="1015">
        <f t="shared" si="1"/>
        <v>0</v>
      </c>
      <c r="F82" s="1201"/>
      <c r="G82" s="470"/>
    </row>
    <row r="83" spans="1:7" ht="15" customHeight="1">
      <c r="A83" s="680"/>
      <c r="B83" s="1200"/>
      <c r="C83" s="1120"/>
      <c r="D83" s="1120"/>
      <c r="E83" s="1015">
        <f t="shared" si="1"/>
        <v>0</v>
      </c>
      <c r="F83" s="1201"/>
      <c r="G83" s="470"/>
    </row>
    <row r="84" spans="1:7" ht="15" customHeight="1">
      <c r="A84" s="680"/>
      <c r="B84" s="1200"/>
      <c r="C84" s="1120"/>
      <c r="D84" s="1120"/>
      <c r="E84" s="1015">
        <f t="shared" si="1"/>
        <v>0</v>
      </c>
      <c r="F84" s="1201"/>
      <c r="G84" s="470"/>
    </row>
    <row r="85" spans="1:7" ht="15" customHeight="1">
      <c r="A85" s="680"/>
      <c r="B85" s="1200"/>
      <c r="C85" s="1120"/>
      <c r="D85" s="1120"/>
      <c r="E85" s="1015">
        <f t="shared" si="1"/>
        <v>0</v>
      </c>
      <c r="F85" s="1201"/>
      <c r="G85" s="470"/>
    </row>
    <row r="86" spans="1:7" ht="15" customHeight="1">
      <c r="A86" s="680"/>
      <c r="B86" s="1200"/>
      <c r="C86" s="1120"/>
      <c r="D86" s="1120"/>
      <c r="E86" s="1015">
        <f t="shared" si="1"/>
        <v>0</v>
      </c>
      <c r="F86" s="1201"/>
      <c r="G86" s="470"/>
    </row>
    <row r="87" spans="1:7" ht="15" customHeight="1">
      <c r="A87" s="680"/>
      <c r="B87" s="1200"/>
      <c r="C87" s="1120"/>
      <c r="D87" s="1120"/>
      <c r="E87" s="1015">
        <f t="shared" si="1"/>
        <v>0</v>
      </c>
      <c r="F87" s="1201"/>
      <c r="G87" s="470"/>
    </row>
    <row r="88" spans="1:7" ht="15" customHeight="1">
      <c r="A88" s="680"/>
      <c r="B88" s="1200"/>
      <c r="C88" s="1120"/>
      <c r="D88" s="1120"/>
      <c r="E88" s="1015">
        <f t="shared" si="1"/>
        <v>0</v>
      </c>
      <c r="F88" s="1201"/>
      <c r="G88" s="470"/>
    </row>
    <row r="89" spans="1:7" ht="15" customHeight="1">
      <c r="A89" s="680"/>
      <c r="B89" s="1200"/>
      <c r="C89" s="1120"/>
      <c r="D89" s="1120"/>
      <c r="E89" s="1015">
        <f t="shared" si="1"/>
        <v>0</v>
      </c>
      <c r="F89" s="1201"/>
      <c r="G89" s="470"/>
    </row>
    <row r="90" spans="1:7" ht="15" customHeight="1">
      <c r="A90" s="680"/>
      <c r="B90" s="1200"/>
      <c r="C90" s="1120"/>
      <c r="D90" s="1120"/>
      <c r="E90" s="1015">
        <f t="shared" si="1"/>
        <v>0</v>
      </c>
      <c r="F90" s="1201"/>
      <c r="G90" s="470"/>
    </row>
    <row r="91" spans="1:7" ht="15" customHeight="1">
      <c r="A91" s="680"/>
      <c r="B91" s="1200"/>
      <c r="C91" s="1120"/>
      <c r="D91" s="1120"/>
      <c r="E91" s="1015">
        <f t="shared" si="1"/>
        <v>0</v>
      </c>
      <c r="F91" s="1201"/>
      <c r="G91" s="470"/>
    </row>
    <row r="92" spans="1:7" ht="15" customHeight="1">
      <c r="A92" s="680"/>
      <c r="B92" s="1200"/>
      <c r="C92" s="1120"/>
      <c r="D92" s="1120"/>
      <c r="E92" s="1015">
        <f t="shared" si="1"/>
        <v>0</v>
      </c>
      <c r="F92" s="1201"/>
      <c r="G92" s="470"/>
    </row>
    <row r="93" spans="1:7" ht="15" customHeight="1">
      <c r="A93" s="680"/>
      <c r="B93" s="1200"/>
      <c r="C93" s="1120"/>
      <c r="D93" s="1120"/>
      <c r="E93" s="1015">
        <f t="shared" si="1"/>
        <v>0</v>
      </c>
      <c r="F93" s="1201"/>
      <c r="G93" s="470"/>
    </row>
    <row r="94" spans="1:7" ht="15" customHeight="1">
      <c r="A94" s="680"/>
      <c r="B94" s="1200"/>
      <c r="C94" s="1120"/>
      <c r="D94" s="1120"/>
      <c r="E94" s="1015">
        <f t="shared" si="1"/>
        <v>0</v>
      </c>
      <c r="F94" s="1201"/>
      <c r="G94" s="470"/>
    </row>
    <row r="95" spans="1:7" ht="15" customHeight="1">
      <c r="A95" s="680"/>
      <c r="B95" s="1200"/>
      <c r="C95" s="1120"/>
      <c r="D95" s="1120"/>
      <c r="E95" s="1015">
        <f t="shared" si="1"/>
        <v>0</v>
      </c>
      <c r="F95" s="1201"/>
      <c r="G95" s="470"/>
    </row>
    <row r="96" spans="1:7" ht="15" customHeight="1">
      <c r="A96" s="680"/>
      <c r="B96" s="1200"/>
      <c r="C96" s="1120"/>
      <c r="D96" s="1120"/>
      <c r="E96" s="1015">
        <f t="shared" si="1"/>
        <v>0</v>
      </c>
      <c r="F96" s="1201"/>
      <c r="G96" s="470"/>
    </row>
    <row r="97" spans="1:7" ht="15" customHeight="1">
      <c r="A97" s="680"/>
      <c r="B97" s="1200"/>
      <c r="C97" s="1120"/>
      <c r="D97" s="1120"/>
      <c r="E97" s="1015">
        <f t="shared" si="1"/>
        <v>0</v>
      </c>
      <c r="F97" s="1201"/>
      <c r="G97" s="470"/>
    </row>
    <row r="98" spans="1:7" ht="15" customHeight="1">
      <c r="A98" s="680"/>
      <c r="B98" s="1200"/>
      <c r="C98" s="1120"/>
      <c r="D98" s="1120"/>
      <c r="E98" s="1015">
        <f t="shared" si="1"/>
        <v>0</v>
      </c>
      <c r="F98" s="1201"/>
      <c r="G98" s="470"/>
    </row>
    <row r="99" spans="1:7" ht="15" customHeight="1">
      <c r="A99" s="680"/>
      <c r="B99" s="1200"/>
      <c r="C99" s="1120"/>
      <c r="D99" s="1120"/>
      <c r="E99" s="1015">
        <f t="shared" si="1"/>
        <v>0</v>
      </c>
      <c r="F99" s="1201"/>
      <c r="G99" s="470"/>
    </row>
    <row r="100" spans="1:7" ht="15" customHeight="1">
      <c r="A100" s="680"/>
      <c r="B100" s="1200"/>
      <c r="C100" s="1120"/>
      <c r="D100" s="1120"/>
      <c r="E100" s="1015">
        <f t="shared" si="1"/>
        <v>0</v>
      </c>
      <c r="F100" s="1201"/>
      <c r="G100" s="470"/>
    </row>
    <row r="101" spans="1:7" ht="15" customHeight="1">
      <c r="A101" s="680"/>
      <c r="B101" s="1200"/>
      <c r="C101" s="1120"/>
      <c r="D101" s="1120"/>
      <c r="E101" s="1015">
        <f t="shared" si="1"/>
        <v>0</v>
      </c>
      <c r="F101" s="1201"/>
      <c r="G101" s="470"/>
    </row>
    <row r="102" spans="1:7" ht="15" customHeight="1">
      <c r="A102" s="680"/>
      <c r="B102" s="1200"/>
      <c r="C102" s="1120"/>
      <c r="D102" s="1120"/>
      <c r="E102" s="1015">
        <f t="shared" si="1"/>
        <v>0</v>
      </c>
      <c r="F102" s="1201"/>
      <c r="G102" s="470"/>
    </row>
    <row r="103" spans="1:7" ht="15" customHeight="1">
      <c r="A103" s="680"/>
      <c r="B103" s="1200"/>
      <c r="C103" s="1120"/>
      <c r="D103" s="1120"/>
      <c r="E103" s="1015">
        <f t="shared" si="1"/>
        <v>0</v>
      </c>
      <c r="F103" s="1201"/>
      <c r="G103" s="470"/>
    </row>
    <row r="104" spans="1:7" ht="15" customHeight="1">
      <c r="A104" s="680"/>
      <c r="B104" s="1200"/>
      <c r="C104" s="1120"/>
      <c r="D104" s="1120"/>
      <c r="E104" s="1015">
        <f t="shared" si="1"/>
        <v>0</v>
      </c>
      <c r="F104" s="1201"/>
      <c r="G104" s="470"/>
    </row>
    <row r="105" spans="1:7" ht="15" customHeight="1">
      <c r="A105" s="680"/>
      <c r="B105" s="1200"/>
      <c r="C105" s="1120"/>
      <c r="D105" s="1120"/>
      <c r="E105" s="1015">
        <f t="shared" si="1"/>
        <v>0</v>
      </c>
      <c r="F105" s="1201"/>
      <c r="G105" s="470"/>
    </row>
    <row r="106" spans="1:7" ht="15" customHeight="1">
      <c r="A106" s="680"/>
      <c r="B106" s="1200"/>
      <c r="C106" s="1120"/>
      <c r="D106" s="1120"/>
      <c r="E106" s="1015">
        <f t="shared" si="1"/>
        <v>0</v>
      </c>
      <c r="F106" s="1201"/>
      <c r="G106" s="470"/>
    </row>
    <row r="107" spans="1:7" ht="15" customHeight="1">
      <c r="A107" s="680"/>
      <c r="B107" s="1200"/>
      <c r="C107" s="1120"/>
      <c r="D107" s="1120"/>
      <c r="E107" s="1015">
        <f t="shared" si="1"/>
        <v>0</v>
      </c>
      <c r="F107" s="1201"/>
      <c r="G107" s="470"/>
    </row>
    <row r="108" spans="1:7" ht="15" customHeight="1">
      <c r="A108" s="680"/>
      <c r="B108" s="1200"/>
      <c r="C108" s="1120"/>
      <c r="D108" s="1120"/>
      <c r="E108" s="1015">
        <f t="shared" si="1"/>
        <v>0</v>
      </c>
      <c r="F108" s="1201"/>
      <c r="G108" s="470"/>
    </row>
    <row r="109" spans="1:7" ht="15" customHeight="1">
      <c r="A109" s="680"/>
      <c r="B109" s="1200"/>
      <c r="C109" s="1120"/>
      <c r="D109" s="1120"/>
      <c r="E109" s="1015">
        <f t="shared" si="1"/>
        <v>0</v>
      </c>
      <c r="F109" s="1201"/>
      <c r="G109" s="470"/>
    </row>
    <row r="110" spans="1:7" ht="15" customHeight="1">
      <c r="A110" s="680"/>
      <c r="B110" s="1200"/>
      <c r="C110" s="1120"/>
      <c r="D110" s="1120"/>
      <c r="E110" s="1015">
        <f t="shared" si="1"/>
        <v>0</v>
      </c>
      <c r="F110" s="1201"/>
      <c r="G110" s="470"/>
    </row>
    <row r="111" spans="1:7" ht="15" customHeight="1">
      <c r="A111" s="680"/>
      <c r="B111" s="1200"/>
      <c r="C111" s="1120"/>
      <c r="D111" s="1120"/>
      <c r="E111" s="1015">
        <f t="shared" si="1"/>
        <v>0</v>
      </c>
      <c r="F111" s="1201"/>
      <c r="G111" s="470"/>
    </row>
    <row r="112" spans="1:7" ht="15" customHeight="1">
      <c r="A112" s="680"/>
      <c r="B112" s="1200"/>
      <c r="C112" s="1120"/>
      <c r="D112" s="1120"/>
      <c r="E112" s="1015">
        <f t="shared" si="1"/>
        <v>0</v>
      </c>
      <c r="F112" s="1201"/>
      <c r="G112" s="470"/>
    </row>
    <row r="113" spans="1:7" ht="15" customHeight="1">
      <c r="A113" s="680"/>
      <c r="B113" s="1200"/>
      <c r="C113" s="1120"/>
      <c r="D113" s="1120"/>
      <c r="E113" s="1015">
        <f t="shared" si="1"/>
        <v>0</v>
      </c>
      <c r="F113" s="1201"/>
      <c r="G113" s="470"/>
    </row>
    <row r="114" spans="1:7" ht="15" customHeight="1">
      <c r="A114" s="680"/>
      <c r="B114" s="1200"/>
      <c r="C114" s="1120"/>
      <c r="D114" s="1120"/>
      <c r="E114" s="1015">
        <f t="shared" si="1"/>
        <v>0</v>
      </c>
      <c r="F114" s="1201"/>
      <c r="G114" s="470"/>
    </row>
    <row r="115" spans="1:7" ht="15" customHeight="1">
      <c r="A115" s="680"/>
      <c r="B115" s="1200"/>
      <c r="C115" s="1120"/>
      <c r="D115" s="1120"/>
      <c r="E115" s="1015">
        <f t="shared" si="1"/>
        <v>0</v>
      </c>
      <c r="F115" s="1201"/>
      <c r="G115" s="470"/>
    </row>
    <row r="116" spans="1:7" ht="15" customHeight="1">
      <c r="A116" s="680"/>
      <c r="B116" s="1200"/>
      <c r="C116" s="1120"/>
      <c r="D116" s="1120"/>
      <c r="E116" s="1015">
        <f t="shared" si="1"/>
        <v>0</v>
      </c>
      <c r="F116" s="1201"/>
      <c r="G116" s="470"/>
    </row>
    <row r="117" spans="1:7" ht="15" customHeight="1">
      <c r="A117" s="680"/>
      <c r="B117" s="1200"/>
      <c r="C117" s="1120"/>
      <c r="D117" s="1120"/>
      <c r="E117" s="1015">
        <f t="shared" si="1"/>
        <v>0</v>
      </c>
      <c r="F117" s="1201"/>
      <c r="G117" s="470"/>
    </row>
    <row r="118" spans="1:7" ht="15" customHeight="1">
      <c r="A118" s="680"/>
      <c r="B118" s="1200"/>
      <c r="C118" s="1120"/>
      <c r="D118" s="1120"/>
      <c r="E118" s="1015">
        <f t="shared" si="1"/>
        <v>0</v>
      </c>
      <c r="F118" s="1201"/>
      <c r="G118" s="470"/>
    </row>
    <row r="119" spans="1:7" ht="15" customHeight="1">
      <c r="A119" s="680"/>
      <c r="B119" s="1200"/>
      <c r="C119" s="1120"/>
      <c r="D119" s="1120"/>
      <c r="E119" s="1015">
        <f t="shared" si="1"/>
        <v>0</v>
      </c>
      <c r="F119" s="1201"/>
      <c r="G119" s="470"/>
    </row>
    <row r="120" spans="1:7" ht="15" customHeight="1">
      <c r="A120" s="680"/>
      <c r="B120" s="1200"/>
      <c r="C120" s="1120"/>
      <c r="D120" s="1120"/>
      <c r="E120" s="1015">
        <f t="shared" si="1"/>
        <v>0</v>
      </c>
      <c r="F120" s="1201"/>
      <c r="G120" s="470"/>
    </row>
    <row r="121" spans="1:7" ht="15" customHeight="1">
      <c r="A121" s="680"/>
      <c r="B121" s="1200"/>
      <c r="C121" s="1120"/>
      <c r="D121" s="1120"/>
      <c r="E121" s="1015">
        <f t="shared" si="1"/>
        <v>0</v>
      </c>
      <c r="F121" s="1201"/>
      <c r="G121" s="470"/>
    </row>
    <row r="122" spans="1:7" ht="15" customHeight="1">
      <c r="A122" s="680"/>
      <c r="B122" s="1200"/>
      <c r="C122" s="1120"/>
      <c r="D122" s="1120"/>
      <c r="E122" s="1015">
        <f t="shared" si="1"/>
        <v>0</v>
      </c>
      <c r="F122" s="1201"/>
      <c r="G122" s="470"/>
    </row>
    <row r="123" spans="1:7" ht="15" customHeight="1">
      <c r="A123" s="680"/>
      <c r="B123" s="1200"/>
      <c r="C123" s="1120"/>
      <c r="D123" s="1120"/>
      <c r="E123" s="1015">
        <f t="shared" si="1"/>
        <v>0</v>
      </c>
      <c r="F123" s="1201"/>
      <c r="G123" s="470"/>
    </row>
    <row r="124" spans="1:7" ht="15" customHeight="1">
      <c r="A124" s="680"/>
      <c r="B124" s="1200"/>
      <c r="C124" s="1120"/>
      <c r="D124" s="1120"/>
      <c r="E124" s="1015">
        <f t="shared" si="1"/>
        <v>0</v>
      </c>
      <c r="F124" s="1201"/>
      <c r="G124" s="470"/>
    </row>
    <row r="125" spans="1:7" ht="15" customHeight="1">
      <c r="A125" s="680"/>
      <c r="B125" s="1200"/>
      <c r="C125" s="1120"/>
      <c r="D125" s="1120"/>
      <c r="E125" s="1015">
        <f t="shared" si="1"/>
        <v>0</v>
      </c>
      <c r="F125" s="1201"/>
      <c r="G125" s="470"/>
    </row>
    <row r="126" spans="1:7" ht="15" customHeight="1">
      <c r="A126" s="680"/>
      <c r="B126" s="1200"/>
      <c r="C126" s="1120"/>
      <c r="D126" s="1120"/>
      <c r="E126" s="1015">
        <f t="shared" si="1"/>
        <v>0</v>
      </c>
      <c r="F126" s="1201"/>
      <c r="G126" s="470"/>
    </row>
    <row r="127" spans="1:7" ht="15" customHeight="1">
      <c r="A127" s="680"/>
      <c r="B127" s="1200"/>
      <c r="C127" s="1120"/>
      <c r="D127" s="1120"/>
      <c r="E127" s="1015">
        <f t="shared" si="1"/>
        <v>0</v>
      </c>
      <c r="F127" s="1201"/>
      <c r="G127" s="470"/>
    </row>
    <row r="128" spans="1:7" ht="15" customHeight="1">
      <c r="A128" s="680"/>
      <c r="B128" s="1200"/>
      <c r="C128" s="1120"/>
      <c r="D128" s="1120"/>
      <c r="E128" s="1015">
        <f t="shared" si="1"/>
        <v>0</v>
      </c>
      <c r="F128" s="1201"/>
      <c r="G128" s="470"/>
    </row>
    <row r="129" spans="1:7" ht="15" customHeight="1">
      <c r="A129" s="680"/>
      <c r="B129" s="1200"/>
      <c r="C129" s="1120"/>
      <c r="D129" s="1120"/>
      <c r="E129" s="1015">
        <f t="shared" si="1"/>
        <v>0</v>
      </c>
      <c r="F129" s="1201"/>
      <c r="G129" s="470"/>
    </row>
    <row r="130" spans="1:7" ht="15" customHeight="1">
      <c r="A130" s="680"/>
      <c r="B130" s="1200"/>
      <c r="C130" s="1120"/>
      <c r="D130" s="1120"/>
      <c r="E130" s="1015">
        <f t="shared" si="1"/>
        <v>0</v>
      </c>
      <c r="F130" s="1201"/>
      <c r="G130" s="470"/>
    </row>
    <row r="131" spans="1:7" ht="15" customHeight="1">
      <c r="A131" s="680"/>
      <c r="B131" s="1200"/>
      <c r="C131" s="1120"/>
      <c r="D131" s="1120"/>
      <c r="E131" s="1015">
        <f t="shared" si="1"/>
        <v>0</v>
      </c>
      <c r="F131" s="1201"/>
      <c r="G131" s="470"/>
    </row>
    <row r="132" spans="1:7" ht="15" customHeight="1">
      <c r="A132" s="680"/>
      <c r="B132" s="1200"/>
      <c r="C132" s="1120"/>
      <c r="D132" s="1120"/>
      <c r="E132" s="1015">
        <f t="shared" si="1"/>
        <v>0</v>
      </c>
      <c r="F132" s="1201"/>
      <c r="G132" s="470"/>
    </row>
    <row r="133" spans="1:7" ht="15" customHeight="1">
      <c r="A133" s="680"/>
      <c r="B133" s="1200"/>
      <c r="C133" s="1120"/>
      <c r="D133" s="1120"/>
      <c r="E133" s="1015">
        <f t="shared" si="1"/>
        <v>0</v>
      </c>
      <c r="F133" s="1201"/>
      <c r="G133" s="470"/>
    </row>
    <row r="134" spans="1:7" ht="15" customHeight="1">
      <c r="A134" s="680"/>
      <c r="B134" s="1200"/>
      <c r="C134" s="1120"/>
      <c r="D134" s="1120"/>
      <c r="E134" s="1015">
        <f t="shared" si="1"/>
        <v>0</v>
      </c>
      <c r="F134" s="1201"/>
      <c r="G134" s="470"/>
    </row>
    <row r="135" spans="1:7" ht="15" customHeight="1">
      <c r="A135" s="680"/>
      <c r="B135" s="1200"/>
      <c r="C135" s="1120"/>
      <c r="D135" s="1120"/>
      <c r="E135" s="1015">
        <f t="shared" si="1"/>
        <v>0</v>
      </c>
      <c r="F135" s="1201"/>
      <c r="G135" s="470"/>
    </row>
    <row r="136" spans="1:7" ht="15" customHeight="1">
      <c r="A136" s="680"/>
      <c r="B136" s="1200"/>
      <c r="C136" s="1120"/>
      <c r="D136" s="1120"/>
      <c r="E136" s="1015">
        <f t="shared" si="1"/>
        <v>0</v>
      </c>
      <c r="F136" s="1201"/>
      <c r="G136" s="470"/>
    </row>
    <row r="137" spans="1:7" ht="15" customHeight="1">
      <c r="A137" s="680"/>
      <c r="B137" s="1200"/>
      <c r="C137" s="1120"/>
      <c r="D137" s="1120"/>
      <c r="E137" s="1015">
        <f t="shared" si="1"/>
        <v>0</v>
      </c>
      <c r="F137" s="1201"/>
      <c r="G137" s="470"/>
    </row>
    <row r="138" spans="1:7" ht="15" customHeight="1">
      <c r="A138" s="680"/>
      <c r="B138" s="1200"/>
      <c r="C138" s="1120"/>
      <c r="D138" s="1120"/>
      <c r="E138" s="1015">
        <f t="shared" si="1"/>
        <v>0</v>
      </c>
      <c r="F138" s="1201"/>
      <c r="G138" s="470"/>
    </row>
    <row r="139" spans="1:7" ht="15" customHeight="1">
      <c r="A139" s="680"/>
      <c r="B139" s="1200"/>
      <c r="C139" s="1120"/>
      <c r="D139" s="1120"/>
      <c r="E139" s="1015">
        <f t="shared" si="1"/>
        <v>0</v>
      </c>
      <c r="F139" s="1201"/>
      <c r="G139" s="470"/>
    </row>
    <row r="140" spans="1:7" ht="15" customHeight="1">
      <c r="A140" s="680"/>
      <c r="B140" s="1200"/>
      <c r="C140" s="1120"/>
      <c r="D140" s="1120"/>
      <c r="E140" s="1015">
        <f t="shared" si="1"/>
        <v>0</v>
      </c>
      <c r="F140" s="1201"/>
      <c r="G140" s="470"/>
    </row>
    <row r="141" spans="1:7" ht="15" customHeight="1">
      <c r="A141" s="680"/>
      <c r="B141" s="1200"/>
      <c r="C141" s="1120"/>
      <c r="D141" s="1120"/>
      <c r="E141" s="1015">
        <f t="shared" si="1"/>
        <v>0</v>
      </c>
      <c r="F141" s="1201"/>
      <c r="G141" s="470"/>
    </row>
    <row r="142" spans="1:7" ht="15" customHeight="1">
      <c r="A142" s="680"/>
      <c r="B142" s="1200"/>
      <c r="C142" s="1120"/>
      <c r="D142" s="1120"/>
      <c r="E142" s="1015">
        <f t="shared" si="1"/>
        <v>0</v>
      </c>
      <c r="F142" s="1201"/>
      <c r="G142" s="470"/>
    </row>
    <row r="143" spans="1:7" ht="15" customHeight="1">
      <c r="A143" s="680"/>
      <c r="B143" s="1200"/>
      <c r="C143" s="1120"/>
      <c r="D143" s="1120"/>
      <c r="E143" s="1015">
        <f t="shared" si="1"/>
        <v>0</v>
      </c>
      <c r="F143" s="1201"/>
      <c r="G143" s="470"/>
    </row>
    <row r="144" spans="1:7" ht="15" customHeight="1">
      <c r="A144" s="680"/>
      <c r="B144" s="1200"/>
      <c r="C144" s="1120"/>
      <c r="D144" s="1120"/>
      <c r="E144" s="1015">
        <f t="shared" si="1"/>
        <v>0</v>
      </c>
      <c r="F144" s="1201"/>
      <c r="G144" s="470"/>
    </row>
    <row r="145" spans="1:7" ht="15" customHeight="1">
      <c r="A145" s="680"/>
      <c r="B145" s="1200"/>
      <c r="C145" s="1120"/>
      <c r="D145" s="1120"/>
      <c r="E145" s="1015">
        <f t="shared" ref="E145:E208" si="2">B145-C145+D145</f>
        <v>0</v>
      </c>
      <c r="F145" s="1201"/>
      <c r="G145" s="470"/>
    </row>
    <row r="146" spans="1:7" ht="15" customHeight="1">
      <c r="A146" s="680"/>
      <c r="B146" s="1200"/>
      <c r="C146" s="1120"/>
      <c r="D146" s="1120"/>
      <c r="E146" s="1015">
        <f t="shared" si="2"/>
        <v>0</v>
      </c>
      <c r="F146" s="1201"/>
      <c r="G146" s="470"/>
    </row>
    <row r="147" spans="1:7" ht="15" customHeight="1">
      <c r="A147" s="680"/>
      <c r="B147" s="1200"/>
      <c r="C147" s="1120"/>
      <c r="D147" s="1120"/>
      <c r="E147" s="1015">
        <f t="shared" si="2"/>
        <v>0</v>
      </c>
      <c r="F147" s="1201"/>
      <c r="G147" s="470"/>
    </row>
    <row r="148" spans="1:7" ht="15" customHeight="1">
      <c r="A148" s="680"/>
      <c r="B148" s="1200"/>
      <c r="C148" s="1120"/>
      <c r="D148" s="1120"/>
      <c r="E148" s="1015">
        <f t="shared" si="2"/>
        <v>0</v>
      </c>
      <c r="F148" s="1201"/>
      <c r="G148" s="470"/>
    </row>
    <row r="149" spans="1:7" ht="15" customHeight="1">
      <c r="A149" s="680"/>
      <c r="B149" s="1200"/>
      <c r="C149" s="1120"/>
      <c r="D149" s="1120"/>
      <c r="E149" s="1015">
        <f t="shared" si="2"/>
        <v>0</v>
      </c>
      <c r="F149" s="1201"/>
      <c r="G149" s="470"/>
    </row>
    <row r="150" spans="1:7" ht="15" customHeight="1">
      <c r="A150" s="680"/>
      <c r="B150" s="1200"/>
      <c r="C150" s="1120"/>
      <c r="D150" s="1120"/>
      <c r="E150" s="1015">
        <f t="shared" si="2"/>
        <v>0</v>
      </c>
      <c r="F150" s="1201"/>
      <c r="G150" s="470"/>
    </row>
    <row r="151" spans="1:7" ht="15" customHeight="1">
      <c r="A151" s="680"/>
      <c r="B151" s="1200"/>
      <c r="C151" s="1120"/>
      <c r="D151" s="1120"/>
      <c r="E151" s="1015">
        <f t="shared" si="2"/>
        <v>0</v>
      </c>
      <c r="F151" s="1201"/>
      <c r="G151" s="470"/>
    </row>
    <row r="152" spans="1:7" ht="15" customHeight="1">
      <c r="A152" s="680"/>
      <c r="B152" s="1200"/>
      <c r="C152" s="1120"/>
      <c r="D152" s="1120"/>
      <c r="E152" s="1015">
        <f t="shared" si="2"/>
        <v>0</v>
      </c>
      <c r="F152" s="1201"/>
      <c r="G152" s="470"/>
    </row>
    <row r="153" spans="1:7" ht="15" customHeight="1">
      <c r="A153" s="680"/>
      <c r="B153" s="1200"/>
      <c r="C153" s="1120"/>
      <c r="D153" s="1120"/>
      <c r="E153" s="1015">
        <f t="shared" si="2"/>
        <v>0</v>
      </c>
      <c r="F153" s="1201"/>
      <c r="G153" s="470"/>
    </row>
    <row r="154" spans="1:7" ht="15" customHeight="1">
      <c r="A154" s="680"/>
      <c r="B154" s="1200"/>
      <c r="C154" s="1120"/>
      <c r="D154" s="1120"/>
      <c r="E154" s="1015">
        <f t="shared" si="2"/>
        <v>0</v>
      </c>
      <c r="F154" s="1201"/>
      <c r="G154" s="470"/>
    </row>
    <row r="155" spans="1:7" ht="15" customHeight="1">
      <c r="A155" s="680"/>
      <c r="B155" s="1200"/>
      <c r="C155" s="1120"/>
      <c r="D155" s="1120"/>
      <c r="E155" s="1015">
        <f t="shared" si="2"/>
        <v>0</v>
      </c>
      <c r="F155" s="1201"/>
      <c r="G155" s="470"/>
    </row>
    <row r="156" spans="1:7" ht="15" customHeight="1">
      <c r="A156" s="680"/>
      <c r="B156" s="1200"/>
      <c r="C156" s="1120"/>
      <c r="D156" s="1120"/>
      <c r="E156" s="1015">
        <f t="shared" si="2"/>
        <v>0</v>
      </c>
      <c r="F156" s="1201"/>
      <c r="G156" s="470"/>
    </row>
    <row r="157" spans="1:7" ht="15" customHeight="1">
      <c r="A157" s="680"/>
      <c r="B157" s="1200"/>
      <c r="C157" s="1120"/>
      <c r="D157" s="1120"/>
      <c r="E157" s="1015">
        <f t="shared" si="2"/>
        <v>0</v>
      </c>
      <c r="F157" s="1201"/>
      <c r="G157" s="470"/>
    </row>
    <row r="158" spans="1:7" ht="15" customHeight="1">
      <c r="A158" s="680"/>
      <c r="B158" s="1200"/>
      <c r="C158" s="1120"/>
      <c r="D158" s="1120"/>
      <c r="E158" s="1015">
        <f t="shared" si="2"/>
        <v>0</v>
      </c>
      <c r="F158" s="1201"/>
      <c r="G158" s="470"/>
    </row>
    <row r="159" spans="1:7" ht="15" customHeight="1">
      <c r="A159" s="680"/>
      <c r="B159" s="1200"/>
      <c r="C159" s="1120"/>
      <c r="D159" s="1120"/>
      <c r="E159" s="1015">
        <f t="shared" si="2"/>
        <v>0</v>
      </c>
      <c r="F159" s="1201"/>
      <c r="G159" s="470"/>
    </row>
    <row r="160" spans="1:7" ht="15" customHeight="1">
      <c r="A160" s="680"/>
      <c r="B160" s="1200"/>
      <c r="C160" s="1120"/>
      <c r="D160" s="1120"/>
      <c r="E160" s="1015">
        <f t="shared" si="2"/>
        <v>0</v>
      </c>
      <c r="F160" s="1201"/>
      <c r="G160" s="470"/>
    </row>
    <row r="161" spans="1:7" ht="15" customHeight="1">
      <c r="A161" s="680"/>
      <c r="B161" s="1200"/>
      <c r="C161" s="1120"/>
      <c r="D161" s="1120"/>
      <c r="E161" s="1015">
        <f t="shared" si="2"/>
        <v>0</v>
      </c>
      <c r="F161" s="1201"/>
      <c r="G161" s="470"/>
    </row>
    <row r="162" spans="1:7" ht="15" customHeight="1">
      <c r="A162" s="680"/>
      <c r="B162" s="1200"/>
      <c r="C162" s="1120"/>
      <c r="D162" s="1120"/>
      <c r="E162" s="1015">
        <f t="shared" si="2"/>
        <v>0</v>
      </c>
      <c r="F162" s="1201"/>
      <c r="G162" s="470"/>
    </row>
    <row r="163" spans="1:7" ht="15" customHeight="1">
      <c r="A163" s="680"/>
      <c r="B163" s="1200"/>
      <c r="C163" s="1120"/>
      <c r="D163" s="1120"/>
      <c r="E163" s="1015">
        <f t="shared" si="2"/>
        <v>0</v>
      </c>
      <c r="F163" s="1201"/>
      <c r="G163" s="470"/>
    </row>
    <row r="164" spans="1:7" ht="15" customHeight="1">
      <c r="A164" s="680"/>
      <c r="B164" s="1200"/>
      <c r="C164" s="1120"/>
      <c r="D164" s="1120"/>
      <c r="E164" s="1015">
        <f t="shared" si="2"/>
        <v>0</v>
      </c>
      <c r="F164" s="1201"/>
      <c r="G164" s="470"/>
    </row>
    <row r="165" spans="1:7" ht="15" customHeight="1">
      <c r="A165" s="680"/>
      <c r="B165" s="1200"/>
      <c r="C165" s="1120"/>
      <c r="D165" s="1120"/>
      <c r="E165" s="1015">
        <f t="shared" si="2"/>
        <v>0</v>
      </c>
      <c r="F165" s="1201"/>
      <c r="G165" s="470"/>
    </row>
    <row r="166" spans="1:7" ht="15" customHeight="1">
      <c r="A166" s="680"/>
      <c r="B166" s="1200"/>
      <c r="C166" s="1120"/>
      <c r="D166" s="1120"/>
      <c r="E166" s="1015">
        <f t="shared" si="2"/>
        <v>0</v>
      </c>
      <c r="F166" s="1201"/>
      <c r="G166" s="470"/>
    </row>
    <row r="167" spans="1:7" ht="15" customHeight="1">
      <c r="A167" s="680"/>
      <c r="B167" s="1200"/>
      <c r="C167" s="1120"/>
      <c r="D167" s="1120"/>
      <c r="E167" s="1015">
        <f t="shared" si="2"/>
        <v>0</v>
      </c>
      <c r="F167" s="1201"/>
      <c r="G167" s="470"/>
    </row>
    <row r="168" spans="1:7" ht="15" customHeight="1">
      <c r="A168" s="680"/>
      <c r="B168" s="1200"/>
      <c r="C168" s="1120"/>
      <c r="D168" s="1120"/>
      <c r="E168" s="1015">
        <f t="shared" si="2"/>
        <v>0</v>
      </c>
      <c r="F168" s="1201"/>
      <c r="G168" s="470"/>
    </row>
    <row r="169" spans="1:7" ht="15" customHeight="1">
      <c r="A169" s="680"/>
      <c r="B169" s="1200"/>
      <c r="C169" s="1120"/>
      <c r="D169" s="1120"/>
      <c r="E169" s="1015">
        <f t="shared" si="2"/>
        <v>0</v>
      </c>
      <c r="F169" s="1201"/>
      <c r="G169" s="470"/>
    </row>
    <row r="170" spans="1:7" ht="15" customHeight="1">
      <c r="A170" s="680"/>
      <c r="B170" s="1200"/>
      <c r="C170" s="1120"/>
      <c r="D170" s="1120"/>
      <c r="E170" s="1015">
        <f t="shared" si="2"/>
        <v>0</v>
      </c>
      <c r="F170" s="1201"/>
      <c r="G170" s="470"/>
    </row>
    <row r="171" spans="1:7" ht="15" customHeight="1">
      <c r="A171" s="680"/>
      <c r="B171" s="1200"/>
      <c r="C171" s="1120"/>
      <c r="D171" s="1120"/>
      <c r="E171" s="1015">
        <f t="shared" si="2"/>
        <v>0</v>
      </c>
      <c r="F171" s="1201"/>
      <c r="G171" s="470"/>
    </row>
    <row r="172" spans="1:7" ht="15" customHeight="1">
      <c r="A172" s="680"/>
      <c r="B172" s="1200"/>
      <c r="C172" s="1120"/>
      <c r="D172" s="1120"/>
      <c r="E172" s="1015">
        <f t="shared" si="2"/>
        <v>0</v>
      </c>
      <c r="F172" s="1201"/>
      <c r="G172" s="470"/>
    </row>
    <row r="173" spans="1:7" ht="15" customHeight="1">
      <c r="A173" s="680"/>
      <c r="B173" s="1200"/>
      <c r="C173" s="1120"/>
      <c r="D173" s="1120"/>
      <c r="E173" s="1015">
        <f t="shared" si="2"/>
        <v>0</v>
      </c>
      <c r="F173" s="1201"/>
      <c r="G173" s="470"/>
    </row>
    <row r="174" spans="1:7" ht="15" customHeight="1">
      <c r="A174" s="680"/>
      <c r="B174" s="1200"/>
      <c r="C174" s="1120"/>
      <c r="D174" s="1120"/>
      <c r="E174" s="1015">
        <f t="shared" si="2"/>
        <v>0</v>
      </c>
      <c r="F174" s="1201"/>
      <c r="G174" s="470"/>
    </row>
    <row r="175" spans="1:7" ht="15" customHeight="1">
      <c r="A175" s="680"/>
      <c r="B175" s="1200"/>
      <c r="C175" s="1120"/>
      <c r="D175" s="1120"/>
      <c r="E175" s="1015">
        <f t="shared" si="2"/>
        <v>0</v>
      </c>
      <c r="F175" s="1201"/>
      <c r="G175" s="470"/>
    </row>
    <row r="176" spans="1:7" ht="15" customHeight="1">
      <c r="A176" s="680"/>
      <c r="B176" s="1200"/>
      <c r="C176" s="1120"/>
      <c r="D176" s="1120"/>
      <c r="E176" s="1015">
        <f t="shared" si="2"/>
        <v>0</v>
      </c>
      <c r="F176" s="1201"/>
      <c r="G176" s="470"/>
    </row>
    <row r="177" spans="1:7" ht="15" customHeight="1">
      <c r="A177" s="680"/>
      <c r="B177" s="1200"/>
      <c r="C177" s="1120"/>
      <c r="D177" s="1120"/>
      <c r="E177" s="1015">
        <f t="shared" si="2"/>
        <v>0</v>
      </c>
      <c r="F177" s="1201"/>
      <c r="G177" s="470"/>
    </row>
    <row r="178" spans="1:7" ht="15" customHeight="1">
      <c r="A178" s="680"/>
      <c r="B178" s="1200"/>
      <c r="C178" s="1120"/>
      <c r="D178" s="1120"/>
      <c r="E178" s="1015">
        <f t="shared" si="2"/>
        <v>0</v>
      </c>
      <c r="F178" s="1201"/>
      <c r="G178" s="470"/>
    </row>
    <row r="179" spans="1:7" ht="15" customHeight="1">
      <c r="A179" s="680"/>
      <c r="B179" s="1200"/>
      <c r="C179" s="1120"/>
      <c r="D179" s="1120"/>
      <c r="E179" s="1015">
        <f t="shared" si="2"/>
        <v>0</v>
      </c>
      <c r="F179" s="1201"/>
      <c r="G179" s="470"/>
    </row>
    <row r="180" spans="1:7" ht="15" customHeight="1">
      <c r="A180" s="680"/>
      <c r="B180" s="1200"/>
      <c r="C180" s="1120"/>
      <c r="D180" s="1120"/>
      <c r="E180" s="1015">
        <f t="shared" si="2"/>
        <v>0</v>
      </c>
      <c r="F180" s="1201"/>
      <c r="G180" s="470"/>
    </row>
    <row r="181" spans="1:7" ht="15" customHeight="1">
      <c r="A181" s="680"/>
      <c r="B181" s="1200"/>
      <c r="C181" s="1120"/>
      <c r="D181" s="1120"/>
      <c r="E181" s="1015">
        <f t="shared" si="2"/>
        <v>0</v>
      </c>
      <c r="F181" s="1201"/>
      <c r="G181" s="470"/>
    </row>
    <row r="182" spans="1:7" ht="15" customHeight="1">
      <c r="A182" s="680"/>
      <c r="B182" s="1200"/>
      <c r="C182" s="1120"/>
      <c r="D182" s="1120"/>
      <c r="E182" s="1015">
        <f t="shared" si="2"/>
        <v>0</v>
      </c>
      <c r="F182" s="1201"/>
      <c r="G182" s="470"/>
    </row>
    <row r="183" spans="1:7" ht="15" customHeight="1">
      <c r="A183" s="680"/>
      <c r="B183" s="1200"/>
      <c r="C183" s="1120"/>
      <c r="D183" s="1120"/>
      <c r="E183" s="1015">
        <f t="shared" si="2"/>
        <v>0</v>
      </c>
      <c r="F183" s="1201"/>
      <c r="G183" s="470"/>
    </row>
    <row r="184" spans="1:7" ht="15" customHeight="1">
      <c r="A184" s="680"/>
      <c r="B184" s="1200"/>
      <c r="C184" s="1120"/>
      <c r="D184" s="1120"/>
      <c r="E184" s="1015">
        <f t="shared" si="2"/>
        <v>0</v>
      </c>
      <c r="F184" s="1201"/>
      <c r="G184" s="470"/>
    </row>
    <row r="185" spans="1:7" ht="15" customHeight="1">
      <c r="A185" s="680"/>
      <c r="B185" s="1200"/>
      <c r="C185" s="1120"/>
      <c r="D185" s="1120"/>
      <c r="E185" s="1015">
        <f t="shared" si="2"/>
        <v>0</v>
      </c>
      <c r="F185" s="1201"/>
      <c r="G185" s="470"/>
    </row>
    <row r="186" spans="1:7" ht="15" customHeight="1">
      <c r="A186" s="680"/>
      <c r="B186" s="1200"/>
      <c r="C186" s="1120"/>
      <c r="D186" s="1120"/>
      <c r="E186" s="1015">
        <f t="shared" si="2"/>
        <v>0</v>
      </c>
      <c r="F186" s="1201"/>
      <c r="G186" s="470"/>
    </row>
    <row r="187" spans="1:7" ht="15" customHeight="1">
      <c r="A187" s="680"/>
      <c r="B187" s="1200"/>
      <c r="C187" s="1120"/>
      <c r="D187" s="1120"/>
      <c r="E187" s="1015">
        <f t="shared" si="2"/>
        <v>0</v>
      </c>
      <c r="F187" s="1201"/>
      <c r="G187" s="470"/>
    </row>
    <row r="188" spans="1:7" ht="15" customHeight="1">
      <c r="A188" s="680"/>
      <c r="B188" s="1200"/>
      <c r="C188" s="1120"/>
      <c r="D188" s="1120"/>
      <c r="E188" s="1015">
        <f t="shared" si="2"/>
        <v>0</v>
      </c>
      <c r="F188" s="1201"/>
      <c r="G188" s="470"/>
    </row>
    <row r="189" spans="1:7" ht="15" customHeight="1">
      <c r="A189" s="680"/>
      <c r="B189" s="1200"/>
      <c r="C189" s="1120"/>
      <c r="D189" s="1120"/>
      <c r="E189" s="1015">
        <f t="shared" si="2"/>
        <v>0</v>
      </c>
      <c r="F189" s="1201"/>
      <c r="G189" s="470"/>
    </row>
    <row r="190" spans="1:7" ht="15" customHeight="1">
      <c r="A190" s="680"/>
      <c r="B190" s="1200"/>
      <c r="C190" s="1120"/>
      <c r="D190" s="1120"/>
      <c r="E190" s="1015">
        <f t="shared" si="2"/>
        <v>0</v>
      </c>
      <c r="F190" s="1201"/>
      <c r="G190" s="470"/>
    </row>
    <row r="191" spans="1:7" ht="15" customHeight="1">
      <c r="A191" s="680"/>
      <c r="B191" s="1200"/>
      <c r="C191" s="1120"/>
      <c r="D191" s="1120"/>
      <c r="E191" s="1015">
        <f t="shared" si="2"/>
        <v>0</v>
      </c>
      <c r="F191" s="1201"/>
      <c r="G191" s="470"/>
    </row>
    <row r="192" spans="1:7" ht="15" customHeight="1">
      <c r="A192" s="680"/>
      <c r="B192" s="1200"/>
      <c r="C192" s="1120"/>
      <c r="D192" s="1120"/>
      <c r="E192" s="1015">
        <f t="shared" si="2"/>
        <v>0</v>
      </c>
      <c r="F192" s="1201"/>
      <c r="G192" s="470"/>
    </row>
    <row r="193" spans="1:7" ht="15" customHeight="1">
      <c r="A193" s="680"/>
      <c r="B193" s="1200"/>
      <c r="C193" s="1120"/>
      <c r="D193" s="1120"/>
      <c r="E193" s="1015">
        <f t="shared" si="2"/>
        <v>0</v>
      </c>
      <c r="F193" s="1201"/>
      <c r="G193" s="470"/>
    </row>
    <row r="194" spans="1:7" ht="15" customHeight="1">
      <c r="A194" s="680"/>
      <c r="B194" s="1200"/>
      <c r="C194" s="1120"/>
      <c r="D194" s="1120"/>
      <c r="E194" s="1015">
        <f t="shared" si="2"/>
        <v>0</v>
      </c>
      <c r="F194" s="1201"/>
      <c r="G194" s="470"/>
    </row>
    <row r="195" spans="1:7" ht="15" customHeight="1">
      <c r="A195" s="680"/>
      <c r="B195" s="1200"/>
      <c r="C195" s="1120"/>
      <c r="D195" s="1120"/>
      <c r="E195" s="1015">
        <f t="shared" si="2"/>
        <v>0</v>
      </c>
      <c r="F195" s="1201"/>
      <c r="G195" s="470"/>
    </row>
    <row r="196" spans="1:7" ht="15" customHeight="1">
      <c r="A196" s="680"/>
      <c r="B196" s="1200"/>
      <c r="C196" s="1120"/>
      <c r="D196" s="1120"/>
      <c r="E196" s="1015">
        <f t="shared" si="2"/>
        <v>0</v>
      </c>
      <c r="F196" s="1201"/>
      <c r="G196" s="470"/>
    </row>
    <row r="197" spans="1:7" ht="15" customHeight="1">
      <c r="A197" s="680"/>
      <c r="B197" s="1200"/>
      <c r="C197" s="1120"/>
      <c r="D197" s="1120"/>
      <c r="E197" s="1015">
        <f t="shared" si="2"/>
        <v>0</v>
      </c>
      <c r="F197" s="1201"/>
      <c r="G197" s="470"/>
    </row>
    <row r="198" spans="1:7" ht="15" customHeight="1">
      <c r="A198" s="680"/>
      <c r="B198" s="1200"/>
      <c r="C198" s="1120"/>
      <c r="D198" s="1120"/>
      <c r="E198" s="1015">
        <f t="shared" si="2"/>
        <v>0</v>
      </c>
      <c r="F198" s="1201"/>
      <c r="G198" s="470"/>
    </row>
    <row r="199" spans="1:7" ht="15" customHeight="1">
      <c r="A199" s="680"/>
      <c r="B199" s="1200"/>
      <c r="C199" s="1120"/>
      <c r="D199" s="1120"/>
      <c r="E199" s="1015">
        <f t="shared" si="2"/>
        <v>0</v>
      </c>
      <c r="F199" s="1201"/>
      <c r="G199" s="470"/>
    </row>
    <row r="200" spans="1:7" ht="15" customHeight="1">
      <c r="A200" s="680"/>
      <c r="B200" s="1200"/>
      <c r="C200" s="1120"/>
      <c r="D200" s="1120"/>
      <c r="E200" s="1015">
        <f t="shared" si="2"/>
        <v>0</v>
      </c>
      <c r="F200" s="1201"/>
      <c r="G200" s="470"/>
    </row>
    <row r="201" spans="1:7" ht="15" customHeight="1">
      <c r="A201" s="680"/>
      <c r="B201" s="1200"/>
      <c r="C201" s="1120"/>
      <c r="D201" s="1120"/>
      <c r="E201" s="1015">
        <f t="shared" si="2"/>
        <v>0</v>
      </c>
      <c r="F201" s="1201"/>
      <c r="G201" s="470"/>
    </row>
    <row r="202" spans="1:7" ht="15" customHeight="1">
      <c r="A202" s="680"/>
      <c r="B202" s="1200"/>
      <c r="C202" s="1120"/>
      <c r="D202" s="1120"/>
      <c r="E202" s="1015">
        <f t="shared" si="2"/>
        <v>0</v>
      </c>
      <c r="F202" s="1201"/>
      <c r="G202" s="470"/>
    </row>
    <row r="203" spans="1:7" ht="15" customHeight="1">
      <c r="A203" s="680"/>
      <c r="B203" s="1200"/>
      <c r="C203" s="1120"/>
      <c r="D203" s="1120"/>
      <c r="E203" s="1015">
        <f t="shared" si="2"/>
        <v>0</v>
      </c>
      <c r="F203" s="1201"/>
      <c r="G203" s="470"/>
    </row>
    <row r="204" spans="1:7" ht="15" customHeight="1">
      <c r="A204" s="680"/>
      <c r="B204" s="1200"/>
      <c r="C204" s="1120"/>
      <c r="D204" s="1120"/>
      <c r="E204" s="1015">
        <f t="shared" si="2"/>
        <v>0</v>
      </c>
      <c r="F204" s="1201"/>
      <c r="G204" s="470"/>
    </row>
    <row r="205" spans="1:7" ht="15" customHeight="1">
      <c r="A205" s="680"/>
      <c r="B205" s="1200"/>
      <c r="C205" s="1120"/>
      <c r="D205" s="1120"/>
      <c r="E205" s="1015">
        <f t="shared" si="2"/>
        <v>0</v>
      </c>
      <c r="F205" s="1201"/>
      <c r="G205" s="470"/>
    </row>
    <row r="206" spans="1:7" ht="15" customHeight="1">
      <c r="A206" s="680"/>
      <c r="B206" s="1200"/>
      <c r="C206" s="1120"/>
      <c r="D206" s="1120"/>
      <c r="E206" s="1015">
        <f t="shared" si="2"/>
        <v>0</v>
      </c>
      <c r="F206" s="1201"/>
      <c r="G206" s="470"/>
    </row>
    <row r="207" spans="1:7" ht="15" customHeight="1">
      <c r="A207" s="680"/>
      <c r="B207" s="1200"/>
      <c r="C207" s="1120"/>
      <c r="D207" s="1120"/>
      <c r="E207" s="1015">
        <f t="shared" si="2"/>
        <v>0</v>
      </c>
      <c r="F207" s="1201"/>
      <c r="G207" s="470"/>
    </row>
    <row r="208" spans="1:7" ht="15" customHeight="1">
      <c r="A208" s="680"/>
      <c r="B208" s="1200"/>
      <c r="C208" s="1120"/>
      <c r="D208" s="1120"/>
      <c r="E208" s="1015">
        <f t="shared" si="2"/>
        <v>0</v>
      </c>
      <c r="F208" s="1201"/>
      <c r="G208" s="470"/>
    </row>
    <row r="209" spans="1:7" ht="15" customHeight="1">
      <c r="A209" s="680"/>
      <c r="B209" s="1200"/>
      <c r="C209" s="1120"/>
      <c r="D209" s="1120"/>
      <c r="E209" s="1015">
        <f t="shared" ref="E209:E272" si="3">B209-C209+D209</f>
        <v>0</v>
      </c>
      <c r="F209" s="1201"/>
      <c r="G209" s="470"/>
    </row>
    <row r="210" spans="1:7" ht="15" customHeight="1">
      <c r="A210" s="680"/>
      <c r="B210" s="1200"/>
      <c r="C210" s="1120"/>
      <c r="D210" s="1120"/>
      <c r="E210" s="1015">
        <f t="shared" si="3"/>
        <v>0</v>
      </c>
      <c r="F210" s="1201"/>
      <c r="G210" s="470"/>
    </row>
    <row r="211" spans="1:7" ht="15" customHeight="1">
      <c r="A211" s="680"/>
      <c r="B211" s="1200"/>
      <c r="C211" s="1120"/>
      <c r="D211" s="1120"/>
      <c r="E211" s="1015">
        <f t="shared" si="3"/>
        <v>0</v>
      </c>
      <c r="F211" s="1201"/>
      <c r="G211" s="470"/>
    </row>
    <row r="212" spans="1:7" ht="15" customHeight="1">
      <c r="A212" s="680"/>
      <c r="B212" s="1200"/>
      <c r="C212" s="1120"/>
      <c r="D212" s="1120"/>
      <c r="E212" s="1015">
        <f t="shared" si="3"/>
        <v>0</v>
      </c>
      <c r="F212" s="1201"/>
      <c r="G212" s="470"/>
    </row>
    <row r="213" spans="1:7" ht="15" customHeight="1">
      <c r="A213" s="680"/>
      <c r="B213" s="1200"/>
      <c r="C213" s="1120"/>
      <c r="D213" s="1120"/>
      <c r="E213" s="1015">
        <f t="shared" si="3"/>
        <v>0</v>
      </c>
      <c r="F213" s="1201"/>
      <c r="G213" s="470"/>
    </row>
    <row r="214" spans="1:7" ht="15" customHeight="1">
      <c r="A214" s="680"/>
      <c r="B214" s="1200"/>
      <c r="C214" s="1120"/>
      <c r="D214" s="1120"/>
      <c r="E214" s="1015">
        <f t="shared" si="3"/>
        <v>0</v>
      </c>
      <c r="F214" s="1201"/>
      <c r="G214" s="470"/>
    </row>
    <row r="215" spans="1:7" ht="15" customHeight="1">
      <c r="A215" s="680"/>
      <c r="B215" s="1200"/>
      <c r="C215" s="1120"/>
      <c r="D215" s="1120"/>
      <c r="E215" s="1015">
        <f t="shared" si="3"/>
        <v>0</v>
      </c>
      <c r="F215" s="1201"/>
      <c r="G215" s="470"/>
    </row>
    <row r="216" spans="1:7" ht="15" customHeight="1">
      <c r="A216" s="680"/>
      <c r="B216" s="1200"/>
      <c r="C216" s="1120"/>
      <c r="D216" s="1120"/>
      <c r="E216" s="1015">
        <f t="shared" si="3"/>
        <v>0</v>
      </c>
      <c r="F216" s="1201"/>
      <c r="G216" s="470"/>
    </row>
    <row r="217" spans="1:7" ht="15" customHeight="1">
      <c r="A217" s="680"/>
      <c r="B217" s="1200"/>
      <c r="C217" s="1120"/>
      <c r="D217" s="1120"/>
      <c r="E217" s="1015">
        <f t="shared" si="3"/>
        <v>0</v>
      </c>
      <c r="F217" s="1201"/>
      <c r="G217" s="470"/>
    </row>
    <row r="218" spans="1:7" ht="15" customHeight="1">
      <c r="A218" s="680"/>
      <c r="B218" s="1200"/>
      <c r="C218" s="1120"/>
      <c r="D218" s="1120"/>
      <c r="E218" s="1015">
        <f t="shared" si="3"/>
        <v>0</v>
      </c>
      <c r="F218" s="1201"/>
      <c r="G218" s="470"/>
    </row>
    <row r="219" spans="1:7" ht="15" customHeight="1">
      <c r="A219" s="680"/>
      <c r="B219" s="1200"/>
      <c r="C219" s="1120"/>
      <c r="D219" s="1120"/>
      <c r="E219" s="1015">
        <f t="shared" si="3"/>
        <v>0</v>
      </c>
      <c r="F219" s="1201"/>
      <c r="G219" s="470"/>
    </row>
    <row r="220" spans="1:7" ht="15" customHeight="1">
      <c r="A220" s="680"/>
      <c r="B220" s="1200"/>
      <c r="C220" s="1120"/>
      <c r="D220" s="1120"/>
      <c r="E220" s="1015">
        <f t="shared" si="3"/>
        <v>0</v>
      </c>
      <c r="F220" s="1201"/>
      <c r="G220" s="470"/>
    </row>
    <row r="221" spans="1:7" ht="15" customHeight="1">
      <c r="A221" s="680"/>
      <c r="B221" s="1200"/>
      <c r="C221" s="1120"/>
      <c r="D221" s="1120"/>
      <c r="E221" s="1015">
        <f t="shared" si="3"/>
        <v>0</v>
      </c>
      <c r="F221" s="1201"/>
      <c r="G221" s="470"/>
    </row>
    <row r="222" spans="1:7" ht="15" customHeight="1">
      <c r="A222" s="680"/>
      <c r="B222" s="1200"/>
      <c r="C222" s="1120"/>
      <c r="D222" s="1120"/>
      <c r="E222" s="1015">
        <f t="shared" si="3"/>
        <v>0</v>
      </c>
      <c r="F222" s="1201"/>
      <c r="G222" s="470"/>
    </row>
    <row r="223" spans="1:7" ht="15" customHeight="1">
      <c r="A223" s="680"/>
      <c r="B223" s="1200"/>
      <c r="C223" s="1120"/>
      <c r="D223" s="1120"/>
      <c r="E223" s="1015">
        <f t="shared" si="3"/>
        <v>0</v>
      </c>
      <c r="F223" s="1201"/>
      <c r="G223" s="470"/>
    </row>
    <row r="224" spans="1:7" ht="15" customHeight="1">
      <c r="A224" s="680"/>
      <c r="B224" s="1200"/>
      <c r="C224" s="1120"/>
      <c r="D224" s="1120"/>
      <c r="E224" s="1015">
        <f t="shared" si="3"/>
        <v>0</v>
      </c>
      <c r="F224" s="1201"/>
      <c r="G224" s="470"/>
    </row>
    <row r="225" spans="1:7" ht="15" customHeight="1">
      <c r="A225" s="680"/>
      <c r="B225" s="1200"/>
      <c r="C225" s="1120"/>
      <c r="D225" s="1120"/>
      <c r="E225" s="1015">
        <f t="shared" si="3"/>
        <v>0</v>
      </c>
      <c r="F225" s="1201"/>
      <c r="G225" s="470"/>
    </row>
    <row r="226" spans="1:7" ht="15" customHeight="1">
      <c r="A226" s="680"/>
      <c r="B226" s="1200"/>
      <c r="C226" s="1120"/>
      <c r="D226" s="1120"/>
      <c r="E226" s="1015">
        <f t="shared" si="3"/>
        <v>0</v>
      </c>
      <c r="F226" s="1201"/>
      <c r="G226" s="470"/>
    </row>
    <row r="227" spans="1:7" ht="15" customHeight="1">
      <c r="A227" s="680"/>
      <c r="B227" s="1200"/>
      <c r="C227" s="1120"/>
      <c r="D227" s="1120"/>
      <c r="E227" s="1015">
        <f t="shared" si="3"/>
        <v>0</v>
      </c>
      <c r="F227" s="1201"/>
      <c r="G227" s="470"/>
    </row>
    <row r="228" spans="1:7" ht="15" customHeight="1">
      <c r="A228" s="680"/>
      <c r="B228" s="1200"/>
      <c r="C228" s="1120"/>
      <c r="D228" s="1120"/>
      <c r="E228" s="1015">
        <f t="shared" si="3"/>
        <v>0</v>
      </c>
      <c r="F228" s="1201"/>
      <c r="G228" s="470"/>
    </row>
    <row r="229" spans="1:7" ht="15" customHeight="1">
      <c r="A229" s="680"/>
      <c r="B229" s="1200"/>
      <c r="C229" s="1120"/>
      <c r="D229" s="1120"/>
      <c r="E229" s="1015">
        <f t="shared" si="3"/>
        <v>0</v>
      </c>
      <c r="F229" s="1201"/>
      <c r="G229" s="470"/>
    </row>
    <row r="230" spans="1:7" ht="15" customHeight="1">
      <c r="A230" s="680"/>
      <c r="B230" s="1200"/>
      <c r="C230" s="1120"/>
      <c r="D230" s="1120"/>
      <c r="E230" s="1015">
        <f t="shared" si="3"/>
        <v>0</v>
      </c>
      <c r="F230" s="1201"/>
      <c r="G230" s="470"/>
    </row>
    <row r="231" spans="1:7" ht="15" customHeight="1">
      <c r="A231" s="680"/>
      <c r="B231" s="1200"/>
      <c r="C231" s="1120"/>
      <c r="D231" s="1120"/>
      <c r="E231" s="1015">
        <f t="shared" si="3"/>
        <v>0</v>
      </c>
      <c r="F231" s="1201"/>
      <c r="G231" s="470"/>
    </row>
    <row r="232" spans="1:7" ht="15" customHeight="1">
      <c r="A232" s="680"/>
      <c r="B232" s="1200"/>
      <c r="C232" s="1120"/>
      <c r="D232" s="1120"/>
      <c r="E232" s="1015">
        <f t="shared" si="3"/>
        <v>0</v>
      </c>
      <c r="F232" s="1201"/>
      <c r="G232" s="470"/>
    </row>
    <row r="233" spans="1:7" ht="15" customHeight="1">
      <c r="A233" s="680"/>
      <c r="B233" s="1200"/>
      <c r="C233" s="1120"/>
      <c r="D233" s="1120"/>
      <c r="E233" s="1015">
        <f t="shared" si="3"/>
        <v>0</v>
      </c>
      <c r="F233" s="1201"/>
      <c r="G233" s="470"/>
    </row>
    <row r="234" spans="1:7" ht="15" customHeight="1">
      <c r="A234" s="680"/>
      <c r="B234" s="1200"/>
      <c r="C234" s="1120"/>
      <c r="D234" s="1120"/>
      <c r="E234" s="1015">
        <f t="shared" si="3"/>
        <v>0</v>
      </c>
      <c r="F234" s="1201"/>
      <c r="G234" s="470"/>
    </row>
    <row r="235" spans="1:7" ht="15" customHeight="1">
      <c r="A235" s="680"/>
      <c r="B235" s="1200"/>
      <c r="C235" s="1120"/>
      <c r="D235" s="1120"/>
      <c r="E235" s="1015">
        <f t="shared" si="3"/>
        <v>0</v>
      </c>
      <c r="F235" s="1201"/>
      <c r="G235" s="470"/>
    </row>
    <row r="236" spans="1:7" ht="15" customHeight="1">
      <c r="A236" s="680"/>
      <c r="B236" s="1200"/>
      <c r="C236" s="1120"/>
      <c r="D236" s="1120"/>
      <c r="E236" s="1015">
        <f t="shared" si="3"/>
        <v>0</v>
      </c>
      <c r="F236" s="1201"/>
      <c r="G236" s="470"/>
    </row>
    <row r="237" spans="1:7" ht="15" customHeight="1">
      <c r="A237" s="680"/>
      <c r="B237" s="1200"/>
      <c r="C237" s="1120"/>
      <c r="D237" s="1120"/>
      <c r="E237" s="1015">
        <f t="shared" si="3"/>
        <v>0</v>
      </c>
      <c r="F237" s="1201"/>
      <c r="G237" s="470"/>
    </row>
    <row r="238" spans="1:7" ht="15" customHeight="1">
      <c r="A238" s="680"/>
      <c r="B238" s="1200"/>
      <c r="C238" s="1120"/>
      <c r="D238" s="1120"/>
      <c r="E238" s="1015">
        <f t="shared" si="3"/>
        <v>0</v>
      </c>
      <c r="F238" s="1201"/>
      <c r="G238" s="470"/>
    </row>
    <row r="239" spans="1:7" ht="15" customHeight="1">
      <c r="A239" s="680"/>
      <c r="B239" s="1200"/>
      <c r="C239" s="1120"/>
      <c r="D239" s="1120"/>
      <c r="E239" s="1015">
        <f t="shared" si="3"/>
        <v>0</v>
      </c>
      <c r="F239" s="1201"/>
      <c r="G239" s="470"/>
    </row>
    <row r="240" spans="1:7" ht="15" customHeight="1">
      <c r="A240" s="680"/>
      <c r="B240" s="1200"/>
      <c r="C240" s="1120"/>
      <c r="D240" s="1120"/>
      <c r="E240" s="1015">
        <f t="shared" si="3"/>
        <v>0</v>
      </c>
      <c r="F240" s="1201"/>
      <c r="G240" s="470"/>
    </row>
    <row r="241" spans="1:7" ht="15" customHeight="1">
      <c r="A241" s="680"/>
      <c r="B241" s="1200"/>
      <c r="C241" s="1120"/>
      <c r="D241" s="1120"/>
      <c r="E241" s="1015">
        <f t="shared" si="3"/>
        <v>0</v>
      </c>
      <c r="F241" s="1201"/>
      <c r="G241" s="470"/>
    </row>
    <row r="242" spans="1:7" ht="15" customHeight="1">
      <c r="A242" s="680"/>
      <c r="B242" s="1200"/>
      <c r="C242" s="1120"/>
      <c r="D242" s="1120"/>
      <c r="E242" s="1015">
        <f t="shared" si="3"/>
        <v>0</v>
      </c>
      <c r="F242" s="1201"/>
      <c r="G242" s="470"/>
    </row>
    <row r="243" spans="1:7" ht="15" customHeight="1">
      <c r="A243" s="680"/>
      <c r="B243" s="1200"/>
      <c r="C243" s="1120"/>
      <c r="D243" s="1120"/>
      <c r="E243" s="1015">
        <f t="shared" si="3"/>
        <v>0</v>
      </c>
      <c r="F243" s="1201"/>
      <c r="G243" s="470"/>
    </row>
    <row r="244" spans="1:7" ht="15" customHeight="1">
      <c r="A244" s="680"/>
      <c r="B244" s="1200"/>
      <c r="C244" s="1120"/>
      <c r="D244" s="1120"/>
      <c r="E244" s="1015">
        <f t="shared" si="3"/>
        <v>0</v>
      </c>
      <c r="F244" s="1201"/>
      <c r="G244" s="470"/>
    </row>
    <row r="245" spans="1:7" ht="15" customHeight="1">
      <c r="A245" s="680"/>
      <c r="B245" s="1200"/>
      <c r="C245" s="1120"/>
      <c r="D245" s="1120"/>
      <c r="E245" s="1015">
        <f t="shared" si="3"/>
        <v>0</v>
      </c>
      <c r="F245" s="1201"/>
      <c r="G245" s="470"/>
    </row>
    <row r="246" spans="1:7" ht="15" customHeight="1">
      <c r="A246" s="680"/>
      <c r="B246" s="1200"/>
      <c r="C246" s="1120"/>
      <c r="D246" s="1120"/>
      <c r="E246" s="1015">
        <f t="shared" si="3"/>
        <v>0</v>
      </c>
      <c r="F246" s="1201"/>
      <c r="G246" s="470"/>
    </row>
    <row r="247" spans="1:7" ht="15" customHeight="1">
      <c r="A247" s="680"/>
      <c r="B247" s="1200"/>
      <c r="C247" s="1120"/>
      <c r="D247" s="1120"/>
      <c r="E247" s="1015">
        <f t="shared" si="3"/>
        <v>0</v>
      </c>
      <c r="F247" s="1201"/>
      <c r="G247" s="470"/>
    </row>
    <row r="248" spans="1:7" ht="15" customHeight="1">
      <c r="A248" s="680"/>
      <c r="B248" s="1200"/>
      <c r="C248" s="1120"/>
      <c r="D248" s="1120"/>
      <c r="E248" s="1015">
        <f t="shared" si="3"/>
        <v>0</v>
      </c>
      <c r="F248" s="1201"/>
      <c r="G248" s="470"/>
    </row>
    <row r="249" spans="1:7" ht="15" customHeight="1">
      <c r="A249" s="680"/>
      <c r="B249" s="1200"/>
      <c r="C249" s="1120"/>
      <c r="D249" s="1120"/>
      <c r="E249" s="1015">
        <f t="shared" si="3"/>
        <v>0</v>
      </c>
      <c r="F249" s="1201"/>
      <c r="G249" s="470"/>
    </row>
    <row r="250" spans="1:7" ht="15" customHeight="1">
      <c r="A250" s="680"/>
      <c r="B250" s="1200"/>
      <c r="C250" s="1120"/>
      <c r="D250" s="1120"/>
      <c r="E250" s="1015">
        <f t="shared" si="3"/>
        <v>0</v>
      </c>
      <c r="F250" s="1201"/>
      <c r="G250" s="470"/>
    </row>
    <row r="251" spans="1:7" ht="15" customHeight="1">
      <c r="A251" s="680"/>
      <c r="B251" s="1200"/>
      <c r="C251" s="1120"/>
      <c r="D251" s="1120"/>
      <c r="E251" s="1015">
        <f t="shared" si="3"/>
        <v>0</v>
      </c>
      <c r="F251" s="1201"/>
      <c r="G251" s="470"/>
    </row>
    <row r="252" spans="1:7" ht="15" customHeight="1">
      <c r="A252" s="680"/>
      <c r="B252" s="1200"/>
      <c r="C252" s="1120"/>
      <c r="D252" s="1120"/>
      <c r="E252" s="1015">
        <f t="shared" si="3"/>
        <v>0</v>
      </c>
      <c r="F252" s="1201"/>
      <c r="G252" s="470"/>
    </row>
    <row r="253" spans="1:7" ht="15" customHeight="1">
      <c r="A253" s="680"/>
      <c r="B253" s="1200"/>
      <c r="C253" s="1120"/>
      <c r="D253" s="1120"/>
      <c r="E253" s="1015">
        <f t="shared" si="3"/>
        <v>0</v>
      </c>
      <c r="F253" s="1201"/>
      <c r="G253" s="470"/>
    </row>
    <row r="254" spans="1:7" ht="15" customHeight="1">
      <c r="A254" s="680"/>
      <c r="B254" s="1200"/>
      <c r="C254" s="1120"/>
      <c r="D254" s="1120"/>
      <c r="E254" s="1015">
        <f t="shared" si="3"/>
        <v>0</v>
      </c>
      <c r="F254" s="1201"/>
      <c r="G254" s="470"/>
    </row>
    <row r="255" spans="1:7" ht="15" customHeight="1">
      <c r="A255" s="680"/>
      <c r="B255" s="1200"/>
      <c r="C255" s="1120"/>
      <c r="D255" s="1120"/>
      <c r="E255" s="1015">
        <f t="shared" si="3"/>
        <v>0</v>
      </c>
      <c r="F255" s="1201"/>
      <c r="G255" s="470"/>
    </row>
    <row r="256" spans="1:7" ht="15" customHeight="1">
      <c r="A256" s="680"/>
      <c r="B256" s="1200"/>
      <c r="C256" s="1120"/>
      <c r="D256" s="1120"/>
      <c r="E256" s="1015">
        <f t="shared" si="3"/>
        <v>0</v>
      </c>
      <c r="F256" s="1201"/>
      <c r="G256" s="470"/>
    </row>
    <row r="257" spans="1:7" ht="15" customHeight="1">
      <c r="A257" s="680"/>
      <c r="B257" s="1200"/>
      <c r="C257" s="1120"/>
      <c r="D257" s="1120"/>
      <c r="E257" s="1015">
        <f t="shared" si="3"/>
        <v>0</v>
      </c>
      <c r="F257" s="1201"/>
      <c r="G257" s="470"/>
    </row>
    <row r="258" spans="1:7" ht="15" customHeight="1">
      <c r="A258" s="680"/>
      <c r="B258" s="1200"/>
      <c r="C258" s="1120"/>
      <c r="D258" s="1120"/>
      <c r="E258" s="1015">
        <f t="shared" si="3"/>
        <v>0</v>
      </c>
      <c r="F258" s="1201"/>
      <c r="G258" s="470"/>
    </row>
    <row r="259" spans="1:7" ht="15" customHeight="1">
      <c r="A259" s="680"/>
      <c r="B259" s="1200"/>
      <c r="C259" s="1120"/>
      <c r="D259" s="1120"/>
      <c r="E259" s="1015">
        <f t="shared" si="3"/>
        <v>0</v>
      </c>
      <c r="F259" s="1201"/>
      <c r="G259" s="470"/>
    </row>
    <row r="260" spans="1:7" ht="15" customHeight="1">
      <c r="A260" s="680"/>
      <c r="B260" s="1200"/>
      <c r="C260" s="1120"/>
      <c r="D260" s="1120"/>
      <c r="E260" s="1015">
        <f t="shared" si="3"/>
        <v>0</v>
      </c>
      <c r="F260" s="1201"/>
      <c r="G260" s="470"/>
    </row>
    <row r="261" spans="1:7" ht="15" customHeight="1">
      <c r="A261" s="680"/>
      <c r="B261" s="1200"/>
      <c r="C261" s="1120"/>
      <c r="D261" s="1120"/>
      <c r="E261" s="1015">
        <f t="shared" si="3"/>
        <v>0</v>
      </c>
      <c r="F261" s="1201"/>
      <c r="G261" s="470"/>
    </row>
    <row r="262" spans="1:7" ht="15" customHeight="1">
      <c r="A262" s="680"/>
      <c r="B262" s="1200"/>
      <c r="C262" s="1120"/>
      <c r="D262" s="1120"/>
      <c r="E262" s="1015">
        <f t="shared" si="3"/>
        <v>0</v>
      </c>
      <c r="F262" s="1201"/>
      <c r="G262" s="470"/>
    </row>
    <row r="263" spans="1:7" ht="15" customHeight="1">
      <c r="A263" s="680"/>
      <c r="B263" s="1200"/>
      <c r="C263" s="1120"/>
      <c r="D263" s="1120"/>
      <c r="E263" s="1015">
        <f t="shared" si="3"/>
        <v>0</v>
      </c>
      <c r="F263" s="1201"/>
      <c r="G263" s="470"/>
    </row>
    <row r="264" spans="1:7" ht="15" customHeight="1">
      <c r="A264" s="680"/>
      <c r="B264" s="1200"/>
      <c r="C264" s="1120"/>
      <c r="D264" s="1120"/>
      <c r="E264" s="1015">
        <f t="shared" si="3"/>
        <v>0</v>
      </c>
      <c r="F264" s="1201"/>
      <c r="G264" s="470"/>
    </row>
    <row r="265" spans="1:7" ht="15" customHeight="1">
      <c r="A265" s="680"/>
      <c r="B265" s="1200"/>
      <c r="C265" s="1120"/>
      <c r="D265" s="1120"/>
      <c r="E265" s="1015">
        <f t="shared" si="3"/>
        <v>0</v>
      </c>
      <c r="F265" s="1201"/>
      <c r="G265" s="470"/>
    </row>
    <row r="266" spans="1:7" ht="15" customHeight="1">
      <c r="A266" s="680"/>
      <c r="B266" s="1200"/>
      <c r="C266" s="1120"/>
      <c r="D266" s="1120"/>
      <c r="E266" s="1015">
        <f t="shared" si="3"/>
        <v>0</v>
      </c>
      <c r="F266" s="1201"/>
      <c r="G266" s="470"/>
    </row>
    <row r="267" spans="1:7" ht="15" customHeight="1">
      <c r="A267" s="680"/>
      <c r="B267" s="1200"/>
      <c r="C267" s="1120"/>
      <c r="D267" s="1120"/>
      <c r="E267" s="1015">
        <f t="shared" si="3"/>
        <v>0</v>
      </c>
      <c r="F267" s="1201"/>
      <c r="G267" s="470"/>
    </row>
    <row r="268" spans="1:7" ht="15" customHeight="1">
      <c r="A268" s="680"/>
      <c r="B268" s="1200"/>
      <c r="C268" s="1120"/>
      <c r="D268" s="1120"/>
      <c r="E268" s="1015">
        <f t="shared" si="3"/>
        <v>0</v>
      </c>
      <c r="F268" s="1201"/>
      <c r="G268" s="470"/>
    </row>
    <row r="269" spans="1:7" ht="15" customHeight="1">
      <c r="A269" s="680"/>
      <c r="B269" s="1200"/>
      <c r="C269" s="1120"/>
      <c r="D269" s="1120"/>
      <c r="E269" s="1015">
        <f t="shared" si="3"/>
        <v>0</v>
      </c>
      <c r="F269" s="1201"/>
      <c r="G269" s="470"/>
    </row>
    <row r="270" spans="1:7" ht="15" customHeight="1">
      <c r="A270" s="680"/>
      <c r="B270" s="1200"/>
      <c r="C270" s="1120"/>
      <c r="D270" s="1120"/>
      <c r="E270" s="1015">
        <f t="shared" si="3"/>
        <v>0</v>
      </c>
      <c r="F270" s="1201"/>
      <c r="G270" s="470"/>
    </row>
    <row r="271" spans="1:7" ht="15" customHeight="1">
      <c r="A271" s="680"/>
      <c r="B271" s="1200"/>
      <c r="C271" s="1120"/>
      <c r="D271" s="1120"/>
      <c r="E271" s="1015">
        <f t="shared" si="3"/>
        <v>0</v>
      </c>
      <c r="F271" s="1201"/>
      <c r="G271" s="470"/>
    </row>
    <row r="272" spans="1:7" ht="15" customHeight="1">
      <c r="A272" s="680"/>
      <c r="B272" s="1200"/>
      <c r="C272" s="1120"/>
      <c r="D272" s="1120"/>
      <c r="E272" s="1015">
        <f t="shared" si="3"/>
        <v>0</v>
      </c>
      <c r="F272" s="1201"/>
      <c r="G272" s="470"/>
    </row>
    <row r="273" spans="1:7" ht="15" customHeight="1">
      <c r="A273" s="680"/>
      <c r="B273" s="1200"/>
      <c r="C273" s="1120"/>
      <c r="D273" s="1120"/>
      <c r="E273" s="1015">
        <f t="shared" ref="E273:E304" si="4">B273-C273+D273</f>
        <v>0</v>
      </c>
      <c r="F273" s="1201"/>
      <c r="G273" s="470"/>
    </row>
    <row r="274" spans="1:7" ht="15" customHeight="1">
      <c r="A274" s="680"/>
      <c r="B274" s="1200"/>
      <c r="C274" s="1120"/>
      <c r="D274" s="1120"/>
      <c r="E274" s="1015">
        <f t="shared" si="4"/>
        <v>0</v>
      </c>
      <c r="F274" s="1201"/>
      <c r="G274" s="470"/>
    </row>
    <row r="275" spans="1:7" ht="15" customHeight="1">
      <c r="A275" s="680"/>
      <c r="B275" s="1200"/>
      <c r="C275" s="1120"/>
      <c r="D275" s="1120"/>
      <c r="E275" s="1015">
        <f t="shared" si="4"/>
        <v>0</v>
      </c>
      <c r="F275" s="1201"/>
      <c r="G275" s="470"/>
    </row>
    <row r="276" spans="1:7" ht="15" customHeight="1">
      <c r="A276" s="680"/>
      <c r="B276" s="1200"/>
      <c r="C276" s="1120"/>
      <c r="D276" s="1120"/>
      <c r="E276" s="1015">
        <f t="shared" si="4"/>
        <v>0</v>
      </c>
      <c r="F276" s="1201"/>
      <c r="G276" s="470"/>
    </row>
    <row r="277" spans="1:7" ht="15" customHeight="1">
      <c r="A277" s="680"/>
      <c r="B277" s="1200"/>
      <c r="C277" s="1120"/>
      <c r="D277" s="1120"/>
      <c r="E277" s="1015">
        <f t="shared" si="4"/>
        <v>0</v>
      </c>
      <c r="F277" s="1201"/>
      <c r="G277" s="470"/>
    </row>
    <row r="278" spans="1:7" ht="15" customHeight="1">
      <c r="A278" s="680"/>
      <c r="B278" s="1200"/>
      <c r="C278" s="1120"/>
      <c r="D278" s="1120"/>
      <c r="E278" s="1015">
        <f t="shared" si="4"/>
        <v>0</v>
      </c>
      <c r="F278" s="1201"/>
      <c r="G278" s="470"/>
    </row>
    <row r="279" spans="1:7" ht="15" customHeight="1">
      <c r="A279" s="680"/>
      <c r="B279" s="1200"/>
      <c r="C279" s="1120"/>
      <c r="D279" s="1120"/>
      <c r="E279" s="1015">
        <f t="shared" si="4"/>
        <v>0</v>
      </c>
      <c r="F279" s="1201"/>
      <c r="G279" s="470"/>
    </row>
    <row r="280" spans="1:7" ht="15" customHeight="1">
      <c r="A280" s="680"/>
      <c r="B280" s="1200"/>
      <c r="C280" s="1120"/>
      <c r="D280" s="1120"/>
      <c r="E280" s="1015">
        <f t="shared" si="4"/>
        <v>0</v>
      </c>
      <c r="F280" s="1201"/>
      <c r="G280" s="470"/>
    </row>
    <row r="281" spans="1:7" ht="15" customHeight="1">
      <c r="A281" s="680"/>
      <c r="B281" s="1200"/>
      <c r="C281" s="1120"/>
      <c r="D281" s="1120"/>
      <c r="E281" s="1015">
        <f t="shared" si="4"/>
        <v>0</v>
      </c>
      <c r="F281" s="1201"/>
      <c r="G281" s="470"/>
    </row>
    <row r="282" spans="1:7" ht="15" customHeight="1">
      <c r="A282" s="680"/>
      <c r="B282" s="1200"/>
      <c r="C282" s="1120"/>
      <c r="D282" s="1120"/>
      <c r="E282" s="1015">
        <f t="shared" si="4"/>
        <v>0</v>
      </c>
      <c r="F282" s="1201"/>
      <c r="G282" s="470"/>
    </row>
    <row r="283" spans="1:7" ht="15" customHeight="1">
      <c r="A283" s="680"/>
      <c r="B283" s="1200"/>
      <c r="C283" s="1120"/>
      <c r="D283" s="1120"/>
      <c r="E283" s="1015">
        <f t="shared" si="4"/>
        <v>0</v>
      </c>
      <c r="F283" s="1201"/>
      <c r="G283" s="470"/>
    </row>
    <row r="284" spans="1:7" ht="15" customHeight="1">
      <c r="A284" s="680"/>
      <c r="B284" s="1200"/>
      <c r="C284" s="1120"/>
      <c r="D284" s="1120"/>
      <c r="E284" s="1015">
        <f t="shared" si="4"/>
        <v>0</v>
      </c>
      <c r="F284" s="1201"/>
      <c r="G284" s="470"/>
    </row>
    <row r="285" spans="1:7" ht="15" customHeight="1">
      <c r="A285" s="680"/>
      <c r="B285" s="1200"/>
      <c r="C285" s="1120"/>
      <c r="D285" s="1120"/>
      <c r="E285" s="1015">
        <f t="shared" si="4"/>
        <v>0</v>
      </c>
      <c r="F285" s="1201"/>
      <c r="G285" s="470"/>
    </row>
    <row r="286" spans="1:7" ht="15" customHeight="1">
      <c r="A286" s="680"/>
      <c r="B286" s="1200"/>
      <c r="C286" s="1120"/>
      <c r="D286" s="1120"/>
      <c r="E286" s="1015">
        <f t="shared" si="4"/>
        <v>0</v>
      </c>
      <c r="F286" s="1201"/>
      <c r="G286" s="470"/>
    </row>
    <row r="287" spans="1:7" ht="15" customHeight="1">
      <c r="A287" s="680"/>
      <c r="B287" s="1200"/>
      <c r="C287" s="1120"/>
      <c r="D287" s="1120"/>
      <c r="E287" s="1015">
        <f t="shared" si="4"/>
        <v>0</v>
      </c>
      <c r="F287" s="1201"/>
      <c r="G287" s="470"/>
    </row>
    <row r="288" spans="1:7" ht="15" customHeight="1">
      <c r="A288" s="680"/>
      <c r="B288" s="1200"/>
      <c r="C288" s="1120"/>
      <c r="D288" s="1120"/>
      <c r="E288" s="1015">
        <f t="shared" si="4"/>
        <v>0</v>
      </c>
      <c r="F288" s="1201"/>
      <c r="G288" s="470"/>
    </row>
    <row r="289" spans="1:7" ht="15" customHeight="1">
      <c r="A289" s="680"/>
      <c r="B289" s="1200"/>
      <c r="C289" s="1120"/>
      <c r="D289" s="1120"/>
      <c r="E289" s="1015">
        <f t="shared" si="4"/>
        <v>0</v>
      </c>
      <c r="F289" s="1201"/>
      <c r="G289" s="470"/>
    </row>
    <row r="290" spans="1:7" ht="15" customHeight="1">
      <c r="A290" s="680"/>
      <c r="B290" s="1200"/>
      <c r="C290" s="1120"/>
      <c r="D290" s="1120"/>
      <c r="E290" s="1015">
        <f t="shared" si="4"/>
        <v>0</v>
      </c>
      <c r="F290" s="1201"/>
      <c r="G290" s="470"/>
    </row>
    <row r="291" spans="1:7" ht="15" customHeight="1">
      <c r="A291" s="680"/>
      <c r="B291" s="1200"/>
      <c r="C291" s="1120"/>
      <c r="D291" s="1120"/>
      <c r="E291" s="1015">
        <f t="shared" si="4"/>
        <v>0</v>
      </c>
      <c r="F291" s="1201"/>
      <c r="G291" s="470"/>
    </row>
    <row r="292" spans="1:7" ht="15" customHeight="1">
      <c r="A292" s="680"/>
      <c r="B292" s="1200"/>
      <c r="C292" s="1120"/>
      <c r="D292" s="1120"/>
      <c r="E292" s="1015">
        <f t="shared" si="4"/>
        <v>0</v>
      </c>
      <c r="F292" s="1201"/>
      <c r="G292" s="470"/>
    </row>
    <row r="293" spans="1:7" ht="15" customHeight="1">
      <c r="A293" s="680"/>
      <c r="B293" s="1200"/>
      <c r="C293" s="1120"/>
      <c r="D293" s="1120"/>
      <c r="E293" s="1015">
        <f t="shared" si="4"/>
        <v>0</v>
      </c>
      <c r="F293" s="1201"/>
      <c r="G293" s="470"/>
    </row>
    <row r="294" spans="1:7" ht="15" customHeight="1">
      <c r="A294" s="680"/>
      <c r="B294" s="1200"/>
      <c r="C294" s="1120"/>
      <c r="D294" s="1120"/>
      <c r="E294" s="1015">
        <f t="shared" si="4"/>
        <v>0</v>
      </c>
      <c r="F294" s="1201"/>
      <c r="G294" s="470"/>
    </row>
    <row r="295" spans="1:7" ht="15" customHeight="1">
      <c r="A295" s="680"/>
      <c r="B295" s="1200"/>
      <c r="C295" s="1120"/>
      <c r="D295" s="1120"/>
      <c r="E295" s="1015">
        <f t="shared" si="4"/>
        <v>0</v>
      </c>
      <c r="F295" s="1201"/>
      <c r="G295" s="470"/>
    </row>
    <row r="296" spans="1:7" ht="15" customHeight="1">
      <c r="A296" s="680"/>
      <c r="B296" s="1200"/>
      <c r="C296" s="1120"/>
      <c r="D296" s="1120"/>
      <c r="E296" s="1015">
        <f t="shared" si="4"/>
        <v>0</v>
      </c>
      <c r="F296" s="1201"/>
      <c r="G296" s="470"/>
    </row>
    <row r="297" spans="1:7" ht="15" customHeight="1">
      <c r="A297" s="680"/>
      <c r="B297" s="1200"/>
      <c r="C297" s="1120"/>
      <c r="D297" s="1120"/>
      <c r="E297" s="1015">
        <f t="shared" si="4"/>
        <v>0</v>
      </c>
      <c r="F297" s="1201"/>
      <c r="G297" s="470"/>
    </row>
    <row r="298" spans="1:7" ht="15" customHeight="1">
      <c r="A298" s="680"/>
      <c r="B298" s="1200"/>
      <c r="C298" s="1120"/>
      <c r="D298" s="1120"/>
      <c r="E298" s="1015">
        <f t="shared" si="4"/>
        <v>0</v>
      </c>
      <c r="F298" s="1201"/>
      <c r="G298" s="470"/>
    </row>
    <row r="299" spans="1:7" ht="15" customHeight="1">
      <c r="A299" s="680"/>
      <c r="B299" s="1200"/>
      <c r="C299" s="1120"/>
      <c r="D299" s="1120"/>
      <c r="E299" s="1015">
        <f t="shared" si="4"/>
        <v>0</v>
      </c>
      <c r="F299" s="1201"/>
      <c r="G299" s="470"/>
    </row>
    <row r="300" spans="1:7" ht="15" customHeight="1">
      <c r="A300" s="680"/>
      <c r="B300" s="1200"/>
      <c r="C300" s="1120"/>
      <c r="D300" s="1120"/>
      <c r="E300" s="1015">
        <f t="shared" si="4"/>
        <v>0</v>
      </c>
      <c r="F300" s="1201"/>
      <c r="G300" s="470"/>
    </row>
    <row r="301" spans="1:7" ht="15" customHeight="1">
      <c r="A301" s="680"/>
      <c r="B301" s="1200"/>
      <c r="C301" s="1120"/>
      <c r="D301" s="1120"/>
      <c r="E301" s="1015">
        <f t="shared" si="4"/>
        <v>0</v>
      </c>
      <c r="F301" s="1201"/>
      <c r="G301" s="470"/>
    </row>
    <row r="302" spans="1:7" ht="15" customHeight="1">
      <c r="A302" s="680"/>
      <c r="B302" s="1200"/>
      <c r="C302" s="1120"/>
      <c r="D302" s="1120"/>
      <c r="E302" s="1015">
        <f t="shared" si="4"/>
        <v>0</v>
      </c>
      <c r="F302" s="1201"/>
      <c r="G302" s="470"/>
    </row>
    <row r="303" spans="1:7" ht="15" customHeight="1">
      <c r="A303" s="680"/>
      <c r="B303" s="1200"/>
      <c r="C303" s="1120"/>
      <c r="D303" s="1120"/>
      <c r="E303" s="1015">
        <f t="shared" si="4"/>
        <v>0</v>
      </c>
      <c r="F303" s="1201"/>
      <c r="G303" s="470"/>
    </row>
    <row r="304" spans="1:7" ht="15" customHeight="1">
      <c r="A304" s="682"/>
      <c r="B304" s="1202"/>
      <c r="C304" s="1125"/>
      <c r="D304" s="1125"/>
      <c r="E304" s="1020">
        <f t="shared" si="4"/>
        <v>0</v>
      </c>
      <c r="F304" s="1203"/>
      <c r="G304" s="470"/>
    </row>
    <row r="305" spans="7:7" s="554" customFormat="1" ht="15" customHeight="1">
      <c r="G305" s="444"/>
    </row>
    <row r="306" spans="7:7" s="554" customFormat="1" ht="15" customHeight="1">
      <c r="G306" s="444"/>
    </row>
    <row r="307" spans="7:7" s="554" customFormat="1" ht="15" customHeight="1">
      <c r="G307" s="444"/>
    </row>
    <row r="308" spans="7:7" s="554" customFormat="1" ht="15" customHeight="1">
      <c r="G308" s="444"/>
    </row>
    <row r="309" spans="7:7" s="554" customFormat="1" ht="15" customHeight="1">
      <c r="G309" s="444"/>
    </row>
    <row r="310" spans="7:7" s="554" customFormat="1" ht="15" customHeight="1">
      <c r="G310" s="444"/>
    </row>
    <row r="311" spans="7:7" s="554" customFormat="1" ht="15" customHeight="1">
      <c r="G311" s="444"/>
    </row>
    <row r="312" spans="7:7" s="554" customFormat="1" ht="15" customHeight="1">
      <c r="G312" s="444"/>
    </row>
    <row r="313" spans="7:7" s="554" customFormat="1" ht="15" customHeight="1">
      <c r="G313" s="444"/>
    </row>
    <row r="314" spans="7:7" s="554" customFormat="1" ht="15" customHeight="1">
      <c r="G314" s="444"/>
    </row>
    <row r="315" spans="7:7" s="554" customFormat="1" ht="15" customHeight="1">
      <c r="G315" s="444"/>
    </row>
    <row r="316" spans="7:7" s="554" customFormat="1" ht="15" customHeight="1">
      <c r="G316" s="444"/>
    </row>
    <row r="317" spans="7:7" s="554" customFormat="1" ht="15" customHeight="1">
      <c r="G317" s="444"/>
    </row>
    <row r="318" spans="7:7" s="554" customFormat="1" ht="15" customHeight="1">
      <c r="G318" s="444"/>
    </row>
    <row r="319" spans="7:7" s="554" customFormat="1" ht="15" customHeight="1">
      <c r="G319" s="444"/>
    </row>
    <row r="320" spans="7:7" s="554" customFormat="1" ht="15" customHeight="1">
      <c r="G320" s="444"/>
    </row>
    <row r="321" spans="7:7" s="554" customFormat="1" ht="15" customHeight="1">
      <c r="G321" s="444"/>
    </row>
    <row r="322" spans="7:7" s="554" customFormat="1" ht="15" customHeight="1">
      <c r="G322" s="444"/>
    </row>
    <row r="323" spans="7:7" s="554" customFormat="1" ht="15" customHeight="1">
      <c r="G323" s="444"/>
    </row>
    <row r="324" spans="7:7" s="554" customFormat="1" ht="15" customHeight="1">
      <c r="G324" s="444"/>
    </row>
    <row r="325" spans="7:7" s="554" customFormat="1" ht="15" customHeight="1">
      <c r="G325" s="444"/>
    </row>
    <row r="326" spans="7:7" s="554" customFormat="1" ht="15" customHeight="1">
      <c r="G326" s="444"/>
    </row>
    <row r="327" spans="7:7" s="554" customFormat="1" ht="15" customHeight="1">
      <c r="G327" s="444"/>
    </row>
    <row r="328" spans="7:7" s="554" customFormat="1" ht="15" customHeight="1">
      <c r="G328" s="444"/>
    </row>
    <row r="329" spans="7:7" s="554" customFormat="1" ht="15" customHeight="1">
      <c r="G329" s="444"/>
    </row>
    <row r="330" spans="7:7" s="554" customFormat="1" ht="15" customHeight="1">
      <c r="G330" s="444"/>
    </row>
    <row r="331" spans="7:7" s="554" customFormat="1" ht="15" customHeight="1">
      <c r="G331" s="444"/>
    </row>
    <row r="332" spans="7:7" s="554" customFormat="1" ht="15" customHeight="1">
      <c r="G332" s="444"/>
    </row>
    <row r="333" spans="7:7" s="554" customFormat="1" ht="15" customHeight="1">
      <c r="G333" s="444"/>
    </row>
    <row r="334" spans="7:7" s="554" customFormat="1" ht="15" customHeight="1">
      <c r="G334" s="444"/>
    </row>
    <row r="335" spans="7:7" s="554" customFormat="1" ht="15" customHeight="1">
      <c r="G335" s="444"/>
    </row>
    <row r="336" spans="7:7" s="554" customFormat="1" ht="15" customHeight="1">
      <c r="G336" s="444"/>
    </row>
    <row r="337" spans="1:6" ht="15" customHeight="1">
      <c r="A337" s="554"/>
      <c r="B337" s="554"/>
      <c r="C337" s="554"/>
      <c r="D337" s="554"/>
      <c r="E337" s="554"/>
      <c r="F337" s="554"/>
    </row>
    <row r="338" spans="1:6" ht="15" customHeight="1">
      <c r="A338" s="554"/>
      <c r="B338" s="554"/>
      <c r="C338" s="554"/>
      <c r="D338" s="554"/>
      <c r="E338" s="554"/>
      <c r="F338" s="554"/>
    </row>
    <row r="339" spans="1:6" ht="15" customHeight="1"/>
    <row r="340" spans="1:6" ht="15" customHeight="1"/>
    <row r="341" spans="1:6" ht="15" customHeight="1"/>
    <row r="342" spans="1:6" ht="15" customHeight="1"/>
    <row r="343" spans="1:6" ht="15" customHeight="1"/>
    <row r="344" spans="1:6" ht="15" customHeight="1"/>
    <row r="345" spans="1:6" ht="15" customHeight="1"/>
    <row r="346" spans="1:6" ht="15" customHeight="1"/>
    <row r="347" spans="1:6" ht="15" customHeight="1"/>
    <row r="348" spans="1:6" ht="15" customHeight="1"/>
    <row r="349" spans="1:6" ht="15" customHeight="1"/>
    <row r="350" spans="1:6" ht="15" customHeight="1"/>
    <row r="351" spans="1:6" ht="15" customHeight="1"/>
    <row r="352" spans="1:6"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8">
    <mergeCell ref="G23:G24"/>
    <mergeCell ref="B9:F9"/>
    <mergeCell ref="G9:G10"/>
    <mergeCell ref="C11:D11"/>
    <mergeCell ref="C10:D10"/>
    <mergeCell ref="G1:G4"/>
    <mergeCell ref="A2:B3"/>
    <mergeCell ref="F3:F4"/>
    <mergeCell ref="A4:B4"/>
    <mergeCell ref="G15:G22"/>
    <mergeCell ref="A10:A11"/>
    <mergeCell ref="E7:F7"/>
    <mergeCell ref="B8:F8"/>
    <mergeCell ref="A1:F1"/>
    <mergeCell ref="A5:F5"/>
    <mergeCell ref="B6:F6"/>
    <mergeCell ref="A7:A8"/>
    <mergeCell ref="B7:D7"/>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H392"/>
  <sheetViews>
    <sheetView topLeftCell="A5" workbookViewId="0">
      <selection sqref="A1:F1"/>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58.19921875" style="953" customWidth="1"/>
    <col min="8" max="16384" width="9" style="554"/>
  </cols>
  <sheetData>
    <row r="1" spans="1:8" ht="30" customHeight="1">
      <c r="A1" s="2729" t="s">
        <v>347</v>
      </c>
      <c r="B1" s="2729"/>
      <c r="C1" s="2729"/>
      <c r="D1" s="2729"/>
      <c r="E1" s="2729"/>
      <c r="F1" s="2729"/>
      <c r="G1" s="3677"/>
    </row>
    <row r="2" spans="1:8" s="558" customFormat="1" ht="20.25" customHeight="1">
      <c r="A2" s="3223" t="str">
        <f>"委托单位："&amp;基本情况!B2</f>
        <v>委托单位：0</v>
      </c>
      <c r="B2" s="3223"/>
      <c r="C2" s="509"/>
      <c r="D2" s="136" t="s">
        <v>1282</v>
      </c>
      <c r="E2" s="136" t="s">
        <v>1053</v>
      </c>
      <c r="F2" s="485" t="s">
        <v>283</v>
      </c>
      <c r="G2" s="3677"/>
    </row>
    <row r="3" spans="1:8" s="558" customFormat="1" ht="20.25" customHeight="1">
      <c r="A3" s="3223"/>
      <c r="B3" s="3223"/>
      <c r="C3" s="158" t="s">
        <v>450</v>
      </c>
      <c r="D3" s="510">
        <f>基本情况!B12</f>
        <v>0</v>
      </c>
      <c r="E3" s="559" t="str">
        <f>TEXT(基本情况!B21,"yyyy-mm-dd")</f>
        <v>2017-03-16</v>
      </c>
      <c r="F3" s="3138" t="str">
        <f>档案索引!D36</f>
        <v>4-3</v>
      </c>
      <c r="G3" s="3677"/>
    </row>
    <row r="4" spans="1:8" s="558" customFormat="1" ht="20.25" customHeight="1">
      <c r="A4" s="3189" t="str">
        <f>"会计期间："&amp;基本情况!B7</f>
        <v>会计期间：2016年01月01日至2016年12月31日</v>
      </c>
      <c r="B4" s="3189"/>
      <c r="C4" s="140" t="s">
        <v>452</v>
      </c>
      <c r="D4" s="513">
        <f>基本情况!B11</f>
        <v>0</v>
      </c>
      <c r="E4" s="513" t="str">
        <f>TEXT(基本情况!B22,"yyyy-mm-dd")</f>
        <v>2017-05-04</v>
      </c>
      <c r="F4" s="3138"/>
      <c r="G4" s="3677"/>
    </row>
    <row r="5" spans="1:8" s="565" customFormat="1" ht="7.5" customHeight="1">
      <c r="A5" s="2926"/>
      <c r="B5" s="2926"/>
      <c r="C5" s="2926"/>
      <c r="D5" s="2926"/>
      <c r="E5" s="2926"/>
      <c r="F5" s="2926"/>
      <c r="G5" s="1021"/>
    </row>
    <row r="6" spans="1:8" s="649" customFormat="1" ht="20.25" customHeight="1">
      <c r="A6" s="532" t="s">
        <v>641</v>
      </c>
      <c r="B6" s="3270" t="str">
        <f>IF(基本情况!B29="否",IF(B14-C14-F11&lt;&gt;资产负债!D9,"账载数与报表数不符，相差"&amp;DOLLAR(B14-C14-F11-资产负债!D9,2)&amp;"元！","账载数与报表数相符！"),IF(B13-F11&lt;&gt;资产负债!D9,"账载数与报表数不符，相差"&amp;DOLLAR(B13-F11-资产负债!D9,2)&amp;"元！","账载数与报表数相符！"))</f>
        <v>账载数与报表数相符！</v>
      </c>
      <c r="C6" s="3270"/>
      <c r="D6" s="3270"/>
      <c r="E6" s="3270"/>
      <c r="F6" s="3270"/>
      <c r="G6" s="483" t="s">
        <v>395</v>
      </c>
      <c r="H6" s="607"/>
    </row>
    <row r="7" spans="1:8" s="649" customFormat="1" ht="15" customHeight="1">
      <c r="A7" s="3065" t="s">
        <v>1323</v>
      </c>
      <c r="B7" s="3148" t="s">
        <v>1407</v>
      </c>
      <c r="C7" s="3148"/>
      <c r="D7" s="3148"/>
      <c r="E7" s="3102" t="str">
        <f>IF(OR(D14&lt;&gt;0,D13&lt;&gt;0),"、E","")</f>
        <v/>
      </c>
      <c r="F7" s="3102"/>
      <c r="G7" s="483"/>
      <c r="H7" s="607"/>
    </row>
    <row r="8" spans="1:8" s="649" customFormat="1" ht="61.5" customHeight="1">
      <c r="A8" s="3065"/>
      <c r="B8" s="3673"/>
      <c r="C8" s="3673"/>
      <c r="D8" s="3673"/>
      <c r="E8" s="3673"/>
      <c r="F8" s="3673"/>
      <c r="G8" s="1010" t="s">
        <v>1288</v>
      </c>
      <c r="H8" s="607"/>
    </row>
    <row r="9" spans="1:8" s="649" customFormat="1" ht="20.25" customHeight="1">
      <c r="A9" s="528" t="s">
        <v>574</v>
      </c>
      <c r="B9" s="3141" t="str">
        <f>IF(OR(D14&lt;&gt;0,D13&lt;&gt;0),"调整后认可！","不存在调整事项,认可！")</f>
        <v>不存在调整事项,认可！</v>
      </c>
      <c r="C9" s="3141"/>
      <c r="D9" s="3141"/>
      <c r="E9" s="3141"/>
      <c r="F9" s="3141"/>
      <c r="G9" s="1022"/>
      <c r="H9" s="607"/>
    </row>
    <row r="10" spans="1:8" s="649" customFormat="1" ht="20.25" customHeight="1">
      <c r="A10" s="3163" t="s">
        <v>1408</v>
      </c>
      <c r="B10" s="1011" t="s">
        <v>1251</v>
      </c>
      <c r="C10" s="2929" t="s">
        <v>1252</v>
      </c>
      <c r="D10" s="2929"/>
      <c r="E10" s="136" t="s">
        <v>1253</v>
      </c>
      <c r="F10" s="485" t="s">
        <v>1254</v>
      </c>
      <c r="G10" s="1022"/>
    </row>
    <row r="11" spans="1:8" s="649" customFormat="1" ht="20.25" customHeight="1">
      <c r="A11" s="3163"/>
      <c r="B11" s="1195"/>
      <c r="C11" s="3676"/>
      <c r="D11" s="3676"/>
      <c r="E11" s="1196"/>
      <c r="F11" s="596">
        <f>B11+C11-E11</f>
        <v>0</v>
      </c>
      <c r="G11" s="1012"/>
    </row>
    <row r="12" spans="1:8" s="649" customFormat="1" ht="20.25" customHeight="1">
      <c r="A12" s="135" t="s">
        <v>665</v>
      </c>
      <c r="B12" s="1011" t="s">
        <v>1409</v>
      </c>
      <c r="C12" s="136" t="s">
        <v>1410</v>
      </c>
      <c r="D12" s="136" t="s">
        <v>980</v>
      </c>
      <c r="E12" s="136" t="s">
        <v>502</v>
      </c>
      <c r="F12" s="485" t="s">
        <v>1417</v>
      </c>
      <c r="G12" s="1022"/>
    </row>
    <row r="13" spans="1:8" s="649" customFormat="1" ht="20.25" customHeight="1">
      <c r="A13" s="1013" t="s">
        <v>1412</v>
      </c>
      <c r="B13" s="1014">
        <f>IF(基本情况!B29="否",0,B14+应付!B12)</f>
        <v>0</v>
      </c>
      <c r="C13" s="1014">
        <f>IF(基本情况!B29="否",0,C14+应付!C12)</f>
        <v>0</v>
      </c>
      <c r="D13" s="1204"/>
      <c r="E13" s="521">
        <f>B13+D13</f>
        <v>0</v>
      </c>
      <c r="F13" s="1023">
        <f>IF(基本情况!B29="否",0,F14+应付!F12)</f>
        <v>0</v>
      </c>
      <c r="G13" s="1022"/>
    </row>
    <row r="14" spans="1:8" s="649" customFormat="1" ht="20.25" customHeight="1">
      <c r="A14" s="1329" t="s">
        <v>1413</v>
      </c>
      <c r="B14" s="1017">
        <f>SUM(B15:B3004)</f>
        <v>0</v>
      </c>
      <c r="C14" s="1017">
        <f>SUM(C15:C3004)</f>
        <v>0</v>
      </c>
      <c r="D14" s="823">
        <f>SUM(D15:D304)</f>
        <v>0</v>
      </c>
      <c r="E14" s="823">
        <f>SUM(E15:E304)</f>
        <v>0</v>
      </c>
      <c r="F14" s="596">
        <f>SUM(F15:F304)</f>
        <v>0</v>
      </c>
      <c r="G14" s="1022"/>
    </row>
    <row r="15" spans="1:8" s="558" customFormat="1" ht="15" customHeight="1">
      <c r="A15" s="1024"/>
      <c r="B15" s="1198"/>
      <c r="C15" s="1161"/>
      <c r="D15" s="1166"/>
      <c r="E15" s="1019">
        <f>B15-C15+D15</f>
        <v>0</v>
      </c>
      <c r="F15" s="1199"/>
      <c r="G15" s="3672" t="s">
        <v>987</v>
      </c>
    </row>
    <row r="16" spans="1:8" s="558" customFormat="1" ht="15" customHeight="1">
      <c r="A16" s="1025"/>
      <c r="B16" s="1200"/>
      <c r="C16" s="1120"/>
      <c r="D16" s="1121"/>
      <c r="E16" s="1015">
        <f>B16-C16+D16</f>
        <v>0</v>
      </c>
      <c r="F16" s="1201"/>
      <c r="G16" s="3672"/>
    </row>
    <row r="17" spans="1:7" s="558" customFormat="1" ht="15" customHeight="1">
      <c r="A17" s="1025"/>
      <c r="B17" s="1200"/>
      <c r="C17" s="1120"/>
      <c r="D17" s="1121"/>
      <c r="E17" s="1015">
        <f t="shared" ref="E17:E80" si="0">B17-C17+D17</f>
        <v>0</v>
      </c>
      <c r="F17" s="1201"/>
      <c r="G17" s="3672"/>
    </row>
    <row r="18" spans="1:7" s="558" customFormat="1" ht="15" customHeight="1">
      <c r="A18" s="1025"/>
      <c r="B18" s="1200"/>
      <c r="C18" s="1120"/>
      <c r="D18" s="1121"/>
      <c r="E18" s="1015">
        <f t="shared" si="0"/>
        <v>0</v>
      </c>
      <c r="F18" s="1201"/>
      <c r="G18" s="3672"/>
    </row>
    <row r="19" spans="1:7" s="558" customFormat="1" ht="15" customHeight="1">
      <c r="A19" s="1025"/>
      <c r="B19" s="1200"/>
      <c r="C19" s="1120"/>
      <c r="D19" s="1121"/>
      <c r="E19" s="1015">
        <f t="shared" si="0"/>
        <v>0</v>
      </c>
      <c r="F19" s="1201"/>
      <c r="G19" s="3672"/>
    </row>
    <row r="20" spans="1:7" s="558" customFormat="1" ht="15" customHeight="1">
      <c r="A20" s="1025"/>
      <c r="B20" s="1200"/>
      <c r="C20" s="1120"/>
      <c r="D20" s="1121"/>
      <c r="E20" s="1015">
        <f t="shared" si="0"/>
        <v>0</v>
      </c>
      <c r="F20" s="1201"/>
      <c r="G20" s="3672"/>
    </row>
    <row r="21" spans="1:7" s="558" customFormat="1" ht="15" customHeight="1">
      <c r="A21" s="1025"/>
      <c r="B21" s="1200"/>
      <c r="C21" s="1120"/>
      <c r="D21" s="1121"/>
      <c r="E21" s="1015">
        <f t="shared" si="0"/>
        <v>0</v>
      </c>
      <c r="F21" s="1201"/>
      <c r="G21" s="3672"/>
    </row>
    <row r="22" spans="1:7" s="558" customFormat="1" ht="15" customHeight="1">
      <c r="A22" s="1025"/>
      <c r="B22" s="1200"/>
      <c r="C22" s="1120"/>
      <c r="D22" s="1121"/>
      <c r="E22" s="1015">
        <f t="shared" si="0"/>
        <v>0</v>
      </c>
      <c r="F22" s="1201"/>
      <c r="G22" s="3672"/>
    </row>
    <row r="23" spans="1:7" s="558" customFormat="1" ht="15" customHeight="1">
      <c r="A23" s="1025"/>
      <c r="B23" s="1200"/>
      <c r="C23" s="1120"/>
      <c r="D23" s="1121"/>
      <c r="E23" s="1015">
        <f t="shared" si="0"/>
        <v>0</v>
      </c>
      <c r="F23" s="1201"/>
      <c r="G23" s="3672"/>
    </row>
    <row r="24" spans="1:7" s="558" customFormat="1" ht="15" customHeight="1">
      <c r="A24" s="1025"/>
      <c r="B24" s="1200"/>
      <c r="C24" s="1120"/>
      <c r="D24" s="1121"/>
      <c r="E24" s="1015">
        <f t="shared" si="0"/>
        <v>0</v>
      </c>
      <c r="F24" s="1201"/>
      <c r="G24" s="3672"/>
    </row>
    <row r="25" spans="1:7" s="558" customFormat="1" ht="15" customHeight="1">
      <c r="A25" s="1025"/>
      <c r="B25" s="1200"/>
      <c r="C25" s="1120"/>
      <c r="D25" s="1121"/>
      <c r="E25" s="1015">
        <f t="shared" si="0"/>
        <v>0</v>
      </c>
      <c r="F25" s="1201"/>
      <c r="G25" s="3675" t="s">
        <v>988</v>
      </c>
    </row>
    <row r="26" spans="1:7" s="558" customFormat="1" ht="15" customHeight="1">
      <c r="A26" s="1025"/>
      <c r="B26" s="1200"/>
      <c r="C26" s="1120"/>
      <c r="D26" s="1121"/>
      <c r="E26" s="1015">
        <f t="shared" si="0"/>
        <v>0</v>
      </c>
      <c r="F26" s="1201"/>
      <c r="G26" s="3675"/>
    </row>
    <row r="27" spans="1:7" s="558" customFormat="1" ht="15" customHeight="1">
      <c r="A27" s="1025"/>
      <c r="B27" s="1200"/>
      <c r="C27" s="1120"/>
      <c r="D27" s="1121"/>
      <c r="E27" s="1015">
        <f t="shared" si="0"/>
        <v>0</v>
      </c>
      <c r="F27" s="1201"/>
      <c r="G27" s="3675"/>
    </row>
    <row r="28" spans="1:7" s="558" customFormat="1" ht="15" customHeight="1">
      <c r="A28" s="1025"/>
      <c r="B28" s="1200"/>
      <c r="C28" s="1120"/>
      <c r="D28" s="1121"/>
      <c r="E28" s="1015">
        <f t="shared" si="0"/>
        <v>0</v>
      </c>
      <c r="F28" s="1201"/>
      <c r="G28" s="1026"/>
    </row>
    <row r="29" spans="1:7" s="558" customFormat="1" ht="15" customHeight="1">
      <c r="A29" s="1025"/>
      <c r="B29" s="1200"/>
      <c r="C29" s="1120"/>
      <c r="D29" s="1121"/>
      <c r="E29" s="1015">
        <f t="shared" si="0"/>
        <v>0</v>
      </c>
      <c r="F29" s="1201"/>
      <c r="G29" s="1026"/>
    </row>
    <row r="30" spans="1:7" s="558" customFormat="1" ht="15" customHeight="1">
      <c r="A30" s="1025"/>
      <c r="B30" s="1200"/>
      <c r="C30" s="1120"/>
      <c r="D30" s="1121"/>
      <c r="E30" s="1015">
        <f t="shared" si="0"/>
        <v>0</v>
      </c>
      <c r="F30" s="1201"/>
      <c r="G30" s="1026"/>
    </row>
    <row r="31" spans="1:7" s="558" customFormat="1" ht="15" customHeight="1">
      <c r="A31" s="1025"/>
      <c r="B31" s="1200"/>
      <c r="C31" s="1120"/>
      <c r="D31" s="1121"/>
      <c r="E31" s="1015">
        <f t="shared" si="0"/>
        <v>0</v>
      </c>
      <c r="F31" s="1201"/>
      <c r="G31" s="1026"/>
    </row>
    <row r="32" spans="1:7" s="558" customFormat="1" ht="15" customHeight="1">
      <c r="A32" s="1025"/>
      <c r="B32" s="1200"/>
      <c r="C32" s="1120"/>
      <c r="D32" s="1121"/>
      <c r="E32" s="1015">
        <f t="shared" si="0"/>
        <v>0</v>
      </c>
      <c r="F32" s="1201"/>
      <c r="G32" s="1026"/>
    </row>
    <row r="33" spans="1:7" s="558" customFormat="1" ht="15" customHeight="1">
      <c r="A33" s="1025"/>
      <c r="B33" s="1200"/>
      <c r="C33" s="1120"/>
      <c r="D33" s="1121"/>
      <c r="E33" s="1015">
        <f t="shared" si="0"/>
        <v>0</v>
      </c>
      <c r="F33" s="1201"/>
      <c r="G33" s="1026"/>
    </row>
    <row r="34" spans="1:7" s="558" customFormat="1" ht="15" customHeight="1">
      <c r="A34" s="1025"/>
      <c r="B34" s="1200"/>
      <c r="C34" s="1120"/>
      <c r="D34" s="1121"/>
      <c r="E34" s="1015">
        <f t="shared" si="0"/>
        <v>0</v>
      </c>
      <c r="F34" s="1201"/>
      <c r="G34" s="1026"/>
    </row>
    <row r="35" spans="1:7" s="558" customFormat="1" ht="15" customHeight="1">
      <c r="A35" s="1025"/>
      <c r="B35" s="1200"/>
      <c r="C35" s="1120"/>
      <c r="D35" s="1121"/>
      <c r="E35" s="1015">
        <f t="shared" si="0"/>
        <v>0</v>
      </c>
      <c r="F35" s="1201"/>
      <c r="G35" s="1026"/>
    </row>
    <row r="36" spans="1:7" s="558" customFormat="1" ht="15" customHeight="1">
      <c r="A36" s="1025"/>
      <c r="B36" s="1200"/>
      <c r="C36" s="1120"/>
      <c r="D36" s="1121"/>
      <c r="E36" s="1015">
        <f t="shared" si="0"/>
        <v>0</v>
      </c>
      <c r="F36" s="1201"/>
      <c r="G36" s="1026"/>
    </row>
    <row r="37" spans="1:7" s="558" customFormat="1" ht="15" customHeight="1">
      <c r="A37" s="1025"/>
      <c r="B37" s="1200"/>
      <c r="C37" s="1120"/>
      <c r="D37" s="1121"/>
      <c r="E37" s="1015">
        <f t="shared" si="0"/>
        <v>0</v>
      </c>
      <c r="F37" s="1201"/>
      <c r="G37" s="1026"/>
    </row>
    <row r="38" spans="1:7" s="558" customFormat="1" ht="15" customHeight="1">
      <c r="A38" s="1025"/>
      <c r="B38" s="1200"/>
      <c r="C38" s="1120"/>
      <c r="D38" s="1121"/>
      <c r="E38" s="1015">
        <f t="shared" si="0"/>
        <v>0</v>
      </c>
      <c r="F38" s="1201"/>
      <c r="G38" s="1026"/>
    </row>
    <row r="39" spans="1:7" s="558" customFormat="1" ht="15" customHeight="1">
      <c r="A39" s="1025"/>
      <c r="B39" s="1200"/>
      <c r="C39" s="1120"/>
      <c r="D39" s="1121"/>
      <c r="E39" s="1015">
        <f t="shared" si="0"/>
        <v>0</v>
      </c>
      <c r="F39" s="1201"/>
      <c r="G39" s="1026"/>
    </row>
    <row r="40" spans="1:7" s="558" customFormat="1" ht="15" customHeight="1">
      <c r="A40" s="1025"/>
      <c r="B40" s="1200"/>
      <c r="C40" s="1120"/>
      <c r="D40" s="1121"/>
      <c r="E40" s="1015">
        <f t="shared" si="0"/>
        <v>0</v>
      </c>
      <c r="F40" s="1201"/>
      <c r="G40" s="1026"/>
    </row>
    <row r="41" spans="1:7" s="558" customFormat="1" ht="15" customHeight="1">
      <c r="A41" s="1025"/>
      <c r="B41" s="1200"/>
      <c r="C41" s="1120"/>
      <c r="D41" s="1121"/>
      <c r="E41" s="1015">
        <f t="shared" si="0"/>
        <v>0</v>
      </c>
      <c r="F41" s="1201"/>
      <c r="G41" s="1026"/>
    </row>
    <row r="42" spans="1:7" s="558" customFormat="1" ht="15" customHeight="1">
      <c r="A42" s="1025"/>
      <c r="B42" s="1200"/>
      <c r="C42" s="1120"/>
      <c r="D42" s="1121"/>
      <c r="E42" s="1015">
        <f t="shared" si="0"/>
        <v>0</v>
      </c>
      <c r="F42" s="1201"/>
      <c r="G42" s="1026"/>
    </row>
    <row r="43" spans="1:7" s="558" customFormat="1" ht="15" customHeight="1">
      <c r="A43" s="1025"/>
      <c r="B43" s="1200"/>
      <c r="C43" s="1120"/>
      <c r="D43" s="1121"/>
      <c r="E43" s="1015">
        <f t="shared" si="0"/>
        <v>0</v>
      </c>
      <c r="F43" s="1201"/>
      <c r="G43" s="1026"/>
    </row>
    <row r="44" spans="1:7" s="558" customFormat="1" ht="15" customHeight="1">
      <c r="A44" s="1025"/>
      <c r="B44" s="1200"/>
      <c r="C44" s="1120"/>
      <c r="D44" s="1121"/>
      <c r="E44" s="1015">
        <f t="shared" si="0"/>
        <v>0</v>
      </c>
      <c r="F44" s="1201"/>
      <c r="G44" s="1026"/>
    </row>
    <row r="45" spans="1:7" s="558" customFormat="1" ht="15" customHeight="1">
      <c r="A45" s="1025"/>
      <c r="B45" s="1200"/>
      <c r="C45" s="1120"/>
      <c r="D45" s="1121"/>
      <c r="E45" s="1015">
        <f t="shared" si="0"/>
        <v>0</v>
      </c>
      <c r="F45" s="1201"/>
      <c r="G45" s="1026"/>
    </row>
    <row r="46" spans="1:7" s="558" customFormat="1" ht="15" customHeight="1">
      <c r="A46" s="1025"/>
      <c r="B46" s="1200"/>
      <c r="C46" s="1120"/>
      <c r="D46" s="1121"/>
      <c r="E46" s="1015">
        <f t="shared" si="0"/>
        <v>0</v>
      </c>
      <c r="F46" s="1201"/>
      <c r="G46" s="1026"/>
    </row>
    <row r="47" spans="1:7" s="558" customFormat="1" ht="15" customHeight="1">
      <c r="A47" s="1025"/>
      <c r="B47" s="1200"/>
      <c r="C47" s="1120"/>
      <c r="D47" s="1121"/>
      <c r="E47" s="1015">
        <f t="shared" si="0"/>
        <v>0</v>
      </c>
      <c r="F47" s="1201"/>
      <c r="G47" s="1026"/>
    </row>
    <row r="48" spans="1:7" s="558" customFormat="1" ht="15" customHeight="1">
      <c r="A48" s="1025"/>
      <c r="B48" s="1200"/>
      <c r="C48" s="1120"/>
      <c r="D48" s="1121"/>
      <c r="E48" s="1015">
        <f t="shared" si="0"/>
        <v>0</v>
      </c>
      <c r="F48" s="1201"/>
      <c r="G48" s="1026"/>
    </row>
    <row r="49" spans="1:7" s="558" customFormat="1" ht="15" customHeight="1">
      <c r="A49" s="1025"/>
      <c r="B49" s="1200"/>
      <c r="C49" s="1120"/>
      <c r="D49" s="1121"/>
      <c r="E49" s="1015">
        <f t="shared" si="0"/>
        <v>0</v>
      </c>
      <c r="F49" s="1201"/>
      <c r="G49" s="1026"/>
    </row>
    <row r="50" spans="1:7" s="502" customFormat="1" ht="15" customHeight="1">
      <c r="A50" s="1025"/>
      <c r="B50" s="1200"/>
      <c r="C50" s="1120"/>
      <c r="D50" s="1121"/>
      <c r="E50" s="1015">
        <f t="shared" si="0"/>
        <v>0</v>
      </c>
      <c r="F50" s="1201"/>
      <c r="G50" s="470"/>
    </row>
    <row r="51" spans="1:7" s="502" customFormat="1" ht="15" customHeight="1">
      <c r="A51" s="1025"/>
      <c r="B51" s="1200"/>
      <c r="C51" s="1120"/>
      <c r="D51" s="1121"/>
      <c r="E51" s="1015">
        <f t="shared" si="0"/>
        <v>0</v>
      </c>
      <c r="F51" s="1201"/>
      <c r="G51" s="470"/>
    </row>
    <row r="52" spans="1:7" s="502" customFormat="1" ht="15" customHeight="1">
      <c r="A52" s="1025"/>
      <c r="B52" s="1200"/>
      <c r="C52" s="1120"/>
      <c r="D52" s="1121"/>
      <c r="E52" s="1015">
        <f t="shared" si="0"/>
        <v>0</v>
      </c>
      <c r="F52" s="1201"/>
      <c r="G52" s="470"/>
    </row>
    <row r="53" spans="1:7" s="502" customFormat="1" ht="15" customHeight="1">
      <c r="A53" s="1025"/>
      <c r="B53" s="1200"/>
      <c r="C53" s="1120"/>
      <c r="D53" s="1121"/>
      <c r="E53" s="1015">
        <f t="shared" si="0"/>
        <v>0</v>
      </c>
      <c r="F53" s="1201"/>
      <c r="G53" s="470"/>
    </row>
    <row r="54" spans="1:7" s="502" customFormat="1" ht="15" customHeight="1">
      <c r="A54" s="1025"/>
      <c r="B54" s="1200"/>
      <c r="C54" s="1120"/>
      <c r="D54" s="1121"/>
      <c r="E54" s="1015">
        <f t="shared" si="0"/>
        <v>0</v>
      </c>
      <c r="F54" s="1201"/>
      <c r="G54" s="470"/>
    </row>
    <row r="55" spans="1:7" ht="15" customHeight="1">
      <c r="A55" s="1025"/>
      <c r="B55" s="1200"/>
      <c r="C55" s="1120"/>
      <c r="D55" s="1121"/>
      <c r="E55" s="1015">
        <f t="shared" si="0"/>
        <v>0</v>
      </c>
      <c r="F55" s="1201"/>
      <c r="G55" s="1009"/>
    </row>
    <row r="56" spans="1:7" ht="15" customHeight="1">
      <c r="A56" s="1025"/>
      <c r="B56" s="1200"/>
      <c r="C56" s="1120"/>
      <c r="D56" s="1121"/>
      <c r="E56" s="1015">
        <f t="shared" si="0"/>
        <v>0</v>
      </c>
      <c r="F56" s="1201"/>
      <c r="G56" s="1009"/>
    </row>
    <row r="57" spans="1:7" ht="15" customHeight="1">
      <c r="A57" s="1025"/>
      <c r="B57" s="1200"/>
      <c r="C57" s="1120"/>
      <c r="D57" s="1121"/>
      <c r="E57" s="1015">
        <f t="shared" si="0"/>
        <v>0</v>
      </c>
      <c r="F57" s="1201"/>
      <c r="G57" s="1009"/>
    </row>
    <row r="58" spans="1:7" ht="15" customHeight="1">
      <c r="A58" s="1025"/>
      <c r="B58" s="1200"/>
      <c r="C58" s="1120"/>
      <c r="D58" s="1121"/>
      <c r="E58" s="1015">
        <f t="shared" si="0"/>
        <v>0</v>
      </c>
      <c r="F58" s="1201"/>
      <c r="G58" s="1009"/>
    </row>
    <row r="59" spans="1:7" ht="15" customHeight="1">
      <c r="A59" s="1025"/>
      <c r="B59" s="1200"/>
      <c r="C59" s="1120"/>
      <c r="D59" s="1121"/>
      <c r="E59" s="1015">
        <f t="shared" si="0"/>
        <v>0</v>
      </c>
      <c r="F59" s="1201"/>
      <c r="G59" s="1009"/>
    </row>
    <row r="60" spans="1:7" ht="15" customHeight="1">
      <c r="A60" s="1025"/>
      <c r="B60" s="1200"/>
      <c r="C60" s="1120"/>
      <c r="D60" s="1121"/>
      <c r="E60" s="1015">
        <f t="shared" si="0"/>
        <v>0</v>
      </c>
      <c r="F60" s="1201"/>
      <c r="G60" s="1009"/>
    </row>
    <row r="61" spans="1:7" ht="15" customHeight="1">
      <c r="A61" s="1025"/>
      <c r="B61" s="1200"/>
      <c r="C61" s="1120"/>
      <c r="D61" s="1121"/>
      <c r="E61" s="1015">
        <f t="shared" si="0"/>
        <v>0</v>
      </c>
      <c r="F61" s="1201"/>
      <c r="G61" s="1009"/>
    </row>
    <row r="62" spans="1:7" ht="15" customHeight="1">
      <c r="A62" s="1025"/>
      <c r="B62" s="1200"/>
      <c r="C62" s="1120"/>
      <c r="D62" s="1121"/>
      <c r="E62" s="1015">
        <f t="shared" si="0"/>
        <v>0</v>
      </c>
      <c r="F62" s="1201"/>
      <c r="G62" s="1009"/>
    </row>
    <row r="63" spans="1:7" ht="15" customHeight="1">
      <c r="A63" s="1025"/>
      <c r="B63" s="1200"/>
      <c r="C63" s="1120"/>
      <c r="D63" s="1121"/>
      <c r="E63" s="1015">
        <f t="shared" si="0"/>
        <v>0</v>
      </c>
      <c r="F63" s="1201"/>
      <c r="G63" s="1009"/>
    </row>
    <row r="64" spans="1:7" ht="15" customHeight="1">
      <c r="A64" s="1025"/>
      <c r="B64" s="1200"/>
      <c r="C64" s="1120"/>
      <c r="D64" s="1121"/>
      <c r="E64" s="1015">
        <f t="shared" si="0"/>
        <v>0</v>
      </c>
      <c r="F64" s="1201"/>
      <c r="G64" s="1009"/>
    </row>
    <row r="65" spans="1:7" ht="15" customHeight="1">
      <c r="A65" s="1025"/>
      <c r="B65" s="1200"/>
      <c r="C65" s="1120"/>
      <c r="D65" s="1121"/>
      <c r="E65" s="1015">
        <f t="shared" si="0"/>
        <v>0</v>
      </c>
      <c r="F65" s="1201"/>
      <c r="G65" s="1009"/>
    </row>
    <row r="66" spans="1:7" ht="15" customHeight="1">
      <c r="A66" s="1025"/>
      <c r="B66" s="1200"/>
      <c r="C66" s="1120"/>
      <c r="D66" s="1121"/>
      <c r="E66" s="1015">
        <f t="shared" si="0"/>
        <v>0</v>
      </c>
      <c r="F66" s="1201"/>
      <c r="G66" s="1009"/>
    </row>
    <row r="67" spans="1:7" ht="15" customHeight="1">
      <c r="A67" s="1025"/>
      <c r="B67" s="1200"/>
      <c r="C67" s="1120"/>
      <c r="D67" s="1121"/>
      <c r="E67" s="1015">
        <f t="shared" si="0"/>
        <v>0</v>
      </c>
      <c r="F67" s="1201"/>
      <c r="G67" s="1009"/>
    </row>
    <row r="68" spans="1:7" ht="15" customHeight="1">
      <c r="A68" s="1025"/>
      <c r="B68" s="1200"/>
      <c r="C68" s="1120"/>
      <c r="D68" s="1121"/>
      <c r="E68" s="1015">
        <f t="shared" si="0"/>
        <v>0</v>
      </c>
      <c r="F68" s="1201"/>
      <c r="G68" s="1009"/>
    </row>
    <row r="69" spans="1:7" ht="15" customHeight="1">
      <c r="A69" s="1025"/>
      <c r="B69" s="1200"/>
      <c r="C69" s="1120"/>
      <c r="D69" s="1121"/>
      <c r="E69" s="1015">
        <f t="shared" si="0"/>
        <v>0</v>
      </c>
      <c r="F69" s="1201"/>
      <c r="G69" s="1009"/>
    </row>
    <row r="70" spans="1:7" ht="15" customHeight="1">
      <c r="A70" s="1025"/>
      <c r="B70" s="1200"/>
      <c r="C70" s="1120"/>
      <c r="D70" s="1121"/>
      <c r="E70" s="1015">
        <f t="shared" si="0"/>
        <v>0</v>
      </c>
      <c r="F70" s="1201"/>
      <c r="G70" s="1009"/>
    </row>
    <row r="71" spans="1:7" ht="15" customHeight="1">
      <c r="A71" s="1025"/>
      <c r="B71" s="1200"/>
      <c r="C71" s="1120"/>
      <c r="D71" s="1121"/>
      <c r="E71" s="1015">
        <f t="shared" si="0"/>
        <v>0</v>
      </c>
      <c r="F71" s="1201"/>
      <c r="G71" s="1009"/>
    </row>
    <row r="72" spans="1:7" ht="15" customHeight="1">
      <c r="A72" s="1025"/>
      <c r="B72" s="1200"/>
      <c r="C72" s="1120"/>
      <c r="D72" s="1121"/>
      <c r="E72" s="1015">
        <f t="shared" si="0"/>
        <v>0</v>
      </c>
      <c r="F72" s="1201"/>
      <c r="G72" s="1009"/>
    </row>
    <row r="73" spans="1:7" ht="15" customHeight="1">
      <c r="A73" s="1025"/>
      <c r="B73" s="1200"/>
      <c r="C73" s="1120"/>
      <c r="D73" s="1121"/>
      <c r="E73" s="1015">
        <f t="shared" si="0"/>
        <v>0</v>
      </c>
      <c r="F73" s="1201"/>
      <c r="G73" s="1009"/>
    </row>
    <row r="74" spans="1:7" ht="15" customHeight="1">
      <c r="A74" s="1025"/>
      <c r="B74" s="1200"/>
      <c r="C74" s="1120"/>
      <c r="D74" s="1121"/>
      <c r="E74" s="1015">
        <f t="shared" si="0"/>
        <v>0</v>
      </c>
      <c r="F74" s="1201"/>
      <c r="G74" s="1009"/>
    </row>
    <row r="75" spans="1:7" ht="15" customHeight="1">
      <c r="A75" s="1025"/>
      <c r="B75" s="1200"/>
      <c r="C75" s="1120"/>
      <c r="D75" s="1121"/>
      <c r="E75" s="1015">
        <f t="shared" si="0"/>
        <v>0</v>
      </c>
      <c r="F75" s="1201"/>
      <c r="G75" s="1009"/>
    </row>
    <row r="76" spans="1:7" ht="15" customHeight="1">
      <c r="A76" s="1025"/>
      <c r="B76" s="1200"/>
      <c r="C76" s="1120"/>
      <c r="D76" s="1121"/>
      <c r="E76" s="1015">
        <f t="shared" si="0"/>
        <v>0</v>
      </c>
      <c r="F76" s="1201"/>
      <c r="G76" s="1009"/>
    </row>
    <row r="77" spans="1:7" ht="15" customHeight="1">
      <c r="A77" s="1025"/>
      <c r="B77" s="1200"/>
      <c r="C77" s="1120"/>
      <c r="D77" s="1121"/>
      <c r="E77" s="1015">
        <f t="shared" si="0"/>
        <v>0</v>
      </c>
      <c r="F77" s="1201"/>
      <c r="G77" s="1009"/>
    </row>
    <row r="78" spans="1:7" ht="15" customHeight="1">
      <c r="A78" s="1025"/>
      <c r="B78" s="1200"/>
      <c r="C78" s="1120"/>
      <c r="D78" s="1121"/>
      <c r="E78" s="1015">
        <f t="shared" si="0"/>
        <v>0</v>
      </c>
      <c r="F78" s="1201"/>
      <c r="G78" s="1009"/>
    </row>
    <row r="79" spans="1:7" ht="15" customHeight="1">
      <c r="A79" s="1025"/>
      <c r="B79" s="1200"/>
      <c r="C79" s="1120"/>
      <c r="D79" s="1121"/>
      <c r="E79" s="1015">
        <f t="shared" si="0"/>
        <v>0</v>
      </c>
      <c r="F79" s="1201"/>
      <c r="G79" s="1009"/>
    </row>
    <row r="80" spans="1:7" ht="15" customHeight="1">
      <c r="A80" s="1025"/>
      <c r="B80" s="1200"/>
      <c r="C80" s="1120"/>
      <c r="D80" s="1121"/>
      <c r="E80" s="1015">
        <f t="shared" si="0"/>
        <v>0</v>
      </c>
      <c r="F80" s="1201"/>
      <c r="G80" s="1009"/>
    </row>
    <row r="81" spans="1:7" ht="15" customHeight="1">
      <c r="A81" s="1025"/>
      <c r="B81" s="1200"/>
      <c r="C81" s="1120"/>
      <c r="D81" s="1121"/>
      <c r="E81" s="1015">
        <f t="shared" ref="E81:E144" si="1">B81-C81+D81</f>
        <v>0</v>
      </c>
      <c r="F81" s="1201"/>
      <c r="G81" s="1009"/>
    </row>
    <row r="82" spans="1:7" ht="15" customHeight="1">
      <c r="A82" s="1025"/>
      <c r="B82" s="1200"/>
      <c r="C82" s="1120"/>
      <c r="D82" s="1121"/>
      <c r="E82" s="1015">
        <f t="shared" si="1"/>
        <v>0</v>
      </c>
      <c r="F82" s="1201"/>
      <c r="G82" s="1009"/>
    </row>
    <row r="83" spans="1:7" ht="15" customHeight="1">
      <c r="A83" s="1025"/>
      <c r="B83" s="1200"/>
      <c r="C83" s="1120"/>
      <c r="D83" s="1121"/>
      <c r="E83" s="1015">
        <f t="shared" si="1"/>
        <v>0</v>
      </c>
      <c r="F83" s="1201"/>
      <c r="G83" s="1009"/>
    </row>
    <row r="84" spans="1:7" ht="15" customHeight="1">
      <c r="A84" s="1025"/>
      <c r="B84" s="1200"/>
      <c r="C84" s="1120"/>
      <c r="D84" s="1121"/>
      <c r="E84" s="1015">
        <f t="shared" si="1"/>
        <v>0</v>
      </c>
      <c r="F84" s="1201"/>
      <c r="G84" s="1009"/>
    </row>
    <row r="85" spans="1:7" ht="15" customHeight="1">
      <c r="A85" s="1025"/>
      <c r="B85" s="1200"/>
      <c r="C85" s="1120"/>
      <c r="D85" s="1121"/>
      <c r="E85" s="1015">
        <f t="shared" si="1"/>
        <v>0</v>
      </c>
      <c r="F85" s="1201"/>
      <c r="G85" s="1009"/>
    </row>
    <row r="86" spans="1:7" ht="15" customHeight="1">
      <c r="A86" s="1025"/>
      <c r="B86" s="1200"/>
      <c r="C86" s="1120"/>
      <c r="D86" s="1121"/>
      <c r="E86" s="1015">
        <f t="shared" si="1"/>
        <v>0</v>
      </c>
      <c r="F86" s="1201"/>
      <c r="G86" s="1009"/>
    </row>
    <row r="87" spans="1:7" ht="15" customHeight="1">
      <c r="A87" s="1025"/>
      <c r="B87" s="1200"/>
      <c r="C87" s="1120"/>
      <c r="D87" s="1121"/>
      <c r="E87" s="1015">
        <f t="shared" si="1"/>
        <v>0</v>
      </c>
      <c r="F87" s="1201"/>
      <c r="G87" s="1009"/>
    </row>
    <row r="88" spans="1:7" ht="15" customHeight="1">
      <c r="A88" s="1025"/>
      <c r="B88" s="1200"/>
      <c r="C88" s="1120"/>
      <c r="D88" s="1121"/>
      <c r="E88" s="1015">
        <f t="shared" si="1"/>
        <v>0</v>
      </c>
      <c r="F88" s="1201"/>
      <c r="G88" s="1009"/>
    </row>
    <row r="89" spans="1:7" ht="15" customHeight="1">
      <c r="A89" s="1025"/>
      <c r="B89" s="1200"/>
      <c r="C89" s="1120"/>
      <c r="D89" s="1121"/>
      <c r="E89" s="1015">
        <f t="shared" si="1"/>
        <v>0</v>
      </c>
      <c r="F89" s="1201"/>
      <c r="G89" s="1009"/>
    </row>
    <row r="90" spans="1:7" ht="15" customHeight="1">
      <c r="A90" s="1025"/>
      <c r="B90" s="1200"/>
      <c r="C90" s="1120"/>
      <c r="D90" s="1121"/>
      <c r="E90" s="1015">
        <f t="shared" si="1"/>
        <v>0</v>
      </c>
      <c r="F90" s="1201"/>
      <c r="G90" s="1009"/>
    </row>
    <row r="91" spans="1:7" ht="15" customHeight="1">
      <c r="A91" s="1025"/>
      <c r="B91" s="1200"/>
      <c r="C91" s="1120"/>
      <c r="D91" s="1121"/>
      <c r="E91" s="1015">
        <f t="shared" si="1"/>
        <v>0</v>
      </c>
      <c r="F91" s="1201"/>
      <c r="G91" s="1009"/>
    </row>
    <row r="92" spans="1:7" ht="15" customHeight="1">
      <c r="A92" s="1025"/>
      <c r="B92" s="1200"/>
      <c r="C92" s="1120"/>
      <c r="D92" s="1121"/>
      <c r="E92" s="1015">
        <f t="shared" si="1"/>
        <v>0</v>
      </c>
      <c r="F92" s="1201"/>
      <c r="G92" s="1009"/>
    </row>
    <row r="93" spans="1:7" ht="15" customHeight="1">
      <c r="A93" s="1025"/>
      <c r="B93" s="1200"/>
      <c r="C93" s="1120"/>
      <c r="D93" s="1121"/>
      <c r="E93" s="1015">
        <f t="shared" si="1"/>
        <v>0</v>
      </c>
      <c r="F93" s="1201"/>
      <c r="G93" s="1009"/>
    </row>
    <row r="94" spans="1:7" ht="15" customHeight="1">
      <c r="A94" s="1025"/>
      <c r="B94" s="1200"/>
      <c r="C94" s="1120"/>
      <c r="D94" s="1121"/>
      <c r="E94" s="1015">
        <f t="shared" si="1"/>
        <v>0</v>
      </c>
      <c r="F94" s="1201"/>
      <c r="G94" s="1009"/>
    </row>
    <row r="95" spans="1:7" ht="15" customHeight="1">
      <c r="A95" s="1025"/>
      <c r="B95" s="1200"/>
      <c r="C95" s="1120"/>
      <c r="D95" s="1121"/>
      <c r="E95" s="1015">
        <f t="shared" si="1"/>
        <v>0</v>
      </c>
      <c r="F95" s="1201"/>
      <c r="G95" s="1009"/>
    </row>
    <row r="96" spans="1:7" ht="15" customHeight="1">
      <c r="A96" s="1025"/>
      <c r="B96" s="1200"/>
      <c r="C96" s="1120"/>
      <c r="D96" s="1121"/>
      <c r="E96" s="1015">
        <f t="shared" si="1"/>
        <v>0</v>
      </c>
      <c r="F96" s="1201"/>
      <c r="G96" s="1009"/>
    </row>
    <row r="97" spans="1:7" ht="15" customHeight="1">
      <c r="A97" s="1025"/>
      <c r="B97" s="1200"/>
      <c r="C97" s="1120"/>
      <c r="D97" s="1121"/>
      <c r="E97" s="1015">
        <f t="shared" si="1"/>
        <v>0</v>
      </c>
      <c r="F97" s="1201"/>
      <c r="G97" s="1009"/>
    </row>
    <row r="98" spans="1:7" ht="15" customHeight="1">
      <c r="A98" s="1025"/>
      <c r="B98" s="1200"/>
      <c r="C98" s="1120"/>
      <c r="D98" s="1121"/>
      <c r="E98" s="1015">
        <f t="shared" si="1"/>
        <v>0</v>
      </c>
      <c r="F98" s="1201"/>
      <c r="G98" s="1009"/>
    </row>
    <row r="99" spans="1:7" ht="15" customHeight="1">
      <c r="A99" s="1025"/>
      <c r="B99" s="1200"/>
      <c r="C99" s="1120"/>
      <c r="D99" s="1121"/>
      <c r="E99" s="1015">
        <f t="shared" si="1"/>
        <v>0</v>
      </c>
      <c r="F99" s="1201"/>
      <c r="G99" s="1009"/>
    </row>
    <row r="100" spans="1:7" ht="15" customHeight="1">
      <c r="A100" s="1025"/>
      <c r="B100" s="1200"/>
      <c r="C100" s="1120"/>
      <c r="D100" s="1121"/>
      <c r="E100" s="1015">
        <f t="shared" si="1"/>
        <v>0</v>
      </c>
      <c r="F100" s="1201"/>
      <c r="G100" s="1009"/>
    </row>
    <row r="101" spans="1:7" ht="15" customHeight="1">
      <c r="A101" s="1025"/>
      <c r="B101" s="1200"/>
      <c r="C101" s="1120"/>
      <c r="D101" s="1121"/>
      <c r="E101" s="1015">
        <f t="shared" si="1"/>
        <v>0</v>
      </c>
      <c r="F101" s="1201"/>
      <c r="G101" s="1009"/>
    </row>
    <row r="102" spans="1:7" ht="15" customHeight="1">
      <c r="A102" s="1025"/>
      <c r="B102" s="1200"/>
      <c r="C102" s="1120"/>
      <c r="D102" s="1121"/>
      <c r="E102" s="1015">
        <f t="shared" si="1"/>
        <v>0</v>
      </c>
      <c r="F102" s="1201"/>
      <c r="G102" s="1009"/>
    </row>
    <row r="103" spans="1:7" ht="15" customHeight="1">
      <c r="A103" s="1025"/>
      <c r="B103" s="1200"/>
      <c r="C103" s="1120"/>
      <c r="D103" s="1121"/>
      <c r="E103" s="1015">
        <f t="shared" si="1"/>
        <v>0</v>
      </c>
      <c r="F103" s="1201"/>
      <c r="G103" s="1009"/>
    </row>
    <row r="104" spans="1:7" ht="15" customHeight="1">
      <c r="A104" s="1025"/>
      <c r="B104" s="1200"/>
      <c r="C104" s="1120"/>
      <c r="D104" s="1121"/>
      <c r="E104" s="1015">
        <f t="shared" si="1"/>
        <v>0</v>
      </c>
      <c r="F104" s="1201"/>
      <c r="G104" s="1009"/>
    </row>
    <row r="105" spans="1:7" ht="15" customHeight="1">
      <c r="A105" s="1025"/>
      <c r="B105" s="1200"/>
      <c r="C105" s="1120"/>
      <c r="D105" s="1121"/>
      <c r="E105" s="1015">
        <f t="shared" si="1"/>
        <v>0</v>
      </c>
      <c r="F105" s="1201"/>
      <c r="G105" s="1009"/>
    </row>
    <row r="106" spans="1:7" ht="15" customHeight="1">
      <c r="A106" s="1025"/>
      <c r="B106" s="1200"/>
      <c r="C106" s="1120"/>
      <c r="D106" s="1121"/>
      <c r="E106" s="1015">
        <f t="shared" si="1"/>
        <v>0</v>
      </c>
      <c r="F106" s="1201"/>
      <c r="G106" s="1009"/>
    </row>
    <row r="107" spans="1:7" ht="15" customHeight="1">
      <c r="A107" s="1025"/>
      <c r="B107" s="1200"/>
      <c r="C107" s="1120"/>
      <c r="D107" s="1121"/>
      <c r="E107" s="1015">
        <f t="shared" si="1"/>
        <v>0</v>
      </c>
      <c r="F107" s="1201"/>
      <c r="G107" s="1009"/>
    </row>
    <row r="108" spans="1:7" ht="15" customHeight="1">
      <c r="A108" s="1025"/>
      <c r="B108" s="1200"/>
      <c r="C108" s="1120"/>
      <c r="D108" s="1121"/>
      <c r="E108" s="1015">
        <f t="shared" si="1"/>
        <v>0</v>
      </c>
      <c r="F108" s="1201"/>
      <c r="G108" s="1009"/>
    </row>
    <row r="109" spans="1:7" ht="15" customHeight="1">
      <c r="A109" s="1025"/>
      <c r="B109" s="1200"/>
      <c r="C109" s="1120"/>
      <c r="D109" s="1121"/>
      <c r="E109" s="1015">
        <f t="shared" si="1"/>
        <v>0</v>
      </c>
      <c r="F109" s="1201"/>
      <c r="G109" s="1009"/>
    </row>
    <row r="110" spans="1:7" ht="15" customHeight="1">
      <c r="A110" s="1025"/>
      <c r="B110" s="1200"/>
      <c r="C110" s="1120"/>
      <c r="D110" s="1121"/>
      <c r="E110" s="1015">
        <f t="shared" si="1"/>
        <v>0</v>
      </c>
      <c r="F110" s="1201"/>
      <c r="G110" s="1009"/>
    </row>
    <row r="111" spans="1:7" ht="15" customHeight="1">
      <c r="A111" s="1025"/>
      <c r="B111" s="1200"/>
      <c r="C111" s="1120"/>
      <c r="D111" s="1121"/>
      <c r="E111" s="1015">
        <f t="shared" si="1"/>
        <v>0</v>
      </c>
      <c r="F111" s="1201"/>
      <c r="G111" s="1009"/>
    </row>
    <row r="112" spans="1:7" ht="15" customHeight="1">
      <c r="A112" s="1025"/>
      <c r="B112" s="1200"/>
      <c r="C112" s="1120"/>
      <c r="D112" s="1121"/>
      <c r="E112" s="1015">
        <f t="shared" si="1"/>
        <v>0</v>
      </c>
      <c r="F112" s="1201"/>
      <c r="G112" s="1009"/>
    </row>
    <row r="113" spans="1:7" ht="15" customHeight="1">
      <c r="A113" s="1025"/>
      <c r="B113" s="1200"/>
      <c r="C113" s="1120"/>
      <c r="D113" s="1121"/>
      <c r="E113" s="1015">
        <f t="shared" si="1"/>
        <v>0</v>
      </c>
      <c r="F113" s="1201"/>
      <c r="G113" s="1009"/>
    </row>
    <row r="114" spans="1:7" ht="15" customHeight="1">
      <c r="A114" s="1025"/>
      <c r="B114" s="1200"/>
      <c r="C114" s="1120"/>
      <c r="D114" s="1121"/>
      <c r="E114" s="1015">
        <f t="shared" si="1"/>
        <v>0</v>
      </c>
      <c r="F114" s="1201"/>
      <c r="G114" s="1009"/>
    </row>
    <row r="115" spans="1:7" ht="15" customHeight="1">
      <c r="A115" s="1025"/>
      <c r="B115" s="1200"/>
      <c r="C115" s="1120"/>
      <c r="D115" s="1121"/>
      <c r="E115" s="1015">
        <f t="shared" si="1"/>
        <v>0</v>
      </c>
      <c r="F115" s="1201"/>
      <c r="G115" s="1009"/>
    </row>
    <row r="116" spans="1:7" ht="15" customHeight="1">
      <c r="A116" s="1025"/>
      <c r="B116" s="1200"/>
      <c r="C116" s="1120"/>
      <c r="D116" s="1121"/>
      <c r="E116" s="1015">
        <f t="shared" si="1"/>
        <v>0</v>
      </c>
      <c r="F116" s="1201"/>
      <c r="G116" s="1009"/>
    </row>
    <row r="117" spans="1:7" ht="15" customHeight="1">
      <c r="A117" s="1025"/>
      <c r="B117" s="1200"/>
      <c r="C117" s="1120"/>
      <c r="D117" s="1121"/>
      <c r="E117" s="1015">
        <f t="shared" si="1"/>
        <v>0</v>
      </c>
      <c r="F117" s="1201"/>
      <c r="G117" s="1009"/>
    </row>
    <row r="118" spans="1:7" ht="15" customHeight="1">
      <c r="A118" s="1025"/>
      <c r="B118" s="1200"/>
      <c r="C118" s="1120"/>
      <c r="D118" s="1121"/>
      <c r="E118" s="1015">
        <f t="shared" si="1"/>
        <v>0</v>
      </c>
      <c r="F118" s="1201"/>
      <c r="G118" s="1009"/>
    </row>
    <row r="119" spans="1:7" ht="15" customHeight="1">
      <c r="A119" s="1025"/>
      <c r="B119" s="1200"/>
      <c r="C119" s="1120"/>
      <c r="D119" s="1121"/>
      <c r="E119" s="1015">
        <f t="shared" si="1"/>
        <v>0</v>
      </c>
      <c r="F119" s="1201"/>
      <c r="G119" s="1009"/>
    </row>
    <row r="120" spans="1:7" ht="15" customHeight="1">
      <c r="A120" s="1025"/>
      <c r="B120" s="1200"/>
      <c r="C120" s="1120"/>
      <c r="D120" s="1121"/>
      <c r="E120" s="1015">
        <f t="shared" si="1"/>
        <v>0</v>
      </c>
      <c r="F120" s="1201"/>
      <c r="G120" s="1009"/>
    </row>
    <row r="121" spans="1:7" ht="15" customHeight="1">
      <c r="A121" s="1025"/>
      <c r="B121" s="1200"/>
      <c r="C121" s="1120"/>
      <c r="D121" s="1121"/>
      <c r="E121" s="1015">
        <f t="shared" si="1"/>
        <v>0</v>
      </c>
      <c r="F121" s="1201"/>
      <c r="G121" s="1009"/>
    </row>
    <row r="122" spans="1:7" ht="15" customHeight="1">
      <c r="A122" s="1025"/>
      <c r="B122" s="1200"/>
      <c r="C122" s="1120"/>
      <c r="D122" s="1121"/>
      <c r="E122" s="1015">
        <f t="shared" si="1"/>
        <v>0</v>
      </c>
      <c r="F122" s="1201"/>
      <c r="G122" s="1009"/>
    </row>
    <row r="123" spans="1:7" ht="15" customHeight="1">
      <c r="A123" s="1025"/>
      <c r="B123" s="1200"/>
      <c r="C123" s="1120"/>
      <c r="D123" s="1121"/>
      <c r="E123" s="1015">
        <f t="shared" si="1"/>
        <v>0</v>
      </c>
      <c r="F123" s="1201"/>
      <c r="G123" s="1009"/>
    </row>
    <row r="124" spans="1:7" ht="15" customHeight="1">
      <c r="A124" s="1025"/>
      <c r="B124" s="1200"/>
      <c r="C124" s="1120"/>
      <c r="D124" s="1121"/>
      <c r="E124" s="1015">
        <f t="shared" si="1"/>
        <v>0</v>
      </c>
      <c r="F124" s="1201"/>
      <c r="G124" s="1009"/>
    </row>
    <row r="125" spans="1:7" ht="15" customHeight="1">
      <c r="A125" s="1025"/>
      <c r="B125" s="1200"/>
      <c r="C125" s="1120"/>
      <c r="D125" s="1121"/>
      <c r="E125" s="1015">
        <f t="shared" si="1"/>
        <v>0</v>
      </c>
      <c r="F125" s="1201"/>
      <c r="G125" s="1009"/>
    </row>
    <row r="126" spans="1:7" ht="15" customHeight="1">
      <c r="A126" s="1025"/>
      <c r="B126" s="1200"/>
      <c r="C126" s="1120"/>
      <c r="D126" s="1121"/>
      <c r="E126" s="1015">
        <f t="shared" si="1"/>
        <v>0</v>
      </c>
      <c r="F126" s="1201"/>
      <c r="G126" s="1009"/>
    </row>
    <row r="127" spans="1:7" ht="15" customHeight="1">
      <c r="A127" s="1025"/>
      <c r="B127" s="1200"/>
      <c r="C127" s="1120"/>
      <c r="D127" s="1121"/>
      <c r="E127" s="1015">
        <f t="shared" si="1"/>
        <v>0</v>
      </c>
      <c r="F127" s="1201"/>
      <c r="G127" s="1009"/>
    </row>
    <row r="128" spans="1:7" ht="15" customHeight="1">
      <c r="A128" s="1025"/>
      <c r="B128" s="1200"/>
      <c r="C128" s="1120"/>
      <c r="D128" s="1121"/>
      <c r="E128" s="1015">
        <f t="shared" si="1"/>
        <v>0</v>
      </c>
      <c r="F128" s="1201"/>
      <c r="G128" s="1009"/>
    </row>
    <row r="129" spans="1:7" ht="15" customHeight="1">
      <c r="A129" s="1025"/>
      <c r="B129" s="1200"/>
      <c r="C129" s="1120"/>
      <c r="D129" s="1121"/>
      <c r="E129" s="1015">
        <f t="shared" si="1"/>
        <v>0</v>
      </c>
      <c r="F129" s="1201"/>
      <c r="G129" s="1009"/>
    </row>
    <row r="130" spans="1:7" ht="15" customHeight="1">
      <c r="A130" s="1025"/>
      <c r="B130" s="1200"/>
      <c r="C130" s="1120"/>
      <c r="D130" s="1121"/>
      <c r="E130" s="1015">
        <f t="shared" si="1"/>
        <v>0</v>
      </c>
      <c r="F130" s="1201"/>
      <c r="G130" s="1009"/>
    </row>
    <row r="131" spans="1:7" ht="15" customHeight="1">
      <c r="A131" s="1025"/>
      <c r="B131" s="1200"/>
      <c r="C131" s="1120"/>
      <c r="D131" s="1121"/>
      <c r="E131" s="1015">
        <f t="shared" si="1"/>
        <v>0</v>
      </c>
      <c r="F131" s="1201"/>
      <c r="G131" s="1009"/>
    </row>
    <row r="132" spans="1:7" ht="15" customHeight="1">
      <c r="A132" s="1025"/>
      <c r="B132" s="1200"/>
      <c r="C132" s="1120"/>
      <c r="D132" s="1121"/>
      <c r="E132" s="1015">
        <f t="shared" si="1"/>
        <v>0</v>
      </c>
      <c r="F132" s="1201"/>
      <c r="G132" s="1009"/>
    </row>
    <row r="133" spans="1:7" ht="15" customHeight="1">
      <c r="A133" s="1025"/>
      <c r="B133" s="1200"/>
      <c r="C133" s="1120"/>
      <c r="D133" s="1121"/>
      <c r="E133" s="1015">
        <f t="shared" si="1"/>
        <v>0</v>
      </c>
      <c r="F133" s="1201"/>
      <c r="G133" s="1009"/>
    </row>
    <row r="134" spans="1:7" ht="15" customHeight="1">
      <c r="A134" s="1025"/>
      <c r="B134" s="1200"/>
      <c r="C134" s="1120"/>
      <c r="D134" s="1121"/>
      <c r="E134" s="1015">
        <f t="shared" si="1"/>
        <v>0</v>
      </c>
      <c r="F134" s="1201"/>
      <c r="G134" s="1009"/>
    </row>
    <row r="135" spans="1:7" ht="15" customHeight="1">
      <c r="A135" s="1025"/>
      <c r="B135" s="1200"/>
      <c r="C135" s="1120"/>
      <c r="D135" s="1121"/>
      <c r="E135" s="1015">
        <f t="shared" si="1"/>
        <v>0</v>
      </c>
      <c r="F135" s="1201"/>
      <c r="G135" s="1009"/>
    </row>
    <row r="136" spans="1:7" ht="15" customHeight="1">
      <c r="A136" s="1025"/>
      <c r="B136" s="1200"/>
      <c r="C136" s="1120"/>
      <c r="D136" s="1121"/>
      <c r="E136" s="1015">
        <f t="shared" si="1"/>
        <v>0</v>
      </c>
      <c r="F136" s="1201"/>
      <c r="G136" s="1009"/>
    </row>
    <row r="137" spans="1:7" ht="15" customHeight="1">
      <c r="A137" s="1025"/>
      <c r="B137" s="1200"/>
      <c r="C137" s="1120"/>
      <c r="D137" s="1121"/>
      <c r="E137" s="1015">
        <f t="shared" si="1"/>
        <v>0</v>
      </c>
      <c r="F137" s="1201"/>
      <c r="G137" s="1009"/>
    </row>
    <row r="138" spans="1:7" ht="15" customHeight="1">
      <c r="A138" s="1025"/>
      <c r="B138" s="1200"/>
      <c r="C138" s="1120"/>
      <c r="D138" s="1121"/>
      <c r="E138" s="1015">
        <f t="shared" si="1"/>
        <v>0</v>
      </c>
      <c r="F138" s="1201"/>
      <c r="G138" s="1009"/>
    </row>
    <row r="139" spans="1:7" ht="15" customHeight="1">
      <c r="A139" s="1025"/>
      <c r="B139" s="1200"/>
      <c r="C139" s="1120"/>
      <c r="D139" s="1121"/>
      <c r="E139" s="1015">
        <f t="shared" si="1"/>
        <v>0</v>
      </c>
      <c r="F139" s="1201"/>
      <c r="G139" s="1009"/>
    </row>
    <row r="140" spans="1:7" ht="15" customHeight="1">
      <c r="A140" s="1025"/>
      <c r="B140" s="1200"/>
      <c r="C140" s="1120"/>
      <c r="D140" s="1121"/>
      <c r="E140" s="1015">
        <f t="shared" si="1"/>
        <v>0</v>
      </c>
      <c r="F140" s="1201"/>
      <c r="G140" s="1009"/>
    </row>
    <row r="141" spans="1:7" ht="15" customHeight="1">
      <c r="A141" s="1025"/>
      <c r="B141" s="1200"/>
      <c r="C141" s="1120"/>
      <c r="D141" s="1121"/>
      <c r="E141" s="1015">
        <f t="shared" si="1"/>
        <v>0</v>
      </c>
      <c r="F141" s="1201"/>
      <c r="G141" s="1009"/>
    </row>
    <row r="142" spans="1:7" ht="15" customHeight="1">
      <c r="A142" s="1025"/>
      <c r="B142" s="1200"/>
      <c r="C142" s="1120"/>
      <c r="D142" s="1121"/>
      <c r="E142" s="1015">
        <f t="shared" si="1"/>
        <v>0</v>
      </c>
      <c r="F142" s="1201"/>
      <c r="G142" s="1009"/>
    </row>
    <row r="143" spans="1:7" ht="15" customHeight="1">
      <c r="A143" s="1025"/>
      <c r="B143" s="1200"/>
      <c r="C143" s="1120"/>
      <c r="D143" s="1121"/>
      <c r="E143" s="1015">
        <f t="shared" si="1"/>
        <v>0</v>
      </c>
      <c r="F143" s="1201"/>
      <c r="G143" s="1009"/>
    </row>
    <row r="144" spans="1:7" ht="15" customHeight="1">
      <c r="A144" s="1025"/>
      <c r="B144" s="1200"/>
      <c r="C144" s="1120"/>
      <c r="D144" s="1121"/>
      <c r="E144" s="1015">
        <f t="shared" si="1"/>
        <v>0</v>
      </c>
      <c r="F144" s="1201"/>
      <c r="G144" s="1009"/>
    </row>
    <row r="145" spans="1:7" ht="15" customHeight="1">
      <c r="A145" s="1025"/>
      <c r="B145" s="1200"/>
      <c r="C145" s="1120"/>
      <c r="D145" s="1121"/>
      <c r="E145" s="1015">
        <f t="shared" ref="E145:E208" si="2">B145-C145+D145</f>
        <v>0</v>
      </c>
      <c r="F145" s="1201"/>
      <c r="G145" s="1009"/>
    </row>
    <row r="146" spans="1:7" ht="15" customHeight="1">
      <c r="A146" s="1025"/>
      <c r="B146" s="1200"/>
      <c r="C146" s="1120"/>
      <c r="D146" s="1121"/>
      <c r="E146" s="1015">
        <f t="shared" si="2"/>
        <v>0</v>
      </c>
      <c r="F146" s="1201"/>
      <c r="G146" s="1009"/>
    </row>
    <row r="147" spans="1:7" ht="15" customHeight="1">
      <c r="A147" s="1025"/>
      <c r="B147" s="1200"/>
      <c r="C147" s="1120"/>
      <c r="D147" s="1121"/>
      <c r="E147" s="1015">
        <f t="shared" si="2"/>
        <v>0</v>
      </c>
      <c r="F147" s="1201"/>
      <c r="G147" s="1009"/>
    </row>
    <row r="148" spans="1:7" ht="15" customHeight="1">
      <c r="A148" s="1025"/>
      <c r="B148" s="1200"/>
      <c r="C148" s="1120"/>
      <c r="D148" s="1121"/>
      <c r="E148" s="1015">
        <f t="shared" si="2"/>
        <v>0</v>
      </c>
      <c r="F148" s="1201"/>
      <c r="G148" s="1009"/>
    </row>
    <row r="149" spans="1:7" ht="15" customHeight="1">
      <c r="A149" s="1025"/>
      <c r="B149" s="1200"/>
      <c r="C149" s="1120"/>
      <c r="D149" s="1121"/>
      <c r="E149" s="1015">
        <f t="shared" si="2"/>
        <v>0</v>
      </c>
      <c r="F149" s="1201"/>
      <c r="G149" s="1009"/>
    </row>
    <row r="150" spans="1:7" ht="15" customHeight="1">
      <c r="A150" s="1025"/>
      <c r="B150" s="1200"/>
      <c r="C150" s="1120"/>
      <c r="D150" s="1121"/>
      <c r="E150" s="1015">
        <f t="shared" si="2"/>
        <v>0</v>
      </c>
      <c r="F150" s="1201"/>
      <c r="G150" s="1009"/>
    </row>
    <row r="151" spans="1:7" ht="15" customHeight="1">
      <c r="A151" s="1025"/>
      <c r="B151" s="1200"/>
      <c r="C151" s="1120"/>
      <c r="D151" s="1121"/>
      <c r="E151" s="1015">
        <f t="shared" si="2"/>
        <v>0</v>
      </c>
      <c r="F151" s="1201"/>
      <c r="G151" s="1009"/>
    </row>
    <row r="152" spans="1:7" ht="15" customHeight="1">
      <c r="A152" s="1025"/>
      <c r="B152" s="1200"/>
      <c r="C152" s="1120"/>
      <c r="D152" s="1121"/>
      <c r="E152" s="1015">
        <f t="shared" si="2"/>
        <v>0</v>
      </c>
      <c r="F152" s="1201"/>
      <c r="G152" s="1009"/>
    </row>
    <row r="153" spans="1:7" ht="15" customHeight="1">
      <c r="A153" s="1025"/>
      <c r="B153" s="1200"/>
      <c r="C153" s="1120"/>
      <c r="D153" s="1121"/>
      <c r="E153" s="1015">
        <f t="shared" si="2"/>
        <v>0</v>
      </c>
      <c r="F153" s="1201"/>
      <c r="G153" s="1009"/>
    </row>
    <row r="154" spans="1:7" ht="15" customHeight="1">
      <c r="A154" s="1025"/>
      <c r="B154" s="1200"/>
      <c r="C154" s="1120"/>
      <c r="D154" s="1121"/>
      <c r="E154" s="1015">
        <f t="shared" si="2"/>
        <v>0</v>
      </c>
      <c r="F154" s="1201"/>
      <c r="G154" s="1009"/>
    </row>
    <row r="155" spans="1:7" ht="15" customHeight="1">
      <c r="A155" s="1025"/>
      <c r="B155" s="1200"/>
      <c r="C155" s="1120"/>
      <c r="D155" s="1121"/>
      <c r="E155" s="1015">
        <f t="shared" si="2"/>
        <v>0</v>
      </c>
      <c r="F155" s="1201"/>
      <c r="G155" s="1009"/>
    </row>
    <row r="156" spans="1:7" ht="15" customHeight="1">
      <c r="A156" s="1025"/>
      <c r="B156" s="1200"/>
      <c r="C156" s="1120"/>
      <c r="D156" s="1121"/>
      <c r="E156" s="1015">
        <f t="shared" si="2"/>
        <v>0</v>
      </c>
      <c r="F156" s="1201"/>
      <c r="G156" s="1009"/>
    </row>
    <row r="157" spans="1:7" ht="15" customHeight="1">
      <c r="A157" s="1025"/>
      <c r="B157" s="1200"/>
      <c r="C157" s="1120"/>
      <c r="D157" s="1121"/>
      <c r="E157" s="1015">
        <f t="shared" si="2"/>
        <v>0</v>
      </c>
      <c r="F157" s="1201"/>
      <c r="G157" s="1009"/>
    </row>
    <row r="158" spans="1:7" ht="15" customHeight="1">
      <c r="A158" s="1025"/>
      <c r="B158" s="1200"/>
      <c r="C158" s="1120"/>
      <c r="D158" s="1121"/>
      <c r="E158" s="1015">
        <f t="shared" si="2"/>
        <v>0</v>
      </c>
      <c r="F158" s="1201"/>
      <c r="G158" s="1009"/>
    </row>
    <row r="159" spans="1:7" ht="15" customHeight="1">
      <c r="A159" s="1025"/>
      <c r="B159" s="1200"/>
      <c r="C159" s="1120"/>
      <c r="D159" s="1121"/>
      <c r="E159" s="1015">
        <f t="shared" si="2"/>
        <v>0</v>
      </c>
      <c r="F159" s="1201"/>
      <c r="G159" s="1009"/>
    </row>
    <row r="160" spans="1:7" ht="15" customHeight="1">
      <c r="A160" s="1025"/>
      <c r="B160" s="1200"/>
      <c r="C160" s="1120"/>
      <c r="D160" s="1121"/>
      <c r="E160" s="1015">
        <f t="shared" si="2"/>
        <v>0</v>
      </c>
      <c r="F160" s="1201"/>
      <c r="G160" s="1009"/>
    </row>
    <row r="161" spans="1:7" ht="15" customHeight="1">
      <c r="A161" s="1025"/>
      <c r="B161" s="1200"/>
      <c r="C161" s="1120"/>
      <c r="D161" s="1121"/>
      <c r="E161" s="1015">
        <f t="shared" si="2"/>
        <v>0</v>
      </c>
      <c r="F161" s="1201"/>
      <c r="G161" s="1009"/>
    </row>
    <row r="162" spans="1:7" ht="15" customHeight="1">
      <c r="A162" s="1025"/>
      <c r="B162" s="1200"/>
      <c r="C162" s="1120"/>
      <c r="D162" s="1121"/>
      <c r="E162" s="1015">
        <f t="shared" si="2"/>
        <v>0</v>
      </c>
      <c r="F162" s="1201"/>
      <c r="G162" s="1009"/>
    </row>
    <row r="163" spans="1:7" ht="15" customHeight="1">
      <c r="A163" s="1025"/>
      <c r="B163" s="1200"/>
      <c r="C163" s="1120"/>
      <c r="D163" s="1121"/>
      <c r="E163" s="1015">
        <f t="shared" si="2"/>
        <v>0</v>
      </c>
      <c r="F163" s="1201"/>
      <c r="G163" s="1009"/>
    </row>
    <row r="164" spans="1:7" ht="15" customHeight="1">
      <c r="A164" s="1025"/>
      <c r="B164" s="1200"/>
      <c r="C164" s="1120"/>
      <c r="D164" s="1121"/>
      <c r="E164" s="1015">
        <f t="shared" si="2"/>
        <v>0</v>
      </c>
      <c r="F164" s="1201"/>
      <c r="G164" s="1009"/>
    </row>
    <row r="165" spans="1:7" ht="15" customHeight="1">
      <c r="A165" s="1025"/>
      <c r="B165" s="1200"/>
      <c r="C165" s="1120"/>
      <c r="D165" s="1121"/>
      <c r="E165" s="1015">
        <f t="shared" si="2"/>
        <v>0</v>
      </c>
      <c r="F165" s="1201"/>
      <c r="G165" s="1009"/>
    </row>
    <row r="166" spans="1:7" ht="15" customHeight="1">
      <c r="A166" s="1025"/>
      <c r="B166" s="1200"/>
      <c r="C166" s="1120"/>
      <c r="D166" s="1121"/>
      <c r="E166" s="1015">
        <f t="shared" si="2"/>
        <v>0</v>
      </c>
      <c r="F166" s="1201"/>
      <c r="G166" s="1009"/>
    </row>
    <row r="167" spans="1:7" ht="15" customHeight="1">
      <c r="A167" s="1025"/>
      <c r="B167" s="1200"/>
      <c r="C167" s="1120"/>
      <c r="D167" s="1121"/>
      <c r="E167" s="1015">
        <f t="shared" si="2"/>
        <v>0</v>
      </c>
      <c r="F167" s="1201"/>
      <c r="G167" s="1009"/>
    </row>
    <row r="168" spans="1:7" ht="15" customHeight="1">
      <c r="A168" s="1025"/>
      <c r="B168" s="1200"/>
      <c r="C168" s="1120"/>
      <c r="D168" s="1121"/>
      <c r="E168" s="1015">
        <f t="shared" si="2"/>
        <v>0</v>
      </c>
      <c r="F168" s="1201"/>
      <c r="G168" s="1009"/>
    </row>
    <row r="169" spans="1:7" ht="15" customHeight="1">
      <c r="A169" s="1025"/>
      <c r="B169" s="1200"/>
      <c r="C169" s="1120"/>
      <c r="D169" s="1121"/>
      <c r="E169" s="1015">
        <f t="shared" si="2"/>
        <v>0</v>
      </c>
      <c r="F169" s="1201"/>
      <c r="G169" s="1009"/>
    </row>
    <row r="170" spans="1:7" ht="15" customHeight="1">
      <c r="A170" s="1025"/>
      <c r="B170" s="1200"/>
      <c r="C170" s="1120"/>
      <c r="D170" s="1121"/>
      <c r="E170" s="1015">
        <f t="shared" si="2"/>
        <v>0</v>
      </c>
      <c r="F170" s="1201"/>
      <c r="G170" s="1009"/>
    </row>
    <row r="171" spans="1:7" ht="15" customHeight="1">
      <c r="A171" s="1025"/>
      <c r="B171" s="1200"/>
      <c r="C171" s="1120"/>
      <c r="D171" s="1121"/>
      <c r="E171" s="1015">
        <f t="shared" si="2"/>
        <v>0</v>
      </c>
      <c r="F171" s="1201"/>
      <c r="G171" s="1009"/>
    </row>
    <row r="172" spans="1:7" ht="15" customHeight="1">
      <c r="A172" s="1025"/>
      <c r="B172" s="1200"/>
      <c r="C172" s="1120"/>
      <c r="D172" s="1121"/>
      <c r="E172" s="1015">
        <f t="shared" si="2"/>
        <v>0</v>
      </c>
      <c r="F172" s="1201"/>
      <c r="G172" s="1009"/>
    </row>
    <row r="173" spans="1:7" ht="15" customHeight="1">
      <c r="A173" s="1025"/>
      <c r="B173" s="1200"/>
      <c r="C173" s="1120"/>
      <c r="D173" s="1121"/>
      <c r="E173" s="1015">
        <f t="shared" si="2"/>
        <v>0</v>
      </c>
      <c r="F173" s="1201"/>
      <c r="G173" s="1009"/>
    </row>
    <row r="174" spans="1:7" ht="15" customHeight="1">
      <c r="A174" s="1025"/>
      <c r="B174" s="1200"/>
      <c r="C174" s="1120"/>
      <c r="D174" s="1121"/>
      <c r="E174" s="1015">
        <f t="shared" si="2"/>
        <v>0</v>
      </c>
      <c r="F174" s="1201"/>
      <c r="G174" s="1009"/>
    </row>
    <row r="175" spans="1:7" ht="15" customHeight="1">
      <c r="A175" s="1025"/>
      <c r="B175" s="1200"/>
      <c r="C175" s="1120"/>
      <c r="D175" s="1121"/>
      <c r="E175" s="1015">
        <f t="shared" si="2"/>
        <v>0</v>
      </c>
      <c r="F175" s="1201"/>
      <c r="G175" s="1009"/>
    </row>
    <row r="176" spans="1:7" ht="15" customHeight="1">
      <c r="A176" s="1025"/>
      <c r="B176" s="1200"/>
      <c r="C176" s="1120"/>
      <c r="D176" s="1121"/>
      <c r="E176" s="1015">
        <f t="shared" si="2"/>
        <v>0</v>
      </c>
      <c r="F176" s="1201"/>
      <c r="G176" s="1009"/>
    </row>
    <row r="177" spans="1:7" ht="15" customHeight="1">
      <c r="A177" s="1025"/>
      <c r="B177" s="1200"/>
      <c r="C177" s="1120"/>
      <c r="D177" s="1121"/>
      <c r="E177" s="1015">
        <f t="shared" si="2"/>
        <v>0</v>
      </c>
      <c r="F177" s="1201"/>
      <c r="G177" s="1009"/>
    </row>
    <row r="178" spans="1:7" ht="15" customHeight="1">
      <c r="A178" s="1025"/>
      <c r="B178" s="1200"/>
      <c r="C178" s="1120"/>
      <c r="D178" s="1121"/>
      <c r="E178" s="1015">
        <f t="shared" si="2"/>
        <v>0</v>
      </c>
      <c r="F178" s="1201"/>
      <c r="G178" s="1009"/>
    </row>
    <row r="179" spans="1:7" ht="15" customHeight="1">
      <c r="A179" s="1025"/>
      <c r="B179" s="1200"/>
      <c r="C179" s="1120"/>
      <c r="D179" s="1121"/>
      <c r="E179" s="1015">
        <f t="shared" si="2"/>
        <v>0</v>
      </c>
      <c r="F179" s="1201"/>
      <c r="G179" s="1009"/>
    </row>
    <row r="180" spans="1:7" ht="15" customHeight="1">
      <c r="A180" s="1025"/>
      <c r="B180" s="1200"/>
      <c r="C180" s="1120"/>
      <c r="D180" s="1121"/>
      <c r="E180" s="1015">
        <f t="shared" si="2"/>
        <v>0</v>
      </c>
      <c r="F180" s="1201"/>
      <c r="G180" s="1009"/>
    </row>
    <row r="181" spans="1:7" ht="15" customHeight="1">
      <c r="A181" s="1025"/>
      <c r="B181" s="1200"/>
      <c r="C181" s="1120"/>
      <c r="D181" s="1121"/>
      <c r="E181" s="1015">
        <f t="shared" si="2"/>
        <v>0</v>
      </c>
      <c r="F181" s="1201"/>
      <c r="G181" s="1009"/>
    </row>
    <row r="182" spans="1:7" ht="15" customHeight="1">
      <c r="A182" s="1025"/>
      <c r="B182" s="1200"/>
      <c r="C182" s="1120"/>
      <c r="D182" s="1121"/>
      <c r="E182" s="1015">
        <f t="shared" si="2"/>
        <v>0</v>
      </c>
      <c r="F182" s="1201"/>
      <c r="G182" s="1009"/>
    </row>
    <row r="183" spans="1:7" ht="15" customHeight="1">
      <c r="A183" s="1025"/>
      <c r="B183" s="1200"/>
      <c r="C183" s="1120"/>
      <c r="D183" s="1121"/>
      <c r="E183" s="1015">
        <f t="shared" si="2"/>
        <v>0</v>
      </c>
      <c r="F183" s="1201"/>
      <c r="G183" s="1009"/>
    </row>
    <row r="184" spans="1:7" ht="15" customHeight="1">
      <c r="A184" s="1025"/>
      <c r="B184" s="1200"/>
      <c r="C184" s="1120"/>
      <c r="D184" s="1121"/>
      <c r="E184" s="1015">
        <f t="shared" si="2"/>
        <v>0</v>
      </c>
      <c r="F184" s="1201"/>
      <c r="G184" s="1009"/>
    </row>
    <row r="185" spans="1:7" ht="15" customHeight="1">
      <c r="A185" s="1025"/>
      <c r="B185" s="1200"/>
      <c r="C185" s="1120"/>
      <c r="D185" s="1121"/>
      <c r="E185" s="1015">
        <f t="shared" si="2"/>
        <v>0</v>
      </c>
      <c r="F185" s="1201"/>
      <c r="G185" s="1009"/>
    </row>
    <row r="186" spans="1:7" ht="15" customHeight="1">
      <c r="A186" s="1025"/>
      <c r="B186" s="1200"/>
      <c r="C186" s="1120"/>
      <c r="D186" s="1121"/>
      <c r="E186" s="1015">
        <f t="shared" si="2"/>
        <v>0</v>
      </c>
      <c r="F186" s="1201"/>
      <c r="G186" s="1009"/>
    </row>
    <row r="187" spans="1:7" ht="15" customHeight="1">
      <c r="A187" s="1025"/>
      <c r="B187" s="1200"/>
      <c r="C187" s="1120"/>
      <c r="D187" s="1121"/>
      <c r="E187" s="1015">
        <f t="shared" si="2"/>
        <v>0</v>
      </c>
      <c r="F187" s="1201"/>
      <c r="G187" s="1009"/>
    </row>
    <row r="188" spans="1:7" ht="15" customHeight="1">
      <c r="A188" s="1025"/>
      <c r="B188" s="1200"/>
      <c r="C188" s="1120"/>
      <c r="D188" s="1121"/>
      <c r="E188" s="1015">
        <f t="shared" si="2"/>
        <v>0</v>
      </c>
      <c r="F188" s="1201"/>
      <c r="G188" s="1009"/>
    </row>
    <row r="189" spans="1:7" ht="15" customHeight="1">
      <c r="A189" s="1025"/>
      <c r="B189" s="1200"/>
      <c r="C189" s="1120"/>
      <c r="D189" s="1121"/>
      <c r="E189" s="1015">
        <f t="shared" si="2"/>
        <v>0</v>
      </c>
      <c r="F189" s="1201"/>
      <c r="G189" s="1009"/>
    </row>
    <row r="190" spans="1:7" ht="15" customHeight="1">
      <c r="A190" s="1025"/>
      <c r="B190" s="1200"/>
      <c r="C190" s="1120"/>
      <c r="D190" s="1121"/>
      <c r="E190" s="1015">
        <f t="shared" si="2"/>
        <v>0</v>
      </c>
      <c r="F190" s="1201"/>
      <c r="G190" s="1009"/>
    </row>
    <row r="191" spans="1:7" ht="15" customHeight="1">
      <c r="A191" s="1025"/>
      <c r="B191" s="1200"/>
      <c r="C191" s="1120"/>
      <c r="D191" s="1121"/>
      <c r="E191" s="1015">
        <f t="shared" si="2"/>
        <v>0</v>
      </c>
      <c r="F191" s="1201"/>
      <c r="G191" s="1009"/>
    </row>
    <row r="192" spans="1:7" ht="15" customHeight="1">
      <c r="A192" s="1025"/>
      <c r="B192" s="1200"/>
      <c r="C192" s="1120"/>
      <c r="D192" s="1121"/>
      <c r="E192" s="1015">
        <f t="shared" si="2"/>
        <v>0</v>
      </c>
      <c r="F192" s="1201"/>
      <c r="G192" s="1009"/>
    </row>
    <row r="193" spans="1:7" ht="15" customHeight="1">
      <c r="A193" s="1025"/>
      <c r="B193" s="1200"/>
      <c r="C193" s="1120"/>
      <c r="D193" s="1121"/>
      <c r="E193" s="1015">
        <f t="shared" si="2"/>
        <v>0</v>
      </c>
      <c r="F193" s="1201"/>
      <c r="G193" s="1009"/>
    </row>
    <row r="194" spans="1:7" ht="15" customHeight="1">
      <c r="A194" s="1025"/>
      <c r="B194" s="1200"/>
      <c r="C194" s="1120"/>
      <c r="D194" s="1121"/>
      <c r="E194" s="1015">
        <f t="shared" si="2"/>
        <v>0</v>
      </c>
      <c r="F194" s="1201"/>
      <c r="G194" s="1009"/>
    </row>
    <row r="195" spans="1:7" ht="15" customHeight="1">
      <c r="A195" s="1025"/>
      <c r="B195" s="1200"/>
      <c r="C195" s="1120"/>
      <c r="D195" s="1121"/>
      <c r="E195" s="1015">
        <f t="shared" si="2"/>
        <v>0</v>
      </c>
      <c r="F195" s="1201"/>
      <c r="G195" s="1009"/>
    </row>
    <row r="196" spans="1:7" ht="15" customHeight="1">
      <c r="A196" s="1025"/>
      <c r="B196" s="1200"/>
      <c r="C196" s="1120"/>
      <c r="D196" s="1121"/>
      <c r="E196" s="1015">
        <f t="shared" si="2"/>
        <v>0</v>
      </c>
      <c r="F196" s="1201"/>
      <c r="G196" s="1009"/>
    </row>
    <row r="197" spans="1:7" ht="15" customHeight="1">
      <c r="A197" s="1025"/>
      <c r="B197" s="1200"/>
      <c r="C197" s="1120"/>
      <c r="D197" s="1121"/>
      <c r="E197" s="1015">
        <f t="shared" si="2"/>
        <v>0</v>
      </c>
      <c r="F197" s="1201"/>
      <c r="G197" s="1009"/>
    </row>
    <row r="198" spans="1:7" ht="15" customHeight="1">
      <c r="A198" s="1025"/>
      <c r="B198" s="1200"/>
      <c r="C198" s="1120"/>
      <c r="D198" s="1121"/>
      <c r="E198" s="1015">
        <f t="shared" si="2"/>
        <v>0</v>
      </c>
      <c r="F198" s="1201"/>
      <c r="G198" s="1009"/>
    </row>
    <row r="199" spans="1:7" ht="15" customHeight="1">
      <c r="A199" s="1025"/>
      <c r="B199" s="1200"/>
      <c r="C199" s="1120"/>
      <c r="D199" s="1121"/>
      <c r="E199" s="1015">
        <f t="shared" si="2"/>
        <v>0</v>
      </c>
      <c r="F199" s="1201"/>
      <c r="G199" s="1009"/>
    </row>
    <row r="200" spans="1:7" ht="15" customHeight="1">
      <c r="A200" s="1025"/>
      <c r="B200" s="1200"/>
      <c r="C200" s="1120"/>
      <c r="D200" s="1121"/>
      <c r="E200" s="1015">
        <f t="shared" si="2"/>
        <v>0</v>
      </c>
      <c r="F200" s="1201"/>
      <c r="G200" s="1009"/>
    </row>
    <row r="201" spans="1:7" ht="15" customHeight="1">
      <c r="A201" s="1025"/>
      <c r="B201" s="1200"/>
      <c r="C201" s="1120"/>
      <c r="D201" s="1121"/>
      <c r="E201" s="1015">
        <f t="shared" si="2"/>
        <v>0</v>
      </c>
      <c r="F201" s="1201"/>
      <c r="G201" s="1009"/>
    </row>
    <row r="202" spans="1:7" ht="15" customHeight="1">
      <c r="A202" s="1025"/>
      <c r="B202" s="1200"/>
      <c r="C202" s="1120"/>
      <c r="D202" s="1121"/>
      <c r="E202" s="1015">
        <f t="shared" si="2"/>
        <v>0</v>
      </c>
      <c r="F202" s="1201"/>
      <c r="G202" s="1009"/>
    </row>
    <row r="203" spans="1:7" ht="15" customHeight="1">
      <c r="A203" s="1025"/>
      <c r="B203" s="1200"/>
      <c r="C203" s="1120"/>
      <c r="D203" s="1121"/>
      <c r="E203" s="1015">
        <f t="shared" si="2"/>
        <v>0</v>
      </c>
      <c r="F203" s="1201"/>
      <c r="G203" s="1009"/>
    </row>
    <row r="204" spans="1:7" ht="15" customHeight="1">
      <c r="A204" s="1025"/>
      <c r="B204" s="1200"/>
      <c r="C204" s="1120"/>
      <c r="D204" s="1121"/>
      <c r="E204" s="1015">
        <f t="shared" si="2"/>
        <v>0</v>
      </c>
      <c r="F204" s="1201"/>
      <c r="G204" s="1009"/>
    </row>
    <row r="205" spans="1:7" ht="15" customHeight="1">
      <c r="A205" s="1025"/>
      <c r="B205" s="1200"/>
      <c r="C205" s="1120"/>
      <c r="D205" s="1121"/>
      <c r="E205" s="1015">
        <f t="shared" si="2"/>
        <v>0</v>
      </c>
      <c r="F205" s="1201"/>
      <c r="G205" s="1009"/>
    </row>
    <row r="206" spans="1:7" ht="15" customHeight="1">
      <c r="A206" s="1025"/>
      <c r="B206" s="1200"/>
      <c r="C206" s="1120"/>
      <c r="D206" s="1121"/>
      <c r="E206" s="1015">
        <f t="shared" si="2"/>
        <v>0</v>
      </c>
      <c r="F206" s="1201"/>
      <c r="G206" s="1009"/>
    </row>
    <row r="207" spans="1:7" ht="15" customHeight="1">
      <c r="A207" s="1025"/>
      <c r="B207" s="1200"/>
      <c r="C207" s="1120"/>
      <c r="D207" s="1121"/>
      <c r="E207" s="1015">
        <f t="shared" si="2"/>
        <v>0</v>
      </c>
      <c r="F207" s="1201"/>
      <c r="G207" s="1009"/>
    </row>
    <row r="208" spans="1:7" ht="15" customHeight="1">
      <c r="A208" s="1025"/>
      <c r="B208" s="1200"/>
      <c r="C208" s="1120"/>
      <c r="D208" s="1121"/>
      <c r="E208" s="1015">
        <f t="shared" si="2"/>
        <v>0</v>
      </c>
      <c r="F208" s="1201"/>
      <c r="G208" s="1009"/>
    </row>
    <row r="209" spans="1:7" ht="15" customHeight="1">
      <c r="A209" s="1025"/>
      <c r="B209" s="1200"/>
      <c r="C209" s="1120"/>
      <c r="D209" s="1121"/>
      <c r="E209" s="1015">
        <f t="shared" ref="E209:E272" si="3">B209-C209+D209</f>
        <v>0</v>
      </c>
      <c r="F209" s="1201"/>
      <c r="G209" s="1009"/>
    </row>
    <row r="210" spans="1:7" ht="15" customHeight="1">
      <c r="A210" s="1025"/>
      <c r="B210" s="1200"/>
      <c r="C210" s="1120"/>
      <c r="D210" s="1121"/>
      <c r="E210" s="1015">
        <f t="shared" si="3"/>
        <v>0</v>
      </c>
      <c r="F210" s="1201"/>
      <c r="G210" s="1009"/>
    </row>
    <row r="211" spans="1:7" ht="15" customHeight="1">
      <c r="A211" s="1025"/>
      <c r="B211" s="1200"/>
      <c r="C211" s="1120"/>
      <c r="D211" s="1121"/>
      <c r="E211" s="1015">
        <f t="shared" si="3"/>
        <v>0</v>
      </c>
      <c r="F211" s="1201"/>
      <c r="G211" s="1009"/>
    </row>
    <row r="212" spans="1:7" ht="15" customHeight="1">
      <c r="A212" s="1025"/>
      <c r="B212" s="1200"/>
      <c r="C212" s="1120"/>
      <c r="D212" s="1121"/>
      <c r="E212" s="1015">
        <f t="shared" si="3"/>
        <v>0</v>
      </c>
      <c r="F212" s="1201"/>
      <c r="G212" s="1009"/>
    </row>
    <row r="213" spans="1:7" ht="15" customHeight="1">
      <c r="A213" s="1025"/>
      <c r="B213" s="1200"/>
      <c r="C213" s="1120"/>
      <c r="D213" s="1121"/>
      <c r="E213" s="1015">
        <f t="shared" si="3"/>
        <v>0</v>
      </c>
      <c r="F213" s="1201"/>
      <c r="G213" s="1009"/>
    </row>
    <row r="214" spans="1:7" ht="15" customHeight="1">
      <c r="A214" s="1025"/>
      <c r="B214" s="1200"/>
      <c r="C214" s="1120"/>
      <c r="D214" s="1121"/>
      <c r="E214" s="1015">
        <f t="shared" si="3"/>
        <v>0</v>
      </c>
      <c r="F214" s="1201"/>
      <c r="G214" s="1009"/>
    </row>
    <row r="215" spans="1:7" ht="15" customHeight="1">
      <c r="A215" s="1025"/>
      <c r="B215" s="1200"/>
      <c r="C215" s="1120"/>
      <c r="D215" s="1121"/>
      <c r="E215" s="1015">
        <f t="shared" si="3"/>
        <v>0</v>
      </c>
      <c r="F215" s="1201"/>
      <c r="G215" s="1009"/>
    </row>
    <row r="216" spans="1:7" ht="15" customHeight="1">
      <c r="A216" s="1025"/>
      <c r="B216" s="1200"/>
      <c r="C216" s="1120"/>
      <c r="D216" s="1121"/>
      <c r="E216" s="1015">
        <f t="shared" si="3"/>
        <v>0</v>
      </c>
      <c r="F216" s="1201"/>
      <c r="G216" s="1009"/>
    </row>
    <row r="217" spans="1:7" ht="15" customHeight="1">
      <c r="A217" s="1025"/>
      <c r="B217" s="1200"/>
      <c r="C217" s="1120"/>
      <c r="D217" s="1121"/>
      <c r="E217" s="1015">
        <f t="shared" si="3"/>
        <v>0</v>
      </c>
      <c r="F217" s="1201"/>
      <c r="G217" s="1009"/>
    </row>
    <row r="218" spans="1:7" ht="15" customHeight="1">
      <c r="A218" s="1025"/>
      <c r="B218" s="1200"/>
      <c r="C218" s="1120"/>
      <c r="D218" s="1121"/>
      <c r="E218" s="1015">
        <f t="shared" si="3"/>
        <v>0</v>
      </c>
      <c r="F218" s="1201"/>
      <c r="G218" s="1009"/>
    </row>
    <row r="219" spans="1:7" ht="15" customHeight="1">
      <c r="A219" s="1025"/>
      <c r="B219" s="1200"/>
      <c r="C219" s="1120"/>
      <c r="D219" s="1121"/>
      <c r="E219" s="1015">
        <f t="shared" si="3"/>
        <v>0</v>
      </c>
      <c r="F219" s="1201"/>
      <c r="G219" s="1009"/>
    </row>
    <row r="220" spans="1:7" ht="15" customHeight="1">
      <c r="A220" s="1025"/>
      <c r="B220" s="1200"/>
      <c r="C220" s="1120"/>
      <c r="D220" s="1121"/>
      <c r="E220" s="1015">
        <f t="shared" si="3"/>
        <v>0</v>
      </c>
      <c r="F220" s="1201"/>
      <c r="G220" s="1009"/>
    </row>
    <row r="221" spans="1:7" ht="15" customHeight="1">
      <c r="A221" s="1025"/>
      <c r="B221" s="1200"/>
      <c r="C221" s="1120"/>
      <c r="D221" s="1121"/>
      <c r="E221" s="1015">
        <f t="shared" si="3"/>
        <v>0</v>
      </c>
      <c r="F221" s="1201"/>
      <c r="G221" s="1009"/>
    </row>
    <row r="222" spans="1:7" ht="15" customHeight="1">
      <c r="A222" s="1025"/>
      <c r="B222" s="1200"/>
      <c r="C222" s="1120"/>
      <c r="D222" s="1121"/>
      <c r="E222" s="1015">
        <f t="shared" si="3"/>
        <v>0</v>
      </c>
      <c r="F222" s="1201"/>
      <c r="G222" s="1009"/>
    </row>
    <row r="223" spans="1:7" ht="15" customHeight="1">
      <c r="A223" s="1025"/>
      <c r="B223" s="1200"/>
      <c r="C223" s="1120"/>
      <c r="D223" s="1121"/>
      <c r="E223" s="1015">
        <f t="shared" si="3"/>
        <v>0</v>
      </c>
      <c r="F223" s="1201"/>
      <c r="G223" s="1009"/>
    </row>
    <row r="224" spans="1:7" ht="15" customHeight="1">
      <c r="A224" s="1025"/>
      <c r="B224" s="1200"/>
      <c r="C224" s="1120"/>
      <c r="D224" s="1121"/>
      <c r="E224" s="1015">
        <f t="shared" si="3"/>
        <v>0</v>
      </c>
      <c r="F224" s="1201"/>
      <c r="G224" s="1009"/>
    </row>
    <row r="225" spans="1:7" ht="15" customHeight="1">
      <c r="A225" s="1025"/>
      <c r="B225" s="1200"/>
      <c r="C225" s="1120"/>
      <c r="D225" s="1121"/>
      <c r="E225" s="1015">
        <f t="shared" si="3"/>
        <v>0</v>
      </c>
      <c r="F225" s="1201"/>
      <c r="G225" s="1009"/>
    </row>
    <row r="226" spans="1:7" ht="15" customHeight="1">
      <c r="A226" s="1025"/>
      <c r="B226" s="1200"/>
      <c r="C226" s="1120"/>
      <c r="D226" s="1121"/>
      <c r="E226" s="1015">
        <f t="shared" si="3"/>
        <v>0</v>
      </c>
      <c r="F226" s="1201"/>
      <c r="G226" s="1009"/>
    </row>
    <row r="227" spans="1:7" ht="15" customHeight="1">
      <c r="A227" s="1025"/>
      <c r="B227" s="1200"/>
      <c r="C227" s="1120"/>
      <c r="D227" s="1121"/>
      <c r="E227" s="1015">
        <f t="shared" si="3"/>
        <v>0</v>
      </c>
      <c r="F227" s="1201"/>
      <c r="G227" s="1009"/>
    </row>
    <row r="228" spans="1:7" ht="15" customHeight="1">
      <c r="A228" s="1025"/>
      <c r="B228" s="1200"/>
      <c r="C228" s="1120"/>
      <c r="D228" s="1121"/>
      <c r="E228" s="1015">
        <f t="shared" si="3"/>
        <v>0</v>
      </c>
      <c r="F228" s="1201"/>
      <c r="G228" s="1009"/>
    </row>
    <row r="229" spans="1:7" ht="15" customHeight="1">
      <c r="A229" s="1025"/>
      <c r="B229" s="1200"/>
      <c r="C229" s="1120"/>
      <c r="D229" s="1121"/>
      <c r="E229" s="1015">
        <f t="shared" si="3"/>
        <v>0</v>
      </c>
      <c r="F229" s="1201"/>
      <c r="G229" s="1009"/>
    </row>
    <row r="230" spans="1:7" ht="15" customHeight="1">
      <c r="A230" s="1025"/>
      <c r="B230" s="1200"/>
      <c r="C230" s="1120"/>
      <c r="D230" s="1121"/>
      <c r="E230" s="1015">
        <f t="shared" si="3"/>
        <v>0</v>
      </c>
      <c r="F230" s="1201"/>
      <c r="G230" s="1009"/>
    </row>
    <row r="231" spans="1:7" ht="15" customHeight="1">
      <c r="A231" s="1025"/>
      <c r="B231" s="1200"/>
      <c r="C231" s="1120"/>
      <c r="D231" s="1121"/>
      <c r="E231" s="1015">
        <f t="shared" si="3"/>
        <v>0</v>
      </c>
      <c r="F231" s="1201"/>
      <c r="G231" s="1009"/>
    </row>
    <row r="232" spans="1:7" ht="15" customHeight="1">
      <c r="A232" s="1025"/>
      <c r="B232" s="1200"/>
      <c r="C232" s="1120"/>
      <c r="D232" s="1121"/>
      <c r="E232" s="1015">
        <f t="shared" si="3"/>
        <v>0</v>
      </c>
      <c r="F232" s="1201"/>
      <c r="G232" s="1009"/>
    </row>
    <row r="233" spans="1:7" ht="15" customHeight="1">
      <c r="A233" s="1025"/>
      <c r="B233" s="1200"/>
      <c r="C233" s="1120"/>
      <c r="D233" s="1121"/>
      <c r="E233" s="1015">
        <f t="shared" si="3"/>
        <v>0</v>
      </c>
      <c r="F233" s="1201"/>
      <c r="G233" s="1009"/>
    </row>
    <row r="234" spans="1:7" ht="15" customHeight="1">
      <c r="A234" s="1025"/>
      <c r="B234" s="1200"/>
      <c r="C234" s="1120"/>
      <c r="D234" s="1121"/>
      <c r="E234" s="1015">
        <f t="shared" si="3"/>
        <v>0</v>
      </c>
      <c r="F234" s="1201"/>
      <c r="G234" s="1009"/>
    </row>
    <row r="235" spans="1:7" ht="15" customHeight="1">
      <c r="A235" s="1025"/>
      <c r="B235" s="1200"/>
      <c r="C235" s="1120"/>
      <c r="D235" s="1121"/>
      <c r="E235" s="1015">
        <f t="shared" si="3"/>
        <v>0</v>
      </c>
      <c r="F235" s="1201"/>
      <c r="G235" s="1009"/>
    </row>
    <row r="236" spans="1:7" ht="15" customHeight="1">
      <c r="A236" s="1025"/>
      <c r="B236" s="1200"/>
      <c r="C236" s="1120"/>
      <c r="D236" s="1121"/>
      <c r="E236" s="1015">
        <f t="shared" si="3"/>
        <v>0</v>
      </c>
      <c r="F236" s="1201"/>
      <c r="G236" s="1009"/>
    </row>
    <row r="237" spans="1:7" ht="15" customHeight="1">
      <c r="A237" s="1025"/>
      <c r="B237" s="1200"/>
      <c r="C237" s="1120"/>
      <c r="D237" s="1121"/>
      <c r="E237" s="1015">
        <f t="shared" si="3"/>
        <v>0</v>
      </c>
      <c r="F237" s="1201"/>
      <c r="G237" s="1009"/>
    </row>
    <row r="238" spans="1:7" ht="15" customHeight="1">
      <c r="A238" s="1025"/>
      <c r="B238" s="1200"/>
      <c r="C238" s="1120"/>
      <c r="D238" s="1121"/>
      <c r="E238" s="1015">
        <f t="shared" si="3"/>
        <v>0</v>
      </c>
      <c r="F238" s="1201"/>
      <c r="G238" s="1009"/>
    </row>
    <row r="239" spans="1:7" ht="15" customHeight="1">
      <c r="A239" s="1025"/>
      <c r="B239" s="1200"/>
      <c r="C239" s="1120"/>
      <c r="D239" s="1121"/>
      <c r="E239" s="1015">
        <f t="shared" si="3"/>
        <v>0</v>
      </c>
      <c r="F239" s="1201"/>
      <c r="G239" s="1009"/>
    </row>
    <row r="240" spans="1:7" ht="15" customHeight="1">
      <c r="A240" s="1025"/>
      <c r="B240" s="1200"/>
      <c r="C240" s="1120"/>
      <c r="D240" s="1121"/>
      <c r="E240" s="1015">
        <f t="shared" si="3"/>
        <v>0</v>
      </c>
      <c r="F240" s="1201"/>
      <c r="G240" s="1009"/>
    </row>
    <row r="241" spans="1:7" ht="15" customHeight="1">
      <c r="A241" s="1025"/>
      <c r="B241" s="1200"/>
      <c r="C241" s="1120"/>
      <c r="D241" s="1121"/>
      <c r="E241" s="1015">
        <f t="shared" si="3"/>
        <v>0</v>
      </c>
      <c r="F241" s="1201"/>
      <c r="G241" s="1009"/>
    </row>
    <row r="242" spans="1:7" ht="15" customHeight="1">
      <c r="A242" s="1025"/>
      <c r="B242" s="1200"/>
      <c r="C242" s="1120"/>
      <c r="D242" s="1121"/>
      <c r="E242" s="1015">
        <f t="shared" si="3"/>
        <v>0</v>
      </c>
      <c r="F242" s="1201"/>
      <c r="G242" s="1009"/>
    </row>
    <row r="243" spans="1:7" ht="15" customHeight="1">
      <c r="A243" s="1025"/>
      <c r="B243" s="1200"/>
      <c r="C243" s="1120"/>
      <c r="D243" s="1121"/>
      <c r="E243" s="1015">
        <f t="shared" si="3"/>
        <v>0</v>
      </c>
      <c r="F243" s="1201"/>
      <c r="G243" s="1009"/>
    </row>
    <row r="244" spans="1:7" ht="15" customHeight="1">
      <c r="A244" s="1025"/>
      <c r="B244" s="1200"/>
      <c r="C244" s="1120"/>
      <c r="D244" s="1121"/>
      <c r="E244" s="1015">
        <f t="shared" si="3"/>
        <v>0</v>
      </c>
      <c r="F244" s="1201"/>
      <c r="G244" s="1009"/>
    </row>
    <row r="245" spans="1:7" ht="15" customHeight="1">
      <c r="A245" s="1025"/>
      <c r="B245" s="1200"/>
      <c r="C245" s="1120"/>
      <c r="D245" s="1121"/>
      <c r="E245" s="1015">
        <f t="shared" si="3"/>
        <v>0</v>
      </c>
      <c r="F245" s="1201"/>
      <c r="G245" s="1009"/>
    </row>
    <row r="246" spans="1:7" ht="15" customHeight="1">
      <c r="A246" s="1025"/>
      <c r="B246" s="1200"/>
      <c r="C246" s="1120"/>
      <c r="D246" s="1121"/>
      <c r="E246" s="1015">
        <f t="shared" si="3"/>
        <v>0</v>
      </c>
      <c r="F246" s="1201"/>
      <c r="G246" s="1009"/>
    </row>
    <row r="247" spans="1:7" ht="15" customHeight="1">
      <c r="A247" s="1025"/>
      <c r="B247" s="1200"/>
      <c r="C247" s="1120"/>
      <c r="D247" s="1121"/>
      <c r="E247" s="1015">
        <f t="shared" si="3"/>
        <v>0</v>
      </c>
      <c r="F247" s="1201"/>
      <c r="G247" s="1009"/>
    </row>
    <row r="248" spans="1:7" ht="15" customHeight="1">
      <c r="A248" s="1025"/>
      <c r="B248" s="1200"/>
      <c r="C248" s="1120"/>
      <c r="D248" s="1121"/>
      <c r="E248" s="1015">
        <f t="shared" si="3"/>
        <v>0</v>
      </c>
      <c r="F248" s="1201"/>
      <c r="G248" s="1009"/>
    </row>
    <row r="249" spans="1:7" ht="15" customHeight="1">
      <c r="A249" s="1025"/>
      <c r="B249" s="1200"/>
      <c r="C249" s="1120"/>
      <c r="D249" s="1121"/>
      <c r="E249" s="1015">
        <f t="shared" si="3"/>
        <v>0</v>
      </c>
      <c r="F249" s="1201"/>
      <c r="G249" s="1009"/>
    </row>
    <row r="250" spans="1:7" ht="15" customHeight="1">
      <c r="A250" s="1025"/>
      <c r="B250" s="1200"/>
      <c r="C250" s="1120"/>
      <c r="D250" s="1121"/>
      <c r="E250" s="1015">
        <f t="shared" si="3"/>
        <v>0</v>
      </c>
      <c r="F250" s="1201"/>
      <c r="G250" s="1009"/>
    </row>
    <row r="251" spans="1:7" ht="15" customHeight="1">
      <c r="A251" s="1025"/>
      <c r="B251" s="1200"/>
      <c r="C251" s="1120"/>
      <c r="D251" s="1121"/>
      <c r="E251" s="1015">
        <f t="shared" si="3"/>
        <v>0</v>
      </c>
      <c r="F251" s="1201"/>
      <c r="G251" s="1009"/>
    </row>
    <row r="252" spans="1:7" ht="15" customHeight="1">
      <c r="A252" s="1025"/>
      <c r="B252" s="1200"/>
      <c r="C252" s="1120"/>
      <c r="D252" s="1121"/>
      <c r="E252" s="1015">
        <f t="shared" si="3"/>
        <v>0</v>
      </c>
      <c r="F252" s="1201"/>
      <c r="G252" s="1009"/>
    </row>
    <row r="253" spans="1:7" ht="15" customHeight="1">
      <c r="A253" s="1025"/>
      <c r="B253" s="1200"/>
      <c r="C253" s="1120"/>
      <c r="D253" s="1121"/>
      <c r="E253" s="1015">
        <f t="shared" si="3"/>
        <v>0</v>
      </c>
      <c r="F253" s="1201"/>
      <c r="G253" s="1009"/>
    </row>
    <row r="254" spans="1:7" ht="15" customHeight="1">
      <c r="A254" s="1025"/>
      <c r="B254" s="1200"/>
      <c r="C254" s="1120"/>
      <c r="D254" s="1121"/>
      <c r="E254" s="1015">
        <f t="shared" si="3"/>
        <v>0</v>
      </c>
      <c r="F254" s="1201"/>
      <c r="G254" s="1009"/>
    </row>
    <row r="255" spans="1:7" ht="15" customHeight="1">
      <c r="A255" s="1025"/>
      <c r="B255" s="1200"/>
      <c r="C255" s="1120"/>
      <c r="D255" s="1121"/>
      <c r="E255" s="1015">
        <f t="shared" si="3"/>
        <v>0</v>
      </c>
      <c r="F255" s="1201"/>
      <c r="G255" s="1009"/>
    </row>
    <row r="256" spans="1:7" ht="15" customHeight="1">
      <c r="A256" s="1025"/>
      <c r="B256" s="1200"/>
      <c r="C256" s="1120"/>
      <c r="D256" s="1121"/>
      <c r="E256" s="1015">
        <f t="shared" si="3"/>
        <v>0</v>
      </c>
      <c r="F256" s="1201"/>
      <c r="G256" s="1009"/>
    </row>
    <row r="257" spans="1:7" ht="15" customHeight="1">
      <c r="A257" s="1025"/>
      <c r="B257" s="1200"/>
      <c r="C257" s="1120"/>
      <c r="D257" s="1121"/>
      <c r="E257" s="1015">
        <f t="shared" si="3"/>
        <v>0</v>
      </c>
      <c r="F257" s="1201"/>
      <c r="G257" s="1009"/>
    </row>
    <row r="258" spans="1:7" ht="15" customHeight="1">
      <c r="A258" s="1025"/>
      <c r="B258" s="1200"/>
      <c r="C258" s="1120"/>
      <c r="D258" s="1121"/>
      <c r="E258" s="1015">
        <f t="shared" si="3"/>
        <v>0</v>
      </c>
      <c r="F258" s="1201"/>
      <c r="G258" s="1009"/>
    </row>
    <row r="259" spans="1:7" ht="15" customHeight="1">
      <c r="A259" s="1025"/>
      <c r="B259" s="1200"/>
      <c r="C259" s="1120"/>
      <c r="D259" s="1121"/>
      <c r="E259" s="1015">
        <f t="shared" si="3"/>
        <v>0</v>
      </c>
      <c r="F259" s="1201"/>
      <c r="G259" s="1009"/>
    </row>
    <row r="260" spans="1:7" ht="15" customHeight="1">
      <c r="A260" s="1025"/>
      <c r="B260" s="1200"/>
      <c r="C260" s="1120"/>
      <c r="D260" s="1121"/>
      <c r="E260" s="1015">
        <f t="shared" si="3"/>
        <v>0</v>
      </c>
      <c r="F260" s="1201"/>
      <c r="G260" s="1009"/>
    </row>
    <row r="261" spans="1:7" ht="15" customHeight="1">
      <c r="A261" s="1025"/>
      <c r="B261" s="1200"/>
      <c r="C261" s="1120"/>
      <c r="D261" s="1121"/>
      <c r="E261" s="1015">
        <f t="shared" si="3"/>
        <v>0</v>
      </c>
      <c r="F261" s="1201"/>
      <c r="G261" s="1009"/>
    </row>
    <row r="262" spans="1:7" ht="15" customHeight="1">
      <c r="A262" s="1025"/>
      <c r="B262" s="1200"/>
      <c r="C262" s="1120"/>
      <c r="D262" s="1121"/>
      <c r="E262" s="1015">
        <f t="shared" si="3"/>
        <v>0</v>
      </c>
      <c r="F262" s="1201"/>
      <c r="G262" s="1009"/>
    </row>
    <row r="263" spans="1:7" ht="15" customHeight="1">
      <c r="A263" s="1025"/>
      <c r="B263" s="1200"/>
      <c r="C263" s="1120"/>
      <c r="D263" s="1121"/>
      <c r="E263" s="1015">
        <f t="shared" si="3"/>
        <v>0</v>
      </c>
      <c r="F263" s="1201"/>
      <c r="G263" s="1009"/>
    </row>
    <row r="264" spans="1:7" ht="15" customHeight="1">
      <c r="A264" s="1025"/>
      <c r="B264" s="1200"/>
      <c r="C264" s="1120"/>
      <c r="D264" s="1121"/>
      <c r="E264" s="1015">
        <f t="shared" si="3"/>
        <v>0</v>
      </c>
      <c r="F264" s="1201"/>
      <c r="G264" s="1009"/>
    </row>
    <row r="265" spans="1:7" ht="15" customHeight="1">
      <c r="A265" s="1025"/>
      <c r="B265" s="1200"/>
      <c r="C265" s="1120"/>
      <c r="D265" s="1121"/>
      <c r="E265" s="1015">
        <f t="shared" si="3"/>
        <v>0</v>
      </c>
      <c r="F265" s="1201"/>
      <c r="G265" s="1009"/>
    </row>
    <row r="266" spans="1:7" ht="15" customHeight="1">
      <c r="A266" s="1025"/>
      <c r="B266" s="1200"/>
      <c r="C266" s="1120"/>
      <c r="D266" s="1121"/>
      <c r="E266" s="1015">
        <f t="shared" si="3"/>
        <v>0</v>
      </c>
      <c r="F266" s="1201"/>
      <c r="G266" s="1009"/>
    </row>
    <row r="267" spans="1:7" ht="15" customHeight="1">
      <c r="A267" s="1025"/>
      <c r="B267" s="1200"/>
      <c r="C267" s="1120"/>
      <c r="D267" s="1121"/>
      <c r="E267" s="1015">
        <f t="shared" si="3"/>
        <v>0</v>
      </c>
      <c r="F267" s="1201"/>
      <c r="G267" s="1009"/>
    </row>
    <row r="268" spans="1:7" ht="15" customHeight="1">
      <c r="A268" s="1025"/>
      <c r="B268" s="1200"/>
      <c r="C268" s="1120"/>
      <c r="D268" s="1121"/>
      <c r="E268" s="1015">
        <f t="shared" si="3"/>
        <v>0</v>
      </c>
      <c r="F268" s="1201"/>
      <c r="G268" s="1009"/>
    </row>
    <row r="269" spans="1:7" ht="15" customHeight="1">
      <c r="A269" s="1025"/>
      <c r="B269" s="1200"/>
      <c r="C269" s="1120"/>
      <c r="D269" s="1121"/>
      <c r="E269" s="1015">
        <f t="shared" si="3"/>
        <v>0</v>
      </c>
      <c r="F269" s="1201"/>
      <c r="G269" s="1009"/>
    </row>
    <row r="270" spans="1:7" ht="15" customHeight="1">
      <c r="A270" s="1025"/>
      <c r="B270" s="1200"/>
      <c r="C270" s="1120"/>
      <c r="D270" s="1121"/>
      <c r="E270" s="1015">
        <f t="shared" si="3"/>
        <v>0</v>
      </c>
      <c r="F270" s="1201"/>
      <c r="G270" s="1009"/>
    </row>
    <row r="271" spans="1:7" ht="15" customHeight="1">
      <c r="A271" s="1025"/>
      <c r="B271" s="1200"/>
      <c r="C271" s="1120"/>
      <c r="D271" s="1121"/>
      <c r="E271" s="1015">
        <f t="shared" si="3"/>
        <v>0</v>
      </c>
      <c r="F271" s="1201"/>
      <c r="G271" s="1009"/>
    </row>
    <row r="272" spans="1:7" ht="15" customHeight="1">
      <c r="A272" s="1025"/>
      <c r="B272" s="1200"/>
      <c r="C272" s="1120"/>
      <c r="D272" s="1121"/>
      <c r="E272" s="1015">
        <f t="shared" si="3"/>
        <v>0</v>
      </c>
      <c r="F272" s="1201"/>
      <c r="G272" s="1009"/>
    </row>
    <row r="273" spans="1:7" ht="15" customHeight="1">
      <c r="A273" s="1025"/>
      <c r="B273" s="1200"/>
      <c r="C273" s="1120"/>
      <c r="D273" s="1121"/>
      <c r="E273" s="1015">
        <f t="shared" ref="E273:E304" si="4">B273-C273+D273</f>
        <v>0</v>
      </c>
      <c r="F273" s="1201"/>
      <c r="G273" s="1009"/>
    </row>
    <row r="274" spans="1:7" ht="15" customHeight="1">
      <c r="A274" s="1025"/>
      <c r="B274" s="1200"/>
      <c r="C274" s="1120"/>
      <c r="D274" s="1121"/>
      <c r="E274" s="1015">
        <f t="shared" si="4"/>
        <v>0</v>
      </c>
      <c r="F274" s="1201"/>
      <c r="G274" s="1009"/>
    </row>
    <row r="275" spans="1:7" ht="15" customHeight="1">
      <c r="A275" s="1025"/>
      <c r="B275" s="1200"/>
      <c r="C275" s="1120"/>
      <c r="D275" s="1121"/>
      <c r="E275" s="1015">
        <f t="shared" si="4"/>
        <v>0</v>
      </c>
      <c r="F275" s="1201"/>
      <c r="G275" s="1009"/>
    </row>
    <row r="276" spans="1:7" ht="15" customHeight="1">
      <c r="A276" s="1025"/>
      <c r="B276" s="1200"/>
      <c r="C276" s="1120"/>
      <c r="D276" s="1121"/>
      <c r="E276" s="1015">
        <f t="shared" si="4"/>
        <v>0</v>
      </c>
      <c r="F276" s="1201"/>
      <c r="G276" s="1009"/>
    </row>
    <row r="277" spans="1:7" ht="15" customHeight="1">
      <c r="A277" s="1025"/>
      <c r="B277" s="1200"/>
      <c r="C277" s="1120"/>
      <c r="D277" s="1121"/>
      <c r="E277" s="1015">
        <f t="shared" si="4"/>
        <v>0</v>
      </c>
      <c r="F277" s="1201"/>
      <c r="G277" s="1009"/>
    </row>
    <row r="278" spans="1:7" ht="15" customHeight="1">
      <c r="A278" s="1025"/>
      <c r="B278" s="1200"/>
      <c r="C278" s="1120"/>
      <c r="D278" s="1121"/>
      <c r="E278" s="1015">
        <f t="shared" si="4"/>
        <v>0</v>
      </c>
      <c r="F278" s="1201"/>
      <c r="G278" s="1009"/>
    </row>
    <row r="279" spans="1:7" ht="15" customHeight="1">
      <c r="A279" s="1025"/>
      <c r="B279" s="1200"/>
      <c r="C279" s="1120"/>
      <c r="D279" s="1121"/>
      <c r="E279" s="1015">
        <f t="shared" si="4"/>
        <v>0</v>
      </c>
      <c r="F279" s="1201"/>
      <c r="G279" s="1009"/>
    </row>
    <row r="280" spans="1:7" ht="15" customHeight="1">
      <c r="A280" s="1025"/>
      <c r="B280" s="1200"/>
      <c r="C280" s="1120"/>
      <c r="D280" s="1121"/>
      <c r="E280" s="1015">
        <f t="shared" si="4"/>
        <v>0</v>
      </c>
      <c r="F280" s="1201"/>
      <c r="G280" s="1009"/>
    </row>
    <row r="281" spans="1:7" ht="15" customHeight="1">
      <c r="A281" s="1025"/>
      <c r="B281" s="1200"/>
      <c r="C281" s="1120"/>
      <c r="D281" s="1121"/>
      <c r="E281" s="1015">
        <f t="shared" si="4"/>
        <v>0</v>
      </c>
      <c r="F281" s="1201"/>
      <c r="G281" s="1009"/>
    </row>
    <row r="282" spans="1:7" ht="15" customHeight="1">
      <c r="A282" s="1025"/>
      <c r="B282" s="1200"/>
      <c r="C282" s="1120"/>
      <c r="D282" s="1121"/>
      <c r="E282" s="1015">
        <f t="shared" si="4"/>
        <v>0</v>
      </c>
      <c r="F282" s="1201"/>
      <c r="G282" s="1009"/>
    </row>
    <row r="283" spans="1:7" ht="15" customHeight="1">
      <c r="A283" s="1025"/>
      <c r="B283" s="1200"/>
      <c r="C283" s="1120"/>
      <c r="D283" s="1121"/>
      <c r="E283" s="1015">
        <f t="shared" si="4"/>
        <v>0</v>
      </c>
      <c r="F283" s="1201"/>
      <c r="G283" s="1009"/>
    </row>
    <row r="284" spans="1:7" ht="15" customHeight="1">
      <c r="A284" s="1025"/>
      <c r="B284" s="1200"/>
      <c r="C284" s="1120"/>
      <c r="D284" s="1121"/>
      <c r="E284" s="1015">
        <f t="shared" si="4"/>
        <v>0</v>
      </c>
      <c r="F284" s="1201"/>
      <c r="G284" s="1009"/>
    </row>
    <row r="285" spans="1:7" ht="15" customHeight="1">
      <c r="A285" s="1025"/>
      <c r="B285" s="1200"/>
      <c r="C285" s="1120"/>
      <c r="D285" s="1121"/>
      <c r="E285" s="1015">
        <f t="shared" si="4"/>
        <v>0</v>
      </c>
      <c r="F285" s="1201"/>
      <c r="G285" s="1009"/>
    </row>
    <row r="286" spans="1:7" ht="15" customHeight="1">
      <c r="A286" s="1025"/>
      <c r="B286" s="1200"/>
      <c r="C286" s="1120"/>
      <c r="D286" s="1121"/>
      <c r="E286" s="1015">
        <f t="shared" si="4"/>
        <v>0</v>
      </c>
      <c r="F286" s="1201"/>
      <c r="G286" s="1009"/>
    </row>
    <row r="287" spans="1:7" ht="15" customHeight="1">
      <c r="A287" s="1025"/>
      <c r="B287" s="1200"/>
      <c r="C287" s="1120"/>
      <c r="D287" s="1121"/>
      <c r="E287" s="1015">
        <f t="shared" si="4"/>
        <v>0</v>
      </c>
      <c r="F287" s="1201"/>
      <c r="G287" s="1009"/>
    </row>
    <row r="288" spans="1:7" ht="15" customHeight="1">
      <c r="A288" s="1025"/>
      <c r="B288" s="1200"/>
      <c r="C288" s="1120"/>
      <c r="D288" s="1121"/>
      <c r="E288" s="1015">
        <f t="shared" si="4"/>
        <v>0</v>
      </c>
      <c r="F288" s="1201"/>
      <c r="G288" s="1009"/>
    </row>
    <row r="289" spans="1:7" ht="15" customHeight="1">
      <c r="A289" s="1025"/>
      <c r="B289" s="1200"/>
      <c r="C289" s="1120"/>
      <c r="D289" s="1121"/>
      <c r="E289" s="1015">
        <f t="shared" si="4"/>
        <v>0</v>
      </c>
      <c r="F289" s="1201"/>
      <c r="G289" s="1009"/>
    </row>
    <row r="290" spans="1:7" ht="15" customHeight="1">
      <c r="A290" s="1025"/>
      <c r="B290" s="1200"/>
      <c r="C290" s="1120"/>
      <c r="D290" s="1121"/>
      <c r="E290" s="1015">
        <f t="shared" si="4"/>
        <v>0</v>
      </c>
      <c r="F290" s="1201"/>
      <c r="G290" s="1009"/>
    </row>
    <row r="291" spans="1:7" ht="15" customHeight="1">
      <c r="A291" s="1025"/>
      <c r="B291" s="1200"/>
      <c r="C291" s="1120"/>
      <c r="D291" s="1121"/>
      <c r="E291" s="1015">
        <f t="shared" si="4"/>
        <v>0</v>
      </c>
      <c r="F291" s="1201"/>
      <c r="G291" s="1009"/>
    </row>
    <row r="292" spans="1:7" ht="15" customHeight="1">
      <c r="A292" s="1025"/>
      <c r="B292" s="1200"/>
      <c r="C292" s="1120"/>
      <c r="D292" s="1121"/>
      <c r="E292" s="1015">
        <f t="shared" si="4"/>
        <v>0</v>
      </c>
      <c r="F292" s="1201"/>
      <c r="G292" s="1009"/>
    </row>
    <row r="293" spans="1:7" ht="15" customHeight="1">
      <c r="A293" s="1025"/>
      <c r="B293" s="1200"/>
      <c r="C293" s="1120"/>
      <c r="D293" s="1121"/>
      <c r="E293" s="1015">
        <f t="shared" si="4"/>
        <v>0</v>
      </c>
      <c r="F293" s="1201"/>
      <c r="G293" s="1009"/>
    </row>
    <row r="294" spans="1:7" ht="15" customHeight="1">
      <c r="A294" s="1025"/>
      <c r="B294" s="1200"/>
      <c r="C294" s="1120"/>
      <c r="D294" s="1121"/>
      <c r="E294" s="1015">
        <f t="shared" si="4"/>
        <v>0</v>
      </c>
      <c r="F294" s="1201"/>
      <c r="G294" s="1009"/>
    </row>
    <row r="295" spans="1:7" ht="15" customHeight="1">
      <c r="A295" s="1025"/>
      <c r="B295" s="1200"/>
      <c r="C295" s="1120"/>
      <c r="D295" s="1121"/>
      <c r="E295" s="1015">
        <f t="shared" si="4"/>
        <v>0</v>
      </c>
      <c r="F295" s="1201"/>
      <c r="G295" s="1009"/>
    </row>
    <row r="296" spans="1:7" ht="15" customHeight="1">
      <c r="A296" s="1025"/>
      <c r="B296" s="1200"/>
      <c r="C296" s="1120"/>
      <c r="D296" s="1121"/>
      <c r="E296" s="1015">
        <f t="shared" si="4"/>
        <v>0</v>
      </c>
      <c r="F296" s="1201"/>
      <c r="G296" s="1009"/>
    </row>
    <row r="297" spans="1:7" ht="15" customHeight="1">
      <c r="A297" s="1025"/>
      <c r="B297" s="1200"/>
      <c r="C297" s="1120"/>
      <c r="D297" s="1121"/>
      <c r="E297" s="1015">
        <f t="shared" si="4"/>
        <v>0</v>
      </c>
      <c r="F297" s="1201"/>
      <c r="G297" s="1009"/>
    </row>
    <row r="298" spans="1:7" ht="15" customHeight="1">
      <c r="A298" s="1025"/>
      <c r="B298" s="1200"/>
      <c r="C298" s="1120"/>
      <c r="D298" s="1121"/>
      <c r="E298" s="1015">
        <f t="shared" si="4"/>
        <v>0</v>
      </c>
      <c r="F298" s="1201"/>
      <c r="G298" s="1009"/>
    </row>
    <row r="299" spans="1:7" ht="15" customHeight="1">
      <c r="A299" s="1025"/>
      <c r="B299" s="1200"/>
      <c r="C299" s="1120"/>
      <c r="D299" s="1121"/>
      <c r="E299" s="1015">
        <f t="shared" si="4"/>
        <v>0</v>
      </c>
      <c r="F299" s="1201"/>
      <c r="G299" s="1009"/>
    </row>
    <row r="300" spans="1:7" ht="15" customHeight="1">
      <c r="A300" s="1025"/>
      <c r="B300" s="1200"/>
      <c r="C300" s="1120"/>
      <c r="D300" s="1121"/>
      <c r="E300" s="1015">
        <f t="shared" si="4"/>
        <v>0</v>
      </c>
      <c r="F300" s="1201"/>
      <c r="G300" s="1009"/>
    </row>
    <row r="301" spans="1:7" ht="15" customHeight="1">
      <c r="A301" s="1025"/>
      <c r="B301" s="1200"/>
      <c r="C301" s="1120"/>
      <c r="D301" s="1121"/>
      <c r="E301" s="1015">
        <f t="shared" si="4"/>
        <v>0</v>
      </c>
      <c r="F301" s="1201"/>
      <c r="G301" s="1009"/>
    </row>
    <row r="302" spans="1:7" ht="15" customHeight="1">
      <c r="A302" s="1025"/>
      <c r="B302" s="1200"/>
      <c r="C302" s="1120"/>
      <c r="D302" s="1121"/>
      <c r="E302" s="1015">
        <f t="shared" si="4"/>
        <v>0</v>
      </c>
      <c r="F302" s="1201"/>
      <c r="G302" s="1009"/>
    </row>
    <row r="303" spans="1:7" ht="15" customHeight="1">
      <c r="A303" s="1025"/>
      <c r="B303" s="1200"/>
      <c r="C303" s="1120"/>
      <c r="D303" s="1121"/>
      <c r="E303" s="1015">
        <f t="shared" si="4"/>
        <v>0</v>
      </c>
      <c r="F303" s="1201"/>
      <c r="G303" s="1009"/>
    </row>
    <row r="304" spans="1:7" ht="15" customHeight="1">
      <c r="A304" s="1027"/>
      <c r="B304" s="1202"/>
      <c r="C304" s="1125"/>
      <c r="D304" s="1205"/>
      <c r="E304" s="1020">
        <f t="shared" si="4"/>
        <v>0</v>
      </c>
      <c r="F304" s="1203"/>
      <c r="G304" s="1009"/>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row r="309" spans="1:6" ht="15" customHeight="1"/>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7">
    <mergeCell ref="A5:F5"/>
    <mergeCell ref="A1:F1"/>
    <mergeCell ref="G1:G4"/>
    <mergeCell ref="A2:B3"/>
    <mergeCell ref="F3:F4"/>
    <mergeCell ref="A4:B4"/>
    <mergeCell ref="G25:G27"/>
    <mergeCell ref="B6:F6"/>
    <mergeCell ref="A7:A8"/>
    <mergeCell ref="B7:D7"/>
    <mergeCell ref="E7:F7"/>
    <mergeCell ref="B8:F8"/>
    <mergeCell ref="A10:A11"/>
    <mergeCell ref="C10:D10"/>
    <mergeCell ref="C11:D11"/>
    <mergeCell ref="G15:G24"/>
    <mergeCell ref="B9:F9"/>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H392"/>
  <sheetViews>
    <sheetView workbookViewId="0">
      <selection activeCell="B6" sqref="B6:F6"/>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63.8984375" style="508" customWidth="1"/>
    <col min="8" max="16384" width="9" style="554"/>
  </cols>
  <sheetData>
    <row r="1" spans="1:8" ht="30" customHeight="1">
      <c r="A1" s="2729" t="s">
        <v>351</v>
      </c>
      <c r="B1" s="2729"/>
      <c r="C1" s="2729"/>
      <c r="D1" s="2729"/>
      <c r="E1" s="2729"/>
      <c r="F1" s="2729"/>
      <c r="G1" s="3678"/>
    </row>
    <row r="2" spans="1:8" s="558" customFormat="1" ht="20.25" customHeight="1">
      <c r="A2" s="3223" t="str">
        <f>"委托单位："&amp;基本情况!B2</f>
        <v>委托单位：0</v>
      </c>
      <c r="B2" s="3223"/>
      <c r="C2" s="509"/>
      <c r="D2" s="136" t="s">
        <v>1282</v>
      </c>
      <c r="E2" s="136" t="s">
        <v>1053</v>
      </c>
      <c r="F2" s="485" t="s">
        <v>283</v>
      </c>
      <c r="G2" s="3678"/>
    </row>
    <row r="3" spans="1:8" s="558" customFormat="1" ht="20.25" customHeight="1">
      <c r="A3" s="3223"/>
      <c r="B3" s="3223"/>
      <c r="C3" s="158" t="s">
        <v>450</v>
      </c>
      <c r="D3" s="510">
        <f>基本情况!B12</f>
        <v>0</v>
      </c>
      <c r="E3" s="559" t="str">
        <f>TEXT(基本情况!B21,"yyyy-mm-dd")</f>
        <v>2017-03-16</v>
      </c>
      <c r="F3" s="3138" t="str">
        <f>档案索引!D37</f>
        <v>4-4</v>
      </c>
      <c r="G3" s="3678"/>
    </row>
    <row r="4" spans="1:8" s="558" customFormat="1" ht="20.25" customHeight="1">
      <c r="A4" s="3189" t="str">
        <f>"会计期间："&amp;基本情况!B7</f>
        <v>会计期间：2016年01月01日至2016年12月31日</v>
      </c>
      <c r="B4" s="3189"/>
      <c r="C4" s="140" t="s">
        <v>452</v>
      </c>
      <c r="D4" s="513">
        <f>基本情况!B11</f>
        <v>0</v>
      </c>
      <c r="E4" s="513" t="str">
        <f>TEXT(基本情况!B22,"yyyy-mm-dd")</f>
        <v>2017-05-04</v>
      </c>
      <c r="F4" s="3138"/>
      <c r="G4" s="3678"/>
    </row>
    <row r="5" spans="1:8" s="565" customFormat="1" ht="7.5" customHeight="1">
      <c r="A5" s="2926"/>
      <c r="B5" s="2926"/>
      <c r="C5" s="2926"/>
      <c r="D5" s="2926"/>
      <c r="E5" s="2926"/>
      <c r="F5" s="2926"/>
      <c r="G5" s="952"/>
    </row>
    <row r="6" spans="1:8" s="649" customFormat="1" ht="20.25" customHeight="1">
      <c r="A6" s="532" t="s">
        <v>641</v>
      </c>
      <c r="B6" s="3270" t="str">
        <f>IF(基本情况!B29="否",IF(B14-C14-F11&lt;&gt;资产负债!D12,"账载数与报表数不符，相差"&amp;DOLLAR(B14-C14-F11-资产负债!D12,2)&amp;"元！","账载数与报表数相符！"),IF(B13-F11&lt;&gt;资产负债!D12,"账载数与报表数不符，相差"&amp;DOLLAR(B13-F11-资产负债!D12,2)&amp;"元！","账载数与报表数相符！"))</f>
        <v>账载数与报表数相符！</v>
      </c>
      <c r="C6" s="3270"/>
      <c r="D6" s="3270"/>
      <c r="E6" s="3270"/>
      <c r="F6" s="3270"/>
      <c r="G6" s="1028" t="s">
        <v>395</v>
      </c>
      <c r="H6" s="607"/>
    </row>
    <row r="7" spans="1:8" s="649" customFormat="1" ht="15" customHeight="1">
      <c r="A7" s="3065" t="s">
        <v>1323</v>
      </c>
      <c r="B7" s="3148" t="s">
        <v>1407</v>
      </c>
      <c r="C7" s="3148"/>
      <c r="D7" s="3148"/>
      <c r="E7" s="3102" t="str">
        <f>IF(D14&lt;&gt;0,"、E","")</f>
        <v/>
      </c>
      <c r="F7" s="3102"/>
      <c r="G7" s="1029"/>
      <c r="H7" s="607"/>
    </row>
    <row r="8" spans="1:8" s="649" customFormat="1" ht="61.5" customHeight="1">
      <c r="A8" s="3065"/>
      <c r="B8" s="3673"/>
      <c r="C8" s="3673"/>
      <c r="D8" s="3673"/>
      <c r="E8" s="3673"/>
      <c r="F8" s="3673"/>
      <c r="G8" s="1030" t="s">
        <v>1288</v>
      </c>
      <c r="H8" s="607"/>
    </row>
    <row r="9" spans="1:8" s="649" customFormat="1" ht="20.25" customHeight="1">
      <c r="A9" s="528" t="s">
        <v>574</v>
      </c>
      <c r="B9" s="3141" t="str">
        <f>IF(D14&lt;&gt;0,"调整后认可！","不存在调整事项,认可！")</f>
        <v>不存在调整事项,认可！</v>
      </c>
      <c r="C9" s="3141"/>
      <c r="D9" s="3141"/>
      <c r="E9" s="3141"/>
      <c r="F9" s="3141"/>
      <c r="G9" s="3675" t="s">
        <v>989</v>
      </c>
      <c r="H9" s="607"/>
    </row>
    <row r="10" spans="1:8" s="649" customFormat="1" ht="20.25" customHeight="1">
      <c r="A10" s="3163" t="s">
        <v>1408</v>
      </c>
      <c r="B10" s="1011" t="s">
        <v>1251</v>
      </c>
      <c r="C10" s="2929" t="s">
        <v>1252</v>
      </c>
      <c r="D10" s="2929"/>
      <c r="E10" s="136" t="s">
        <v>1253</v>
      </c>
      <c r="F10" s="485" t="s">
        <v>1254</v>
      </c>
      <c r="G10" s="3675"/>
    </row>
    <row r="11" spans="1:8" s="649" customFormat="1" ht="20.25" customHeight="1">
      <c r="A11" s="3163"/>
      <c r="B11" s="1195"/>
      <c r="C11" s="3676"/>
      <c r="D11" s="3676"/>
      <c r="E11" s="1196"/>
      <c r="F11" s="596">
        <f>B11+C11-E11</f>
        <v>0</v>
      </c>
      <c r="G11" s="3675"/>
    </row>
    <row r="12" spans="1:8" s="649" customFormat="1" ht="20.25" customHeight="1">
      <c r="A12" s="135" t="s">
        <v>665</v>
      </c>
      <c r="B12" s="1011" t="s">
        <v>1409</v>
      </c>
      <c r="C12" s="136" t="s">
        <v>1410</v>
      </c>
      <c r="D12" s="136" t="s">
        <v>980</v>
      </c>
      <c r="E12" s="136" t="s">
        <v>502</v>
      </c>
      <c r="F12" s="485" t="s">
        <v>1417</v>
      </c>
      <c r="G12" s="3675"/>
    </row>
    <row r="13" spans="1:8" s="649" customFormat="1" ht="20.25" customHeight="1">
      <c r="A13" s="1013" t="s">
        <v>1412</v>
      </c>
      <c r="B13" s="1014">
        <f>IF(基本情况!B29="否",0,B14+其他应付!B12)</f>
        <v>0</v>
      </c>
      <c r="C13" s="1014">
        <f>IF(基本情况!B29="否",0,C14+其他应付!C12)</f>
        <v>0</v>
      </c>
      <c r="D13" s="1204"/>
      <c r="E13" s="521">
        <f>B13+D13</f>
        <v>0</v>
      </c>
      <c r="F13" s="1023">
        <f>IF(基本情况!B29="否",0,F14+其他应付!F12)</f>
        <v>0</v>
      </c>
      <c r="G13" s="1022"/>
    </row>
    <row r="14" spans="1:8" s="649" customFormat="1" ht="20.25" customHeight="1">
      <c r="A14" s="528" t="s">
        <v>1413</v>
      </c>
      <c r="B14" s="1017">
        <f>SUM(B15:B3004)</f>
        <v>0</v>
      </c>
      <c r="C14" s="1017">
        <f>SUM(C15:C3004)</f>
        <v>0</v>
      </c>
      <c r="D14" s="823">
        <f>SUM(D15:D304)</f>
        <v>0</v>
      </c>
      <c r="E14" s="823">
        <f>SUM(E15:E304)</f>
        <v>0</v>
      </c>
      <c r="F14" s="596">
        <f>SUM(F15:F304)</f>
        <v>0</v>
      </c>
      <c r="G14" s="1029" t="s">
        <v>990</v>
      </c>
    </row>
    <row r="15" spans="1:8" s="558" customFormat="1" ht="15" customHeight="1">
      <c r="A15" s="1018"/>
      <c r="B15" s="1198"/>
      <c r="C15" s="1161"/>
      <c r="D15" s="1166"/>
      <c r="E15" s="1019">
        <f>B15-C15+D15</f>
        <v>0</v>
      </c>
      <c r="F15" s="1199"/>
      <c r="G15" s="1029" t="s">
        <v>991</v>
      </c>
    </row>
    <row r="16" spans="1:8" s="558" customFormat="1" ht="15" customHeight="1">
      <c r="A16" s="680"/>
      <c r="B16" s="1200"/>
      <c r="C16" s="1120"/>
      <c r="D16" s="1121"/>
      <c r="E16" s="1015">
        <f>B16-C16+D16</f>
        <v>0</v>
      </c>
      <c r="F16" s="1201"/>
      <c r="G16" s="1029" t="s">
        <v>992</v>
      </c>
    </row>
    <row r="17" spans="1:7" s="558" customFormat="1" ht="15" customHeight="1">
      <c r="A17" s="680"/>
      <c r="B17" s="1200"/>
      <c r="C17" s="1120"/>
      <c r="D17" s="1120"/>
      <c r="E17" s="1015">
        <f t="shared" ref="E17:E80" si="0">B17-C17+D17</f>
        <v>0</v>
      </c>
      <c r="F17" s="1201"/>
      <c r="G17" s="1029" t="s">
        <v>993</v>
      </c>
    </row>
    <row r="18" spans="1:7" s="558" customFormat="1" ht="15" customHeight="1">
      <c r="A18" s="680"/>
      <c r="B18" s="1200"/>
      <c r="C18" s="1120"/>
      <c r="D18" s="1120"/>
      <c r="E18" s="1015">
        <f t="shared" si="0"/>
        <v>0</v>
      </c>
      <c r="F18" s="1201"/>
      <c r="G18" s="1029" t="s">
        <v>994</v>
      </c>
    </row>
    <row r="19" spans="1:7" s="558" customFormat="1" ht="15" customHeight="1">
      <c r="A19" s="680"/>
      <c r="B19" s="1200"/>
      <c r="C19" s="1120"/>
      <c r="D19" s="1120"/>
      <c r="E19" s="1015">
        <f t="shared" si="0"/>
        <v>0</v>
      </c>
      <c r="F19" s="1201"/>
      <c r="G19" s="1029" t="s">
        <v>995</v>
      </c>
    </row>
    <row r="20" spans="1:7" s="558" customFormat="1" ht="15" customHeight="1">
      <c r="A20" s="680"/>
      <c r="B20" s="1200"/>
      <c r="C20" s="1120"/>
      <c r="D20" s="1120"/>
      <c r="E20" s="1015">
        <f t="shared" si="0"/>
        <v>0</v>
      </c>
      <c r="F20" s="1201"/>
      <c r="G20" s="1029"/>
    </row>
    <row r="21" spans="1:7" s="558" customFormat="1" ht="15" customHeight="1">
      <c r="A21" s="680"/>
      <c r="B21" s="1200"/>
      <c r="C21" s="1120"/>
      <c r="D21" s="1120"/>
      <c r="E21" s="1015">
        <f t="shared" si="0"/>
        <v>0</v>
      </c>
      <c r="F21" s="1201"/>
      <c r="G21" s="1029"/>
    </row>
    <row r="22" spans="1:7" s="558" customFormat="1" ht="15" customHeight="1">
      <c r="A22" s="680"/>
      <c r="B22" s="1200"/>
      <c r="C22" s="1120"/>
      <c r="D22" s="1120"/>
      <c r="E22" s="1015">
        <f t="shared" si="0"/>
        <v>0</v>
      </c>
      <c r="F22" s="1201"/>
      <c r="G22" s="1029"/>
    </row>
    <row r="23" spans="1:7" s="558" customFormat="1" ht="15" customHeight="1">
      <c r="A23" s="680"/>
      <c r="B23" s="1200"/>
      <c r="C23" s="1120"/>
      <c r="D23" s="1120"/>
      <c r="E23" s="1015">
        <f t="shared" si="0"/>
        <v>0</v>
      </c>
      <c r="F23" s="1201"/>
      <c r="G23" s="1029"/>
    </row>
    <row r="24" spans="1:7" s="558" customFormat="1" ht="15" customHeight="1">
      <c r="A24" s="680"/>
      <c r="B24" s="1200"/>
      <c r="C24" s="1120"/>
      <c r="D24" s="1120"/>
      <c r="E24" s="1015">
        <f t="shared" si="0"/>
        <v>0</v>
      </c>
      <c r="F24" s="1201"/>
      <c r="G24" s="1029"/>
    </row>
    <row r="25" spans="1:7" s="558" customFormat="1" ht="15" customHeight="1">
      <c r="A25" s="680"/>
      <c r="B25" s="1200"/>
      <c r="C25" s="1120"/>
      <c r="D25" s="1120"/>
      <c r="E25" s="1015">
        <f t="shared" si="0"/>
        <v>0</v>
      </c>
      <c r="F25" s="1201"/>
      <c r="G25" s="1029"/>
    </row>
    <row r="26" spans="1:7" s="558" customFormat="1" ht="15" customHeight="1">
      <c r="A26" s="680"/>
      <c r="B26" s="1200"/>
      <c r="C26" s="1120"/>
      <c r="D26" s="1120"/>
      <c r="E26" s="1015">
        <f t="shared" si="0"/>
        <v>0</v>
      </c>
      <c r="F26" s="1201"/>
      <c r="G26" s="1029"/>
    </row>
    <row r="27" spans="1:7" s="558" customFormat="1" ht="15" customHeight="1">
      <c r="A27" s="680"/>
      <c r="B27" s="1200"/>
      <c r="C27" s="1120"/>
      <c r="D27" s="1120"/>
      <c r="E27" s="1015">
        <f t="shared" si="0"/>
        <v>0</v>
      </c>
      <c r="F27" s="1201"/>
      <c r="G27" s="1029"/>
    </row>
    <row r="28" spans="1:7" s="558" customFormat="1" ht="15" customHeight="1">
      <c r="A28" s="680"/>
      <c r="B28" s="1200"/>
      <c r="C28" s="1120"/>
      <c r="D28" s="1120"/>
      <c r="E28" s="1015">
        <f t="shared" si="0"/>
        <v>0</v>
      </c>
      <c r="F28" s="1201"/>
      <c r="G28" s="1029"/>
    </row>
    <row r="29" spans="1:7" s="558" customFormat="1" ht="15" customHeight="1">
      <c r="A29" s="680"/>
      <c r="B29" s="1200"/>
      <c r="C29" s="1120"/>
      <c r="D29" s="1120"/>
      <c r="E29" s="1015">
        <f t="shared" si="0"/>
        <v>0</v>
      </c>
      <c r="F29" s="1201"/>
      <c r="G29" s="1029"/>
    </row>
    <row r="30" spans="1:7" s="558" customFormat="1" ht="15" customHeight="1">
      <c r="A30" s="680"/>
      <c r="B30" s="1200"/>
      <c r="C30" s="1120"/>
      <c r="D30" s="1120"/>
      <c r="E30" s="1015">
        <f t="shared" si="0"/>
        <v>0</v>
      </c>
      <c r="F30" s="1201"/>
      <c r="G30" s="1029"/>
    </row>
    <row r="31" spans="1:7" s="558" customFormat="1" ht="15" customHeight="1">
      <c r="A31" s="680"/>
      <c r="B31" s="1200"/>
      <c r="C31" s="1120"/>
      <c r="D31" s="1120"/>
      <c r="E31" s="1015">
        <f t="shared" si="0"/>
        <v>0</v>
      </c>
      <c r="F31" s="1201"/>
      <c r="G31" s="1029"/>
    </row>
    <row r="32" spans="1:7" s="558" customFormat="1" ht="15" customHeight="1">
      <c r="A32" s="680"/>
      <c r="B32" s="1200"/>
      <c r="C32" s="1120"/>
      <c r="D32" s="1120"/>
      <c r="E32" s="1015">
        <f t="shared" si="0"/>
        <v>0</v>
      </c>
      <c r="F32" s="1201"/>
      <c r="G32" s="1029"/>
    </row>
    <row r="33" spans="1:7" s="558" customFormat="1" ht="15" customHeight="1">
      <c r="A33" s="680"/>
      <c r="B33" s="1200"/>
      <c r="C33" s="1120"/>
      <c r="D33" s="1120"/>
      <c r="E33" s="1015">
        <f t="shared" si="0"/>
        <v>0</v>
      </c>
      <c r="F33" s="1201"/>
      <c r="G33" s="1029"/>
    </row>
    <row r="34" spans="1:7" s="558" customFormat="1" ht="15" customHeight="1">
      <c r="A34" s="680"/>
      <c r="B34" s="1200"/>
      <c r="C34" s="1120"/>
      <c r="D34" s="1120"/>
      <c r="E34" s="1015">
        <f t="shared" si="0"/>
        <v>0</v>
      </c>
      <c r="F34" s="1201"/>
      <c r="G34" s="1029"/>
    </row>
    <row r="35" spans="1:7" s="558" customFormat="1" ht="15" customHeight="1">
      <c r="A35" s="680"/>
      <c r="B35" s="1200"/>
      <c r="C35" s="1120"/>
      <c r="D35" s="1120"/>
      <c r="E35" s="1015">
        <f t="shared" si="0"/>
        <v>0</v>
      </c>
      <c r="F35" s="1201"/>
      <c r="G35" s="1029"/>
    </row>
    <row r="36" spans="1:7" s="558" customFormat="1" ht="15" customHeight="1">
      <c r="A36" s="680"/>
      <c r="B36" s="1200"/>
      <c r="C36" s="1120"/>
      <c r="D36" s="1120"/>
      <c r="E36" s="1015">
        <f t="shared" si="0"/>
        <v>0</v>
      </c>
      <c r="F36" s="1201"/>
      <c r="G36" s="1029"/>
    </row>
    <row r="37" spans="1:7" s="558" customFormat="1" ht="15" customHeight="1">
      <c r="A37" s="680"/>
      <c r="B37" s="1200"/>
      <c r="C37" s="1120"/>
      <c r="D37" s="1120"/>
      <c r="E37" s="1015">
        <f t="shared" si="0"/>
        <v>0</v>
      </c>
      <c r="F37" s="1201"/>
      <c r="G37" s="1029"/>
    </row>
    <row r="38" spans="1:7" s="558" customFormat="1" ht="15" customHeight="1">
      <c r="A38" s="680"/>
      <c r="B38" s="1200"/>
      <c r="C38" s="1120"/>
      <c r="D38" s="1120"/>
      <c r="E38" s="1015">
        <f t="shared" si="0"/>
        <v>0</v>
      </c>
      <c r="F38" s="1201"/>
      <c r="G38" s="1029"/>
    </row>
    <row r="39" spans="1:7" s="558" customFormat="1" ht="15" customHeight="1">
      <c r="A39" s="680"/>
      <c r="B39" s="1200"/>
      <c r="C39" s="1120"/>
      <c r="D39" s="1120"/>
      <c r="E39" s="1015">
        <f t="shared" si="0"/>
        <v>0</v>
      </c>
      <c r="F39" s="1201"/>
      <c r="G39" s="1029"/>
    </row>
    <row r="40" spans="1:7" s="558" customFormat="1" ht="15" customHeight="1">
      <c r="A40" s="680"/>
      <c r="B40" s="1200"/>
      <c r="C40" s="1120"/>
      <c r="D40" s="1120"/>
      <c r="E40" s="1015">
        <f t="shared" si="0"/>
        <v>0</v>
      </c>
      <c r="F40" s="1201"/>
      <c r="G40" s="1029"/>
    </row>
    <row r="41" spans="1:7" s="558" customFormat="1" ht="15" customHeight="1">
      <c r="A41" s="680"/>
      <c r="B41" s="1200"/>
      <c r="C41" s="1120"/>
      <c r="D41" s="1120"/>
      <c r="E41" s="1015">
        <f t="shared" si="0"/>
        <v>0</v>
      </c>
      <c r="F41" s="1201"/>
      <c r="G41" s="1029"/>
    </row>
    <row r="42" spans="1:7" s="558" customFormat="1" ht="15" customHeight="1">
      <c r="A42" s="680"/>
      <c r="B42" s="1200"/>
      <c r="C42" s="1120"/>
      <c r="D42" s="1120"/>
      <c r="E42" s="1015">
        <f t="shared" si="0"/>
        <v>0</v>
      </c>
      <c r="F42" s="1201"/>
      <c r="G42" s="1029"/>
    </row>
    <row r="43" spans="1:7" s="558" customFormat="1" ht="15" customHeight="1">
      <c r="A43" s="680"/>
      <c r="B43" s="1200"/>
      <c r="C43" s="1120"/>
      <c r="D43" s="1120"/>
      <c r="E43" s="1015">
        <f t="shared" si="0"/>
        <v>0</v>
      </c>
      <c r="F43" s="1201"/>
      <c r="G43" s="1029"/>
    </row>
    <row r="44" spans="1:7" s="558" customFormat="1" ht="15" customHeight="1">
      <c r="A44" s="680"/>
      <c r="B44" s="1200"/>
      <c r="C44" s="1120"/>
      <c r="D44" s="1120"/>
      <c r="E44" s="1015">
        <f t="shared" si="0"/>
        <v>0</v>
      </c>
      <c r="F44" s="1201"/>
      <c r="G44" s="1029"/>
    </row>
    <row r="45" spans="1:7" s="558" customFormat="1" ht="15" customHeight="1">
      <c r="A45" s="680"/>
      <c r="B45" s="1200"/>
      <c r="C45" s="1120"/>
      <c r="D45" s="1120"/>
      <c r="E45" s="1015">
        <f t="shared" si="0"/>
        <v>0</v>
      </c>
      <c r="F45" s="1201"/>
      <c r="G45" s="1029"/>
    </row>
    <row r="46" spans="1:7" s="558" customFormat="1" ht="15" customHeight="1">
      <c r="A46" s="680"/>
      <c r="B46" s="1200"/>
      <c r="C46" s="1120"/>
      <c r="D46" s="1120"/>
      <c r="E46" s="1015">
        <f t="shared" si="0"/>
        <v>0</v>
      </c>
      <c r="F46" s="1201"/>
      <c r="G46" s="1029"/>
    </row>
    <row r="47" spans="1:7" s="558" customFormat="1" ht="15" customHeight="1">
      <c r="A47" s="680"/>
      <c r="B47" s="1200"/>
      <c r="C47" s="1120"/>
      <c r="D47" s="1120"/>
      <c r="E47" s="1015">
        <f t="shared" si="0"/>
        <v>0</v>
      </c>
      <c r="F47" s="1201"/>
      <c r="G47" s="1029"/>
    </row>
    <row r="48" spans="1:7" s="558" customFormat="1" ht="15" customHeight="1">
      <c r="A48" s="680"/>
      <c r="B48" s="1200"/>
      <c r="C48" s="1120"/>
      <c r="D48" s="1120"/>
      <c r="E48" s="1015">
        <f t="shared" si="0"/>
        <v>0</v>
      </c>
      <c r="F48" s="1201"/>
      <c r="G48" s="1029"/>
    </row>
    <row r="49" spans="1:7" s="558" customFormat="1" ht="15" customHeight="1">
      <c r="A49" s="680"/>
      <c r="B49" s="1200"/>
      <c r="C49" s="1120"/>
      <c r="D49" s="1120"/>
      <c r="E49" s="1015">
        <f t="shared" si="0"/>
        <v>0</v>
      </c>
      <c r="F49" s="1201"/>
      <c r="G49" s="1029"/>
    </row>
    <row r="50" spans="1:7" s="502" customFormat="1" ht="15" customHeight="1">
      <c r="A50" s="680"/>
      <c r="B50" s="1200"/>
      <c r="C50" s="1120"/>
      <c r="D50" s="1120"/>
      <c r="E50" s="1015">
        <f t="shared" si="0"/>
        <v>0</v>
      </c>
      <c r="F50" s="1201"/>
      <c r="G50" s="1029"/>
    </row>
    <row r="51" spans="1:7" s="502" customFormat="1" ht="15" customHeight="1">
      <c r="A51" s="680"/>
      <c r="B51" s="1200"/>
      <c r="C51" s="1120"/>
      <c r="D51" s="1120"/>
      <c r="E51" s="1015">
        <f t="shared" si="0"/>
        <v>0</v>
      </c>
      <c r="F51" s="1201"/>
      <c r="G51" s="1029"/>
    </row>
    <row r="52" spans="1:7" s="502" customFormat="1" ht="15" customHeight="1">
      <c r="A52" s="680"/>
      <c r="B52" s="1200"/>
      <c r="C52" s="1120"/>
      <c r="D52" s="1120"/>
      <c r="E52" s="1015">
        <f t="shared" si="0"/>
        <v>0</v>
      </c>
      <c r="F52" s="1201"/>
      <c r="G52" s="1029"/>
    </row>
    <row r="53" spans="1:7" s="502" customFormat="1" ht="15" customHeight="1">
      <c r="A53" s="680"/>
      <c r="B53" s="1200"/>
      <c r="C53" s="1120"/>
      <c r="D53" s="1120"/>
      <c r="E53" s="1015">
        <f t="shared" si="0"/>
        <v>0</v>
      </c>
      <c r="F53" s="1201"/>
      <c r="G53" s="1029"/>
    </row>
    <row r="54" spans="1:7" s="502" customFormat="1" ht="15" customHeight="1">
      <c r="A54" s="680"/>
      <c r="B54" s="1200"/>
      <c r="C54" s="1120"/>
      <c r="D54" s="1120"/>
      <c r="E54" s="1015">
        <f t="shared" si="0"/>
        <v>0</v>
      </c>
      <c r="F54" s="1201"/>
      <c r="G54" s="1029"/>
    </row>
    <row r="55" spans="1:7" ht="15" customHeight="1">
      <c r="A55" s="680"/>
      <c r="B55" s="1200"/>
      <c r="C55" s="1120"/>
      <c r="D55" s="1120"/>
      <c r="E55" s="1015">
        <f t="shared" si="0"/>
        <v>0</v>
      </c>
      <c r="F55" s="1201"/>
      <c r="G55" s="1029"/>
    </row>
    <row r="56" spans="1:7" ht="15" customHeight="1">
      <c r="A56" s="680"/>
      <c r="B56" s="1200"/>
      <c r="C56" s="1120"/>
      <c r="D56" s="1120"/>
      <c r="E56" s="1015">
        <f t="shared" si="0"/>
        <v>0</v>
      </c>
      <c r="F56" s="1201"/>
      <c r="G56" s="1029"/>
    </row>
    <row r="57" spans="1:7" ht="15" customHeight="1">
      <c r="A57" s="680"/>
      <c r="B57" s="1200"/>
      <c r="C57" s="1120"/>
      <c r="D57" s="1120"/>
      <c r="E57" s="1015">
        <f t="shared" si="0"/>
        <v>0</v>
      </c>
      <c r="F57" s="1201"/>
      <c r="G57" s="1029"/>
    </row>
    <row r="58" spans="1:7" ht="15" customHeight="1">
      <c r="A58" s="680"/>
      <c r="B58" s="1200"/>
      <c r="C58" s="1120"/>
      <c r="D58" s="1120"/>
      <c r="E58" s="1015">
        <f t="shared" si="0"/>
        <v>0</v>
      </c>
      <c r="F58" s="1201"/>
      <c r="G58" s="1029"/>
    </row>
    <row r="59" spans="1:7" ht="15" customHeight="1">
      <c r="A59" s="680"/>
      <c r="B59" s="1200"/>
      <c r="C59" s="1120"/>
      <c r="D59" s="1120"/>
      <c r="E59" s="1015">
        <f t="shared" si="0"/>
        <v>0</v>
      </c>
      <c r="F59" s="1201"/>
      <c r="G59" s="1029"/>
    </row>
    <row r="60" spans="1:7" ht="15" customHeight="1">
      <c r="A60" s="680"/>
      <c r="B60" s="1200"/>
      <c r="C60" s="1120"/>
      <c r="D60" s="1120"/>
      <c r="E60" s="1015">
        <f t="shared" si="0"/>
        <v>0</v>
      </c>
      <c r="F60" s="1201"/>
      <c r="G60" s="1029"/>
    </row>
    <row r="61" spans="1:7" ht="15" customHeight="1">
      <c r="A61" s="680"/>
      <c r="B61" s="1200"/>
      <c r="C61" s="1120"/>
      <c r="D61" s="1120"/>
      <c r="E61" s="1015">
        <f t="shared" si="0"/>
        <v>0</v>
      </c>
      <c r="F61" s="1201"/>
      <c r="G61" s="1029"/>
    </row>
    <row r="62" spans="1:7" ht="15" customHeight="1">
      <c r="A62" s="680"/>
      <c r="B62" s="1200"/>
      <c r="C62" s="1120"/>
      <c r="D62" s="1120"/>
      <c r="E62" s="1015">
        <f t="shared" si="0"/>
        <v>0</v>
      </c>
      <c r="F62" s="1201"/>
      <c r="G62" s="1029"/>
    </row>
    <row r="63" spans="1:7" ht="15" customHeight="1">
      <c r="A63" s="680"/>
      <c r="B63" s="1200"/>
      <c r="C63" s="1120"/>
      <c r="D63" s="1120"/>
      <c r="E63" s="1015">
        <f t="shared" si="0"/>
        <v>0</v>
      </c>
      <c r="F63" s="1201"/>
      <c r="G63" s="1029"/>
    </row>
    <row r="64" spans="1:7" ht="15" customHeight="1">
      <c r="A64" s="680"/>
      <c r="B64" s="1200"/>
      <c r="C64" s="1120"/>
      <c r="D64" s="1120"/>
      <c r="E64" s="1015">
        <f t="shared" si="0"/>
        <v>0</v>
      </c>
      <c r="F64" s="1201"/>
      <c r="G64" s="1029"/>
    </row>
    <row r="65" spans="1:7" ht="15" customHeight="1">
      <c r="A65" s="680"/>
      <c r="B65" s="1200"/>
      <c r="C65" s="1120"/>
      <c r="D65" s="1120"/>
      <c r="E65" s="1015">
        <f t="shared" si="0"/>
        <v>0</v>
      </c>
      <c r="F65" s="1201"/>
      <c r="G65" s="1029"/>
    </row>
    <row r="66" spans="1:7" ht="15" customHeight="1">
      <c r="A66" s="680"/>
      <c r="B66" s="1200"/>
      <c r="C66" s="1120"/>
      <c r="D66" s="1120"/>
      <c r="E66" s="1015">
        <f t="shared" si="0"/>
        <v>0</v>
      </c>
      <c r="F66" s="1201"/>
      <c r="G66" s="1029"/>
    </row>
    <row r="67" spans="1:7" ht="15" customHeight="1">
      <c r="A67" s="680"/>
      <c r="B67" s="1200"/>
      <c r="C67" s="1120"/>
      <c r="D67" s="1120"/>
      <c r="E67" s="1015">
        <f t="shared" si="0"/>
        <v>0</v>
      </c>
      <c r="F67" s="1201"/>
      <c r="G67" s="1029"/>
    </row>
    <row r="68" spans="1:7" ht="15" customHeight="1">
      <c r="A68" s="680"/>
      <c r="B68" s="1200"/>
      <c r="C68" s="1120"/>
      <c r="D68" s="1120"/>
      <c r="E68" s="1015">
        <f t="shared" si="0"/>
        <v>0</v>
      </c>
      <c r="F68" s="1201"/>
      <c r="G68" s="1029"/>
    </row>
    <row r="69" spans="1:7" ht="15" customHeight="1">
      <c r="A69" s="680"/>
      <c r="B69" s="1200"/>
      <c r="C69" s="1120"/>
      <c r="D69" s="1120"/>
      <c r="E69" s="1015">
        <f t="shared" si="0"/>
        <v>0</v>
      </c>
      <c r="F69" s="1201"/>
      <c r="G69" s="1029"/>
    </row>
    <row r="70" spans="1:7" ht="15" customHeight="1">
      <c r="A70" s="680"/>
      <c r="B70" s="1200"/>
      <c r="C70" s="1120"/>
      <c r="D70" s="1120"/>
      <c r="E70" s="1015">
        <f t="shared" si="0"/>
        <v>0</v>
      </c>
      <c r="F70" s="1201"/>
      <c r="G70" s="1029"/>
    </row>
    <row r="71" spans="1:7" ht="15" customHeight="1">
      <c r="A71" s="680"/>
      <c r="B71" s="1200"/>
      <c r="C71" s="1120"/>
      <c r="D71" s="1120"/>
      <c r="E71" s="1015">
        <f t="shared" si="0"/>
        <v>0</v>
      </c>
      <c r="F71" s="1201"/>
      <c r="G71" s="1029"/>
    </row>
    <row r="72" spans="1:7" ht="15" customHeight="1">
      <c r="A72" s="680"/>
      <c r="B72" s="1200"/>
      <c r="C72" s="1120"/>
      <c r="D72" s="1120"/>
      <c r="E72" s="1015">
        <f t="shared" si="0"/>
        <v>0</v>
      </c>
      <c r="F72" s="1201"/>
      <c r="G72" s="1029"/>
    </row>
    <row r="73" spans="1:7" ht="15" customHeight="1">
      <c r="A73" s="680"/>
      <c r="B73" s="1200"/>
      <c r="C73" s="1120"/>
      <c r="D73" s="1120"/>
      <c r="E73" s="1015">
        <f t="shared" si="0"/>
        <v>0</v>
      </c>
      <c r="F73" s="1201"/>
      <c r="G73" s="1029"/>
    </row>
    <row r="74" spans="1:7" ht="15" customHeight="1">
      <c r="A74" s="680"/>
      <c r="B74" s="1200"/>
      <c r="C74" s="1120"/>
      <c r="D74" s="1120"/>
      <c r="E74" s="1015">
        <f t="shared" si="0"/>
        <v>0</v>
      </c>
      <c r="F74" s="1201"/>
      <c r="G74" s="1029"/>
    </row>
    <row r="75" spans="1:7" ht="15" customHeight="1">
      <c r="A75" s="680"/>
      <c r="B75" s="1200"/>
      <c r="C75" s="1120"/>
      <c r="D75" s="1120"/>
      <c r="E75" s="1015">
        <f t="shared" si="0"/>
        <v>0</v>
      </c>
      <c r="F75" s="1201"/>
      <c r="G75" s="1029"/>
    </row>
    <row r="76" spans="1:7" ht="15" customHeight="1">
      <c r="A76" s="680"/>
      <c r="B76" s="1200"/>
      <c r="C76" s="1120"/>
      <c r="D76" s="1120"/>
      <c r="E76" s="1015">
        <f t="shared" si="0"/>
        <v>0</v>
      </c>
      <c r="F76" s="1201"/>
      <c r="G76" s="1029"/>
    </row>
    <row r="77" spans="1:7" ht="15" customHeight="1">
      <c r="A77" s="680"/>
      <c r="B77" s="1200"/>
      <c r="C77" s="1120"/>
      <c r="D77" s="1120"/>
      <c r="E77" s="1015">
        <f t="shared" si="0"/>
        <v>0</v>
      </c>
      <c r="F77" s="1201"/>
      <c r="G77" s="1029"/>
    </row>
    <row r="78" spans="1:7" ht="15" customHeight="1">
      <c r="A78" s="680"/>
      <c r="B78" s="1200"/>
      <c r="C78" s="1120"/>
      <c r="D78" s="1120"/>
      <c r="E78" s="1015">
        <f t="shared" si="0"/>
        <v>0</v>
      </c>
      <c r="F78" s="1201"/>
      <c r="G78" s="1029"/>
    </row>
    <row r="79" spans="1:7" ht="15" customHeight="1">
      <c r="A79" s="680"/>
      <c r="B79" s="1200"/>
      <c r="C79" s="1120"/>
      <c r="D79" s="1120"/>
      <c r="E79" s="1015">
        <f t="shared" si="0"/>
        <v>0</v>
      </c>
      <c r="F79" s="1201"/>
      <c r="G79" s="1029"/>
    </row>
    <row r="80" spans="1:7" ht="15" customHeight="1">
      <c r="A80" s="680"/>
      <c r="B80" s="1200"/>
      <c r="C80" s="1120"/>
      <c r="D80" s="1120"/>
      <c r="E80" s="1015">
        <f t="shared" si="0"/>
        <v>0</v>
      </c>
      <c r="F80" s="1201"/>
      <c r="G80" s="1029"/>
    </row>
    <row r="81" spans="1:7" ht="15" customHeight="1">
      <c r="A81" s="680"/>
      <c r="B81" s="1200"/>
      <c r="C81" s="1120"/>
      <c r="D81" s="1120"/>
      <c r="E81" s="1015">
        <f t="shared" ref="E81:E144" si="1">B81-C81+D81</f>
        <v>0</v>
      </c>
      <c r="F81" s="1201"/>
      <c r="G81" s="1029"/>
    </row>
    <row r="82" spans="1:7" ht="15" customHeight="1">
      <c r="A82" s="680"/>
      <c r="B82" s="1200"/>
      <c r="C82" s="1120"/>
      <c r="D82" s="1120"/>
      <c r="E82" s="1015">
        <f t="shared" si="1"/>
        <v>0</v>
      </c>
      <c r="F82" s="1201"/>
      <c r="G82" s="1029"/>
    </row>
    <row r="83" spans="1:7" ht="15" customHeight="1">
      <c r="A83" s="680"/>
      <c r="B83" s="1200"/>
      <c r="C83" s="1120"/>
      <c r="D83" s="1120"/>
      <c r="E83" s="1015">
        <f t="shared" si="1"/>
        <v>0</v>
      </c>
      <c r="F83" s="1201"/>
      <c r="G83" s="1029"/>
    </row>
    <row r="84" spans="1:7" ht="15" customHeight="1">
      <c r="A84" s="680"/>
      <c r="B84" s="1200"/>
      <c r="C84" s="1120"/>
      <c r="D84" s="1120"/>
      <c r="E84" s="1015">
        <f t="shared" si="1"/>
        <v>0</v>
      </c>
      <c r="F84" s="1201"/>
      <c r="G84" s="1029"/>
    </row>
    <row r="85" spans="1:7" ht="15" customHeight="1">
      <c r="A85" s="680"/>
      <c r="B85" s="1200"/>
      <c r="C85" s="1120"/>
      <c r="D85" s="1120"/>
      <c r="E85" s="1015">
        <f t="shared" si="1"/>
        <v>0</v>
      </c>
      <c r="F85" s="1201"/>
      <c r="G85" s="1029"/>
    </row>
    <row r="86" spans="1:7" ht="15" customHeight="1">
      <c r="A86" s="680"/>
      <c r="B86" s="1200"/>
      <c r="C86" s="1120"/>
      <c r="D86" s="1120"/>
      <c r="E86" s="1015">
        <f t="shared" si="1"/>
        <v>0</v>
      </c>
      <c r="F86" s="1201"/>
      <c r="G86" s="1029"/>
    </row>
    <row r="87" spans="1:7" ht="15" customHeight="1">
      <c r="A87" s="680"/>
      <c r="B87" s="1200"/>
      <c r="C87" s="1120"/>
      <c r="D87" s="1120"/>
      <c r="E87" s="1015">
        <f t="shared" si="1"/>
        <v>0</v>
      </c>
      <c r="F87" s="1201"/>
      <c r="G87" s="1029"/>
    </row>
    <row r="88" spans="1:7" ht="15" customHeight="1">
      <c r="A88" s="680"/>
      <c r="B88" s="1200"/>
      <c r="C88" s="1120"/>
      <c r="D88" s="1120"/>
      <c r="E88" s="1015">
        <f t="shared" si="1"/>
        <v>0</v>
      </c>
      <c r="F88" s="1201"/>
      <c r="G88" s="1029"/>
    </row>
    <row r="89" spans="1:7" ht="15" customHeight="1">
      <c r="A89" s="680"/>
      <c r="B89" s="1200"/>
      <c r="C89" s="1120"/>
      <c r="D89" s="1120"/>
      <c r="E89" s="1015">
        <f t="shared" si="1"/>
        <v>0</v>
      </c>
      <c r="F89" s="1201"/>
      <c r="G89" s="1029"/>
    </row>
    <row r="90" spans="1:7" ht="15" customHeight="1">
      <c r="A90" s="680"/>
      <c r="B90" s="1200"/>
      <c r="C90" s="1120"/>
      <c r="D90" s="1120"/>
      <c r="E90" s="1015">
        <f t="shared" si="1"/>
        <v>0</v>
      </c>
      <c r="F90" s="1201"/>
      <c r="G90" s="1029"/>
    </row>
    <row r="91" spans="1:7" ht="15" customHeight="1">
      <c r="A91" s="680"/>
      <c r="B91" s="1200"/>
      <c r="C91" s="1120"/>
      <c r="D91" s="1120"/>
      <c r="E91" s="1015">
        <f t="shared" si="1"/>
        <v>0</v>
      </c>
      <c r="F91" s="1201"/>
      <c r="G91" s="1029"/>
    </row>
    <row r="92" spans="1:7" ht="15" customHeight="1">
      <c r="A92" s="680"/>
      <c r="B92" s="1200"/>
      <c r="C92" s="1120"/>
      <c r="D92" s="1120"/>
      <c r="E92" s="1015">
        <f t="shared" si="1"/>
        <v>0</v>
      </c>
      <c r="F92" s="1201"/>
      <c r="G92" s="1029"/>
    </row>
    <row r="93" spans="1:7" ht="15" customHeight="1">
      <c r="A93" s="680"/>
      <c r="B93" s="1200"/>
      <c r="C93" s="1120"/>
      <c r="D93" s="1120"/>
      <c r="E93" s="1015">
        <f t="shared" si="1"/>
        <v>0</v>
      </c>
      <c r="F93" s="1201"/>
      <c r="G93" s="1029"/>
    </row>
    <row r="94" spans="1:7" ht="15" customHeight="1">
      <c r="A94" s="680"/>
      <c r="B94" s="1200"/>
      <c r="C94" s="1120"/>
      <c r="D94" s="1120"/>
      <c r="E94" s="1015">
        <f t="shared" si="1"/>
        <v>0</v>
      </c>
      <c r="F94" s="1201"/>
      <c r="G94" s="1029"/>
    </row>
    <row r="95" spans="1:7" ht="15" customHeight="1">
      <c r="A95" s="680"/>
      <c r="B95" s="1200"/>
      <c r="C95" s="1120"/>
      <c r="D95" s="1120"/>
      <c r="E95" s="1015">
        <f t="shared" si="1"/>
        <v>0</v>
      </c>
      <c r="F95" s="1201"/>
      <c r="G95" s="1029"/>
    </row>
    <row r="96" spans="1:7" ht="15" customHeight="1">
      <c r="A96" s="680"/>
      <c r="B96" s="1200"/>
      <c r="C96" s="1120"/>
      <c r="D96" s="1120"/>
      <c r="E96" s="1015">
        <f t="shared" si="1"/>
        <v>0</v>
      </c>
      <c r="F96" s="1201"/>
      <c r="G96" s="1029"/>
    </row>
    <row r="97" spans="1:7" ht="15" customHeight="1">
      <c r="A97" s="680"/>
      <c r="B97" s="1200"/>
      <c r="C97" s="1120"/>
      <c r="D97" s="1120"/>
      <c r="E97" s="1015">
        <f t="shared" si="1"/>
        <v>0</v>
      </c>
      <c r="F97" s="1201"/>
      <c r="G97" s="1029"/>
    </row>
    <row r="98" spans="1:7" ht="15" customHeight="1">
      <c r="A98" s="680"/>
      <c r="B98" s="1200"/>
      <c r="C98" s="1120"/>
      <c r="D98" s="1120"/>
      <c r="E98" s="1015">
        <f t="shared" si="1"/>
        <v>0</v>
      </c>
      <c r="F98" s="1201"/>
      <c r="G98" s="1029"/>
    </row>
    <row r="99" spans="1:7" ht="15" customHeight="1">
      <c r="A99" s="680"/>
      <c r="B99" s="1200"/>
      <c r="C99" s="1120"/>
      <c r="D99" s="1120"/>
      <c r="E99" s="1015">
        <f t="shared" si="1"/>
        <v>0</v>
      </c>
      <c r="F99" s="1201"/>
      <c r="G99" s="1029"/>
    </row>
    <row r="100" spans="1:7" ht="15" customHeight="1">
      <c r="A100" s="680"/>
      <c r="B100" s="1200"/>
      <c r="C100" s="1120"/>
      <c r="D100" s="1120"/>
      <c r="E100" s="1015">
        <f t="shared" si="1"/>
        <v>0</v>
      </c>
      <c r="F100" s="1201"/>
      <c r="G100" s="1029"/>
    </row>
    <row r="101" spans="1:7" ht="15" customHeight="1">
      <c r="A101" s="680"/>
      <c r="B101" s="1200"/>
      <c r="C101" s="1120"/>
      <c r="D101" s="1120"/>
      <c r="E101" s="1015">
        <f t="shared" si="1"/>
        <v>0</v>
      </c>
      <c r="F101" s="1201"/>
      <c r="G101" s="1029"/>
    </row>
    <row r="102" spans="1:7" ht="15" customHeight="1">
      <c r="A102" s="680"/>
      <c r="B102" s="1200"/>
      <c r="C102" s="1120"/>
      <c r="D102" s="1120"/>
      <c r="E102" s="1015">
        <f t="shared" si="1"/>
        <v>0</v>
      </c>
      <c r="F102" s="1201"/>
      <c r="G102" s="1029"/>
    </row>
    <row r="103" spans="1:7" ht="15" customHeight="1">
      <c r="A103" s="680"/>
      <c r="B103" s="1200"/>
      <c r="C103" s="1120"/>
      <c r="D103" s="1120"/>
      <c r="E103" s="1015">
        <f t="shared" si="1"/>
        <v>0</v>
      </c>
      <c r="F103" s="1201"/>
      <c r="G103" s="1029"/>
    </row>
    <row r="104" spans="1:7" ht="15" customHeight="1">
      <c r="A104" s="680"/>
      <c r="B104" s="1200"/>
      <c r="C104" s="1120"/>
      <c r="D104" s="1120"/>
      <c r="E104" s="1015">
        <f t="shared" si="1"/>
        <v>0</v>
      </c>
      <c r="F104" s="1201"/>
      <c r="G104" s="1029"/>
    </row>
    <row r="105" spans="1:7" ht="15" customHeight="1">
      <c r="A105" s="680"/>
      <c r="B105" s="1200"/>
      <c r="C105" s="1120"/>
      <c r="D105" s="1120"/>
      <c r="E105" s="1015">
        <f t="shared" si="1"/>
        <v>0</v>
      </c>
      <c r="F105" s="1201"/>
      <c r="G105" s="1029"/>
    </row>
    <row r="106" spans="1:7" ht="15" customHeight="1">
      <c r="A106" s="680"/>
      <c r="B106" s="1200"/>
      <c r="C106" s="1120"/>
      <c r="D106" s="1120"/>
      <c r="E106" s="1015">
        <f t="shared" si="1"/>
        <v>0</v>
      </c>
      <c r="F106" s="1201"/>
      <c r="G106" s="1029"/>
    </row>
    <row r="107" spans="1:7" ht="15" customHeight="1">
      <c r="A107" s="680"/>
      <c r="B107" s="1200"/>
      <c r="C107" s="1120"/>
      <c r="D107" s="1120"/>
      <c r="E107" s="1015">
        <f t="shared" si="1"/>
        <v>0</v>
      </c>
      <c r="F107" s="1201"/>
      <c r="G107" s="1029"/>
    </row>
    <row r="108" spans="1:7" ht="15" customHeight="1">
      <c r="A108" s="680"/>
      <c r="B108" s="1200"/>
      <c r="C108" s="1120"/>
      <c r="D108" s="1120"/>
      <c r="E108" s="1015">
        <f t="shared" si="1"/>
        <v>0</v>
      </c>
      <c r="F108" s="1201"/>
      <c r="G108" s="1029"/>
    </row>
    <row r="109" spans="1:7" ht="15" customHeight="1">
      <c r="A109" s="680"/>
      <c r="B109" s="1200"/>
      <c r="C109" s="1120"/>
      <c r="D109" s="1120"/>
      <c r="E109" s="1015">
        <f t="shared" si="1"/>
        <v>0</v>
      </c>
      <c r="F109" s="1201"/>
      <c r="G109" s="1029"/>
    </row>
    <row r="110" spans="1:7" ht="15" customHeight="1">
      <c r="A110" s="680"/>
      <c r="B110" s="1200"/>
      <c r="C110" s="1120"/>
      <c r="D110" s="1120"/>
      <c r="E110" s="1015">
        <f t="shared" si="1"/>
        <v>0</v>
      </c>
      <c r="F110" s="1201"/>
      <c r="G110" s="1029"/>
    </row>
    <row r="111" spans="1:7" ht="15" customHeight="1">
      <c r="A111" s="680"/>
      <c r="B111" s="1200"/>
      <c r="C111" s="1120"/>
      <c r="D111" s="1120"/>
      <c r="E111" s="1015">
        <f t="shared" si="1"/>
        <v>0</v>
      </c>
      <c r="F111" s="1201"/>
      <c r="G111" s="1029"/>
    </row>
    <row r="112" spans="1:7" ht="15" customHeight="1">
      <c r="A112" s="680"/>
      <c r="B112" s="1200"/>
      <c r="C112" s="1120"/>
      <c r="D112" s="1120"/>
      <c r="E112" s="1015">
        <f t="shared" si="1"/>
        <v>0</v>
      </c>
      <c r="F112" s="1201"/>
      <c r="G112" s="1029"/>
    </row>
    <row r="113" spans="1:7" ht="15" customHeight="1">
      <c r="A113" s="680"/>
      <c r="B113" s="1200"/>
      <c r="C113" s="1120"/>
      <c r="D113" s="1120"/>
      <c r="E113" s="1015">
        <f t="shared" si="1"/>
        <v>0</v>
      </c>
      <c r="F113" s="1201"/>
      <c r="G113" s="1029"/>
    </row>
    <row r="114" spans="1:7" ht="15" customHeight="1">
      <c r="A114" s="680"/>
      <c r="B114" s="1200"/>
      <c r="C114" s="1120"/>
      <c r="D114" s="1120"/>
      <c r="E114" s="1015">
        <f t="shared" si="1"/>
        <v>0</v>
      </c>
      <c r="F114" s="1201"/>
      <c r="G114" s="1029"/>
    </row>
    <row r="115" spans="1:7" ht="15" customHeight="1">
      <c r="A115" s="680"/>
      <c r="B115" s="1200"/>
      <c r="C115" s="1120"/>
      <c r="D115" s="1120"/>
      <c r="E115" s="1015">
        <f t="shared" si="1"/>
        <v>0</v>
      </c>
      <c r="F115" s="1201"/>
      <c r="G115" s="1029"/>
    </row>
    <row r="116" spans="1:7" ht="15" customHeight="1">
      <c r="A116" s="680"/>
      <c r="B116" s="1200"/>
      <c r="C116" s="1120"/>
      <c r="D116" s="1120"/>
      <c r="E116" s="1015">
        <f t="shared" si="1"/>
        <v>0</v>
      </c>
      <c r="F116" s="1201"/>
      <c r="G116" s="1029"/>
    </row>
    <row r="117" spans="1:7" ht="15" customHeight="1">
      <c r="A117" s="680"/>
      <c r="B117" s="1200"/>
      <c r="C117" s="1120"/>
      <c r="D117" s="1120"/>
      <c r="E117" s="1015">
        <f t="shared" si="1"/>
        <v>0</v>
      </c>
      <c r="F117" s="1201"/>
      <c r="G117" s="1029"/>
    </row>
    <row r="118" spans="1:7" ht="15" customHeight="1">
      <c r="A118" s="680"/>
      <c r="B118" s="1200"/>
      <c r="C118" s="1120"/>
      <c r="D118" s="1120"/>
      <c r="E118" s="1015">
        <f t="shared" si="1"/>
        <v>0</v>
      </c>
      <c r="F118" s="1201"/>
      <c r="G118" s="1029"/>
    </row>
    <row r="119" spans="1:7" ht="15" customHeight="1">
      <c r="A119" s="680"/>
      <c r="B119" s="1200"/>
      <c r="C119" s="1120"/>
      <c r="D119" s="1120"/>
      <c r="E119" s="1015">
        <f t="shared" si="1"/>
        <v>0</v>
      </c>
      <c r="F119" s="1201"/>
      <c r="G119" s="1029"/>
    </row>
    <row r="120" spans="1:7" ht="15" customHeight="1">
      <c r="A120" s="680"/>
      <c r="B120" s="1200"/>
      <c r="C120" s="1120"/>
      <c r="D120" s="1120"/>
      <c r="E120" s="1015">
        <f t="shared" si="1"/>
        <v>0</v>
      </c>
      <c r="F120" s="1201"/>
      <c r="G120" s="1029"/>
    </row>
    <row r="121" spans="1:7" ht="15" customHeight="1">
      <c r="A121" s="680"/>
      <c r="B121" s="1200"/>
      <c r="C121" s="1120"/>
      <c r="D121" s="1120"/>
      <c r="E121" s="1015">
        <f t="shared" si="1"/>
        <v>0</v>
      </c>
      <c r="F121" s="1201"/>
      <c r="G121" s="1029"/>
    </row>
    <row r="122" spans="1:7" ht="15" customHeight="1">
      <c r="A122" s="680"/>
      <c r="B122" s="1200"/>
      <c r="C122" s="1120"/>
      <c r="D122" s="1120"/>
      <c r="E122" s="1015">
        <f t="shared" si="1"/>
        <v>0</v>
      </c>
      <c r="F122" s="1201"/>
      <c r="G122" s="1029"/>
    </row>
    <row r="123" spans="1:7" ht="15" customHeight="1">
      <c r="A123" s="680"/>
      <c r="B123" s="1200"/>
      <c r="C123" s="1120"/>
      <c r="D123" s="1120"/>
      <c r="E123" s="1015">
        <f t="shared" si="1"/>
        <v>0</v>
      </c>
      <c r="F123" s="1201"/>
      <c r="G123" s="1029"/>
    </row>
    <row r="124" spans="1:7" ht="15" customHeight="1">
      <c r="A124" s="680"/>
      <c r="B124" s="1200"/>
      <c r="C124" s="1120"/>
      <c r="D124" s="1120"/>
      <c r="E124" s="1015">
        <f t="shared" si="1"/>
        <v>0</v>
      </c>
      <c r="F124" s="1201"/>
      <c r="G124" s="1029"/>
    </row>
    <row r="125" spans="1:7" ht="15" customHeight="1">
      <c r="A125" s="680"/>
      <c r="B125" s="1200"/>
      <c r="C125" s="1120"/>
      <c r="D125" s="1120"/>
      <c r="E125" s="1015">
        <f t="shared" si="1"/>
        <v>0</v>
      </c>
      <c r="F125" s="1201"/>
      <c r="G125" s="1029"/>
    </row>
    <row r="126" spans="1:7" ht="15" customHeight="1">
      <c r="A126" s="680"/>
      <c r="B126" s="1200"/>
      <c r="C126" s="1120"/>
      <c r="D126" s="1120"/>
      <c r="E126" s="1015">
        <f t="shared" si="1"/>
        <v>0</v>
      </c>
      <c r="F126" s="1201"/>
      <c r="G126" s="1029"/>
    </row>
    <row r="127" spans="1:7" ht="15" customHeight="1">
      <c r="A127" s="680"/>
      <c r="B127" s="1200"/>
      <c r="C127" s="1120"/>
      <c r="D127" s="1120"/>
      <c r="E127" s="1015">
        <f t="shared" si="1"/>
        <v>0</v>
      </c>
      <c r="F127" s="1201"/>
      <c r="G127" s="1029"/>
    </row>
    <row r="128" spans="1:7" ht="15" customHeight="1">
      <c r="A128" s="680"/>
      <c r="B128" s="1200"/>
      <c r="C128" s="1120"/>
      <c r="D128" s="1120"/>
      <c r="E128" s="1015">
        <f t="shared" si="1"/>
        <v>0</v>
      </c>
      <c r="F128" s="1201"/>
      <c r="G128" s="1029"/>
    </row>
    <row r="129" spans="1:7" ht="15" customHeight="1">
      <c r="A129" s="680"/>
      <c r="B129" s="1200"/>
      <c r="C129" s="1120"/>
      <c r="D129" s="1120"/>
      <c r="E129" s="1015">
        <f t="shared" si="1"/>
        <v>0</v>
      </c>
      <c r="F129" s="1201"/>
      <c r="G129" s="1029"/>
    </row>
    <row r="130" spans="1:7" ht="15" customHeight="1">
      <c r="A130" s="680"/>
      <c r="B130" s="1200"/>
      <c r="C130" s="1120"/>
      <c r="D130" s="1120"/>
      <c r="E130" s="1015">
        <f t="shared" si="1"/>
        <v>0</v>
      </c>
      <c r="F130" s="1201"/>
      <c r="G130" s="1029"/>
    </row>
    <row r="131" spans="1:7" ht="15" customHeight="1">
      <c r="A131" s="680"/>
      <c r="B131" s="1200"/>
      <c r="C131" s="1120"/>
      <c r="D131" s="1120"/>
      <c r="E131" s="1015">
        <f t="shared" si="1"/>
        <v>0</v>
      </c>
      <c r="F131" s="1201"/>
      <c r="G131" s="1029"/>
    </row>
    <row r="132" spans="1:7" ht="15" customHeight="1">
      <c r="A132" s="680"/>
      <c r="B132" s="1200"/>
      <c r="C132" s="1120"/>
      <c r="D132" s="1120"/>
      <c r="E132" s="1015">
        <f t="shared" si="1"/>
        <v>0</v>
      </c>
      <c r="F132" s="1201"/>
      <c r="G132" s="1029"/>
    </row>
    <row r="133" spans="1:7" ht="15" customHeight="1">
      <c r="A133" s="680"/>
      <c r="B133" s="1200"/>
      <c r="C133" s="1120"/>
      <c r="D133" s="1120"/>
      <c r="E133" s="1015">
        <f t="shared" si="1"/>
        <v>0</v>
      </c>
      <c r="F133" s="1201"/>
      <c r="G133" s="1029"/>
    </row>
    <row r="134" spans="1:7" ht="15" customHeight="1">
      <c r="A134" s="680"/>
      <c r="B134" s="1200"/>
      <c r="C134" s="1120"/>
      <c r="D134" s="1120"/>
      <c r="E134" s="1015">
        <f t="shared" si="1"/>
        <v>0</v>
      </c>
      <c r="F134" s="1201"/>
      <c r="G134" s="1029"/>
    </row>
    <row r="135" spans="1:7" ht="15" customHeight="1">
      <c r="A135" s="680"/>
      <c r="B135" s="1200"/>
      <c r="C135" s="1120"/>
      <c r="D135" s="1120"/>
      <c r="E135" s="1015">
        <f t="shared" si="1"/>
        <v>0</v>
      </c>
      <c r="F135" s="1201"/>
      <c r="G135" s="1029"/>
    </row>
    <row r="136" spans="1:7" ht="15" customHeight="1">
      <c r="A136" s="680"/>
      <c r="B136" s="1200"/>
      <c r="C136" s="1120"/>
      <c r="D136" s="1120"/>
      <c r="E136" s="1015">
        <f t="shared" si="1"/>
        <v>0</v>
      </c>
      <c r="F136" s="1201"/>
      <c r="G136" s="1029"/>
    </row>
    <row r="137" spans="1:7" ht="15" customHeight="1">
      <c r="A137" s="680"/>
      <c r="B137" s="1200"/>
      <c r="C137" s="1120"/>
      <c r="D137" s="1120"/>
      <c r="E137" s="1015">
        <f t="shared" si="1"/>
        <v>0</v>
      </c>
      <c r="F137" s="1201"/>
      <c r="G137" s="1029"/>
    </row>
    <row r="138" spans="1:7" ht="15" customHeight="1">
      <c r="A138" s="680"/>
      <c r="B138" s="1200"/>
      <c r="C138" s="1120"/>
      <c r="D138" s="1120"/>
      <c r="E138" s="1015">
        <f t="shared" si="1"/>
        <v>0</v>
      </c>
      <c r="F138" s="1201"/>
      <c r="G138" s="1029"/>
    </row>
    <row r="139" spans="1:7" ht="15" customHeight="1">
      <c r="A139" s="680"/>
      <c r="B139" s="1200"/>
      <c r="C139" s="1120"/>
      <c r="D139" s="1120"/>
      <c r="E139" s="1015">
        <f t="shared" si="1"/>
        <v>0</v>
      </c>
      <c r="F139" s="1201"/>
      <c r="G139" s="1029"/>
    </row>
    <row r="140" spans="1:7" ht="15" customHeight="1">
      <c r="A140" s="680"/>
      <c r="B140" s="1200"/>
      <c r="C140" s="1120"/>
      <c r="D140" s="1120"/>
      <c r="E140" s="1015">
        <f t="shared" si="1"/>
        <v>0</v>
      </c>
      <c r="F140" s="1201"/>
      <c r="G140" s="1029"/>
    </row>
    <row r="141" spans="1:7" ht="15" customHeight="1">
      <c r="A141" s="680"/>
      <c r="B141" s="1200"/>
      <c r="C141" s="1120"/>
      <c r="D141" s="1120"/>
      <c r="E141" s="1015">
        <f t="shared" si="1"/>
        <v>0</v>
      </c>
      <c r="F141" s="1201"/>
      <c r="G141" s="1029"/>
    </row>
    <row r="142" spans="1:7" ht="15" customHeight="1">
      <c r="A142" s="680"/>
      <c r="B142" s="1200"/>
      <c r="C142" s="1120"/>
      <c r="D142" s="1120"/>
      <c r="E142" s="1015">
        <f t="shared" si="1"/>
        <v>0</v>
      </c>
      <c r="F142" s="1201"/>
      <c r="G142" s="1029"/>
    </row>
    <row r="143" spans="1:7" ht="15" customHeight="1">
      <c r="A143" s="680"/>
      <c r="B143" s="1200"/>
      <c r="C143" s="1120"/>
      <c r="D143" s="1120"/>
      <c r="E143" s="1015">
        <f t="shared" si="1"/>
        <v>0</v>
      </c>
      <c r="F143" s="1201"/>
      <c r="G143" s="1029"/>
    </row>
    <row r="144" spans="1:7" ht="15" customHeight="1">
      <c r="A144" s="680"/>
      <c r="B144" s="1200"/>
      <c r="C144" s="1120"/>
      <c r="D144" s="1120"/>
      <c r="E144" s="1015">
        <f t="shared" si="1"/>
        <v>0</v>
      </c>
      <c r="F144" s="1201"/>
      <c r="G144" s="1029"/>
    </row>
    <row r="145" spans="1:7" ht="15" customHeight="1">
      <c r="A145" s="680"/>
      <c r="B145" s="1200"/>
      <c r="C145" s="1120"/>
      <c r="D145" s="1120"/>
      <c r="E145" s="1015">
        <f t="shared" ref="E145:E208" si="2">B145-C145+D145</f>
        <v>0</v>
      </c>
      <c r="F145" s="1201"/>
      <c r="G145" s="1029"/>
    </row>
    <row r="146" spans="1:7" ht="15" customHeight="1">
      <c r="A146" s="680"/>
      <c r="B146" s="1200"/>
      <c r="C146" s="1120"/>
      <c r="D146" s="1120"/>
      <c r="E146" s="1015">
        <f t="shared" si="2"/>
        <v>0</v>
      </c>
      <c r="F146" s="1201"/>
      <c r="G146" s="1029"/>
    </row>
    <row r="147" spans="1:7" ht="15" customHeight="1">
      <c r="A147" s="680"/>
      <c r="B147" s="1200"/>
      <c r="C147" s="1120"/>
      <c r="D147" s="1120"/>
      <c r="E147" s="1015">
        <f t="shared" si="2"/>
        <v>0</v>
      </c>
      <c r="F147" s="1201"/>
      <c r="G147" s="1029"/>
    </row>
    <row r="148" spans="1:7" ht="15" customHeight="1">
      <c r="A148" s="680"/>
      <c r="B148" s="1200"/>
      <c r="C148" s="1120"/>
      <c r="D148" s="1120"/>
      <c r="E148" s="1015">
        <f t="shared" si="2"/>
        <v>0</v>
      </c>
      <c r="F148" s="1201"/>
      <c r="G148" s="1029"/>
    </row>
    <row r="149" spans="1:7" ht="15" customHeight="1">
      <c r="A149" s="680"/>
      <c r="B149" s="1200"/>
      <c r="C149" s="1120"/>
      <c r="D149" s="1120"/>
      <c r="E149" s="1015">
        <f t="shared" si="2"/>
        <v>0</v>
      </c>
      <c r="F149" s="1201"/>
      <c r="G149" s="1029"/>
    </row>
    <row r="150" spans="1:7" ht="15" customHeight="1">
      <c r="A150" s="680"/>
      <c r="B150" s="1200"/>
      <c r="C150" s="1120"/>
      <c r="D150" s="1120"/>
      <c r="E150" s="1015">
        <f t="shared" si="2"/>
        <v>0</v>
      </c>
      <c r="F150" s="1201"/>
      <c r="G150" s="1029"/>
    </row>
    <row r="151" spans="1:7" ht="15" customHeight="1">
      <c r="A151" s="680"/>
      <c r="B151" s="1200"/>
      <c r="C151" s="1120"/>
      <c r="D151" s="1120"/>
      <c r="E151" s="1015">
        <f t="shared" si="2"/>
        <v>0</v>
      </c>
      <c r="F151" s="1201"/>
      <c r="G151" s="1029"/>
    </row>
    <row r="152" spans="1:7" ht="15" customHeight="1">
      <c r="A152" s="680"/>
      <c r="B152" s="1200"/>
      <c r="C152" s="1120"/>
      <c r="D152" s="1120"/>
      <c r="E152" s="1015">
        <f t="shared" si="2"/>
        <v>0</v>
      </c>
      <c r="F152" s="1201"/>
      <c r="G152" s="1029"/>
    </row>
    <row r="153" spans="1:7" ht="15" customHeight="1">
      <c r="A153" s="680"/>
      <c r="B153" s="1200"/>
      <c r="C153" s="1120"/>
      <c r="D153" s="1120"/>
      <c r="E153" s="1015">
        <f t="shared" si="2"/>
        <v>0</v>
      </c>
      <c r="F153" s="1201"/>
      <c r="G153" s="1029"/>
    </row>
    <row r="154" spans="1:7" ht="15" customHeight="1">
      <c r="A154" s="680"/>
      <c r="B154" s="1200"/>
      <c r="C154" s="1120"/>
      <c r="D154" s="1120"/>
      <c r="E154" s="1015">
        <f t="shared" si="2"/>
        <v>0</v>
      </c>
      <c r="F154" s="1201"/>
      <c r="G154" s="1029"/>
    </row>
    <row r="155" spans="1:7" ht="15" customHeight="1">
      <c r="A155" s="680"/>
      <c r="B155" s="1200"/>
      <c r="C155" s="1120"/>
      <c r="D155" s="1120"/>
      <c r="E155" s="1015">
        <f t="shared" si="2"/>
        <v>0</v>
      </c>
      <c r="F155" s="1201"/>
      <c r="G155" s="1029"/>
    </row>
    <row r="156" spans="1:7" ht="15" customHeight="1">
      <c r="A156" s="680"/>
      <c r="B156" s="1200"/>
      <c r="C156" s="1120"/>
      <c r="D156" s="1120"/>
      <c r="E156" s="1015">
        <f t="shared" si="2"/>
        <v>0</v>
      </c>
      <c r="F156" s="1201"/>
      <c r="G156" s="1029"/>
    </row>
    <row r="157" spans="1:7" ht="15" customHeight="1">
      <c r="A157" s="680"/>
      <c r="B157" s="1200"/>
      <c r="C157" s="1120"/>
      <c r="D157" s="1120"/>
      <c r="E157" s="1015">
        <f t="shared" si="2"/>
        <v>0</v>
      </c>
      <c r="F157" s="1201"/>
      <c r="G157" s="1029"/>
    </row>
    <row r="158" spans="1:7" ht="15" customHeight="1">
      <c r="A158" s="680"/>
      <c r="B158" s="1200"/>
      <c r="C158" s="1120"/>
      <c r="D158" s="1120"/>
      <c r="E158" s="1015">
        <f t="shared" si="2"/>
        <v>0</v>
      </c>
      <c r="F158" s="1201"/>
      <c r="G158" s="1029"/>
    </row>
    <row r="159" spans="1:7" ht="15" customHeight="1">
      <c r="A159" s="680"/>
      <c r="B159" s="1200"/>
      <c r="C159" s="1120"/>
      <c r="D159" s="1120"/>
      <c r="E159" s="1015">
        <f t="shared" si="2"/>
        <v>0</v>
      </c>
      <c r="F159" s="1201"/>
      <c r="G159" s="1029"/>
    </row>
    <row r="160" spans="1:7" ht="15" customHeight="1">
      <c r="A160" s="680"/>
      <c r="B160" s="1200"/>
      <c r="C160" s="1120"/>
      <c r="D160" s="1120"/>
      <c r="E160" s="1015">
        <f t="shared" si="2"/>
        <v>0</v>
      </c>
      <c r="F160" s="1201"/>
      <c r="G160" s="1029"/>
    </row>
    <row r="161" spans="1:7" ht="15" customHeight="1">
      <c r="A161" s="680"/>
      <c r="B161" s="1200"/>
      <c r="C161" s="1120"/>
      <c r="D161" s="1120"/>
      <c r="E161" s="1015">
        <f t="shared" si="2"/>
        <v>0</v>
      </c>
      <c r="F161" s="1201"/>
      <c r="G161" s="1029"/>
    </row>
    <row r="162" spans="1:7" ht="15" customHeight="1">
      <c r="A162" s="680"/>
      <c r="B162" s="1200"/>
      <c r="C162" s="1120"/>
      <c r="D162" s="1120"/>
      <c r="E162" s="1015">
        <f t="shared" si="2"/>
        <v>0</v>
      </c>
      <c r="F162" s="1201"/>
      <c r="G162" s="1029"/>
    </row>
    <row r="163" spans="1:7" ht="15" customHeight="1">
      <c r="A163" s="680"/>
      <c r="B163" s="1200"/>
      <c r="C163" s="1120"/>
      <c r="D163" s="1120"/>
      <c r="E163" s="1015">
        <f t="shared" si="2"/>
        <v>0</v>
      </c>
      <c r="F163" s="1201"/>
      <c r="G163" s="1029"/>
    </row>
    <row r="164" spans="1:7" ht="15" customHeight="1">
      <c r="A164" s="680"/>
      <c r="B164" s="1200"/>
      <c r="C164" s="1120"/>
      <c r="D164" s="1120"/>
      <c r="E164" s="1015">
        <f t="shared" si="2"/>
        <v>0</v>
      </c>
      <c r="F164" s="1201"/>
      <c r="G164" s="1029"/>
    </row>
    <row r="165" spans="1:7" ht="15" customHeight="1">
      <c r="A165" s="680"/>
      <c r="B165" s="1200"/>
      <c r="C165" s="1120"/>
      <c r="D165" s="1120"/>
      <c r="E165" s="1015">
        <f t="shared" si="2"/>
        <v>0</v>
      </c>
      <c r="F165" s="1201"/>
      <c r="G165" s="1029"/>
    </row>
    <row r="166" spans="1:7" ht="15" customHeight="1">
      <c r="A166" s="680"/>
      <c r="B166" s="1200"/>
      <c r="C166" s="1120"/>
      <c r="D166" s="1120"/>
      <c r="E166" s="1015">
        <f t="shared" si="2"/>
        <v>0</v>
      </c>
      <c r="F166" s="1201"/>
      <c r="G166" s="1029"/>
    </row>
    <row r="167" spans="1:7" ht="15" customHeight="1">
      <c r="A167" s="680"/>
      <c r="B167" s="1200"/>
      <c r="C167" s="1120"/>
      <c r="D167" s="1120"/>
      <c r="E167" s="1015">
        <f t="shared" si="2"/>
        <v>0</v>
      </c>
      <c r="F167" s="1201"/>
      <c r="G167" s="1029"/>
    </row>
    <row r="168" spans="1:7" ht="15" customHeight="1">
      <c r="A168" s="680"/>
      <c r="B168" s="1200"/>
      <c r="C168" s="1120"/>
      <c r="D168" s="1120"/>
      <c r="E168" s="1015">
        <f t="shared" si="2"/>
        <v>0</v>
      </c>
      <c r="F168" s="1201"/>
      <c r="G168" s="1029"/>
    </row>
    <row r="169" spans="1:7" ht="15" customHeight="1">
      <c r="A169" s="680"/>
      <c r="B169" s="1200"/>
      <c r="C169" s="1120"/>
      <c r="D169" s="1120"/>
      <c r="E169" s="1015">
        <f t="shared" si="2"/>
        <v>0</v>
      </c>
      <c r="F169" s="1201"/>
      <c r="G169" s="1029"/>
    </row>
    <row r="170" spans="1:7" ht="15" customHeight="1">
      <c r="A170" s="680"/>
      <c r="B170" s="1200"/>
      <c r="C170" s="1120"/>
      <c r="D170" s="1120"/>
      <c r="E170" s="1015">
        <f t="shared" si="2"/>
        <v>0</v>
      </c>
      <c r="F170" s="1201"/>
      <c r="G170" s="1029"/>
    </row>
    <row r="171" spans="1:7" ht="15" customHeight="1">
      <c r="A171" s="680"/>
      <c r="B171" s="1200"/>
      <c r="C171" s="1120"/>
      <c r="D171" s="1120"/>
      <c r="E171" s="1015">
        <f t="shared" si="2"/>
        <v>0</v>
      </c>
      <c r="F171" s="1201"/>
      <c r="G171" s="1029"/>
    </row>
    <row r="172" spans="1:7" ht="15" customHeight="1">
      <c r="A172" s="680"/>
      <c r="B172" s="1200"/>
      <c r="C172" s="1120"/>
      <c r="D172" s="1120"/>
      <c r="E172" s="1015">
        <f t="shared" si="2"/>
        <v>0</v>
      </c>
      <c r="F172" s="1201"/>
      <c r="G172" s="1029"/>
    </row>
    <row r="173" spans="1:7" ht="15" customHeight="1">
      <c r="A173" s="680"/>
      <c r="B173" s="1200"/>
      <c r="C173" s="1120"/>
      <c r="D173" s="1120"/>
      <c r="E173" s="1015">
        <f t="shared" si="2"/>
        <v>0</v>
      </c>
      <c r="F173" s="1201"/>
      <c r="G173" s="1029"/>
    </row>
    <row r="174" spans="1:7" ht="15" customHeight="1">
      <c r="A174" s="680"/>
      <c r="B174" s="1200"/>
      <c r="C174" s="1120"/>
      <c r="D174" s="1120"/>
      <c r="E174" s="1015">
        <f t="shared" si="2"/>
        <v>0</v>
      </c>
      <c r="F174" s="1201"/>
      <c r="G174" s="1029"/>
    </row>
    <row r="175" spans="1:7" ht="15" customHeight="1">
      <c r="A175" s="680"/>
      <c r="B175" s="1200"/>
      <c r="C175" s="1120"/>
      <c r="D175" s="1120"/>
      <c r="E175" s="1015">
        <f t="shared" si="2"/>
        <v>0</v>
      </c>
      <c r="F175" s="1201"/>
      <c r="G175" s="1029"/>
    </row>
    <row r="176" spans="1:7" ht="15" customHeight="1">
      <c r="A176" s="680"/>
      <c r="B176" s="1200"/>
      <c r="C176" s="1120"/>
      <c r="D176" s="1120"/>
      <c r="E176" s="1015">
        <f t="shared" si="2"/>
        <v>0</v>
      </c>
      <c r="F176" s="1201"/>
      <c r="G176" s="1029"/>
    </row>
    <row r="177" spans="1:7" ht="15" customHeight="1">
      <c r="A177" s="680"/>
      <c r="B177" s="1200"/>
      <c r="C177" s="1120"/>
      <c r="D177" s="1120"/>
      <c r="E177" s="1015">
        <f t="shared" si="2"/>
        <v>0</v>
      </c>
      <c r="F177" s="1201"/>
      <c r="G177" s="1029"/>
    </row>
    <row r="178" spans="1:7" ht="15" customHeight="1">
      <c r="A178" s="680"/>
      <c r="B178" s="1200"/>
      <c r="C178" s="1120"/>
      <c r="D178" s="1120"/>
      <c r="E178" s="1015">
        <f t="shared" si="2"/>
        <v>0</v>
      </c>
      <c r="F178" s="1201"/>
      <c r="G178" s="1029"/>
    </row>
    <row r="179" spans="1:7" ht="15" customHeight="1">
      <c r="A179" s="680"/>
      <c r="B179" s="1200"/>
      <c r="C179" s="1120"/>
      <c r="D179" s="1120"/>
      <c r="E179" s="1015">
        <f t="shared" si="2"/>
        <v>0</v>
      </c>
      <c r="F179" s="1201"/>
      <c r="G179" s="1029"/>
    </row>
    <row r="180" spans="1:7" ht="15" customHeight="1">
      <c r="A180" s="680"/>
      <c r="B180" s="1200"/>
      <c r="C180" s="1120"/>
      <c r="D180" s="1120"/>
      <c r="E180" s="1015">
        <f t="shared" si="2"/>
        <v>0</v>
      </c>
      <c r="F180" s="1201"/>
      <c r="G180" s="1029"/>
    </row>
    <row r="181" spans="1:7" ht="15" customHeight="1">
      <c r="A181" s="680"/>
      <c r="B181" s="1200"/>
      <c r="C181" s="1120"/>
      <c r="D181" s="1120"/>
      <c r="E181" s="1015">
        <f t="shared" si="2"/>
        <v>0</v>
      </c>
      <c r="F181" s="1201"/>
      <c r="G181" s="1029"/>
    </row>
    <row r="182" spans="1:7" ht="15" customHeight="1">
      <c r="A182" s="680"/>
      <c r="B182" s="1200"/>
      <c r="C182" s="1120"/>
      <c r="D182" s="1120"/>
      <c r="E182" s="1015">
        <f t="shared" si="2"/>
        <v>0</v>
      </c>
      <c r="F182" s="1201"/>
      <c r="G182" s="1029"/>
    </row>
    <row r="183" spans="1:7" ht="15" customHeight="1">
      <c r="A183" s="680"/>
      <c r="B183" s="1200"/>
      <c r="C183" s="1120"/>
      <c r="D183" s="1120"/>
      <c r="E183" s="1015">
        <f t="shared" si="2"/>
        <v>0</v>
      </c>
      <c r="F183" s="1201"/>
      <c r="G183" s="1029"/>
    </row>
    <row r="184" spans="1:7" ht="15" customHeight="1">
      <c r="A184" s="680"/>
      <c r="B184" s="1200"/>
      <c r="C184" s="1120"/>
      <c r="D184" s="1120"/>
      <c r="E184" s="1015">
        <f t="shared" si="2"/>
        <v>0</v>
      </c>
      <c r="F184" s="1201"/>
      <c r="G184" s="1029"/>
    </row>
    <row r="185" spans="1:7" ht="15" customHeight="1">
      <c r="A185" s="680"/>
      <c r="B185" s="1200"/>
      <c r="C185" s="1120"/>
      <c r="D185" s="1120"/>
      <c r="E185" s="1015">
        <f t="shared" si="2"/>
        <v>0</v>
      </c>
      <c r="F185" s="1201"/>
      <c r="G185" s="1029"/>
    </row>
    <row r="186" spans="1:7" ht="15" customHeight="1">
      <c r="A186" s="680"/>
      <c r="B186" s="1200"/>
      <c r="C186" s="1120"/>
      <c r="D186" s="1120"/>
      <c r="E186" s="1015">
        <f t="shared" si="2"/>
        <v>0</v>
      </c>
      <c r="F186" s="1201"/>
      <c r="G186" s="1029"/>
    </row>
    <row r="187" spans="1:7" ht="15" customHeight="1">
      <c r="A187" s="680"/>
      <c r="B187" s="1200"/>
      <c r="C187" s="1120"/>
      <c r="D187" s="1120"/>
      <c r="E187" s="1015">
        <f t="shared" si="2"/>
        <v>0</v>
      </c>
      <c r="F187" s="1201"/>
      <c r="G187" s="1029"/>
    </row>
    <row r="188" spans="1:7" ht="15" customHeight="1">
      <c r="A188" s="680"/>
      <c r="B188" s="1200"/>
      <c r="C188" s="1120"/>
      <c r="D188" s="1120"/>
      <c r="E188" s="1015">
        <f t="shared" si="2"/>
        <v>0</v>
      </c>
      <c r="F188" s="1201"/>
      <c r="G188" s="1029"/>
    </row>
    <row r="189" spans="1:7" ht="15" customHeight="1">
      <c r="A189" s="680"/>
      <c r="B189" s="1200"/>
      <c r="C189" s="1120"/>
      <c r="D189" s="1120"/>
      <c r="E189" s="1015">
        <f t="shared" si="2"/>
        <v>0</v>
      </c>
      <c r="F189" s="1201"/>
      <c r="G189" s="1029"/>
    </row>
    <row r="190" spans="1:7" ht="15" customHeight="1">
      <c r="A190" s="680"/>
      <c r="B190" s="1200"/>
      <c r="C190" s="1120"/>
      <c r="D190" s="1120"/>
      <c r="E190" s="1015">
        <f t="shared" si="2"/>
        <v>0</v>
      </c>
      <c r="F190" s="1201"/>
      <c r="G190" s="1029"/>
    </row>
    <row r="191" spans="1:7" ht="15" customHeight="1">
      <c r="A191" s="680"/>
      <c r="B191" s="1200"/>
      <c r="C191" s="1120"/>
      <c r="D191" s="1120"/>
      <c r="E191" s="1015">
        <f t="shared" si="2"/>
        <v>0</v>
      </c>
      <c r="F191" s="1201"/>
      <c r="G191" s="1029"/>
    </row>
    <row r="192" spans="1:7" ht="15" customHeight="1">
      <c r="A192" s="680"/>
      <c r="B192" s="1200"/>
      <c r="C192" s="1120"/>
      <c r="D192" s="1120"/>
      <c r="E192" s="1015">
        <f t="shared" si="2"/>
        <v>0</v>
      </c>
      <c r="F192" s="1201"/>
      <c r="G192" s="1029"/>
    </row>
    <row r="193" spans="1:7" ht="15" customHeight="1">
      <c r="A193" s="680"/>
      <c r="B193" s="1200"/>
      <c r="C193" s="1120"/>
      <c r="D193" s="1120"/>
      <c r="E193" s="1015">
        <f t="shared" si="2"/>
        <v>0</v>
      </c>
      <c r="F193" s="1201"/>
      <c r="G193" s="1029"/>
    </row>
    <row r="194" spans="1:7" ht="15" customHeight="1">
      <c r="A194" s="680"/>
      <c r="B194" s="1200"/>
      <c r="C194" s="1120"/>
      <c r="D194" s="1120"/>
      <c r="E194" s="1015">
        <f t="shared" si="2"/>
        <v>0</v>
      </c>
      <c r="F194" s="1201"/>
      <c r="G194" s="1029"/>
    </row>
    <row r="195" spans="1:7" ht="15" customHeight="1">
      <c r="A195" s="680"/>
      <c r="B195" s="1200"/>
      <c r="C195" s="1120"/>
      <c r="D195" s="1120"/>
      <c r="E195" s="1015">
        <f t="shared" si="2"/>
        <v>0</v>
      </c>
      <c r="F195" s="1201"/>
      <c r="G195" s="1029"/>
    </row>
    <row r="196" spans="1:7" ht="15" customHeight="1">
      <c r="A196" s="680"/>
      <c r="B196" s="1200"/>
      <c r="C196" s="1120"/>
      <c r="D196" s="1120"/>
      <c r="E196" s="1015">
        <f t="shared" si="2"/>
        <v>0</v>
      </c>
      <c r="F196" s="1201"/>
      <c r="G196" s="1029"/>
    </row>
    <row r="197" spans="1:7" ht="15" customHeight="1">
      <c r="A197" s="680"/>
      <c r="B197" s="1200"/>
      <c r="C197" s="1120"/>
      <c r="D197" s="1120"/>
      <c r="E197" s="1015">
        <f t="shared" si="2"/>
        <v>0</v>
      </c>
      <c r="F197" s="1201"/>
      <c r="G197" s="1029"/>
    </row>
    <row r="198" spans="1:7" ht="15" customHeight="1">
      <c r="A198" s="680"/>
      <c r="B198" s="1200"/>
      <c r="C198" s="1120"/>
      <c r="D198" s="1120"/>
      <c r="E198" s="1015">
        <f t="shared" si="2"/>
        <v>0</v>
      </c>
      <c r="F198" s="1201"/>
      <c r="G198" s="1029"/>
    </row>
    <row r="199" spans="1:7" ht="15" customHeight="1">
      <c r="A199" s="680"/>
      <c r="B199" s="1200"/>
      <c r="C199" s="1120"/>
      <c r="D199" s="1120"/>
      <c r="E199" s="1015">
        <f t="shared" si="2"/>
        <v>0</v>
      </c>
      <c r="F199" s="1201"/>
      <c r="G199" s="1029"/>
    </row>
    <row r="200" spans="1:7" ht="15" customHeight="1">
      <c r="A200" s="680"/>
      <c r="B200" s="1200"/>
      <c r="C200" s="1120"/>
      <c r="D200" s="1120"/>
      <c r="E200" s="1015">
        <f t="shared" si="2"/>
        <v>0</v>
      </c>
      <c r="F200" s="1201"/>
      <c r="G200" s="1029"/>
    </row>
    <row r="201" spans="1:7" ht="15" customHeight="1">
      <c r="A201" s="680"/>
      <c r="B201" s="1200"/>
      <c r="C201" s="1120"/>
      <c r="D201" s="1120"/>
      <c r="E201" s="1015">
        <f t="shared" si="2"/>
        <v>0</v>
      </c>
      <c r="F201" s="1201"/>
      <c r="G201" s="1029"/>
    </row>
    <row r="202" spans="1:7" ht="15" customHeight="1">
      <c r="A202" s="680"/>
      <c r="B202" s="1200"/>
      <c r="C202" s="1120"/>
      <c r="D202" s="1120"/>
      <c r="E202" s="1015">
        <f t="shared" si="2"/>
        <v>0</v>
      </c>
      <c r="F202" s="1201"/>
      <c r="G202" s="1029"/>
    </row>
    <row r="203" spans="1:7" ht="15" customHeight="1">
      <c r="A203" s="680"/>
      <c r="B203" s="1200"/>
      <c r="C203" s="1120"/>
      <c r="D203" s="1120"/>
      <c r="E203" s="1015">
        <f t="shared" si="2"/>
        <v>0</v>
      </c>
      <c r="F203" s="1201"/>
      <c r="G203" s="1029"/>
    </row>
    <row r="204" spans="1:7" ht="15" customHeight="1">
      <c r="A204" s="680"/>
      <c r="B204" s="1200"/>
      <c r="C204" s="1120"/>
      <c r="D204" s="1120"/>
      <c r="E204" s="1015">
        <f t="shared" si="2"/>
        <v>0</v>
      </c>
      <c r="F204" s="1201"/>
      <c r="G204" s="1029"/>
    </row>
    <row r="205" spans="1:7" ht="15" customHeight="1">
      <c r="A205" s="680"/>
      <c r="B205" s="1200"/>
      <c r="C205" s="1120"/>
      <c r="D205" s="1120"/>
      <c r="E205" s="1015">
        <f t="shared" si="2"/>
        <v>0</v>
      </c>
      <c r="F205" s="1201"/>
      <c r="G205" s="1029"/>
    </row>
    <row r="206" spans="1:7" ht="15" customHeight="1">
      <c r="A206" s="680"/>
      <c r="B206" s="1200"/>
      <c r="C206" s="1120"/>
      <c r="D206" s="1120"/>
      <c r="E206" s="1015">
        <f t="shared" si="2"/>
        <v>0</v>
      </c>
      <c r="F206" s="1201"/>
      <c r="G206" s="1029"/>
    </row>
    <row r="207" spans="1:7" ht="15" customHeight="1">
      <c r="A207" s="680"/>
      <c r="B207" s="1200"/>
      <c r="C207" s="1120"/>
      <c r="D207" s="1120"/>
      <c r="E207" s="1015">
        <f t="shared" si="2"/>
        <v>0</v>
      </c>
      <c r="F207" s="1201"/>
      <c r="G207" s="1029"/>
    </row>
    <row r="208" spans="1:7" ht="15" customHeight="1">
      <c r="A208" s="680"/>
      <c r="B208" s="1200"/>
      <c r="C208" s="1120"/>
      <c r="D208" s="1120"/>
      <c r="E208" s="1015">
        <f t="shared" si="2"/>
        <v>0</v>
      </c>
      <c r="F208" s="1201"/>
      <c r="G208" s="1029"/>
    </row>
    <row r="209" spans="1:7" ht="15" customHeight="1">
      <c r="A209" s="680"/>
      <c r="B209" s="1200"/>
      <c r="C209" s="1120"/>
      <c r="D209" s="1120"/>
      <c r="E209" s="1015">
        <f t="shared" ref="E209:E272" si="3">B209-C209+D209</f>
        <v>0</v>
      </c>
      <c r="F209" s="1201"/>
      <c r="G209" s="1029"/>
    </row>
    <row r="210" spans="1:7" ht="15" customHeight="1">
      <c r="A210" s="680"/>
      <c r="B210" s="1200"/>
      <c r="C210" s="1120"/>
      <c r="D210" s="1120"/>
      <c r="E210" s="1015">
        <f t="shared" si="3"/>
        <v>0</v>
      </c>
      <c r="F210" s="1201"/>
      <c r="G210" s="1029"/>
    </row>
    <row r="211" spans="1:7" ht="15" customHeight="1">
      <c r="A211" s="680"/>
      <c r="B211" s="1200"/>
      <c r="C211" s="1120"/>
      <c r="D211" s="1120"/>
      <c r="E211" s="1015">
        <f t="shared" si="3"/>
        <v>0</v>
      </c>
      <c r="F211" s="1201"/>
      <c r="G211" s="1029"/>
    </row>
    <row r="212" spans="1:7" ht="15" customHeight="1">
      <c r="A212" s="680"/>
      <c r="B212" s="1200"/>
      <c r="C212" s="1120"/>
      <c r="D212" s="1120"/>
      <c r="E212" s="1015">
        <f t="shared" si="3"/>
        <v>0</v>
      </c>
      <c r="F212" s="1201"/>
      <c r="G212" s="1029"/>
    </row>
    <row r="213" spans="1:7" ht="15" customHeight="1">
      <c r="A213" s="680"/>
      <c r="B213" s="1200"/>
      <c r="C213" s="1120"/>
      <c r="D213" s="1120"/>
      <c r="E213" s="1015">
        <f t="shared" si="3"/>
        <v>0</v>
      </c>
      <c r="F213" s="1201"/>
      <c r="G213" s="1029"/>
    </row>
    <row r="214" spans="1:7" ht="15" customHeight="1">
      <c r="A214" s="680"/>
      <c r="B214" s="1200"/>
      <c r="C214" s="1120"/>
      <c r="D214" s="1120"/>
      <c r="E214" s="1015">
        <f t="shared" si="3"/>
        <v>0</v>
      </c>
      <c r="F214" s="1201"/>
      <c r="G214" s="1029"/>
    </row>
    <row r="215" spans="1:7" ht="15" customHeight="1">
      <c r="A215" s="680"/>
      <c r="B215" s="1200"/>
      <c r="C215" s="1120"/>
      <c r="D215" s="1120"/>
      <c r="E215" s="1015">
        <f t="shared" si="3"/>
        <v>0</v>
      </c>
      <c r="F215" s="1201"/>
      <c r="G215" s="1029"/>
    </row>
    <row r="216" spans="1:7" ht="15" customHeight="1">
      <c r="A216" s="680"/>
      <c r="B216" s="1200"/>
      <c r="C216" s="1120"/>
      <c r="D216" s="1120"/>
      <c r="E216" s="1015">
        <f t="shared" si="3"/>
        <v>0</v>
      </c>
      <c r="F216" s="1201"/>
      <c r="G216" s="1029"/>
    </row>
    <row r="217" spans="1:7" ht="15" customHeight="1">
      <c r="A217" s="680"/>
      <c r="B217" s="1200"/>
      <c r="C217" s="1120"/>
      <c r="D217" s="1120"/>
      <c r="E217" s="1015">
        <f t="shared" si="3"/>
        <v>0</v>
      </c>
      <c r="F217" s="1201"/>
      <c r="G217" s="1029"/>
    </row>
    <row r="218" spans="1:7" ht="15" customHeight="1">
      <c r="A218" s="680"/>
      <c r="B218" s="1200"/>
      <c r="C218" s="1120"/>
      <c r="D218" s="1120"/>
      <c r="E218" s="1015">
        <f t="shared" si="3"/>
        <v>0</v>
      </c>
      <c r="F218" s="1201"/>
      <c r="G218" s="1029"/>
    </row>
    <row r="219" spans="1:7" ht="15" customHeight="1">
      <c r="A219" s="680"/>
      <c r="B219" s="1200"/>
      <c r="C219" s="1120"/>
      <c r="D219" s="1120"/>
      <c r="E219" s="1015">
        <f t="shared" si="3"/>
        <v>0</v>
      </c>
      <c r="F219" s="1201"/>
      <c r="G219" s="1029"/>
    </row>
    <row r="220" spans="1:7" ht="15" customHeight="1">
      <c r="A220" s="680"/>
      <c r="B220" s="1200"/>
      <c r="C220" s="1120"/>
      <c r="D220" s="1120"/>
      <c r="E220" s="1015">
        <f t="shared" si="3"/>
        <v>0</v>
      </c>
      <c r="F220" s="1201"/>
      <c r="G220" s="1029"/>
    </row>
    <row r="221" spans="1:7" ht="15" customHeight="1">
      <c r="A221" s="680"/>
      <c r="B221" s="1200"/>
      <c r="C221" s="1120"/>
      <c r="D221" s="1120"/>
      <c r="E221" s="1015">
        <f t="shared" si="3"/>
        <v>0</v>
      </c>
      <c r="F221" s="1201"/>
      <c r="G221" s="1029"/>
    </row>
    <row r="222" spans="1:7" ht="15" customHeight="1">
      <c r="A222" s="680"/>
      <c r="B222" s="1200"/>
      <c r="C222" s="1120"/>
      <c r="D222" s="1120"/>
      <c r="E222" s="1015">
        <f t="shared" si="3"/>
        <v>0</v>
      </c>
      <c r="F222" s="1201"/>
      <c r="G222" s="1029"/>
    </row>
    <row r="223" spans="1:7" ht="15" customHeight="1">
      <c r="A223" s="680"/>
      <c r="B223" s="1200"/>
      <c r="C223" s="1120"/>
      <c r="D223" s="1120"/>
      <c r="E223" s="1015">
        <f t="shared" si="3"/>
        <v>0</v>
      </c>
      <c r="F223" s="1201"/>
      <c r="G223" s="1029"/>
    </row>
    <row r="224" spans="1:7" ht="15" customHeight="1">
      <c r="A224" s="680"/>
      <c r="B224" s="1200"/>
      <c r="C224" s="1120"/>
      <c r="D224" s="1120"/>
      <c r="E224" s="1015">
        <f t="shared" si="3"/>
        <v>0</v>
      </c>
      <c r="F224" s="1201"/>
      <c r="G224" s="1029"/>
    </row>
    <row r="225" spans="1:7" ht="15" customHeight="1">
      <c r="A225" s="680"/>
      <c r="B225" s="1200"/>
      <c r="C225" s="1120"/>
      <c r="D225" s="1120"/>
      <c r="E225" s="1015">
        <f t="shared" si="3"/>
        <v>0</v>
      </c>
      <c r="F225" s="1201"/>
      <c r="G225" s="1029"/>
    </row>
    <row r="226" spans="1:7" ht="15" customHeight="1">
      <c r="A226" s="680"/>
      <c r="B226" s="1200"/>
      <c r="C226" s="1120"/>
      <c r="D226" s="1120"/>
      <c r="E226" s="1015">
        <f t="shared" si="3"/>
        <v>0</v>
      </c>
      <c r="F226" s="1201"/>
      <c r="G226" s="1029"/>
    </row>
    <row r="227" spans="1:7" ht="15" customHeight="1">
      <c r="A227" s="680"/>
      <c r="B227" s="1200"/>
      <c r="C227" s="1120"/>
      <c r="D227" s="1120"/>
      <c r="E227" s="1015">
        <f t="shared" si="3"/>
        <v>0</v>
      </c>
      <c r="F227" s="1201"/>
      <c r="G227" s="1029"/>
    </row>
    <row r="228" spans="1:7" ht="15" customHeight="1">
      <c r="A228" s="680"/>
      <c r="B228" s="1200"/>
      <c r="C228" s="1120"/>
      <c r="D228" s="1120"/>
      <c r="E228" s="1015">
        <f t="shared" si="3"/>
        <v>0</v>
      </c>
      <c r="F228" s="1201"/>
      <c r="G228" s="1029"/>
    </row>
    <row r="229" spans="1:7" ht="15" customHeight="1">
      <c r="A229" s="680"/>
      <c r="B229" s="1200"/>
      <c r="C229" s="1120"/>
      <c r="D229" s="1120"/>
      <c r="E229" s="1015">
        <f t="shared" si="3"/>
        <v>0</v>
      </c>
      <c r="F229" s="1201"/>
      <c r="G229" s="1029"/>
    </row>
    <row r="230" spans="1:7" ht="15" customHeight="1">
      <c r="A230" s="680"/>
      <c r="B230" s="1200"/>
      <c r="C230" s="1120"/>
      <c r="D230" s="1120"/>
      <c r="E230" s="1015">
        <f t="shared" si="3"/>
        <v>0</v>
      </c>
      <c r="F230" s="1201"/>
      <c r="G230" s="1029"/>
    </row>
    <row r="231" spans="1:7" ht="15" customHeight="1">
      <c r="A231" s="680"/>
      <c r="B231" s="1200"/>
      <c r="C231" s="1120"/>
      <c r="D231" s="1120"/>
      <c r="E231" s="1015">
        <f t="shared" si="3"/>
        <v>0</v>
      </c>
      <c r="F231" s="1201"/>
      <c r="G231" s="1029"/>
    </row>
    <row r="232" spans="1:7" ht="15" customHeight="1">
      <c r="A232" s="680"/>
      <c r="B232" s="1200"/>
      <c r="C232" s="1120"/>
      <c r="D232" s="1120"/>
      <c r="E232" s="1015">
        <f t="shared" si="3"/>
        <v>0</v>
      </c>
      <c r="F232" s="1201"/>
      <c r="G232" s="1029"/>
    </row>
    <row r="233" spans="1:7" ht="15" customHeight="1">
      <c r="A233" s="680"/>
      <c r="B233" s="1200"/>
      <c r="C233" s="1120"/>
      <c r="D233" s="1120"/>
      <c r="E233" s="1015">
        <f t="shared" si="3"/>
        <v>0</v>
      </c>
      <c r="F233" s="1201"/>
      <c r="G233" s="1029"/>
    </row>
    <row r="234" spans="1:7" ht="15" customHeight="1">
      <c r="A234" s="680"/>
      <c r="B234" s="1200"/>
      <c r="C234" s="1120"/>
      <c r="D234" s="1120"/>
      <c r="E234" s="1015">
        <f t="shared" si="3"/>
        <v>0</v>
      </c>
      <c r="F234" s="1201"/>
      <c r="G234" s="1029"/>
    </row>
    <row r="235" spans="1:7" ht="15" customHeight="1">
      <c r="A235" s="680"/>
      <c r="B235" s="1200"/>
      <c r="C235" s="1120"/>
      <c r="D235" s="1120"/>
      <c r="E235" s="1015">
        <f t="shared" si="3"/>
        <v>0</v>
      </c>
      <c r="F235" s="1201"/>
      <c r="G235" s="1029"/>
    </row>
    <row r="236" spans="1:7" ht="15" customHeight="1">
      <c r="A236" s="680"/>
      <c r="B236" s="1200"/>
      <c r="C236" s="1120"/>
      <c r="D236" s="1120"/>
      <c r="E236" s="1015">
        <f t="shared" si="3"/>
        <v>0</v>
      </c>
      <c r="F236" s="1201"/>
      <c r="G236" s="1029"/>
    </row>
    <row r="237" spans="1:7" ht="15" customHeight="1">
      <c r="A237" s="680"/>
      <c r="B237" s="1200"/>
      <c r="C237" s="1120"/>
      <c r="D237" s="1120"/>
      <c r="E237" s="1015">
        <f t="shared" si="3"/>
        <v>0</v>
      </c>
      <c r="F237" s="1201"/>
      <c r="G237" s="1029"/>
    </row>
    <row r="238" spans="1:7" ht="15" customHeight="1">
      <c r="A238" s="680"/>
      <c r="B238" s="1200"/>
      <c r="C238" s="1120"/>
      <c r="D238" s="1120"/>
      <c r="E238" s="1015">
        <f t="shared" si="3"/>
        <v>0</v>
      </c>
      <c r="F238" s="1201"/>
      <c r="G238" s="1029"/>
    </row>
    <row r="239" spans="1:7" ht="15" customHeight="1">
      <c r="A239" s="680"/>
      <c r="B239" s="1200"/>
      <c r="C239" s="1120"/>
      <c r="D239" s="1120"/>
      <c r="E239" s="1015">
        <f t="shared" si="3"/>
        <v>0</v>
      </c>
      <c r="F239" s="1201"/>
      <c r="G239" s="1029"/>
    </row>
    <row r="240" spans="1:7" ht="15" customHeight="1">
      <c r="A240" s="680"/>
      <c r="B240" s="1200"/>
      <c r="C240" s="1120"/>
      <c r="D240" s="1120"/>
      <c r="E240" s="1015">
        <f t="shared" si="3"/>
        <v>0</v>
      </c>
      <c r="F240" s="1201"/>
      <c r="G240" s="1029"/>
    </row>
    <row r="241" spans="1:7" ht="15" customHeight="1">
      <c r="A241" s="680"/>
      <c r="B241" s="1200"/>
      <c r="C241" s="1120"/>
      <c r="D241" s="1120"/>
      <c r="E241" s="1015">
        <f t="shared" si="3"/>
        <v>0</v>
      </c>
      <c r="F241" s="1201"/>
      <c r="G241" s="1029"/>
    </row>
    <row r="242" spans="1:7" ht="15" customHeight="1">
      <c r="A242" s="680"/>
      <c r="B242" s="1200"/>
      <c r="C242" s="1120"/>
      <c r="D242" s="1120"/>
      <c r="E242" s="1015">
        <f t="shared" si="3"/>
        <v>0</v>
      </c>
      <c r="F242" s="1201"/>
      <c r="G242" s="1029"/>
    </row>
    <row r="243" spans="1:7" ht="15" customHeight="1">
      <c r="A243" s="680"/>
      <c r="B243" s="1200"/>
      <c r="C243" s="1120"/>
      <c r="D243" s="1120"/>
      <c r="E243" s="1015">
        <f t="shared" si="3"/>
        <v>0</v>
      </c>
      <c r="F243" s="1201"/>
      <c r="G243" s="1029"/>
    </row>
    <row r="244" spans="1:7" ht="15" customHeight="1">
      <c r="A244" s="680"/>
      <c r="B244" s="1200"/>
      <c r="C244" s="1120"/>
      <c r="D244" s="1120"/>
      <c r="E244" s="1015">
        <f t="shared" si="3"/>
        <v>0</v>
      </c>
      <c r="F244" s="1201"/>
      <c r="G244" s="1029"/>
    </row>
    <row r="245" spans="1:7" ht="15" customHeight="1">
      <c r="A245" s="680"/>
      <c r="B245" s="1200"/>
      <c r="C245" s="1120"/>
      <c r="D245" s="1120"/>
      <c r="E245" s="1015">
        <f t="shared" si="3"/>
        <v>0</v>
      </c>
      <c r="F245" s="1201"/>
      <c r="G245" s="1029"/>
    </row>
    <row r="246" spans="1:7" ht="15" customHeight="1">
      <c r="A246" s="680"/>
      <c r="B246" s="1200"/>
      <c r="C246" s="1120"/>
      <c r="D246" s="1120"/>
      <c r="E246" s="1015">
        <f t="shared" si="3"/>
        <v>0</v>
      </c>
      <c r="F246" s="1201"/>
      <c r="G246" s="1029"/>
    </row>
    <row r="247" spans="1:7" ht="15" customHeight="1">
      <c r="A247" s="680"/>
      <c r="B247" s="1200"/>
      <c r="C247" s="1120"/>
      <c r="D247" s="1120"/>
      <c r="E247" s="1015">
        <f t="shared" si="3"/>
        <v>0</v>
      </c>
      <c r="F247" s="1201"/>
      <c r="G247" s="1029"/>
    </row>
    <row r="248" spans="1:7" ht="15" customHeight="1">
      <c r="A248" s="680"/>
      <c r="B248" s="1200"/>
      <c r="C248" s="1120"/>
      <c r="D248" s="1120"/>
      <c r="E248" s="1015">
        <f t="shared" si="3"/>
        <v>0</v>
      </c>
      <c r="F248" s="1201"/>
      <c r="G248" s="1029"/>
    </row>
    <row r="249" spans="1:7" ht="15" customHeight="1">
      <c r="A249" s="680"/>
      <c r="B249" s="1200"/>
      <c r="C249" s="1120"/>
      <c r="D249" s="1120"/>
      <c r="E249" s="1015">
        <f t="shared" si="3"/>
        <v>0</v>
      </c>
      <c r="F249" s="1201"/>
      <c r="G249" s="1029"/>
    </row>
    <row r="250" spans="1:7" ht="15" customHeight="1">
      <c r="A250" s="680"/>
      <c r="B250" s="1200"/>
      <c r="C250" s="1120"/>
      <c r="D250" s="1120"/>
      <c r="E250" s="1015">
        <f t="shared" si="3"/>
        <v>0</v>
      </c>
      <c r="F250" s="1201"/>
      <c r="G250" s="1029"/>
    </row>
    <row r="251" spans="1:7" ht="15" customHeight="1">
      <c r="A251" s="680"/>
      <c r="B251" s="1200"/>
      <c r="C251" s="1120"/>
      <c r="D251" s="1120"/>
      <c r="E251" s="1015">
        <f t="shared" si="3"/>
        <v>0</v>
      </c>
      <c r="F251" s="1201"/>
      <c r="G251" s="1029"/>
    </row>
    <row r="252" spans="1:7" ht="15" customHeight="1">
      <c r="A252" s="680"/>
      <c r="B252" s="1200"/>
      <c r="C252" s="1120"/>
      <c r="D252" s="1120"/>
      <c r="E252" s="1015">
        <f t="shared" si="3"/>
        <v>0</v>
      </c>
      <c r="F252" s="1201"/>
      <c r="G252" s="1029"/>
    </row>
    <row r="253" spans="1:7" ht="15" customHeight="1">
      <c r="A253" s="680"/>
      <c r="B253" s="1200"/>
      <c r="C253" s="1120"/>
      <c r="D253" s="1120"/>
      <c r="E253" s="1015">
        <f t="shared" si="3"/>
        <v>0</v>
      </c>
      <c r="F253" s="1201"/>
      <c r="G253" s="1029"/>
    </row>
    <row r="254" spans="1:7" ht="15" customHeight="1">
      <c r="A254" s="680"/>
      <c r="B254" s="1200"/>
      <c r="C254" s="1120"/>
      <c r="D254" s="1120"/>
      <c r="E254" s="1015">
        <f t="shared" si="3"/>
        <v>0</v>
      </c>
      <c r="F254" s="1201"/>
      <c r="G254" s="1029"/>
    </row>
    <row r="255" spans="1:7" ht="15" customHeight="1">
      <c r="A255" s="680"/>
      <c r="B255" s="1200"/>
      <c r="C255" s="1120"/>
      <c r="D255" s="1120"/>
      <c r="E255" s="1015">
        <f t="shared" si="3"/>
        <v>0</v>
      </c>
      <c r="F255" s="1201"/>
      <c r="G255" s="1029"/>
    </row>
    <row r="256" spans="1:7" ht="15" customHeight="1">
      <c r="A256" s="680"/>
      <c r="B256" s="1200"/>
      <c r="C256" s="1120"/>
      <c r="D256" s="1120"/>
      <c r="E256" s="1015">
        <f t="shared" si="3"/>
        <v>0</v>
      </c>
      <c r="F256" s="1201"/>
      <c r="G256" s="1029"/>
    </row>
    <row r="257" spans="1:7" ht="15" customHeight="1">
      <c r="A257" s="680"/>
      <c r="B257" s="1200"/>
      <c r="C257" s="1120"/>
      <c r="D257" s="1120"/>
      <c r="E257" s="1015">
        <f t="shared" si="3"/>
        <v>0</v>
      </c>
      <c r="F257" s="1201"/>
      <c r="G257" s="1029"/>
    </row>
    <row r="258" spans="1:7" ht="15" customHeight="1">
      <c r="A258" s="680"/>
      <c r="B258" s="1200"/>
      <c r="C258" s="1120"/>
      <c r="D258" s="1120"/>
      <c r="E258" s="1015">
        <f t="shared" si="3"/>
        <v>0</v>
      </c>
      <c r="F258" s="1201"/>
      <c r="G258" s="1029"/>
    </row>
    <row r="259" spans="1:7" ht="15" customHeight="1">
      <c r="A259" s="680"/>
      <c r="B259" s="1200"/>
      <c r="C259" s="1120"/>
      <c r="D259" s="1120"/>
      <c r="E259" s="1015">
        <f t="shared" si="3"/>
        <v>0</v>
      </c>
      <c r="F259" s="1201"/>
      <c r="G259" s="1029"/>
    </row>
    <row r="260" spans="1:7" ht="15" customHeight="1">
      <c r="A260" s="680"/>
      <c r="B260" s="1200"/>
      <c r="C260" s="1120"/>
      <c r="D260" s="1120"/>
      <c r="E260" s="1015">
        <f t="shared" si="3"/>
        <v>0</v>
      </c>
      <c r="F260" s="1201"/>
      <c r="G260" s="1029"/>
    </row>
    <row r="261" spans="1:7" ht="15" customHeight="1">
      <c r="A261" s="680"/>
      <c r="B261" s="1200"/>
      <c r="C261" s="1120"/>
      <c r="D261" s="1120"/>
      <c r="E261" s="1015">
        <f t="shared" si="3"/>
        <v>0</v>
      </c>
      <c r="F261" s="1201"/>
      <c r="G261" s="1029"/>
    </row>
    <row r="262" spans="1:7" ht="15" customHeight="1">
      <c r="A262" s="680"/>
      <c r="B262" s="1200"/>
      <c r="C262" s="1120"/>
      <c r="D262" s="1120"/>
      <c r="E262" s="1015">
        <f t="shared" si="3"/>
        <v>0</v>
      </c>
      <c r="F262" s="1201"/>
      <c r="G262" s="1029"/>
    </row>
    <row r="263" spans="1:7" ht="15" customHeight="1">
      <c r="A263" s="680"/>
      <c r="B263" s="1200"/>
      <c r="C263" s="1120"/>
      <c r="D263" s="1120"/>
      <c r="E263" s="1015">
        <f t="shared" si="3"/>
        <v>0</v>
      </c>
      <c r="F263" s="1201"/>
      <c r="G263" s="1029"/>
    </row>
    <row r="264" spans="1:7" ht="15" customHeight="1">
      <c r="A264" s="680"/>
      <c r="B264" s="1200"/>
      <c r="C264" s="1120"/>
      <c r="D264" s="1120"/>
      <c r="E264" s="1015">
        <f t="shared" si="3"/>
        <v>0</v>
      </c>
      <c r="F264" s="1201"/>
      <c r="G264" s="1029"/>
    </row>
    <row r="265" spans="1:7" ht="15" customHeight="1">
      <c r="A265" s="680"/>
      <c r="B265" s="1200"/>
      <c r="C265" s="1120"/>
      <c r="D265" s="1120"/>
      <c r="E265" s="1015">
        <f t="shared" si="3"/>
        <v>0</v>
      </c>
      <c r="F265" s="1201"/>
      <c r="G265" s="1029"/>
    </row>
    <row r="266" spans="1:7" ht="15" customHeight="1">
      <c r="A266" s="680"/>
      <c r="B266" s="1200"/>
      <c r="C266" s="1120"/>
      <c r="D266" s="1120"/>
      <c r="E266" s="1015">
        <f t="shared" si="3"/>
        <v>0</v>
      </c>
      <c r="F266" s="1201"/>
      <c r="G266" s="1029"/>
    </row>
    <row r="267" spans="1:7" ht="15" customHeight="1">
      <c r="A267" s="680"/>
      <c r="B267" s="1200"/>
      <c r="C267" s="1120"/>
      <c r="D267" s="1120"/>
      <c r="E267" s="1015">
        <f t="shared" si="3"/>
        <v>0</v>
      </c>
      <c r="F267" s="1201"/>
      <c r="G267" s="1029"/>
    </row>
    <row r="268" spans="1:7" ht="15" customHeight="1">
      <c r="A268" s="680"/>
      <c r="B268" s="1200"/>
      <c r="C268" s="1120"/>
      <c r="D268" s="1120"/>
      <c r="E268" s="1015">
        <f t="shared" si="3"/>
        <v>0</v>
      </c>
      <c r="F268" s="1201"/>
      <c r="G268" s="1029"/>
    </row>
    <row r="269" spans="1:7" ht="15" customHeight="1">
      <c r="A269" s="680"/>
      <c r="B269" s="1200"/>
      <c r="C269" s="1120"/>
      <c r="D269" s="1120"/>
      <c r="E269" s="1015">
        <f t="shared" si="3"/>
        <v>0</v>
      </c>
      <c r="F269" s="1201"/>
      <c r="G269" s="1029"/>
    </row>
    <row r="270" spans="1:7" ht="15" customHeight="1">
      <c r="A270" s="680"/>
      <c r="B270" s="1200"/>
      <c r="C270" s="1120"/>
      <c r="D270" s="1120"/>
      <c r="E270" s="1015">
        <f t="shared" si="3"/>
        <v>0</v>
      </c>
      <c r="F270" s="1201"/>
      <c r="G270" s="1029"/>
    </row>
    <row r="271" spans="1:7" ht="15" customHeight="1">
      <c r="A271" s="680"/>
      <c r="B271" s="1200"/>
      <c r="C271" s="1120"/>
      <c r="D271" s="1120"/>
      <c r="E271" s="1015">
        <f t="shared" si="3"/>
        <v>0</v>
      </c>
      <c r="F271" s="1201"/>
      <c r="G271" s="1029"/>
    </row>
    <row r="272" spans="1:7" ht="15" customHeight="1">
      <c r="A272" s="680"/>
      <c r="B272" s="1200"/>
      <c r="C272" s="1120"/>
      <c r="D272" s="1120"/>
      <c r="E272" s="1015">
        <f t="shared" si="3"/>
        <v>0</v>
      </c>
      <c r="F272" s="1201"/>
      <c r="G272" s="1029"/>
    </row>
    <row r="273" spans="1:7" ht="15" customHeight="1">
      <c r="A273" s="680"/>
      <c r="B273" s="1200"/>
      <c r="C273" s="1120"/>
      <c r="D273" s="1120"/>
      <c r="E273" s="1015">
        <f t="shared" ref="E273:E304" si="4">B273-C273+D273</f>
        <v>0</v>
      </c>
      <c r="F273" s="1201"/>
      <c r="G273" s="1029"/>
    </row>
    <row r="274" spans="1:7" ht="15" customHeight="1">
      <c r="A274" s="680"/>
      <c r="B274" s="1200"/>
      <c r="C274" s="1120"/>
      <c r="D274" s="1120"/>
      <c r="E274" s="1015">
        <f t="shared" si="4"/>
        <v>0</v>
      </c>
      <c r="F274" s="1201"/>
      <c r="G274" s="1029"/>
    </row>
    <row r="275" spans="1:7" ht="15" customHeight="1">
      <c r="A275" s="680"/>
      <c r="B275" s="1200"/>
      <c r="C275" s="1120"/>
      <c r="D275" s="1120"/>
      <c r="E275" s="1015">
        <f t="shared" si="4"/>
        <v>0</v>
      </c>
      <c r="F275" s="1201"/>
      <c r="G275" s="1029"/>
    </row>
    <row r="276" spans="1:7" ht="15" customHeight="1">
      <c r="A276" s="680"/>
      <c r="B276" s="1200"/>
      <c r="C276" s="1120"/>
      <c r="D276" s="1120"/>
      <c r="E276" s="1015">
        <f t="shared" si="4"/>
        <v>0</v>
      </c>
      <c r="F276" s="1201"/>
      <c r="G276" s="1029"/>
    </row>
    <row r="277" spans="1:7" ht="15" customHeight="1">
      <c r="A277" s="680"/>
      <c r="B277" s="1200"/>
      <c r="C277" s="1120"/>
      <c r="D277" s="1120"/>
      <c r="E277" s="1015">
        <f t="shared" si="4"/>
        <v>0</v>
      </c>
      <c r="F277" s="1201"/>
      <c r="G277" s="1029"/>
    </row>
    <row r="278" spans="1:7" ht="15" customHeight="1">
      <c r="A278" s="680"/>
      <c r="B278" s="1200"/>
      <c r="C278" s="1120"/>
      <c r="D278" s="1120"/>
      <c r="E278" s="1015">
        <f t="shared" si="4"/>
        <v>0</v>
      </c>
      <c r="F278" s="1201"/>
      <c r="G278" s="1029"/>
    </row>
    <row r="279" spans="1:7" ht="15" customHeight="1">
      <c r="A279" s="680"/>
      <c r="B279" s="1200"/>
      <c r="C279" s="1120"/>
      <c r="D279" s="1120"/>
      <c r="E279" s="1015">
        <f t="shared" si="4"/>
        <v>0</v>
      </c>
      <c r="F279" s="1201"/>
      <c r="G279" s="1029"/>
    </row>
    <row r="280" spans="1:7" ht="15" customHeight="1">
      <c r="A280" s="680"/>
      <c r="B280" s="1200"/>
      <c r="C280" s="1120"/>
      <c r="D280" s="1120"/>
      <c r="E280" s="1015">
        <f t="shared" si="4"/>
        <v>0</v>
      </c>
      <c r="F280" s="1201"/>
      <c r="G280" s="1029"/>
    </row>
    <row r="281" spans="1:7" ht="15" customHeight="1">
      <c r="A281" s="680"/>
      <c r="B281" s="1200"/>
      <c r="C281" s="1120"/>
      <c r="D281" s="1120"/>
      <c r="E281" s="1015">
        <f t="shared" si="4"/>
        <v>0</v>
      </c>
      <c r="F281" s="1201"/>
      <c r="G281" s="1029"/>
    </row>
    <row r="282" spans="1:7" ht="15" customHeight="1">
      <c r="A282" s="680"/>
      <c r="B282" s="1200"/>
      <c r="C282" s="1120"/>
      <c r="D282" s="1120"/>
      <c r="E282" s="1015">
        <f t="shared" si="4"/>
        <v>0</v>
      </c>
      <c r="F282" s="1201"/>
      <c r="G282" s="1029"/>
    </row>
    <row r="283" spans="1:7" ht="15" customHeight="1">
      <c r="A283" s="680"/>
      <c r="B283" s="1200"/>
      <c r="C283" s="1120"/>
      <c r="D283" s="1120"/>
      <c r="E283" s="1015">
        <f t="shared" si="4"/>
        <v>0</v>
      </c>
      <c r="F283" s="1201"/>
      <c r="G283" s="1029"/>
    </row>
    <row r="284" spans="1:7" ht="15" customHeight="1">
      <c r="A284" s="680"/>
      <c r="B284" s="1200"/>
      <c r="C284" s="1120"/>
      <c r="D284" s="1120"/>
      <c r="E284" s="1015">
        <f t="shared" si="4"/>
        <v>0</v>
      </c>
      <c r="F284" s="1201"/>
      <c r="G284" s="1029"/>
    </row>
    <row r="285" spans="1:7" ht="15" customHeight="1">
      <c r="A285" s="680"/>
      <c r="B285" s="1200"/>
      <c r="C285" s="1120"/>
      <c r="D285" s="1120"/>
      <c r="E285" s="1015">
        <f t="shared" si="4"/>
        <v>0</v>
      </c>
      <c r="F285" s="1201"/>
      <c r="G285" s="1029"/>
    </row>
    <row r="286" spans="1:7" ht="15" customHeight="1">
      <c r="A286" s="680"/>
      <c r="B286" s="1200"/>
      <c r="C286" s="1120"/>
      <c r="D286" s="1120"/>
      <c r="E286" s="1015">
        <f t="shared" si="4"/>
        <v>0</v>
      </c>
      <c r="F286" s="1201"/>
      <c r="G286" s="1029"/>
    </row>
    <row r="287" spans="1:7" ht="15" customHeight="1">
      <c r="A287" s="680"/>
      <c r="B287" s="1200"/>
      <c r="C287" s="1120"/>
      <c r="D287" s="1120"/>
      <c r="E287" s="1015">
        <f t="shared" si="4"/>
        <v>0</v>
      </c>
      <c r="F287" s="1201"/>
      <c r="G287" s="1029"/>
    </row>
    <row r="288" spans="1:7" ht="15" customHeight="1">
      <c r="A288" s="680"/>
      <c r="B288" s="1200"/>
      <c r="C288" s="1120"/>
      <c r="D288" s="1120"/>
      <c r="E288" s="1015">
        <f t="shared" si="4"/>
        <v>0</v>
      </c>
      <c r="F288" s="1201"/>
      <c r="G288" s="1029"/>
    </row>
    <row r="289" spans="1:7" ht="15" customHeight="1">
      <c r="A289" s="680"/>
      <c r="B289" s="1200"/>
      <c r="C289" s="1120"/>
      <c r="D289" s="1120"/>
      <c r="E289" s="1015">
        <f t="shared" si="4"/>
        <v>0</v>
      </c>
      <c r="F289" s="1201"/>
      <c r="G289" s="1029"/>
    </row>
    <row r="290" spans="1:7" ht="15" customHeight="1">
      <c r="A290" s="680"/>
      <c r="B290" s="1200"/>
      <c r="C290" s="1120"/>
      <c r="D290" s="1120"/>
      <c r="E290" s="1015">
        <f t="shared" si="4"/>
        <v>0</v>
      </c>
      <c r="F290" s="1201"/>
      <c r="G290" s="1029"/>
    </row>
    <row r="291" spans="1:7" ht="15" customHeight="1">
      <c r="A291" s="680"/>
      <c r="B291" s="1200"/>
      <c r="C291" s="1120"/>
      <c r="D291" s="1120"/>
      <c r="E291" s="1015">
        <f t="shared" si="4"/>
        <v>0</v>
      </c>
      <c r="F291" s="1201"/>
      <c r="G291" s="1029"/>
    </row>
    <row r="292" spans="1:7" ht="15" customHeight="1">
      <c r="A292" s="680"/>
      <c r="B292" s="1200"/>
      <c r="C292" s="1120"/>
      <c r="D292" s="1120"/>
      <c r="E292" s="1015">
        <f t="shared" si="4"/>
        <v>0</v>
      </c>
      <c r="F292" s="1201"/>
      <c r="G292" s="1029"/>
    </row>
    <row r="293" spans="1:7" ht="15" customHeight="1">
      <c r="A293" s="680"/>
      <c r="B293" s="1200"/>
      <c r="C293" s="1120"/>
      <c r="D293" s="1120"/>
      <c r="E293" s="1015">
        <f t="shared" si="4"/>
        <v>0</v>
      </c>
      <c r="F293" s="1201"/>
      <c r="G293" s="1029"/>
    </row>
    <row r="294" spans="1:7" ht="15" customHeight="1">
      <c r="A294" s="680"/>
      <c r="B294" s="1200"/>
      <c r="C294" s="1120"/>
      <c r="D294" s="1120"/>
      <c r="E294" s="1015">
        <f t="shared" si="4"/>
        <v>0</v>
      </c>
      <c r="F294" s="1201"/>
      <c r="G294" s="1029"/>
    </row>
    <row r="295" spans="1:7" ht="15" customHeight="1">
      <c r="A295" s="680"/>
      <c r="B295" s="1200"/>
      <c r="C295" s="1120"/>
      <c r="D295" s="1120"/>
      <c r="E295" s="1015">
        <f t="shared" si="4"/>
        <v>0</v>
      </c>
      <c r="F295" s="1201"/>
      <c r="G295" s="1029"/>
    </row>
    <row r="296" spans="1:7" ht="15" customHeight="1">
      <c r="A296" s="680"/>
      <c r="B296" s="1200"/>
      <c r="C296" s="1120"/>
      <c r="D296" s="1120"/>
      <c r="E296" s="1015">
        <f t="shared" si="4"/>
        <v>0</v>
      </c>
      <c r="F296" s="1201"/>
      <c r="G296" s="1029"/>
    </row>
    <row r="297" spans="1:7" ht="15" customHeight="1">
      <c r="A297" s="680"/>
      <c r="B297" s="1200"/>
      <c r="C297" s="1120"/>
      <c r="D297" s="1120"/>
      <c r="E297" s="1015">
        <f t="shared" si="4"/>
        <v>0</v>
      </c>
      <c r="F297" s="1201"/>
      <c r="G297" s="1029"/>
    </row>
    <row r="298" spans="1:7" ht="15" customHeight="1">
      <c r="A298" s="680"/>
      <c r="B298" s="1200"/>
      <c r="C298" s="1120"/>
      <c r="D298" s="1120"/>
      <c r="E298" s="1015">
        <f t="shared" si="4"/>
        <v>0</v>
      </c>
      <c r="F298" s="1201"/>
      <c r="G298" s="1029"/>
    </row>
    <row r="299" spans="1:7" ht="15" customHeight="1">
      <c r="A299" s="680"/>
      <c r="B299" s="1200"/>
      <c r="C299" s="1120"/>
      <c r="D299" s="1120"/>
      <c r="E299" s="1015">
        <f t="shared" si="4"/>
        <v>0</v>
      </c>
      <c r="F299" s="1201"/>
      <c r="G299" s="1029"/>
    </row>
    <row r="300" spans="1:7" ht="15" customHeight="1">
      <c r="A300" s="680"/>
      <c r="B300" s="1200"/>
      <c r="C300" s="1120"/>
      <c r="D300" s="1120"/>
      <c r="E300" s="1015">
        <f t="shared" si="4"/>
        <v>0</v>
      </c>
      <c r="F300" s="1201"/>
      <c r="G300" s="1029"/>
    </row>
    <row r="301" spans="1:7" ht="15" customHeight="1">
      <c r="A301" s="680"/>
      <c r="B301" s="1200"/>
      <c r="C301" s="1120"/>
      <c r="D301" s="1120"/>
      <c r="E301" s="1015">
        <f t="shared" si="4"/>
        <v>0</v>
      </c>
      <c r="F301" s="1201"/>
      <c r="G301" s="1029"/>
    </row>
    <row r="302" spans="1:7" ht="15" customHeight="1">
      <c r="A302" s="680"/>
      <c r="B302" s="1200"/>
      <c r="C302" s="1120"/>
      <c r="D302" s="1120"/>
      <c r="E302" s="1015">
        <f t="shared" si="4"/>
        <v>0</v>
      </c>
      <c r="F302" s="1201"/>
      <c r="G302" s="1029"/>
    </row>
    <row r="303" spans="1:7" ht="15" customHeight="1">
      <c r="A303" s="680"/>
      <c r="B303" s="1200"/>
      <c r="C303" s="1120"/>
      <c r="D303" s="1120"/>
      <c r="E303" s="1015">
        <f t="shared" si="4"/>
        <v>0</v>
      </c>
      <c r="F303" s="1201"/>
      <c r="G303" s="1029"/>
    </row>
    <row r="304" spans="1:7" ht="15" customHeight="1">
      <c r="A304" s="682"/>
      <c r="B304" s="1202"/>
      <c r="C304" s="1125"/>
      <c r="D304" s="1125"/>
      <c r="E304" s="1020">
        <f t="shared" si="4"/>
        <v>0</v>
      </c>
      <c r="F304" s="1203"/>
      <c r="G304" s="1029"/>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c r="A309" s="554"/>
      <c r="B309" s="554"/>
      <c r="C309" s="554"/>
      <c r="D309" s="554"/>
      <c r="E309" s="554"/>
      <c r="F309" s="554"/>
    </row>
    <row r="310" spans="1:6" ht="15" customHeight="1">
      <c r="A310" s="554"/>
      <c r="B310" s="554"/>
      <c r="C310" s="554"/>
      <c r="D310" s="554"/>
      <c r="E310" s="554"/>
      <c r="F310" s="554"/>
    </row>
    <row r="311" spans="1:6" ht="15" customHeight="1">
      <c r="A311" s="554"/>
      <c r="B311" s="554"/>
      <c r="C311" s="554"/>
      <c r="D311" s="554"/>
      <c r="E311" s="554"/>
      <c r="F311" s="554"/>
    </row>
    <row r="312" spans="1:6" ht="15" customHeight="1">
      <c r="A312" s="554"/>
      <c r="B312" s="554"/>
      <c r="C312" s="554"/>
      <c r="D312" s="554"/>
      <c r="E312" s="554"/>
      <c r="F312" s="554"/>
    </row>
    <row r="313" spans="1:6" ht="15" customHeight="1">
      <c r="A313" s="554"/>
      <c r="B313" s="554"/>
      <c r="C313" s="554"/>
      <c r="D313" s="554"/>
      <c r="E313" s="554"/>
      <c r="F313" s="554"/>
    </row>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6">
    <mergeCell ref="A1:F1"/>
    <mergeCell ref="G1:G4"/>
    <mergeCell ref="A2:B3"/>
    <mergeCell ref="F3:F4"/>
    <mergeCell ref="A4:B4"/>
    <mergeCell ref="B9:F9"/>
    <mergeCell ref="A5:F5"/>
    <mergeCell ref="G9:G12"/>
    <mergeCell ref="A10:A11"/>
    <mergeCell ref="C10:D10"/>
    <mergeCell ref="C11:D11"/>
    <mergeCell ref="B6:F6"/>
    <mergeCell ref="A7:A8"/>
    <mergeCell ref="B7:D7"/>
    <mergeCell ref="E7:F7"/>
    <mergeCell ref="B8:F8"/>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G31"/>
  <sheetViews>
    <sheetView workbookViewId="0">
      <selection activeCell="I12" sqref="I12"/>
    </sheetView>
  </sheetViews>
  <sheetFormatPr defaultRowHeight="15.6"/>
  <cols>
    <col min="1" max="1" width="7.59765625" customWidth="1"/>
    <col min="2" max="2" width="27.19921875" customWidth="1"/>
    <col min="3" max="3" width="6.8984375" customWidth="1"/>
    <col min="4" max="4" width="8.5" customWidth="1"/>
    <col min="5" max="6" width="15.3984375" customWidth="1"/>
    <col min="7" max="7" width="54.59765625" customWidth="1"/>
  </cols>
  <sheetData>
    <row r="1" spans="1:7" ht="32.25" customHeight="1">
      <c r="A1" s="2729" t="s">
        <v>355</v>
      </c>
      <c r="B1" s="2729"/>
      <c r="C1" s="2729"/>
      <c r="D1" s="2729"/>
      <c r="E1" s="2729"/>
      <c r="F1" s="2729"/>
      <c r="G1" s="3180"/>
    </row>
    <row r="2" spans="1:7" ht="20.25" customHeight="1">
      <c r="A2" s="3223" t="str">
        <f>"委托单位："&amp;基本情况!B2</f>
        <v>委托单位：0</v>
      </c>
      <c r="B2" s="3223"/>
      <c r="C2" s="509"/>
      <c r="D2" s="136" t="s">
        <v>1282</v>
      </c>
      <c r="E2" s="136" t="s">
        <v>1053</v>
      </c>
      <c r="F2" s="485" t="s">
        <v>283</v>
      </c>
      <c r="G2" s="3180"/>
    </row>
    <row r="3" spans="1:7" ht="20.25" customHeight="1">
      <c r="A3" s="3223"/>
      <c r="B3" s="3223"/>
      <c r="C3" s="158" t="s">
        <v>450</v>
      </c>
      <c r="D3" s="510">
        <f>基本情况!B12</f>
        <v>0</v>
      </c>
      <c r="E3" s="559" t="str">
        <f>TEXT(基本情况!B21,"yyyy-mm-dd")</f>
        <v>2017-03-16</v>
      </c>
      <c r="F3" s="3138" t="str">
        <f>档案索引!D38</f>
        <v>4-5</v>
      </c>
      <c r="G3" s="3180"/>
    </row>
    <row r="4" spans="1:7" ht="20.25" customHeight="1">
      <c r="A4" s="3189" t="str">
        <f>"会计期间："&amp;基本情况!B7</f>
        <v>会计期间：2016年01月01日至2016年12月31日</v>
      </c>
      <c r="B4" s="3189"/>
      <c r="C4" s="140" t="s">
        <v>452</v>
      </c>
      <c r="D4" s="513">
        <f>基本情况!B11</f>
        <v>0</v>
      </c>
      <c r="E4" s="513" t="str">
        <f>TEXT(基本情况!B22,"yyyy-mm-dd")</f>
        <v>2017-05-04</v>
      </c>
      <c r="F4" s="3138"/>
      <c r="G4" s="3180"/>
    </row>
    <row r="5" spans="1:7" ht="7.5" customHeight="1">
      <c r="A5" s="2926"/>
      <c r="B5" s="2926"/>
      <c r="C5" s="2926"/>
      <c r="D5" s="2926"/>
      <c r="E5" s="2926"/>
      <c r="F5" s="2926"/>
      <c r="G5" s="543"/>
    </row>
    <row r="6" spans="1:7" ht="27.75" customHeight="1">
      <c r="A6" s="3584" t="s">
        <v>665</v>
      </c>
      <c r="B6" s="3584"/>
      <c r="C6" s="3063" t="s">
        <v>1181</v>
      </c>
      <c r="D6" s="3063"/>
      <c r="E6" s="582" t="s">
        <v>980</v>
      </c>
      <c r="F6" s="772" t="s">
        <v>502</v>
      </c>
      <c r="G6" s="84" t="s">
        <v>395</v>
      </c>
    </row>
    <row r="7" spans="1:7" ht="21.75" customHeight="1">
      <c r="A7" s="3686" t="s">
        <v>996</v>
      </c>
      <c r="B7" s="3686"/>
      <c r="C7" s="3687"/>
      <c r="D7" s="3687"/>
      <c r="E7" s="1118"/>
      <c r="F7" s="967">
        <f>C7+E7</f>
        <v>0</v>
      </c>
      <c r="G7" s="493" t="s">
        <v>1288</v>
      </c>
    </row>
    <row r="8" spans="1:7" ht="21.75" customHeight="1">
      <c r="A8" s="3684" t="s">
        <v>2382</v>
      </c>
      <c r="B8" s="3684"/>
      <c r="C8" s="3162"/>
      <c r="D8" s="3162"/>
      <c r="E8" s="1120"/>
      <c r="F8" s="699">
        <f>C8+E8</f>
        <v>0</v>
      </c>
      <c r="G8" s="84"/>
    </row>
    <row r="9" spans="1:7" ht="21.75" customHeight="1">
      <c r="A9" s="3684" t="s">
        <v>997</v>
      </c>
      <c r="B9" s="3684"/>
      <c r="C9" s="3162"/>
      <c r="D9" s="3162"/>
      <c r="E9" s="1120"/>
      <c r="F9" s="699">
        <f t="shared" ref="F9:F26" si="0">C9+E9</f>
        <v>0</v>
      </c>
      <c r="G9" s="84"/>
    </row>
    <row r="10" spans="1:7" ht="21.75" customHeight="1">
      <c r="A10" s="3684" t="s">
        <v>2383</v>
      </c>
      <c r="B10" s="3684"/>
      <c r="C10" s="3162"/>
      <c r="D10" s="3162"/>
      <c r="E10" s="1120"/>
      <c r="F10" s="699">
        <f t="shared" si="0"/>
        <v>0</v>
      </c>
      <c r="G10" s="648"/>
    </row>
    <row r="11" spans="1:7" ht="21.75" customHeight="1">
      <c r="A11" s="3684" t="s">
        <v>2384</v>
      </c>
      <c r="B11" s="3684"/>
      <c r="C11" s="3162"/>
      <c r="D11" s="3162"/>
      <c r="E11" s="1120"/>
      <c r="F11" s="699">
        <f t="shared" si="0"/>
        <v>0</v>
      </c>
      <c r="G11" s="144" t="s">
        <v>998</v>
      </c>
    </row>
    <row r="12" spans="1:7" ht="21.75" customHeight="1">
      <c r="A12" s="3684" t="s">
        <v>2385</v>
      </c>
      <c r="B12" s="3684"/>
      <c r="C12" s="3162"/>
      <c r="D12" s="3162"/>
      <c r="E12" s="1120"/>
      <c r="F12" s="699">
        <f t="shared" si="0"/>
        <v>0</v>
      </c>
      <c r="G12" s="84"/>
    </row>
    <row r="13" spans="1:7" ht="21.75" customHeight="1">
      <c r="A13" s="3684" t="s">
        <v>2386</v>
      </c>
      <c r="B13" s="3684"/>
      <c r="C13" s="3162"/>
      <c r="D13" s="3162"/>
      <c r="E13" s="1120"/>
      <c r="F13" s="699">
        <f t="shared" si="0"/>
        <v>0</v>
      </c>
      <c r="G13" s="84"/>
    </row>
    <row r="14" spans="1:7" ht="21.75" customHeight="1">
      <c r="A14" s="3684" t="s">
        <v>2387</v>
      </c>
      <c r="B14" s="3684"/>
      <c r="C14" s="3162"/>
      <c r="D14" s="3162"/>
      <c r="E14" s="1120"/>
      <c r="F14" s="699">
        <f t="shared" si="0"/>
        <v>0</v>
      </c>
      <c r="G14" s="84"/>
    </row>
    <row r="15" spans="1:7" ht="21.75" customHeight="1">
      <c r="A15" s="3684" t="s">
        <v>2388</v>
      </c>
      <c r="B15" s="3684"/>
      <c r="C15" s="3162"/>
      <c r="D15" s="3162"/>
      <c r="E15" s="1120"/>
      <c r="F15" s="699">
        <f t="shared" si="0"/>
        <v>0</v>
      </c>
      <c r="G15" s="84"/>
    </row>
    <row r="16" spans="1:7" ht="21.75" customHeight="1">
      <c r="A16" s="3684" t="s">
        <v>2389</v>
      </c>
      <c r="B16" s="3684"/>
      <c r="C16" s="3162"/>
      <c r="D16" s="3162"/>
      <c r="E16" s="1120"/>
      <c r="F16" s="699">
        <f t="shared" si="0"/>
        <v>0</v>
      </c>
      <c r="G16" s="84"/>
    </row>
    <row r="17" spans="1:7" ht="21.75" customHeight="1">
      <c r="A17" s="3684" t="s">
        <v>2390</v>
      </c>
      <c r="B17" s="3684"/>
      <c r="C17" s="3162"/>
      <c r="D17" s="3162"/>
      <c r="E17" s="1120"/>
      <c r="F17" s="699">
        <f t="shared" si="0"/>
        <v>0</v>
      </c>
      <c r="G17" s="84"/>
    </row>
    <row r="18" spans="1:7" ht="21.75" customHeight="1">
      <c r="A18" s="3684" t="s">
        <v>2391</v>
      </c>
      <c r="B18" s="3684"/>
      <c r="C18" s="3162"/>
      <c r="D18" s="3162"/>
      <c r="E18" s="1120"/>
      <c r="F18" s="699">
        <f t="shared" si="0"/>
        <v>0</v>
      </c>
      <c r="G18" s="84"/>
    </row>
    <row r="19" spans="1:7" ht="21.75" customHeight="1">
      <c r="A19" s="3684" t="s">
        <v>2392</v>
      </c>
      <c r="B19" s="3684"/>
      <c r="C19" s="3162"/>
      <c r="D19" s="3162"/>
      <c r="E19" s="1120"/>
      <c r="F19" s="699">
        <f t="shared" si="0"/>
        <v>0</v>
      </c>
      <c r="G19" s="84"/>
    </row>
    <row r="20" spans="1:7" ht="21.75" customHeight="1">
      <c r="A20" s="3684" t="s">
        <v>999</v>
      </c>
      <c r="B20" s="3684"/>
      <c r="C20" s="3162"/>
      <c r="D20" s="3162"/>
      <c r="E20" s="1120"/>
      <c r="F20" s="699">
        <f t="shared" si="0"/>
        <v>0</v>
      </c>
      <c r="G20" s="84"/>
    </row>
    <row r="21" spans="1:7" ht="21.75" customHeight="1">
      <c r="A21" s="3685" t="s">
        <v>1000</v>
      </c>
      <c r="B21" s="3685"/>
      <c r="C21" s="3162"/>
      <c r="D21" s="3162"/>
      <c r="E21" s="1120"/>
      <c r="F21" s="699">
        <f t="shared" si="0"/>
        <v>0</v>
      </c>
      <c r="G21" s="84"/>
    </row>
    <row r="22" spans="1:7" ht="21.75" customHeight="1">
      <c r="A22" s="3679"/>
      <c r="B22" s="3679"/>
      <c r="C22" s="3162"/>
      <c r="D22" s="3162"/>
      <c r="E22" s="1120"/>
      <c r="F22" s="699">
        <f t="shared" si="0"/>
        <v>0</v>
      </c>
      <c r="G22" s="84"/>
    </row>
    <row r="23" spans="1:7" ht="21.75" customHeight="1">
      <c r="A23" s="3679"/>
      <c r="B23" s="3679"/>
      <c r="C23" s="3162"/>
      <c r="D23" s="3162"/>
      <c r="E23" s="1120"/>
      <c r="F23" s="699">
        <f t="shared" si="0"/>
        <v>0</v>
      </c>
      <c r="G23" s="84"/>
    </row>
    <row r="24" spans="1:7" ht="21.75" customHeight="1">
      <c r="A24" s="3679"/>
      <c r="B24" s="3679"/>
      <c r="C24" s="3162"/>
      <c r="D24" s="3162"/>
      <c r="E24" s="1120"/>
      <c r="F24" s="699">
        <f t="shared" si="0"/>
        <v>0</v>
      </c>
      <c r="G24" s="84"/>
    </row>
    <row r="25" spans="1:7" ht="21.75" customHeight="1">
      <c r="A25" s="3679"/>
      <c r="B25" s="3679"/>
      <c r="C25" s="3162"/>
      <c r="D25" s="3162"/>
      <c r="E25" s="1120"/>
      <c r="F25" s="699">
        <f t="shared" si="0"/>
        <v>0</v>
      </c>
      <c r="G25" s="84"/>
    </row>
    <row r="26" spans="1:7" ht="21.75" customHeight="1">
      <c r="A26" s="3679"/>
      <c r="B26" s="3679"/>
      <c r="C26" s="3162"/>
      <c r="D26" s="3162"/>
      <c r="E26" s="1120"/>
      <c r="F26" s="699">
        <f t="shared" si="0"/>
        <v>0</v>
      </c>
      <c r="G26" s="84"/>
    </row>
    <row r="27" spans="1:7" ht="21.75" customHeight="1">
      <c r="A27" s="3680" t="s">
        <v>702</v>
      </c>
      <c r="B27" s="3680"/>
      <c r="C27" s="3681">
        <f>SUM(C7:C26)</f>
        <v>0</v>
      </c>
      <c r="D27" s="3681"/>
      <c r="E27" s="721">
        <f>SUM(E7:E26)</f>
        <v>0</v>
      </c>
      <c r="F27" s="596">
        <f>SUM(F7:F26)</f>
        <v>0</v>
      </c>
      <c r="G27" s="84"/>
    </row>
    <row r="28" spans="1:7" ht="30.75" customHeight="1">
      <c r="A28" s="785" t="s">
        <v>641</v>
      </c>
      <c r="B28" s="3682" t="str">
        <f>IF(C27&lt;&gt;资产负债!D13,"账载数与报表数相差"&amp;DOLLAR(C27-资产负债!D13,2)&amp;"元！","账载数与报表数相符！")</f>
        <v>账载数与报表数相符！</v>
      </c>
      <c r="C28" s="3682"/>
      <c r="D28" s="3682"/>
      <c r="E28" s="3682"/>
      <c r="F28" s="3682"/>
      <c r="G28" s="84"/>
    </row>
    <row r="29" spans="1:7" ht="15" customHeight="1">
      <c r="A29" s="3093" t="s">
        <v>1323</v>
      </c>
      <c r="B29" s="965" t="s">
        <v>1387</v>
      </c>
      <c r="C29" s="3683" t="str">
        <f>IF(E27&lt;&gt;0,"、E","")</f>
        <v/>
      </c>
      <c r="D29" s="3683"/>
      <c r="E29" s="3683"/>
      <c r="F29" s="3683"/>
      <c r="G29" s="84"/>
    </row>
    <row r="30" spans="1:7" ht="59.25" customHeight="1">
      <c r="A30" s="3093"/>
      <c r="B30" s="3175"/>
      <c r="C30" s="3175"/>
      <c r="D30" s="3175"/>
      <c r="E30" s="3175"/>
      <c r="F30" s="3175"/>
      <c r="G30" s="84"/>
    </row>
    <row r="31" spans="1:7" ht="21.75" customHeight="1">
      <c r="A31" s="528" t="s">
        <v>574</v>
      </c>
      <c r="B31" s="3141" t="str">
        <f>IF(E27&lt;&gt;0,"调整后认可！","不存在调整事项,认可！")</f>
        <v>不存在调整事项,认可！</v>
      </c>
      <c r="C31" s="3141"/>
      <c r="D31" s="3141"/>
      <c r="E31" s="3141"/>
      <c r="F31" s="3141"/>
      <c r="G31" s="84"/>
    </row>
  </sheetData>
  <sheetProtection selectLockedCells="1" selectUnlockedCells="1"/>
  <mergeCells count="55">
    <mergeCell ref="A1:F1"/>
    <mergeCell ref="G1:G4"/>
    <mergeCell ref="A2:B3"/>
    <mergeCell ref="F3:F4"/>
    <mergeCell ref="A4:B4"/>
    <mergeCell ref="A5:F5"/>
    <mergeCell ref="A6:B6"/>
    <mergeCell ref="C6:D6"/>
    <mergeCell ref="A7:B7"/>
    <mergeCell ref="C7:D7"/>
    <mergeCell ref="C15:D15"/>
    <mergeCell ref="A16:B16"/>
    <mergeCell ref="C16:D16"/>
    <mergeCell ref="A15:B15"/>
    <mergeCell ref="A14:B14"/>
    <mergeCell ref="A8:B8"/>
    <mergeCell ref="C8:D8"/>
    <mergeCell ref="C14:D14"/>
    <mergeCell ref="A13:B13"/>
    <mergeCell ref="A9:B9"/>
    <mergeCell ref="C9:D9"/>
    <mergeCell ref="A12:B12"/>
    <mergeCell ref="C12:D12"/>
    <mergeCell ref="C10:D10"/>
    <mergeCell ref="A11:B11"/>
    <mergeCell ref="C11:D11"/>
    <mergeCell ref="A10:B10"/>
    <mergeCell ref="C13:D13"/>
    <mergeCell ref="A21:B21"/>
    <mergeCell ref="C21:D21"/>
    <mergeCell ref="A22:B22"/>
    <mergeCell ref="C22:D22"/>
    <mergeCell ref="A23:B23"/>
    <mergeCell ref="C23:D23"/>
    <mergeCell ref="A17:B17"/>
    <mergeCell ref="C17:D17"/>
    <mergeCell ref="A20:B20"/>
    <mergeCell ref="C20:D20"/>
    <mergeCell ref="A19:B19"/>
    <mergeCell ref="C19:D19"/>
    <mergeCell ref="A18:B18"/>
    <mergeCell ref="C18:D18"/>
    <mergeCell ref="B31:F31"/>
    <mergeCell ref="A24:B24"/>
    <mergeCell ref="C24:D24"/>
    <mergeCell ref="A26:B26"/>
    <mergeCell ref="C26:D26"/>
    <mergeCell ref="A27:B27"/>
    <mergeCell ref="C27:D27"/>
    <mergeCell ref="A25:B25"/>
    <mergeCell ref="C25:D25"/>
    <mergeCell ref="B28:F28"/>
    <mergeCell ref="A29:A30"/>
    <mergeCell ref="C29:F29"/>
    <mergeCell ref="B30:F30"/>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C29:F29">
      <formula1>0</formula1>
      <formula2>0</formula2>
    </dataValidation>
  </dataValidations>
  <hyperlinks>
    <hyperlink ref="G7"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P36"/>
  <sheetViews>
    <sheetView zoomScaleNormal="100" workbookViewId="0">
      <selection activeCell="G20" sqref="G20:J20"/>
    </sheetView>
  </sheetViews>
  <sheetFormatPr defaultRowHeight="15.6"/>
  <cols>
    <col min="1" max="1" width="4.69921875" style="130" customWidth="1"/>
    <col min="2" max="2" width="5.69921875" style="130" customWidth="1"/>
    <col min="3" max="3" width="24.3984375" style="130" customWidth="1"/>
    <col min="4" max="10" width="12.59765625" style="130" customWidth="1"/>
    <col min="11" max="11" width="24.3984375" customWidth="1"/>
  </cols>
  <sheetData>
    <row r="1" spans="1:16" ht="26.25" customHeight="1">
      <c r="A1" s="3696" t="s">
        <v>358</v>
      </c>
      <c r="B1" s="3696"/>
      <c r="C1" s="3696"/>
      <c r="D1" s="3696"/>
      <c r="E1" s="3696"/>
      <c r="F1" s="3696"/>
      <c r="G1" s="3696"/>
      <c r="H1" s="3696"/>
      <c r="I1" s="3696"/>
      <c r="J1" s="3696"/>
      <c r="K1" s="3697"/>
    </row>
    <row r="2" spans="1:16" ht="21.75" customHeight="1">
      <c r="A2" s="3305" t="s">
        <v>447</v>
      </c>
      <c r="B2" s="3305"/>
      <c r="C2" s="3306">
        <f>基本情况!B2</f>
        <v>0</v>
      </c>
      <c r="D2" s="3306"/>
      <c r="E2" s="1032" t="s">
        <v>450</v>
      </c>
      <c r="F2" s="1033">
        <f>基本情况!B12</f>
        <v>0</v>
      </c>
      <c r="G2" s="1032" t="s">
        <v>882</v>
      </c>
      <c r="H2" s="1034" t="str">
        <f>TEXT(基本情况!B21,"yyyy-mm-dd")</f>
        <v>2017-03-16</v>
      </c>
      <c r="I2" s="3307" t="s">
        <v>283</v>
      </c>
      <c r="J2" s="3307"/>
      <c r="K2" s="3697"/>
    </row>
    <row r="3" spans="1:16" ht="21.75" customHeight="1">
      <c r="A3" s="3286" t="s">
        <v>451</v>
      </c>
      <c r="B3" s="3286"/>
      <c r="C3" s="3308" t="str">
        <f>基本情况!B7</f>
        <v>2016年01月01日至2016年12月31日</v>
      </c>
      <c r="D3" s="3308"/>
      <c r="E3" s="1035" t="s">
        <v>452</v>
      </c>
      <c r="F3" s="1036">
        <f>基本情况!B11</f>
        <v>0</v>
      </c>
      <c r="G3" s="1035" t="s">
        <v>882</v>
      </c>
      <c r="H3" s="1036" t="str">
        <f>TEXT(基本情况!B22,"yyyy-mm-dd")</f>
        <v>2017-05-04</v>
      </c>
      <c r="I3" s="3698" t="str">
        <f>档案索引!D39</f>
        <v>4-6</v>
      </c>
      <c r="J3" s="3698"/>
      <c r="K3" s="3697"/>
    </row>
    <row r="4" spans="1:16" ht="7.5" customHeight="1">
      <c r="A4" s="3303"/>
      <c r="B4" s="3303"/>
      <c r="C4" s="3303"/>
      <c r="D4" s="3303"/>
      <c r="E4" s="3303"/>
      <c r="F4" s="3303"/>
      <c r="G4" s="3303"/>
      <c r="H4" s="3303"/>
      <c r="I4" s="3303"/>
      <c r="J4" s="3303"/>
      <c r="K4" s="3697"/>
    </row>
    <row r="5" spans="1:16" ht="21.75" customHeight="1">
      <c r="A5" s="1037" t="s">
        <v>665</v>
      </c>
      <c r="B5" s="1038" t="s">
        <v>453</v>
      </c>
      <c r="C5" s="1038" t="s">
        <v>1001</v>
      </c>
      <c r="D5" s="1038" t="s">
        <v>1002</v>
      </c>
      <c r="E5" s="1038" t="s">
        <v>1003</v>
      </c>
      <c r="F5" s="1038" t="s">
        <v>1004</v>
      </c>
      <c r="G5" s="1038" t="s">
        <v>1005</v>
      </c>
      <c r="H5" s="1038" t="s">
        <v>1006</v>
      </c>
      <c r="I5" s="1038" t="s">
        <v>980</v>
      </c>
      <c r="J5" s="1039" t="s">
        <v>502</v>
      </c>
      <c r="K5" s="3697"/>
    </row>
    <row r="6" spans="1:16" ht="21.75" customHeight="1">
      <c r="A6" s="3298" t="s">
        <v>1007</v>
      </c>
      <c r="B6" s="1032">
        <v>1</v>
      </c>
      <c r="C6" s="1040"/>
      <c r="D6" s="1206"/>
      <c r="E6" s="1206"/>
      <c r="F6" s="1206"/>
      <c r="G6" s="1206"/>
      <c r="H6" s="1207">
        <f t="shared" ref="H6:H11" si="0">E6+F6-G6</f>
        <v>0</v>
      </c>
      <c r="I6" s="1206"/>
      <c r="J6" s="1208">
        <f t="shared" ref="J6:J19" si="1">H6+I6</f>
        <v>0</v>
      </c>
      <c r="K6" s="565"/>
    </row>
    <row r="7" spans="1:16" ht="21.75" customHeight="1">
      <c r="A7" s="3298"/>
      <c r="B7" s="763">
        <v>2</v>
      </c>
      <c r="C7" s="1041"/>
      <c r="D7" s="1209"/>
      <c r="E7" s="1209"/>
      <c r="F7" s="1209"/>
      <c r="G7" s="1209"/>
      <c r="H7" s="1210">
        <f t="shared" si="0"/>
        <v>0</v>
      </c>
      <c r="I7" s="1209"/>
      <c r="J7" s="1211">
        <f t="shared" si="1"/>
        <v>0</v>
      </c>
      <c r="K7" t="s">
        <v>395</v>
      </c>
    </row>
    <row r="8" spans="1:16" ht="21.75" customHeight="1">
      <c r="A8" s="3298"/>
      <c r="B8" s="763">
        <v>3</v>
      </c>
      <c r="C8" s="1041"/>
      <c r="D8" s="1209"/>
      <c r="E8" s="1209"/>
      <c r="F8" s="1209"/>
      <c r="G8" s="1209"/>
      <c r="H8" s="1210">
        <f t="shared" si="0"/>
        <v>0</v>
      </c>
      <c r="I8" s="1209"/>
      <c r="J8" s="1211">
        <f t="shared" si="1"/>
        <v>0</v>
      </c>
      <c r="K8" s="1042" t="s">
        <v>1288</v>
      </c>
    </row>
    <row r="9" spans="1:16" ht="21.75" customHeight="1">
      <c r="A9" s="3298"/>
      <c r="B9" s="763">
        <v>4</v>
      </c>
      <c r="C9" s="1041"/>
      <c r="D9" s="1209"/>
      <c r="E9" s="1209"/>
      <c r="F9" s="1209"/>
      <c r="G9" s="1209"/>
      <c r="H9" s="1210">
        <f t="shared" si="0"/>
        <v>0</v>
      </c>
      <c r="I9" s="1209"/>
      <c r="J9" s="1211">
        <f t="shared" si="1"/>
        <v>0</v>
      </c>
    </row>
    <row r="10" spans="1:16" ht="21.75" customHeight="1">
      <c r="A10" s="3298"/>
      <c r="B10" s="763">
        <v>5</v>
      </c>
      <c r="C10" s="1041"/>
      <c r="D10" s="1209"/>
      <c r="E10" s="1209"/>
      <c r="F10" s="1209"/>
      <c r="G10" s="1209"/>
      <c r="H10" s="1210">
        <f t="shared" si="0"/>
        <v>0</v>
      </c>
      <c r="I10" s="1209"/>
      <c r="J10" s="1211">
        <f t="shared" si="1"/>
        <v>0</v>
      </c>
    </row>
    <row r="11" spans="1:16" ht="21.75" customHeight="1">
      <c r="A11" s="3298"/>
      <c r="B11" s="763">
        <v>6</v>
      </c>
      <c r="C11" s="1041"/>
      <c r="D11" s="1209"/>
      <c r="E11" s="1209"/>
      <c r="F11" s="1209"/>
      <c r="G11" s="1209"/>
      <c r="H11" s="1210">
        <f t="shared" si="0"/>
        <v>0</v>
      </c>
      <c r="I11" s="1209"/>
      <c r="J11" s="1211">
        <f t="shared" si="1"/>
        <v>0</v>
      </c>
      <c r="K11" s="3645" t="s">
        <v>1649</v>
      </c>
      <c r="L11" s="3645"/>
      <c r="M11" s="3645"/>
      <c r="N11" s="3645"/>
      <c r="O11" s="3645"/>
      <c r="P11" s="3645"/>
    </row>
    <row r="12" spans="1:16" ht="21.75" customHeight="1">
      <c r="A12" s="3298"/>
      <c r="B12" s="3692" t="s">
        <v>702</v>
      </c>
      <c r="C12" s="3692"/>
      <c r="D12" s="1212">
        <f t="shared" ref="D12:I12" si="2">SUM(D6:D11)</f>
        <v>0</v>
      </c>
      <c r="E12" s="1212">
        <f t="shared" si="2"/>
        <v>0</v>
      </c>
      <c r="F12" s="1212">
        <f t="shared" si="2"/>
        <v>0</v>
      </c>
      <c r="G12" s="1212">
        <f t="shared" si="2"/>
        <v>0</v>
      </c>
      <c r="H12" s="1212">
        <f t="shared" si="2"/>
        <v>0</v>
      </c>
      <c r="I12" s="1212">
        <f t="shared" si="2"/>
        <v>0</v>
      </c>
      <c r="J12" s="1213">
        <f t="shared" si="1"/>
        <v>0</v>
      </c>
      <c r="K12" s="3645"/>
      <c r="L12" s="3645"/>
      <c r="M12" s="3645"/>
      <c r="N12" s="3645"/>
      <c r="O12" s="3645"/>
      <c r="P12" s="3645"/>
    </row>
    <row r="13" spans="1:16" ht="21.75" customHeight="1">
      <c r="A13" s="3693" t="s">
        <v>1650</v>
      </c>
      <c r="B13" s="1043">
        <v>1</v>
      </c>
      <c r="C13" s="1044"/>
      <c r="D13" s="1214"/>
      <c r="E13" s="1214"/>
      <c r="F13" s="1214"/>
      <c r="G13" s="1214"/>
      <c r="H13" s="1215">
        <f t="shared" ref="H13:H18" si="3">E13+G13-F13</f>
        <v>0</v>
      </c>
      <c r="I13" s="1216"/>
      <c r="J13" s="1217">
        <f t="shared" si="1"/>
        <v>0</v>
      </c>
      <c r="K13" s="3645"/>
      <c r="L13" s="3645"/>
      <c r="M13" s="3645"/>
      <c r="N13" s="3645"/>
      <c r="O13" s="3645"/>
      <c r="P13" s="3645"/>
    </row>
    <row r="14" spans="1:16" ht="21.75" customHeight="1">
      <c r="A14" s="3693"/>
      <c r="B14" s="763">
        <v>2</v>
      </c>
      <c r="C14" s="1041"/>
      <c r="D14" s="1218"/>
      <c r="E14" s="1218"/>
      <c r="F14" s="1218"/>
      <c r="G14" s="1218"/>
      <c r="H14" s="1219">
        <f t="shared" si="3"/>
        <v>0</v>
      </c>
      <c r="I14" s="1209"/>
      <c r="J14" s="1211">
        <f t="shared" si="1"/>
        <v>0</v>
      </c>
      <c r="K14" s="3645"/>
      <c r="L14" s="3645"/>
      <c r="M14" s="3645"/>
      <c r="N14" s="3645"/>
      <c r="O14" s="3645"/>
      <c r="P14" s="3645"/>
    </row>
    <row r="15" spans="1:16" ht="21.75" customHeight="1">
      <c r="A15" s="3693"/>
      <c r="B15" s="763">
        <v>3</v>
      </c>
      <c r="C15" s="1041"/>
      <c r="D15" s="1218"/>
      <c r="E15" s="1218"/>
      <c r="F15" s="1218"/>
      <c r="G15" s="1218"/>
      <c r="H15" s="1219">
        <f t="shared" si="3"/>
        <v>0</v>
      </c>
      <c r="I15" s="1209"/>
      <c r="J15" s="1211">
        <f t="shared" si="1"/>
        <v>0</v>
      </c>
      <c r="K15" s="3645"/>
      <c r="L15" s="3645"/>
      <c r="M15" s="3645"/>
      <c r="N15" s="3645"/>
      <c r="O15" s="3645"/>
      <c r="P15" s="3645"/>
    </row>
    <row r="16" spans="1:16" ht="21.75" customHeight="1">
      <c r="A16" s="3693"/>
      <c r="B16" s="763">
        <v>4</v>
      </c>
      <c r="C16" s="1041"/>
      <c r="D16" s="1218"/>
      <c r="E16" s="1218"/>
      <c r="F16" s="1218"/>
      <c r="G16" s="1218"/>
      <c r="H16" s="1219">
        <f t="shared" si="3"/>
        <v>0</v>
      </c>
      <c r="I16" s="1209"/>
      <c r="J16" s="1211">
        <f t="shared" si="1"/>
        <v>0</v>
      </c>
      <c r="K16" s="972"/>
      <c r="L16" s="673"/>
      <c r="M16" s="673"/>
      <c r="N16" s="673"/>
      <c r="O16" s="673"/>
      <c r="P16" s="673"/>
    </row>
    <row r="17" spans="1:16" ht="21.75" customHeight="1">
      <c r="A17" s="3693"/>
      <c r="B17" s="763">
        <v>5</v>
      </c>
      <c r="C17" s="1041"/>
      <c r="D17" s="1218"/>
      <c r="E17" s="1218"/>
      <c r="F17" s="1218"/>
      <c r="G17" s="1218"/>
      <c r="H17" s="1219">
        <f t="shared" si="3"/>
        <v>0</v>
      </c>
      <c r="I17" s="1209"/>
      <c r="J17" s="1211">
        <f t="shared" si="1"/>
        <v>0</v>
      </c>
    </row>
    <row r="18" spans="1:16" ht="21.75" customHeight="1">
      <c r="A18" s="3693"/>
      <c r="B18" s="763">
        <v>6</v>
      </c>
      <c r="C18" s="1041"/>
      <c r="D18" s="1209"/>
      <c r="E18" s="1209"/>
      <c r="F18" s="1209"/>
      <c r="G18" s="1209"/>
      <c r="H18" s="1219">
        <f t="shared" si="3"/>
        <v>0</v>
      </c>
      <c r="I18" s="1209"/>
      <c r="J18" s="1211">
        <f t="shared" si="1"/>
        <v>0</v>
      </c>
      <c r="K18" s="3645" t="s">
        <v>833</v>
      </c>
      <c r="L18" s="3645"/>
      <c r="M18" s="3645"/>
      <c r="N18" s="3645"/>
      <c r="O18" s="3645"/>
      <c r="P18" s="3645"/>
    </row>
    <row r="19" spans="1:16" ht="21.75" customHeight="1">
      <c r="A19" s="3693"/>
      <c r="B19" s="3692" t="s">
        <v>702</v>
      </c>
      <c r="C19" s="3692"/>
      <c r="D19" s="1212">
        <f t="shared" ref="D19:I19" si="4">SUM(D13:D18)</f>
        <v>0</v>
      </c>
      <c r="E19" s="1212">
        <f t="shared" si="4"/>
        <v>0</v>
      </c>
      <c r="F19" s="1212">
        <f t="shared" si="4"/>
        <v>0</v>
      </c>
      <c r="G19" s="1212">
        <f t="shared" si="4"/>
        <v>0</v>
      </c>
      <c r="H19" s="1212">
        <f t="shared" si="4"/>
        <v>0</v>
      </c>
      <c r="I19" s="1212">
        <f t="shared" si="4"/>
        <v>0</v>
      </c>
      <c r="J19" s="1213">
        <f t="shared" si="1"/>
        <v>0</v>
      </c>
      <c r="K19" s="3645"/>
      <c r="L19" s="3645"/>
      <c r="M19" s="3645"/>
      <c r="N19" s="3645"/>
      <c r="O19" s="3645"/>
      <c r="P19" s="3645"/>
    </row>
    <row r="20" spans="1:16" ht="21" customHeight="1">
      <c r="A20" s="3276" t="s">
        <v>641</v>
      </c>
      <c r="B20" s="3276"/>
      <c r="C20" s="3694" t="str">
        <f>IF($H$12&lt;&gt;资产负债!$D$18,"待摊费用账载数与报表数相差"&amp;DOLLAR($H$12-资产负债!$D$18,2)&amp;"元！","待摊费用账载数与报表数相符！")</f>
        <v>待摊费用账载数与报表数相符！</v>
      </c>
      <c r="D20" s="3694"/>
      <c r="E20" s="3694"/>
      <c r="F20" s="3694"/>
      <c r="G20" s="3695" t="str">
        <f>IF($H$19&lt;&gt;资产负债!$H$14,"预提费用账载数与报表数相差"&amp;DOLLAR($H$19-资产负债!$H$14,2)&amp;"元！","预提费用账载数与报表数相符！")</f>
        <v>预提费用账载数与报表数相符！</v>
      </c>
      <c r="H20" s="3695"/>
      <c r="I20" s="3695"/>
      <c r="J20" s="3695"/>
      <c r="K20" s="3645"/>
      <c r="L20" s="3645"/>
      <c r="M20" s="3645"/>
      <c r="N20" s="3645"/>
      <c r="O20" s="3645"/>
      <c r="P20" s="3645"/>
    </row>
    <row r="21" spans="1:16" ht="15" customHeight="1">
      <c r="A21" s="3295" t="s">
        <v>1323</v>
      </c>
      <c r="B21" s="3295"/>
      <c r="C21" s="1045" t="s">
        <v>1407</v>
      </c>
      <c r="D21" s="3690" t="str">
        <f>IF(OR(H12&lt;&gt;资产负债!D16,H18&lt;&gt;资产负债!H18),"、E","")</f>
        <v/>
      </c>
      <c r="E21" s="3690"/>
      <c r="F21" s="3690"/>
      <c r="G21" s="3690"/>
      <c r="H21" s="3690"/>
      <c r="I21" s="3690"/>
      <c r="J21" s="3690"/>
      <c r="K21" s="972"/>
      <c r="L21" s="587"/>
      <c r="M21" s="587"/>
      <c r="N21" s="587"/>
      <c r="O21" s="587"/>
      <c r="P21" s="587"/>
    </row>
    <row r="22" spans="1:16" ht="46.5" customHeight="1">
      <c r="A22" s="3295"/>
      <c r="B22" s="3295"/>
      <c r="C22" s="3691"/>
      <c r="D22" s="3691"/>
      <c r="E22" s="3691"/>
      <c r="F22" s="3691"/>
      <c r="G22" s="3691"/>
      <c r="H22" s="3691"/>
      <c r="I22" s="3691"/>
      <c r="J22" s="3691"/>
      <c r="K22" s="3644" t="s">
        <v>834</v>
      </c>
      <c r="L22" s="3644"/>
      <c r="M22" s="3644"/>
      <c r="N22" s="3644"/>
      <c r="O22" s="3644"/>
      <c r="P22" s="3644"/>
    </row>
    <row r="23" spans="1:16" ht="21" customHeight="1">
      <c r="A23" s="3688" t="s">
        <v>574</v>
      </c>
      <c r="B23" s="3688"/>
      <c r="C23" s="3689"/>
      <c r="D23" s="3689"/>
      <c r="E23" s="3689"/>
      <c r="F23" s="3689"/>
      <c r="G23" s="3689"/>
      <c r="H23" s="3689"/>
      <c r="I23" s="3689"/>
      <c r="J23" s="3689"/>
      <c r="K23" s="3644"/>
      <c r="L23" s="3644"/>
      <c r="M23" s="3644"/>
      <c r="N23" s="3644"/>
      <c r="O23" s="3644"/>
      <c r="P23" s="3644"/>
    </row>
    <row r="24" spans="1:16" ht="13.5" customHeight="1">
      <c r="K24" s="3644"/>
      <c r="L24" s="3644"/>
      <c r="M24" s="3644"/>
      <c r="N24" s="3644"/>
      <c r="O24" s="3644"/>
      <c r="P24" s="3644"/>
    </row>
    <row r="25" spans="1:16" ht="21" customHeight="1"/>
    <row r="26" spans="1:16" ht="21" customHeight="1"/>
    <row r="27" spans="1:16" ht="21" customHeight="1"/>
    <row r="28" spans="1:16" ht="21" customHeight="1"/>
    <row r="29" spans="1:16" ht="21" customHeight="1"/>
    <row r="30" spans="1:16" ht="21" customHeight="1"/>
    <row r="31" spans="1:16" ht="21" customHeight="1"/>
    <row r="32" spans="1:16" ht="21" customHeight="1"/>
    <row r="33" ht="21" customHeight="1"/>
    <row r="34" ht="21" customHeight="1"/>
    <row r="35" ht="21" customHeight="1"/>
    <row r="36" ht="21" customHeight="1"/>
  </sheetData>
  <sheetProtection selectLockedCells="1" selectUnlockedCells="1"/>
  <mergeCells count="24">
    <mergeCell ref="A1:J1"/>
    <mergeCell ref="K1:K5"/>
    <mergeCell ref="A2:B2"/>
    <mergeCell ref="C2:D2"/>
    <mergeCell ref="I2:J2"/>
    <mergeCell ref="A3:B3"/>
    <mergeCell ref="C3:D3"/>
    <mergeCell ref="I3:J3"/>
    <mergeCell ref="A4:J4"/>
    <mergeCell ref="K11:P15"/>
    <mergeCell ref="B12:C12"/>
    <mergeCell ref="A13:A19"/>
    <mergeCell ref="K18:P20"/>
    <mergeCell ref="B19:C19"/>
    <mergeCell ref="A20:B20"/>
    <mergeCell ref="C20:F20"/>
    <mergeCell ref="G20:J20"/>
    <mergeCell ref="A6:A12"/>
    <mergeCell ref="K22:P24"/>
    <mergeCell ref="A23:B23"/>
    <mergeCell ref="C23:J23"/>
    <mergeCell ref="A21:B22"/>
    <mergeCell ref="D21:J21"/>
    <mergeCell ref="C22:J22"/>
  </mergeCells>
  <phoneticPr fontId="51" type="noConversion"/>
  <dataValidations count="1">
    <dataValidation allowBlank="1" showErrorMessage="1" promptTitle="存在调整事项时" prompt="_x000a_选择 “E”" sqref="D21:J21">
      <formula1>0</formula1>
      <formula2>0</formula2>
    </dataValidation>
  </dataValidations>
  <hyperlinks>
    <hyperlink ref="K8"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L35"/>
  <sheetViews>
    <sheetView workbookViewId="0">
      <selection activeCell="C16" sqref="C16:H16"/>
    </sheetView>
  </sheetViews>
  <sheetFormatPr defaultRowHeight="15.6"/>
  <cols>
    <col min="1" max="1" width="7.09765625" style="130" customWidth="1"/>
    <col min="2" max="2" width="24.8984375" style="130" customWidth="1"/>
    <col min="3" max="8" width="14.59765625" style="130" customWidth="1"/>
    <col min="9" max="9" width="28.8984375" customWidth="1"/>
  </cols>
  <sheetData>
    <row r="1" spans="1:12" ht="30" customHeight="1">
      <c r="A1" s="2729" t="s">
        <v>1263</v>
      </c>
      <c r="B1" s="2729"/>
      <c r="C1" s="2729"/>
      <c r="D1" s="2729"/>
      <c r="E1" s="2729"/>
      <c r="F1" s="2729"/>
      <c r="G1" s="2729"/>
      <c r="H1" s="2729"/>
      <c r="I1" s="3180"/>
      <c r="J1" s="84"/>
      <c r="K1" s="84"/>
      <c r="L1" s="84"/>
    </row>
    <row r="2" spans="1:12" s="130" customFormat="1" ht="23.25" customHeight="1">
      <c r="A2" s="3191" t="str">
        <f>"委托单位："&amp;基本情况!B2</f>
        <v>委托单位：0</v>
      </c>
      <c r="B2" s="3191"/>
      <c r="C2" s="3191"/>
      <c r="D2" s="3191"/>
      <c r="E2" s="136"/>
      <c r="F2" s="136" t="s">
        <v>9</v>
      </c>
      <c r="G2" s="136" t="s">
        <v>882</v>
      </c>
      <c r="H2" s="485" t="s">
        <v>283</v>
      </c>
      <c r="I2" s="3180"/>
      <c r="J2" s="598"/>
      <c r="K2" s="598"/>
      <c r="L2" s="598"/>
    </row>
    <row r="3" spans="1:12" s="130" customFormat="1" ht="23.25" customHeight="1">
      <c r="A3" s="3191"/>
      <c r="B3" s="3191"/>
      <c r="C3" s="3191"/>
      <c r="D3" s="3191"/>
      <c r="E3" s="158" t="s">
        <v>450</v>
      </c>
      <c r="F3" s="510">
        <f>基本情况!B12</f>
        <v>0</v>
      </c>
      <c r="G3" s="559" t="str">
        <f>TEXT(基本情况!B21,"yyyy-mm-dd")</f>
        <v>2017-03-16</v>
      </c>
      <c r="H3" s="3146"/>
      <c r="I3" s="3180"/>
      <c r="J3" s="598"/>
      <c r="K3" s="598"/>
      <c r="L3" s="598"/>
    </row>
    <row r="4" spans="1:12" s="130" customFormat="1" ht="23.25" customHeight="1">
      <c r="A4" s="3189" t="str">
        <f>"会计期间："&amp;基本情况!B7</f>
        <v>会计期间：2016年01月01日至2016年12月31日</v>
      </c>
      <c r="B4" s="3189"/>
      <c r="C4" s="3189"/>
      <c r="D4" s="3189"/>
      <c r="E4" s="605" t="s">
        <v>452</v>
      </c>
      <c r="F4" s="1046">
        <f>基本情况!B11</f>
        <v>0</v>
      </c>
      <c r="G4" s="1046" t="str">
        <f>TEXT(基本情况!B22,"yyyy-mm-dd")</f>
        <v>2017-05-04</v>
      </c>
      <c r="H4" s="3146"/>
      <c r="I4" s="3180"/>
      <c r="J4" s="598"/>
      <c r="K4" s="598"/>
      <c r="L4" s="598"/>
    </row>
    <row r="5" spans="1:12" s="130" customFormat="1" ht="7.5" customHeight="1">
      <c r="A5" s="2926"/>
      <c r="B5" s="2926"/>
      <c r="C5" s="2926"/>
      <c r="D5" s="2926"/>
      <c r="E5" s="2926"/>
      <c r="F5" s="2926"/>
      <c r="G5" s="2926"/>
      <c r="H5" s="2926"/>
      <c r="I5" s="543"/>
      <c r="J5" s="598"/>
      <c r="K5" s="598"/>
      <c r="L5" s="598"/>
    </row>
    <row r="6" spans="1:12" s="130" customFormat="1" ht="23.25" customHeight="1">
      <c r="A6" s="135" t="s">
        <v>453</v>
      </c>
      <c r="B6" s="136" t="s">
        <v>216</v>
      </c>
      <c r="C6" s="136" t="s">
        <v>612</v>
      </c>
      <c r="D6" s="136" t="s">
        <v>835</v>
      </c>
      <c r="E6" s="136" t="s">
        <v>836</v>
      </c>
      <c r="F6" s="136" t="s">
        <v>837</v>
      </c>
      <c r="G6" s="136" t="s">
        <v>980</v>
      </c>
      <c r="H6" s="485" t="s">
        <v>243</v>
      </c>
      <c r="I6" s="84" t="s">
        <v>395</v>
      </c>
      <c r="J6" s="598"/>
      <c r="K6" s="598"/>
      <c r="L6" s="598"/>
    </row>
    <row r="7" spans="1:12" s="130" customFormat="1" ht="23.25" customHeight="1">
      <c r="A7" s="1047"/>
      <c r="B7" s="1048"/>
      <c r="C7" s="1220"/>
      <c r="D7" s="1121"/>
      <c r="E7" s="1220"/>
      <c r="F7" s="1220"/>
      <c r="G7" s="1220"/>
      <c r="H7" s="496">
        <f>F7+G7</f>
        <v>0</v>
      </c>
      <c r="I7" s="493" t="s">
        <v>1288</v>
      </c>
      <c r="J7" s="90"/>
      <c r="K7" s="598"/>
      <c r="L7" s="598"/>
    </row>
    <row r="8" spans="1:12" s="130" customFormat="1" ht="23.25" customHeight="1">
      <c r="A8" s="680"/>
      <c r="B8" s="1048"/>
      <c r="C8" s="1120"/>
      <c r="D8" s="1120"/>
      <c r="E8" s="1120"/>
      <c r="F8" s="1120"/>
      <c r="G8" s="1120"/>
      <c r="H8" s="496">
        <f t="shared" ref="H8:H14" si="0">F8+G8</f>
        <v>0</v>
      </c>
      <c r="I8" s="84"/>
      <c r="J8" s="90"/>
      <c r="K8" s="598"/>
      <c r="L8" s="598"/>
    </row>
    <row r="9" spans="1:12" s="130" customFormat="1" ht="23.25" customHeight="1">
      <c r="A9" s="680"/>
      <c r="B9" s="1048"/>
      <c r="C9" s="1120"/>
      <c r="D9" s="1120"/>
      <c r="E9" s="1120"/>
      <c r="F9" s="1120"/>
      <c r="G9" s="1120"/>
      <c r="H9" s="496">
        <f t="shared" si="0"/>
        <v>0</v>
      </c>
      <c r="I9" s="493" t="s">
        <v>838</v>
      </c>
      <c r="J9" s="90"/>
      <c r="K9" s="598"/>
      <c r="L9" s="598"/>
    </row>
    <row r="10" spans="1:12" s="130" customFormat="1" ht="23.25" customHeight="1">
      <c r="A10" s="680"/>
      <c r="B10" s="1048"/>
      <c r="C10" s="1120"/>
      <c r="D10" s="1120"/>
      <c r="E10" s="1120"/>
      <c r="F10" s="1120"/>
      <c r="G10" s="1120"/>
      <c r="H10" s="496">
        <f t="shared" si="0"/>
        <v>0</v>
      </c>
      <c r="I10" s="598"/>
      <c r="J10" s="90"/>
      <c r="K10" s="598"/>
      <c r="L10" s="598"/>
    </row>
    <row r="11" spans="1:12" s="130" customFormat="1" ht="23.25" customHeight="1">
      <c r="A11" s="680"/>
      <c r="B11" s="1048"/>
      <c r="C11" s="1120"/>
      <c r="D11" s="1120"/>
      <c r="E11" s="1120"/>
      <c r="F11" s="1120"/>
      <c r="G11" s="1120"/>
      <c r="H11" s="496">
        <f t="shared" si="0"/>
        <v>0</v>
      </c>
      <c r="I11" s="598"/>
      <c r="J11" s="598"/>
      <c r="K11" s="598"/>
      <c r="L11" s="598"/>
    </row>
    <row r="12" spans="1:12" s="130" customFormat="1" ht="23.25" customHeight="1">
      <c r="A12" s="680"/>
      <c r="B12" s="1048"/>
      <c r="C12" s="1120"/>
      <c r="D12" s="1120"/>
      <c r="E12" s="1120"/>
      <c r="F12" s="1120"/>
      <c r="G12" s="1120"/>
      <c r="H12" s="496">
        <f t="shared" si="0"/>
        <v>0</v>
      </c>
      <c r="I12" s="598"/>
      <c r="J12" s="598"/>
      <c r="K12" s="598"/>
      <c r="L12" s="598"/>
    </row>
    <row r="13" spans="1:12" s="130" customFormat="1" ht="23.25" customHeight="1">
      <c r="A13" s="680"/>
      <c r="B13" s="1048"/>
      <c r="C13" s="1120"/>
      <c r="D13" s="1120"/>
      <c r="E13" s="1120"/>
      <c r="F13" s="1120"/>
      <c r="G13" s="1120"/>
      <c r="H13" s="496">
        <f t="shared" si="0"/>
        <v>0</v>
      </c>
      <c r="I13" s="598"/>
      <c r="J13" s="598"/>
      <c r="K13" s="598"/>
      <c r="L13" s="598"/>
    </row>
    <row r="14" spans="1:12" s="130" customFormat="1" ht="23.25" customHeight="1">
      <c r="A14" s="680"/>
      <c r="B14" s="1048"/>
      <c r="C14" s="1120"/>
      <c r="D14" s="1120"/>
      <c r="E14" s="1120"/>
      <c r="F14" s="1120"/>
      <c r="G14" s="1120"/>
      <c r="H14" s="496">
        <f t="shared" si="0"/>
        <v>0</v>
      </c>
      <c r="I14" s="598"/>
      <c r="J14" s="598"/>
      <c r="K14" s="598"/>
      <c r="L14" s="598"/>
    </row>
    <row r="15" spans="1:12" s="130" customFormat="1" ht="23.25" customHeight="1">
      <c r="A15" s="1049"/>
      <c r="B15" s="140" t="s">
        <v>702</v>
      </c>
      <c r="C15" s="823">
        <f t="shared" ref="C15:H15" si="1">SUM(C7:C14)</f>
        <v>0</v>
      </c>
      <c r="D15" s="823">
        <f t="shared" si="1"/>
        <v>0</v>
      </c>
      <c r="E15" s="823">
        <f t="shared" si="1"/>
        <v>0</v>
      </c>
      <c r="F15" s="823">
        <f t="shared" si="1"/>
        <v>0</v>
      </c>
      <c r="G15" s="823">
        <f t="shared" si="1"/>
        <v>0</v>
      </c>
      <c r="H15" s="596">
        <f t="shared" si="1"/>
        <v>0</v>
      </c>
      <c r="I15" s="598"/>
      <c r="J15" s="598"/>
      <c r="K15" s="598"/>
      <c r="L15" s="598"/>
    </row>
    <row r="16" spans="1:12" s="130" customFormat="1" ht="23.25" customHeight="1">
      <c r="A16" s="3051" t="s">
        <v>641</v>
      </c>
      <c r="B16" s="3051"/>
      <c r="C16" s="3699" t="str">
        <f>IF(F15&lt;&gt;资产负债!D26,"账载数与报表数相差"&amp;DOLLAR(F15-资产负债!D26,2)&amp;"元！","账载数与报表数相符！")</f>
        <v>账载数与报表数相符！</v>
      </c>
      <c r="D16" s="3699"/>
      <c r="E16" s="3699"/>
      <c r="F16" s="3699"/>
      <c r="G16" s="3699"/>
      <c r="H16" s="3699"/>
      <c r="I16" s="598"/>
      <c r="J16" s="598"/>
      <c r="K16" s="598"/>
      <c r="L16" s="598"/>
    </row>
    <row r="17" spans="1:12" s="130" customFormat="1" ht="15" customHeight="1">
      <c r="A17" s="3065" t="s">
        <v>1323</v>
      </c>
      <c r="B17" s="3065"/>
      <c r="C17" s="3148" t="s">
        <v>1407</v>
      </c>
      <c r="D17" s="3148"/>
      <c r="E17" s="3102" t="str">
        <f>IF(G15&lt;&gt;0,"、E","")</f>
        <v/>
      </c>
      <c r="F17" s="3102"/>
      <c r="G17" s="3102"/>
      <c r="H17" s="3102"/>
      <c r="I17" s="598"/>
      <c r="J17" s="598"/>
      <c r="K17" s="598"/>
      <c r="L17" s="598"/>
    </row>
    <row r="18" spans="1:12" s="130" customFormat="1" ht="62.25" customHeight="1">
      <c r="A18" s="3065"/>
      <c r="B18" s="3065"/>
      <c r="C18" s="3649"/>
      <c r="D18" s="3649"/>
      <c r="E18" s="3649"/>
      <c r="F18" s="3649"/>
      <c r="G18" s="3649"/>
      <c r="H18" s="3649"/>
      <c r="I18" s="598"/>
      <c r="J18" s="598"/>
      <c r="K18" s="598"/>
      <c r="L18" s="598"/>
    </row>
    <row r="19" spans="1:12" s="130" customFormat="1" ht="23.25" customHeight="1">
      <c r="A19" s="3172" t="s">
        <v>574</v>
      </c>
      <c r="B19" s="3172"/>
      <c r="C19" s="3141" t="str">
        <f>IF(G15=0,"不存在调整事项，认可！","调整后认可！")</f>
        <v>不存在调整事项，认可！</v>
      </c>
      <c r="D19" s="3141"/>
      <c r="E19" s="3141"/>
      <c r="F19" s="3141"/>
      <c r="G19" s="3141"/>
      <c r="H19" s="3141"/>
      <c r="I19" s="598"/>
      <c r="J19" s="598"/>
      <c r="K19" s="598"/>
      <c r="L19" s="598"/>
    </row>
    <row r="20" spans="1:12" s="130" customFormat="1" ht="23.25" customHeight="1">
      <c r="A20" s="598"/>
      <c r="B20" s="598"/>
      <c r="C20" s="598"/>
      <c r="D20" s="598"/>
      <c r="E20" s="598"/>
      <c r="F20" s="598"/>
      <c r="G20" s="598"/>
      <c r="H20" s="598"/>
      <c r="I20" s="598"/>
      <c r="J20" s="598"/>
      <c r="K20" s="598"/>
      <c r="L20" s="598"/>
    </row>
    <row r="21" spans="1:12" s="130" customFormat="1" ht="23.25" customHeight="1"/>
    <row r="22" spans="1:12" s="130" customFormat="1" ht="23.25" customHeight="1"/>
    <row r="23" spans="1:12" s="130" customFormat="1" ht="23.25" customHeight="1"/>
    <row r="24" spans="1:12" s="130" customFormat="1" ht="23.25" customHeight="1"/>
    <row r="25" spans="1:12" s="130" customFormat="1" ht="20.100000000000001" customHeight="1"/>
    <row r="26" spans="1:12" s="130" customFormat="1" ht="20.100000000000001" customHeight="1"/>
    <row r="27" spans="1:12" s="130" customFormat="1" ht="20.100000000000001" customHeight="1"/>
    <row r="28" spans="1:12" s="130" customFormat="1" ht="20.100000000000001" customHeight="1"/>
    <row r="29" spans="1:12" s="130" customFormat="1" ht="20.100000000000001" customHeight="1"/>
    <row r="30" spans="1:12" s="130" customFormat="1" ht="20.100000000000001" customHeight="1"/>
    <row r="31" spans="1:12" s="130" customFormat="1" ht="20.100000000000001" customHeight="1"/>
    <row r="32" spans="1:12" ht="20.100000000000001" customHeight="1"/>
    <row r="33" ht="20.100000000000001" customHeight="1"/>
    <row r="34" ht="20.100000000000001" customHeight="1"/>
    <row r="35" ht="20.100000000000001" customHeight="1"/>
  </sheetData>
  <sheetProtection selectLockedCells="1" selectUnlockedCells="1"/>
  <mergeCells count="14">
    <mergeCell ref="A5:H5"/>
    <mergeCell ref="A1:H1"/>
    <mergeCell ref="I1:I4"/>
    <mergeCell ref="A2:D3"/>
    <mergeCell ref="H3:H4"/>
    <mergeCell ref="A4:D4"/>
    <mergeCell ref="A19:B19"/>
    <mergeCell ref="C19:H19"/>
    <mergeCell ref="A16:B16"/>
    <mergeCell ref="C16:H16"/>
    <mergeCell ref="A17:B18"/>
    <mergeCell ref="C17:D17"/>
    <mergeCell ref="E17:H17"/>
    <mergeCell ref="C18:H18"/>
  </mergeCells>
  <phoneticPr fontId="51" type="noConversion"/>
  <dataValidations count="2">
    <dataValidation allowBlank="1" showErrorMessage="1" sqref="F3">
      <formula1>0</formula1>
      <formula2>0</formula2>
    </dataValidation>
    <dataValidation allowBlank="1" showErrorMessage="1" promptTitle="存在调整事项时" prompt="_x000a_选择 “E”" sqref="E17:H17">
      <formula1>0</formula1>
      <formula2>0</formula2>
    </dataValidation>
  </dataValidations>
  <hyperlinks>
    <hyperlink ref="I7" location="资产负债!A1" display="资产负债表"/>
    <hyperlink ref="I9" location="固资折旧!A1" display="固定资产与折旧"/>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pageSetUpPr fitToPage="1"/>
  </sheetPr>
  <dimension ref="A1:P42"/>
  <sheetViews>
    <sheetView topLeftCell="A9" zoomScaleNormal="100" workbookViewId="0">
      <selection activeCell="G26" sqref="G26:J26"/>
    </sheetView>
  </sheetViews>
  <sheetFormatPr defaultRowHeight="15.6"/>
  <cols>
    <col min="1" max="1" width="4.69921875" style="130" customWidth="1"/>
    <col min="2" max="2" width="5.69921875" style="130" customWidth="1"/>
    <col min="3" max="3" width="24.3984375" style="130" customWidth="1"/>
    <col min="4" max="10" width="12.59765625" style="130" customWidth="1"/>
    <col min="11" max="11" width="24.3984375" customWidth="1"/>
  </cols>
  <sheetData>
    <row r="1" spans="1:11" ht="26.25" customHeight="1">
      <c r="A1" s="3696" t="s">
        <v>10116</v>
      </c>
      <c r="B1" s="3696"/>
      <c r="C1" s="3696"/>
      <c r="D1" s="3696"/>
      <c r="E1" s="3696"/>
      <c r="F1" s="3696"/>
      <c r="G1" s="3696"/>
      <c r="H1" s="3696"/>
      <c r="I1" s="3696"/>
      <c r="J1" s="3696"/>
    </row>
    <row r="2" spans="1:11" ht="21.75" customHeight="1">
      <c r="A2" s="3305" t="s">
        <v>447</v>
      </c>
      <c r="B2" s="3305"/>
      <c r="C2" s="3306">
        <f>基本情况!B2</f>
        <v>0</v>
      </c>
      <c r="D2" s="3306"/>
      <c r="E2" s="1032" t="s">
        <v>450</v>
      </c>
      <c r="F2" s="1033">
        <f>基本情况!B12</f>
        <v>0</v>
      </c>
      <c r="G2" s="1032" t="s">
        <v>882</v>
      </c>
      <c r="H2" s="1034" t="str">
        <f>TEXT(基本情况!B21,"yyyy-mm-dd")</f>
        <v>2017-03-16</v>
      </c>
      <c r="I2" s="3307" t="s">
        <v>283</v>
      </c>
      <c r="J2" s="3307"/>
    </row>
    <row r="3" spans="1:11" ht="21.75" customHeight="1">
      <c r="A3" s="3286" t="s">
        <v>451</v>
      </c>
      <c r="B3" s="3286"/>
      <c r="C3" s="3308" t="str">
        <f>基本情况!B7</f>
        <v>2016年01月01日至2016年12月31日</v>
      </c>
      <c r="D3" s="3308"/>
      <c r="E3" s="2638" t="s">
        <v>452</v>
      </c>
      <c r="F3" s="1036">
        <f>基本情况!B11</f>
        <v>0</v>
      </c>
      <c r="G3" s="2638" t="s">
        <v>882</v>
      </c>
      <c r="H3" s="1036" t="str">
        <f>TEXT(基本情况!B22,"yyyy-mm-dd")</f>
        <v>2017-05-04</v>
      </c>
      <c r="I3" s="3698"/>
      <c r="J3" s="3698"/>
    </row>
    <row r="4" spans="1:11" ht="7.5" customHeight="1">
      <c r="A4" s="3303"/>
      <c r="B4" s="3303"/>
      <c r="C4" s="3303"/>
      <c r="D4" s="3303"/>
      <c r="E4" s="3303"/>
      <c r="F4" s="3303"/>
      <c r="G4" s="3303"/>
      <c r="H4" s="3303"/>
      <c r="I4" s="3303"/>
      <c r="J4" s="3303"/>
    </row>
    <row r="5" spans="1:11" ht="21.75" customHeight="1">
      <c r="A5" s="2639" t="s">
        <v>665</v>
      </c>
      <c r="B5" s="1038" t="s">
        <v>453</v>
      </c>
      <c r="C5" s="1038" t="s">
        <v>1001</v>
      </c>
      <c r="D5" s="1038" t="s">
        <v>10119</v>
      </c>
      <c r="E5" s="1038" t="s">
        <v>1003</v>
      </c>
      <c r="F5" s="1038" t="s">
        <v>1004</v>
      </c>
      <c r="G5" s="1038" t="s">
        <v>1005</v>
      </c>
      <c r="H5" s="1038" t="s">
        <v>1006</v>
      </c>
      <c r="I5" s="1038" t="s">
        <v>980</v>
      </c>
      <c r="J5" s="1039" t="s">
        <v>502</v>
      </c>
    </row>
    <row r="6" spans="1:11" ht="21.75" customHeight="1">
      <c r="A6" s="3298" t="s">
        <v>10117</v>
      </c>
      <c r="B6" s="1032">
        <v>1</v>
      </c>
      <c r="C6" s="1040"/>
      <c r="D6" s="2656"/>
      <c r="E6" s="1206"/>
      <c r="F6" s="1206"/>
      <c r="G6" s="1206"/>
      <c r="H6" s="1207">
        <f t="shared" ref="H6:H24" si="0">E6+F6-G6</f>
        <v>0</v>
      </c>
      <c r="I6" s="1206"/>
      <c r="J6" s="1208">
        <f t="shared" ref="J6:J25" si="1">H6+I6</f>
        <v>0</v>
      </c>
      <c r="K6" s="565"/>
    </row>
    <row r="7" spans="1:11" ht="21.75" customHeight="1">
      <c r="A7" s="3298"/>
      <c r="B7" s="2634">
        <v>2</v>
      </c>
      <c r="C7" s="1041"/>
      <c r="D7" s="2657"/>
      <c r="E7" s="1209"/>
      <c r="F7" s="1209"/>
      <c r="G7" s="1209"/>
      <c r="H7" s="1210">
        <f t="shared" si="0"/>
        <v>0</v>
      </c>
      <c r="I7" s="1209"/>
      <c r="J7" s="1211">
        <f t="shared" si="1"/>
        <v>0</v>
      </c>
      <c r="K7" t="s">
        <v>395</v>
      </c>
    </row>
    <row r="8" spans="1:11" ht="21.75" customHeight="1">
      <c r="A8" s="3298"/>
      <c r="B8" s="2634">
        <v>3</v>
      </c>
      <c r="C8" s="1041"/>
      <c r="D8" s="2657"/>
      <c r="E8" s="1209"/>
      <c r="F8" s="1209"/>
      <c r="G8" s="1209"/>
      <c r="H8" s="1210">
        <f t="shared" si="0"/>
        <v>0</v>
      </c>
      <c r="I8" s="1209"/>
      <c r="J8" s="1211">
        <f t="shared" si="1"/>
        <v>0</v>
      </c>
      <c r="K8" s="1042" t="s">
        <v>1288</v>
      </c>
    </row>
    <row r="9" spans="1:11" ht="21.75" customHeight="1">
      <c r="A9" s="3298"/>
      <c r="B9" s="2634">
        <v>4</v>
      </c>
      <c r="C9" s="1041"/>
      <c r="D9" s="2657"/>
      <c r="E9" s="1209"/>
      <c r="F9" s="1209"/>
      <c r="G9" s="1209"/>
      <c r="H9" s="1210">
        <f t="shared" si="0"/>
        <v>0</v>
      </c>
      <c r="I9" s="1209"/>
      <c r="J9" s="1211">
        <f t="shared" si="1"/>
        <v>0</v>
      </c>
    </row>
    <row r="10" spans="1:11" ht="21.75" customHeight="1">
      <c r="A10" s="3298"/>
      <c r="B10" s="2634">
        <v>5</v>
      </c>
      <c r="C10" s="1041"/>
      <c r="D10" s="2657"/>
      <c r="E10" s="1209"/>
      <c r="F10" s="1209"/>
      <c r="G10" s="1209"/>
      <c r="H10" s="1210">
        <f t="shared" si="0"/>
        <v>0</v>
      </c>
      <c r="I10" s="1209"/>
      <c r="J10" s="1211">
        <f t="shared" si="1"/>
        <v>0</v>
      </c>
    </row>
    <row r="11" spans="1:11" ht="21.75" customHeight="1">
      <c r="A11" s="3298"/>
      <c r="B11" s="2634">
        <v>6</v>
      </c>
      <c r="C11" s="1041"/>
      <c r="D11" s="2657"/>
      <c r="E11" s="1209"/>
      <c r="F11" s="1209"/>
      <c r="G11" s="1209"/>
      <c r="H11" s="1210">
        <f t="shared" si="0"/>
        <v>0</v>
      </c>
      <c r="I11" s="1209"/>
      <c r="J11" s="1211">
        <f t="shared" si="1"/>
        <v>0</v>
      </c>
    </row>
    <row r="12" spans="1:11" ht="21.75" customHeight="1">
      <c r="A12" s="3298"/>
      <c r="B12" s="2634">
        <v>7</v>
      </c>
      <c r="C12" s="2646"/>
      <c r="D12" s="2658"/>
      <c r="E12" s="2647"/>
      <c r="F12" s="2647"/>
      <c r="G12" s="2647"/>
      <c r="H12" s="1210">
        <f t="shared" si="0"/>
        <v>0</v>
      </c>
      <c r="I12" s="2647"/>
      <c r="J12" s="1211">
        <f t="shared" si="1"/>
        <v>0</v>
      </c>
    </row>
    <row r="13" spans="1:11" ht="21.75" customHeight="1">
      <c r="A13" s="3298"/>
      <c r="B13" s="2634">
        <v>8</v>
      </c>
      <c r="C13" s="2646"/>
      <c r="D13" s="2658"/>
      <c r="E13" s="2647"/>
      <c r="F13" s="2647"/>
      <c r="G13" s="2647"/>
      <c r="H13" s="1210">
        <f t="shared" si="0"/>
        <v>0</v>
      </c>
      <c r="I13" s="2647"/>
      <c r="J13" s="1211">
        <f t="shared" si="1"/>
        <v>0</v>
      </c>
    </row>
    <row r="14" spans="1:11" ht="21.75" customHeight="1">
      <c r="A14" s="3298"/>
      <c r="B14" s="2634">
        <v>9</v>
      </c>
      <c r="C14" s="2646"/>
      <c r="D14" s="2658"/>
      <c r="E14" s="2647"/>
      <c r="F14" s="2647"/>
      <c r="G14" s="2647"/>
      <c r="H14" s="1210">
        <f t="shared" si="0"/>
        <v>0</v>
      </c>
      <c r="I14" s="2647"/>
      <c r="J14" s="1211">
        <f t="shared" si="1"/>
        <v>0</v>
      </c>
    </row>
    <row r="15" spans="1:11" ht="21.75" customHeight="1">
      <c r="A15" s="3298"/>
      <c r="B15" s="3692" t="s">
        <v>702</v>
      </c>
      <c r="C15" s="3692"/>
      <c r="D15" s="1212"/>
      <c r="E15" s="1212">
        <f t="shared" ref="E15:I15" si="2">SUM(E6:E14)</f>
        <v>0</v>
      </c>
      <c r="F15" s="1212">
        <f t="shared" si="2"/>
        <v>0</v>
      </c>
      <c r="G15" s="1212">
        <f t="shared" si="2"/>
        <v>0</v>
      </c>
      <c r="H15" s="1212">
        <f t="shared" si="2"/>
        <v>0</v>
      </c>
      <c r="I15" s="1212">
        <f t="shared" si="2"/>
        <v>0</v>
      </c>
      <c r="J15" s="1213">
        <f t="shared" si="1"/>
        <v>0</v>
      </c>
    </row>
    <row r="16" spans="1:11" ht="21.75" customHeight="1">
      <c r="A16" s="3693" t="s">
        <v>10118</v>
      </c>
      <c r="B16" s="1043">
        <v>1</v>
      </c>
      <c r="C16" s="1044"/>
      <c r="D16" s="2659"/>
      <c r="E16" s="1214"/>
      <c r="F16" s="1214"/>
      <c r="G16" s="1214"/>
      <c r="H16" s="1215">
        <f t="shared" si="0"/>
        <v>0</v>
      </c>
      <c r="I16" s="1216"/>
      <c r="J16" s="1217">
        <f t="shared" si="1"/>
        <v>0</v>
      </c>
    </row>
    <row r="17" spans="1:16" ht="21.75" customHeight="1">
      <c r="A17" s="3693"/>
      <c r="B17" s="2634">
        <v>2</v>
      </c>
      <c r="C17" s="1041"/>
      <c r="D17" s="2657"/>
      <c r="E17" s="2633"/>
      <c r="F17" s="2633"/>
      <c r="G17" s="2633"/>
      <c r="H17" s="1219">
        <f t="shared" si="0"/>
        <v>0</v>
      </c>
      <c r="I17" s="1209"/>
      <c r="J17" s="1211">
        <f t="shared" si="1"/>
        <v>0</v>
      </c>
    </row>
    <row r="18" spans="1:16" ht="21.75" customHeight="1">
      <c r="A18" s="3693"/>
      <c r="B18" s="2634">
        <v>3</v>
      </c>
      <c r="C18" s="1041"/>
      <c r="D18" s="2657"/>
      <c r="E18" s="2633"/>
      <c r="F18" s="2633"/>
      <c r="G18" s="2633"/>
      <c r="H18" s="1219">
        <f t="shared" si="0"/>
        <v>0</v>
      </c>
      <c r="I18" s="1209"/>
      <c r="J18" s="1211">
        <f t="shared" si="1"/>
        <v>0</v>
      </c>
    </row>
    <row r="19" spans="1:16" ht="21.75" customHeight="1">
      <c r="A19" s="3693"/>
      <c r="B19" s="2634">
        <v>4</v>
      </c>
      <c r="C19" s="1041"/>
      <c r="D19" s="2657"/>
      <c r="E19" s="2633"/>
      <c r="F19" s="2633"/>
      <c r="G19" s="2633"/>
      <c r="H19" s="1219">
        <f t="shared" si="0"/>
        <v>0</v>
      </c>
      <c r="I19" s="1209"/>
      <c r="J19" s="1211">
        <f t="shared" si="1"/>
        <v>0</v>
      </c>
      <c r="K19" s="2636"/>
      <c r="L19" s="673"/>
      <c r="M19" s="673"/>
      <c r="N19" s="673"/>
      <c r="O19" s="673"/>
      <c r="P19" s="673"/>
    </row>
    <row r="20" spans="1:16" ht="21.75" customHeight="1">
      <c r="A20" s="3693"/>
      <c r="B20" s="2634">
        <v>5</v>
      </c>
      <c r="C20" s="1041"/>
      <c r="D20" s="2657"/>
      <c r="E20" s="2633"/>
      <c r="F20" s="2633"/>
      <c r="G20" s="2633"/>
      <c r="H20" s="1219">
        <f t="shared" si="0"/>
        <v>0</v>
      </c>
      <c r="I20" s="1209"/>
      <c r="J20" s="1211">
        <f t="shared" si="1"/>
        <v>0</v>
      </c>
    </row>
    <row r="21" spans="1:16" ht="21.75" customHeight="1">
      <c r="A21" s="3693"/>
      <c r="B21" s="2634">
        <v>6</v>
      </c>
      <c r="C21" s="1041"/>
      <c r="D21" s="2657"/>
      <c r="E21" s="1209"/>
      <c r="F21" s="1209"/>
      <c r="G21" s="1209"/>
      <c r="H21" s="1219">
        <f t="shared" si="0"/>
        <v>0</v>
      </c>
      <c r="I21" s="1209"/>
      <c r="J21" s="1211">
        <f t="shared" si="1"/>
        <v>0</v>
      </c>
    </row>
    <row r="22" spans="1:16" ht="21.75" customHeight="1">
      <c r="A22" s="3693"/>
      <c r="B22" s="2634">
        <v>7</v>
      </c>
      <c r="C22" s="2646"/>
      <c r="D22" s="2658"/>
      <c r="E22" s="2647"/>
      <c r="F22" s="2647"/>
      <c r="G22" s="2647"/>
      <c r="H22" s="1219">
        <f t="shared" si="0"/>
        <v>0</v>
      </c>
      <c r="I22" s="2647"/>
      <c r="J22" s="1211">
        <f t="shared" si="1"/>
        <v>0</v>
      </c>
    </row>
    <row r="23" spans="1:16" ht="21.75" customHeight="1">
      <c r="A23" s="3693"/>
      <c r="B23" s="2634">
        <v>8</v>
      </c>
      <c r="C23" s="2646"/>
      <c r="D23" s="2658"/>
      <c r="E23" s="2647"/>
      <c r="F23" s="2647"/>
      <c r="G23" s="2647"/>
      <c r="H23" s="1219">
        <f t="shared" si="0"/>
        <v>0</v>
      </c>
      <c r="I23" s="2647"/>
      <c r="J23" s="1211">
        <f t="shared" si="1"/>
        <v>0</v>
      </c>
    </row>
    <row r="24" spans="1:16" ht="21.75" customHeight="1">
      <c r="A24" s="3693"/>
      <c r="B24" s="2634">
        <v>9</v>
      </c>
      <c r="C24" s="2646"/>
      <c r="D24" s="2658"/>
      <c r="E24" s="2647"/>
      <c r="F24" s="2647"/>
      <c r="G24" s="2647"/>
      <c r="H24" s="1219">
        <f t="shared" si="0"/>
        <v>0</v>
      </c>
      <c r="I24" s="2647"/>
      <c r="J24" s="1211">
        <f t="shared" si="1"/>
        <v>0</v>
      </c>
    </row>
    <row r="25" spans="1:16" ht="21.75" customHeight="1">
      <c r="A25" s="3693"/>
      <c r="B25" s="3692" t="s">
        <v>702</v>
      </c>
      <c r="C25" s="3692"/>
      <c r="D25" s="1212"/>
      <c r="E25" s="1212">
        <f t="shared" ref="E25:I25" si="3">SUM(E16:E24)</f>
        <v>0</v>
      </c>
      <c r="F25" s="1212">
        <f t="shared" si="3"/>
        <v>0</v>
      </c>
      <c r="G25" s="1212">
        <f t="shared" si="3"/>
        <v>0</v>
      </c>
      <c r="H25" s="1212">
        <f t="shared" si="3"/>
        <v>0</v>
      </c>
      <c r="I25" s="1212">
        <f t="shared" si="3"/>
        <v>0</v>
      </c>
      <c r="J25" s="1213">
        <f t="shared" si="1"/>
        <v>0</v>
      </c>
    </row>
    <row r="26" spans="1:16" ht="21" customHeight="1">
      <c r="A26" s="3276" t="s">
        <v>641</v>
      </c>
      <c r="B26" s="3276"/>
      <c r="C26" s="3694" t="str">
        <f>IF($H$15&lt;&gt;资产负债!$D$6,"短期投资账载数与报表数相差"&amp;DOLLAR($H$15-资产负债!$D$6,2)&amp;"元！","短期投资账载数与报表数相符！")</f>
        <v>短期投资账载数与报表数相符！</v>
      </c>
      <c r="D26" s="3694"/>
      <c r="E26" s="3694"/>
      <c r="F26" s="3694"/>
      <c r="G26" s="3695" t="str">
        <f>IF($H$25&lt;&gt;资产负债!$D$21+资产负债!$D$22,"长期投资账载数与报表数相差"&amp;DOLLAR($H$25-资产负债!$D$21-资产负债!$D$22,2)&amp;"元！","长期投资账载数与报表数相符！")</f>
        <v>长期投资账载数与报表数相符！</v>
      </c>
      <c r="H26" s="3695"/>
      <c r="I26" s="3695"/>
      <c r="J26" s="3695"/>
    </row>
    <row r="27" spans="1:16" ht="15" customHeight="1">
      <c r="A27" s="3295" t="s">
        <v>1323</v>
      </c>
      <c r="B27" s="3295"/>
      <c r="C27" s="1045" t="s">
        <v>1407</v>
      </c>
      <c r="D27" s="3690" t="str">
        <f>IF(OR(H15&lt;&gt;资产负债!D6,H25&lt;&gt;资产负债!D21+资产负债!D22),"、E","")</f>
        <v/>
      </c>
      <c r="E27" s="3690"/>
      <c r="F27" s="3690"/>
      <c r="G27" s="3690"/>
      <c r="H27" s="3690"/>
      <c r="I27" s="3690"/>
      <c r="J27" s="3690"/>
      <c r="K27" s="2636"/>
      <c r="L27" s="2635"/>
      <c r="M27" s="2635"/>
      <c r="N27" s="2635"/>
      <c r="O27" s="2635"/>
      <c r="P27" s="2635"/>
    </row>
    <row r="28" spans="1:16" ht="46.5" customHeight="1">
      <c r="A28" s="3295"/>
      <c r="B28" s="3295"/>
      <c r="C28" s="3691"/>
      <c r="D28" s="3691"/>
      <c r="E28" s="3691"/>
      <c r="F28" s="3691"/>
      <c r="G28" s="3691"/>
      <c r="H28" s="3691"/>
      <c r="I28" s="3691"/>
      <c r="J28" s="3691"/>
    </row>
    <row r="29" spans="1:16" ht="21" customHeight="1">
      <c r="A29" s="3688" t="s">
        <v>574</v>
      </c>
      <c r="B29" s="3688"/>
      <c r="C29" s="3689"/>
      <c r="D29" s="3689"/>
      <c r="E29" s="3689"/>
      <c r="F29" s="3689"/>
      <c r="G29" s="3689"/>
      <c r="H29" s="3689"/>
      <c r="I29" s="3689"/>
      <c r="J29" s="3689"/>
    </row>
    <row r="30" spans="1:16" ht="13.5" customHeight="1"/>
    <row r="31" spans="1:16" ht="21" customHeight="1"/>
    <row r="32" spans="1:16" ht="21" customHeight="1"/>
    <row r="33" spans="11:16" ht="21" customHeight="1"/>
    <row r="34" spans="11:16" ht="21" customHeight="1"/>
    <row r="35" spans="11:16" ht="21" customHeight="1"/>
    <row r="36" spans="11:16" ht="21" customHeight="1"/>
    <row r="37" spans="11:16" ht="21" customHeight="1"/>
    <row r="38" spans="11:16" ht="21" customHeight="1"/>
    <row r="39" spans="11:16" s="130" customFormat="1" ht="21" customHeight="1">
      <c r="K39"/>
      <c r="L39"/>
      <c r="M39"/>
      <c r="N39"/>
      <c r="O39"/>
      <c r="P39"/>
    </row>
    <row r="40" spans="11:16" s="130" customFormat="1" ht="21" customHeight="1">
      <c r="K40"/>
      <c r="L40"/>
      <c r="M40"/>
      <c r="N40"/>
      <c r="O40"/>
      <c r="P40"/>
    </row>
    <row r="41" spans="11:16" s="130" customFormat="1" ht="21" customHeight="1">
      <c r="K41"/>
      <c r="L41"/>
      <c r="M41"/>
      <c r="N41"/>
      <c r="O41"/>
      <c r="P41"/>
    </row>
    <row r="42" spans="11:16" s="130" customFormat="1" ht="21" customHeight="1">
      <c r="K42"/>
      <c r="L42"/>
      <c r="M42"/>
      <c r="N42"/>
      <c r="O42"/>
      <c r="P42"/>
    </row>
  </sheetData>
  <sheetProtection selectLockedCells="1" selectUnlockedCells="1"/>
  <mergeCells count="20">
    <mergeCell ref="A1:J1"/>
    <mergeCell ref="A2:B2"/>
    <mergeCell ref="C2:D2"/>
    <mergeCell ref="I2:J2"/>
    <mergeCell ref="A3:B3"/>
    <mergeCell ref="C3:D3"/>
    <mergeCell ref="I3:J3"/>
    <mergeCell ref="A4:J4"/>
    <mergeCell ref="A6:A15"/>
    <mergeCell ref="B15:C15"/>
    <mergeCell ref="A16:A25"/>
    <mergeCell ref="B25:C25"/>
    <mergeCell ref="A29:B29"/>
    <mergeCell ref="C29:J29"/>
    <mergeCell ref="A26:B26"/>
    <mergeCell ref="C26:F26"/>
    <mergeCell ref="G26:J26"/>
    <mergeCell ref="A27:B28"/>
    <mergeCell ref="D27:J27"/>
    <mergeCell ref="C28:J28"/>
  </mergeCells>
  <phoneticPr fontId="51" type="noConversion"/>
  <dataValidations count="1">
    <dataValidation allowBlank="1" showErrorMessage="1" promptTitle="存在调整事项时" prompt="_x000a_选择 “E”" sqref="D27:J27">
      <formula1>0</formula1>
      <formula2>0</formula2>
    </dataValidation>
  </dataValidations>
  <hyperlinks>
    <hyperlink ref="K8" location="资产负债!A1" display="资产负债表"/>
  </hyperlinks>
  <pageMargins left="0.78740157480314965" right="0.35433070866141736" top="0.51181102362204722" bottom="0.11811023622047245" header="0.51181102362204722" footer="0.51181102362204722"/>
  <pageSetup paperSize="9" scale="91" firstPageNumber="0" orientation="landscape" blackAndWhite="1"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H390"/>
  <sheetViews>
    <sheetView workbookViewId="0">
      <selection activeCell="G8" sqref="G8"/>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54.3984375" style="554" customWidth="1"/>
    <col min="8" max="8" width="12" style="554" customWidth="1"/>
    <col min="9" max="16384" width="9" style="554"/>
  </cols>
  <sheetData>
    <row r="1" spans="1:8" ht="30" customHeight="1">
      <c r="A1" s="2729" t="s">
        <v>362</v>
      </c>
      <c r="B1" s="2729"/>
      <c r="C1" s="2729"/>
      <c r="D1" s="2729"/>
      <c r="E1" s="2729"/>
      <c r="F1" s="2729"/>
      <c r="G1" s="90"/>
      <c r="H1" s="90"/>
    </row>
    <row r="2" spans="1:8" s="558" customFormat="1" ht="20.25" customHeight="1">
      <c r="A2" s="3223" t="str">
        <f>"委托单位："&amp;基本情况!B2</f>
        <v>委托单位：0</v>
      </c>
      <c r="B2" s="3223"/>
      <c r="C2" s="509"/>
      <c r="D2" s="136" t="s">
        <v>1282</v>
      </c>
      <c r="E2" s="136" t="s">
        <v>1053</v>
      </c>
      <c r="F2" s="485" t="s">
        <v>283</v>
      </c>
      <c r="G2" s="557"/>
      <c r="H2" s="557"/>
    </row>
    <row r="3" spans="1:8" s="558" customFormat="1" ht="20.25" customHeight="1">
      <c r="A3" s="3223"/>
      <c r="B3" s="3223"/>
      <c r="C3" s="158" t="s">
        <v>450</v>
      </c>
      <c r="D3" s="510">
        <f>基本情况!B12</f>
        <v>0</v>
      </c>
      <c r="E3" s="559" t="str">
        <f>TEXT(基本情况!B21,"yyyy-mm-dd")</f>
        <v>2017-03-16</v>
      </c>
      <c r="F3" s="3138" t="str">
        <f>档案索引!D40</f>
        <v>4-7</v>
      </c>
      <c r="G3" s="557"/>
      <c r="H3" s="557"/>
    </row>
    <row r="4" spans="1:8" s="558" customFormat="1" ht="20.25" customHeight="1">
      <c r="A4" s="3189" t="str">
        <f>"会计期间："&amp;基本情况!B7</f>
        <v>会计期间：2016年01月01日至2016年12月31日</v>
      </c>
      <c r="B4" s="3189"/>
      <c r="C4" s="140" t="s">
        <v>452</v>
      </c>
      <c r="D4" s="513">
        <f>基本情况!B11</f>
        <v>0</v>
      </c>
      <c r="E4" s="513" t="str">
        <f>TEXT(基本情况!B22,"yyyy-mm-dd")</f>
        <v>2017-05-04</v>
      </c>
      <c r="F4" s="3138"/>
      <c r="G4" s="557"/>
      <c r="H4" s="557"/>
    </row>
    <row r="5" spans="1:8" s="565" customFormat="1" ht="7.5" customHeight="1">
      <c r="A5" s="2926"/>
      <c r="B5" s="2926"/>
      <c r="C5" s="2926"/>
      <c r="D5" s="2926"/>
      <c r="E5" s="2926"/>
      <c r="F5" s="2926"/>
      <c r="G5" s="543"/>
      <c r="H5" s="543"/>
    </row>
    <row r="6" spans="1:8" s="649" customFormat="1" ht="20.25" customHeight="1">
      <c r="A6" s="532" t="s">
        <v>641</v>
      </c>
      <c r="B6" s="3270" t="str">
        <f>IF(基本情况!B29="否",IF(C12-B12&lt;&gt;资产负债!H7,"账载数与报表数相差"&amp;DOLLAR(C12-B12-资产负债!H7,2)&amp;"元！","账载数与报表数相符！"),IF(C11&lt;&gt;资产负债!H7,"账载数与报表数相差"&amp;DOLLAR(C11-资产负债!H7,2)&amp;"元！","账载数与报表数相符！"))</f>
        <v>账载数与报表数相符！</v>
      </c>
      <c r="C6" s="3270"/>
      <c r="D6" s="3270"/>
      <c r="E6" s="3270"/>
      <c r="F6" s="3270"/>
      <c r="G6" s="84" t="s">
        <v>395</v>
      </c>
      <c r="H6" s="648"/>
    </row>
    <row r="7" spans="1:8" s="649" customFormat="1" ht="15" customHeight="1">
      <c r="A7" s="3065" t="s">
        <v>1323</v>
      </c>
      <c r="B7" s="3148" t="s">
        <v>1407</v>
      </c>
      <c r="C7" s="3148"/>
      <c r="D7" s="3148"/>
      <c r="E7" s="3102" t="str">
        <f>IF(OR(D12&lt;&gt;0,D11&lt;&gt;0),"、E","")</f>
        <v/>
      </c>
      <c r="F7" s="3102"/>
      <c r="G7" s="648"/>
      <c r="H7" s="606"/>
    </row>
    <row r="8" spans="1:8" s="649" customFormat="1" ht="61.5" customHeight="1">
      <c r="A8" s="3065"/>
      <c r="B8" s="3673"/>
      <c r="C8" s="3673"/>
      <c r="D8" s="3673"/>
      <c r="E8" s="3673"/>
      <c r="F8" s="3673"/>
      <c r="G8" s="648"/>
      <c r="H8" s="606"/>
    </row>
    <row r="9" spans="1:8" s="649" customFormat="1" ht="20.25" customHeight="1">
      <c r="A9" s="528" t="s">
        <v>574</v>
      </c>
      <c r="B9" s="3141" t="str">
        <f>IF(OR(D12&lt;&gt;0,D11&lt;&gt;0),"调整后认可！","不存在调整事项,认可！")</f>
        <v>不存在调整事项,认可！</v>
      </c>
      <c r="C9" s="3141"/>
      <c r="D9" s="3141"/>
      <c r="E9" s="3141"/>
      <c r="F9" s="3141"/>
      <c r="G9" s="493" t="s">
        <v>1288</v>
      </c>
      <c r="H9" s="606"/>
    </row>
    <row r="10" spans="1:8" s="649" customFormat="1" ht="20.25" customHeight="1">
      <c r="A10" s="135" t="s">
        <v>665</v>
      </c>
      <c r="B10" s="1011" t="s">
        <v>1409</v>
      </c>
      <c r="C10" s="136" t="s">
        <v>1410</v>
      </c>
      <c r="D10" s="136" t="s">
        <v>980</v>
      </c>
      <c r="E10" s="136" t="s">
        <v>502</v>
      </c>
      <c r="F10" s="485" t="s">
        <v>1417</v>
      </c>
      <c r="G10" s="493" t="s">
        <v>642</v>
      </c>
      <c r="H10" s="606"/>
    </row>
    <row r="11" spans="1:8" s="649" customFormat="1" ht="20.25" customHeight="1">
      <c r="A11" s="1013" t="s">
        <v>839</v>
      </c>
      <c r="B11" s="1014">
        <f>IF(基本情况!B29="否",0,B12+预付!B14)</f>
        <v>0</v>
      </c>
      <c r="C11" s="1014">
        <f>IF(基本情况!B29="否",0,C12+预付!C14)</f>
        <v>0</v>
      </c>
      <c r="D11" s="1204"/>
      <c r="E11" s="524">
        <f>C11+D11</f>
        <v>0</v>
      </c>
      <c r="F11" s="1023">
        <f>IF(基本情况!B29="否",0,F12+预付!F14)</f>
        <v>0</v>
      </c>
      <c r="G11" s="493"/>
      <c r="H11" s="606"/>
    </row>
    <row r="12" spans="1:8" s="649" customFormat="1" ht="20.25" customHeight="1">
      <c r="A12" s="528" t="s">
        <v>1413</v>
      </c>
      <c r="B12" s="1017">
        <f>SUM(B13:B3002)</f>
        <v>0</v>
      </c>
      <c r="C12" s="1017">
        <f>SUM(C13:C3002)</f>
        <v>0</v>
      </c>
      <c r="D12" s="823">
        <f>SUM(D13:D302)</f>
        <v>0</v>
      </c>
      <c r="E12" s="823">
        <f>SUM(E13:E302)</f>
        <v>0</v>
      </c>
      <c r="F12" s="596">
        <f>SUM(F13:F302)</f>
        <v>0</v>
      </c>
      <c r="G12" s="648"/>
      <c r="H12" s="648"/>
    </row>
    <row r="13" spans="1:8" s="558" customFormat="1" ht="15" customHeight="1">
      <c r="A13" s="1018"/>
      <c r="B13" s="1198"/>
      <c r="C13" s="1161"/>
      <c r="D13" s="1161"/>
      <c r="E13" s="1019">
        <f>C13-B13+D13</f>
        <v>0</v>
      </c>
      <c r="F13" s="1199"/>
      <c r="G13" s="3107" t="s">
        <v>840</v>
      </c>
      <c r="H13" s="3107"/>
    </row>
    <row r="14" spans="1:8" s="558" customFormat="1" ht="15" customHeight="1">
      <c r="A14" s="680"/>
      <c r="B14" s="1200"/>
      <c r="C14" s="1120"/>
      <c r="D14" s="1120"/>
      <c r="E14" s="1015">
        <f>C14-B14+D14</f>
        <v>0</v>
      </c>
      <c r="F14" s="1201"/>
      <c r="G14" s="3107"/>
      <c r="H14" s="3107"/>
    </row>
    <row r="15" spans="1:8" s="558" customFormat="1" ht="15" customHeight="1">
      <c r="A15" s="680"/>
      <c r="B15" s="1200"/>
      <c r="C15" s="1120"/>
      <c r="D15" s="1120"/>
      <c r="E15" s="1015">
        <f t="shared" ref="E15:E78" si="0">C15-B15+D15</f>
        <v>0</v>
      </c>
      <c r="F15" s="1201"/>
      <c r="G15" s="3107"/>
      <c r="H15" s="3107"/>
    </row>
    <row r="16" spans="1:8" s="558" customFormat="1" ht="15" customHeight="1">
      <c r="A16" s="680"/>
      <c r="B16" s="1200"/>
      <c r="C16" s="1120"/>
      <c r="D16" s="1120"/>
      <c r="E16" s="1015">
        <f t="shared" si="0"/>
        <v>0</v>
      </c>
      <c r="F16" s="1201"/>
      <c r="G16" s="3107"/>
      <c r="H16" s="3107"/>
    </row>
    <row r="17" spans="1:8" s="558" customFormat="1" ht="15" customHeight="1">
      <c r="A17" s="680"/>
      <c r="B17" s="1200"/>
      <c r="C17" s="1120"/>
      <c r="D17" s="1120"/>
      <c r="E17" s="1015">
        <f t="shared" si="0"/>
        <v>0</v>
      </c>
      <c r="F17" s="1201"/>
      <c r="G17" s="3107"/>
      <c r="H17" s="3107"/>
    </row>
    <row r="18" spans="1:8" s="558" customFormat="1" ht="15" customHeight="1">
      <c r="A18" s="680"/>
      <c r="B18" s="1200"/>
      <c r="C18" s="1120"/>
      <c r="D18" s="1120"/>
      <c r="E18" s="1015">
        <f t="shared" si="0"/>
        <v>0</v>
      </c>
      <c r="F18" s="1201"/>
      <c r="G18" s="3107"/>
      <c r="H18" s="3107"/>
    </row>
    <row r="19" spans="1:8" s="558" customFormat="1" ht="15" customHeight="1">
      <c r="A19" s="680"/>
      <c r="B19" s="1200"/>
      <c r="C19" s="1120"/>
      <c r="D19" s="1120"/>
      <c r="E19" s="1015">
        <f t="shared" si="0"/>
        <v>0</v>
      </c>
      <c r="F19" s="1201"/>
      <c r="G19" s="3107"/>
      <c r="H19" s="3107"/>
    </row>
    <row r="20" spans="1:8" s="558" customFormat="1" ht="15" customHeight="1">
      <c r="A20" s="680"/>
      <c r="B20" s="1200"/>
      <c r="C20" s="1120"/>
      <c r="D20" s="1120"/>
      <c r="E20" s="1015">
        <f t="shared" si="0"/>
        <v>0</v>
      </c>
      <c r="F20" s="1201"/>
      <c r="G20" s="3107"/>
      <c r="H20" s="3107"/>
    </row>
    <row r="21" spans="1:8" s="558" customFormat="1" ht="15" customHeight="1">
      <c r="A21" s="680"/>
      <c r="B21" s="1200"/>
      <c r="C21" s="1120"/>
      <c r="D21" s="1120"/>
      <c r="E21" s="1015">
        <f t="shared" si="0"/>
        <v>0</v>
      </c>
      <c r="F21" s="1201"/>
      <c r="G21" s="3107"/>
      <c r="H21" s="3107"/>
    </row>
    <row r="22" spans="1:8" s="558" customFormat="1" ht="15" customHeight="1">
      <c r="A22" s="680"/>
      <c r="B22" s="1200"/>
      <c r="C22" s="1120"/>
      <c r="D22" s="1120"/>
      <c r="E22" s="1015">
        <f t="shared" si="0"/>
        <v>0</v>
      </c>
      <c r="F22" s="1201"/>
      <c r="G22" s="523"/>
      <c r="H22" s="557"/>
    </row>
    <row r="23" spans="1:8" s="558" customFormat="1" ht="15" customHeight="1">
      <c r="A23" s="680"/>
      <c r="B23" s="1200"/>
      <c r="C23" s="1120"/>
      <c r="D23" s="1120"/>
      <c r="E23" s="1015">
        <f t="shared" si="0"/>
        <v>0</v>
      </c>
      <c r="F23" s="1201"/>
      <c r="G23" s="557"/>
      <c r="H23" s="557"/>
    </row>
    <row r="24" spans="1:8" s="558" customFormat="1" ht="15" customHeight="1">
      <c r="A24" s="680"/>
      <c r="B24" s="1200"/>
      <c r="C24" s="1120"/>
      <c r="D24" s="1120"/>
      <c r="E24" s="1015">
        <f t="shared" si="0"/>
        <v>0</v>
      </c>
      <c r="F24" s="1201"/>
      <c r="G24" s="557"/>
      <c r="H24" s="557"/>
    </row>
    <row r="25" spans="1:8" s="558" customFormat="1" ht="15" customHeight="1">
      <c r="A25" s="680"/>
      <c r="B25" s="1200"/>
      <c r="C25" s="1120"/>
      <c r="D25" s="1120"/>
      <c r="E25" s="1015">
        <f t="shared" si="0"/>
        <v>0</v>
      </c>
      <c r="F25" s="1201"/>
      <c r="G25" s="557"/>
      <c r="H25" s="557"/>
    </row>
    <row r="26" spans="1:8" s="558" customFormat="1" ht="15" customHeight="1">
      <c r="A26" s="680"/>
      <c r="B26" s="1200"/>
      <c r="C26" s="1120"/>
      <c r="D26" s="1120"/>
      <c r="E26" s="1015">
        <f t="shared" si="0"/>
        <v>0</v>
      </c>
      <c r="F26" s="1201"/>
      <c r="G26" s="557"/>
      <c r="H26" s="557"/>
    </row>
    <row r="27" spans="1:8" s="558" customFormat="1" ht="15" customHeight="1">
      <c r="A27" s="680"/>
      <c r="B27" s="1200"/>
      <c r="C27" s="1120"/>
      <c r="D27" s="1120"/>
      <c r="E27" s="1015">
        <f t="shared" si="0"/>
        <v>0</v>
      </c>
      <c r="F27" s="1201"/>
      <c r="G27" s="557"/>
      <c r="H27" s="557"/>
    </row>
    <row r="28" spans="1:8" s="558" customFormat="1" ht="15" customHeight="1">
      <c r="A28" s="680"/>
      <c r="B28" s="1200"/>
      <c r="C28" s="1120"/>
      <c r="D28" s="1120"/>
      <c r="E28" s="1015">
        <f t="shared" si="0"/>
        <v>0</v>
      </c>
      <c r="F28" s="1201"/>
      <c r="G28" s="557"/>
      <c r="H28" s="557"/>
    </row>
    <row r="29" spans="1:8" s="558" customFormat="1" ht="15" customHeight="1">
      <c r="A29" s="680"/>
      <c r="B29" s="1200"/>
      <c r="C29" s="1120"/>
      <c r="D29" s="1120"/>
      <c r="E29" s="1015">
        <f t="shared" si="0"/>
        <v>0</v>
      </c>
      <c r="F29" s="1201"/>
      <c r="G29" s="557"/>
      <c r="H29" s="557"/>
    </row>
    <row r="30" spans="1:8" s="558" customFormat="1" ht="15" customHeight="1">
      <c r="A30" s="680"/>
      <c r="B30" s="1200"/>
      <c r="C30" s="1120"/>
      <c r="D30" s="1120"/>
      <c r="E30" s="1015">
        <f t="shared" si="0"/>
        <v>0</v>
      </c>
      <c r="F30" s="1201"/>
      <c r="G30" s="557"/>
      <c r="H30" s="557"/>
    </row>
    <row r="31" spans="1:8" s="558" customFormat="1" ht="15" customHeight="1">
      <c r="A31" s="680"/>
      <c r="B31" s="1200"/>
      <c r="C31" s="1120"/>
      <c r="D31" s="1120"/>
      <c r="E31" s="1015">
        <f t="shared" si="0"/>
        <v>0</v>
      </c>
      <c r="F31" s="1201"/>
      <c r="G31" s="557"/>
      <c r="H31" s="557"/>
    </row>
    <row r="32" spans="1:8" s="558" customFormat="1" ht="15" customHeight="1">
      <c r="A32" s="680"/>
      <c r="B32" s="1200"/>
      <c r="C32" s="1120"/>
      <c r="D32" s="1120"/>
      <c r="E32" s="1015">
        <f t="shared" si="0"/>
        <v>0</v>
      </c>
      <c r="F32" s="1201"/>
      <c r="G32" s="557"/>
      <c r="H32" s="557"/>
    </row>
    <row r="33" spans="1:8" s="558" customFormat="1" ht="15" customHeight="1">
      <c r="A33" s="680"/>
      <c r="B33" s="1200"/>
      <c r="C33" s="1120"/>
      <c r="D33" s="1120"/>
      <c r="E33" s="1015">
        <f t="shared" si="0"/>
        <v>0</v>
      </c>
      <c r="F33" s="1201"/>
      <c r="G33" s="557"/>
      <c r="H33" s="557"/>
    </row>
    <row r="34" spans="1:8" s="558" customFormat="1" ht="15" customHeight="1">
      <c r="A34" s="680"/>
      <c r="B34" s="1200"/>
      <c r="C34" s="1120"/>
      <c r="D34" s="1120"/>
      <c r="E34" s="1015">
        <f t="shared" si="0"/>
        <v>0</v>
      </c>
      <c r="F34" s="1201"/>
      <c r="G34" s="557"/>
      <c r="H34" s="557"/>
    </row>
    <row r="35" spans="1:8" s="558" customFormat="1" ht="15" customHeight="1">
      <c r="A35" s="680"/>
      <c r="B35" s="1200"/>
      <c r="C35" s="1120"/>
      <c r="D35" s="1120"/>
      <c r="E35" s="1015">
        <f t="shared" si="0"/>
        <v>0</v>
      </c>
      <c r="F35" s="1201"/>
      <c r="G35" s="557"/>
      <c r="H35" s="557"/>
    </row>
    <row r="36" spans="1:8" s="558" customFormat="1" ht="15" customHeight="1">
      <c r="A36" s="680"/>
      <c r="B36" s="1200"/>
      <c r="C36" s="1120"/>
      <c r="D36" s="1120"/>
      <c r="E36" s="1015">
        <f t="shared" si="0"/>
        <v>0</v>
      </c>
      <c r="F36" s="1201"/>
      <c r="G36" s="557"/>
      <c r="H36" s="557"/>
    </row>
    <row r="37" spans="1:8" s="558" customFormat="1" ht="15" customHeight="1">
      <c r="A37" s="680"/>
      <c r="B37" s="1200"/>
      <c r="C37" s="1120"/>
      <c r="D37" s="1120"/>
      <c r="E37" s="1015">
        <f t="shared" si="0"/>
        <v>0</v>
      </c>
      <c r="F37" s="1201"/>
      <c r="G37" s="557"/>
      <c r="H37" s="557"/>
    </row>
    <row r="38" spans="1:8" s="558" customFormat="1" ht="15" customHeight="1">
      <c r="A38" s="680"/>
      <c r="B38" s="1200"/>
      <c r="C38" s="1120"/>
      <c r="D38" s="1120"/>
      <c r="E38" s="1015">
        <f t="shared" si="0"/>
        <v>0</v>
      </c>
      <c r="F38" s="1201"/>
      <c r="G38" s="557"/>
      <c r="H38" s="557"/>
    </row>
    <row r="39" spans="1:8" s="558" customFormat="1" ht="15" customHeight="1">
      <c r="A39" s="680"/>
      <c r="B39" s="1200"/>
      <c r="C39" s="1120"/>
      <c r="D39" s="1120"/>
      <c r="E39" s="1015">
        <f t="shared" si="0"/>
        <v>0</v>
      </c>
      <c r="F39" s="1201"/>
      <c r="G39" s="557"/>
      <c r="H39" s="557"/>
    </row>
    <row r="40" spans="1:8" s="558" customFormat="1" ht="15" customHeight="1">
      <c r="A40" s="680"/>
      <c r="B40" s="1200"/>
      <c r="C40" s="1120"/>
      <c r="D40" s="1120"/>
      <c r="E40" s="1015">
        <f t="shared" si="0"/>
        <v>0</v>
      </c>
      <c r="F40" s="1201"/>
      <c r="G40" s="557"/>
      <c r="H40" s="557"/>
    </row>
    <row r="41" spans="1:8" s="558" customFormat="1" ht="15" customHeight="1">
      <c r="A41" s="680"/>
      <c r="B41" s="1200"/>
      <c r="C41" s="1120"/>
      <c r="D41" s="1120"/>
      <c r="E41" s="1015">
        <f t="shared" si="0"/>
        <v>0</v>
      </c>
      <c r="F41" s="1201"/>
      <c r="G41" s="557"/>
      <c r="H41" s="557"/>
    </row>
    <row r="42" spans="1:8" s="558" customFormat="1" ht="15" customHeight="1">
      <c r="A42" s="680"/>
      <c r="B42" s="1200"/>
      <c r="C42" s="1120"/>
      <c r="D42" s="1120"/>
      <c r="E42" s="1015">
        <f t="shared" si="0"/>
        <v>0</v>
      </c>
      <c r="F42" s="1201"/>
      <c r="G42" s="557"/>
      <c r="H42" s="557"/>
    </row>
    <row r="43" spans="1:8" s="558" customFormat="1" ht="15" customHeight="1">
      <c r="A43" s="680"/>
      <c r="B43" s="1200"/>
      <c r="C43" s="1120"/>
      <c r="D43" s="1120"/>
      <c r="E43" s="1015">
        <f t="shared" si="0"/>
        <v>0</v>
      </c>
      <c r="F43" s="1201"/>
      <c r="G43" s="557"/>
      <c r="H43" s="557"/>
    </row>
    <row r="44" spans="1:8" s="558" customFormat="1" ht="15" customHeight="1">
      <c r="A44" s="680"/>
      <c r="B44" s="1200"/>
      <c r="C44" s="1120"/>
      <c r="D44" s="1120"/>
      <c r="E44" s="1015">
        <f t="shared" si="0"/>
        <v>0</v>
      </c>
      <c r="F44" s="1201"/>
      <c r="G44" s="557"/>
      <c r="H44" s="557"/>
    </row>
    <row r="45" spans="1:8" s="558" customFormat="1" ht="15" customHeight="1">
      <c r="A45" s="680"/>
      <c r="B45" s="1200"/>
      <c r="C45" s="1120"/>
      <c r="D45" s="1120"/>
      <c r="E45" s="1015">
        <f t="shared" si="0"/>
        <v>0</v>
      </c>
      <c r="F45" s="1201"/>
      <c r="G45" s="557"/>
      <c r="H45" s="557"/>
    </row>
    <row r="46" spans="1:8" s="558" customFormat="1" ht="15" customHeight="1">
      <c r="A46" s="680"/>
      <c r="B46" s="1200"/>
      <c r="C46" s="1120"/>
      <c r="D46" s="1120"/>
      <c r="E46" s="1015">
        <f t="shared" si="0"/>
        <v>0</v>
      </c>
      <c r="F46" s="1201"/>
      <c r="G46" s="557"/>
      <c r="H46" s="557"/>
    </row>
    <row r="47" spans="1:8" s="558" customFormat="1" ht="15" customHeight="1">
      <c r="A47" s="680"/>
      <c r="B47" s="1200"/>
      <c r="C47" s="1120"/>
      <c r="D47" s="1120"/>
      <c r="E47" s="1015">
        <f t="shared" si="0"/>
        <v>0</v>
      </c>
      <c r="F47" s="1201"/>
      <c r="G47" s="557"/>
      <c r="H47" s="557"/>
    </row>
    <row r="48" spans="1:8" s="502" customFormat="1" ht="15" customHeight="1">
      <c r="A48" s="680"/>
      <c r="B48" s="1200"/>
      <c r="C48" s="1120"/>
      <c r="D48" s="1120"/>
      <c r="E48" s="1015">
        <f t="shared" si="0"/>
        <v>0</v>
      </c>
      <c r="F48" s="1201"/>
      <c r="G48" s="144"/>
      <c r="H48" s="144"/>
    </row>
    <row r="49" spans="1:8" s="502" customFormat="1" ht="15" customHeight="1">
      <c r="A49" s="680"/>
      <c r="B49" s="1200"/>
      <c r="C49" s="1120"/>
      <c r="D49" s="1120"/>
      <c r="E49" s="1015">
        <f t="shared" si="0"/>
        <v>0</v>
      </c>
      <c r="F49" s="1201"/>
      <c r="G49" s="144"/>
      <c r="H49" s="144"/>
    </row>
    <row r="50" spans="1:8" s="502" customFormat="1" ht="15" customHeight="1">
      <c r="A50" s="680"/>
      <c r="B50" s="1200"/>
      <c r="C50" s="1120"/>
      <c r="D50" s="1120"/>
      <c r="E50" s="1015">
        <f t="shared" si="0"/>
        <v>0</v>
      </c>
      <c r="F50" s="1201"/>
      <c r="G50" s="144"/>
      <c r="H50" s="144"/>
    </row>
    <row r="51" spans="1:8" s="502" customFormat="1" ht="15" customHeight="1">
      <c r="A51" s="680"/>
      <c r="B51" s="1200"/>
      <c r="C51" s="1120"/>
      <c r="D51" s="1120"/>
      <c r="E51" s="1015">
        <f t="shared" si="0"/>
        <v>0</v>
      </c>
      <c r="F51" s="1201"/>
      <c r="G51" s="144"/>
      <c r="H51" s="144"/>
    </row>
    <row r="52" spans="1:8" s="502" customFormat="1" ht="15" customHeight="1">
      <c r="A52" s="680"/>
      <c r="B52" s="1200"/>
      <c r="C52" s="1120"/>
      <c r="D52" s="1120"/>
      <c r="E52" s="1015">
        <f t="shared" si="0"/>
        <v>0</v>
      </c>
      <c r="F52" s="1201"/>
      <c r="G52" s="144"/>
      <c r="H52" s="144"/>
    </row>
    <row r="53" spans="1:8" ht="15" customHeight="1">
      <c r="A53" s="680"/>
      <c r="B53" s="1200"/>
      <c r="C53" s="1120"/>
      <c r="D53" s="1120"/>
      <c r="E53" s="1015">
        <f t="shared" si="0"/>
        <v>0</v>
      </c>
      <c r="F53" s="1201"/>
      <c r="G53" s="90"/>
      <c r="H53" s="90"/>
    </row>
    <row r="54" spans="1:8" ht="15" customHeight="1">
      <c r="A54" s="680"/>
      <c r="B54" s="1200"/>
      <c r="C54" s="1120"/>
      <c r="D54" s="1120"/>
      <c r="E54" s="1015">
        <f t="shared" si="0"/>
        <v>0</v>
      </c>
      <c r="F54" s="1201"/>
      <c r="G54" s="90"/>
      <c r="H54" s="90"/>
    </row>
    <row r="55" spans="1:8" ht="15" customHeight="1">
      <c r="A55" s="680"/>
      <c r="B55" s="1200"/>
      <c r="C55" s="1120"/>
      <c r="D55" s="1120"/>
      <c r="E55" s="1015">
        <f t="shared" si="0"/>
        <v>0</v>
      </c>
      <c r="F55" s="1201"/>
      <c r="G55" s="90"/>
      <c r="H55" s="90"/>
    </row>
    <row r="56" spans="1:8" ht="15" customHeight="1">
      <c r="A56" s="680"/>
      <c r="B56" s="1200"/>
      <c r="C56" s="1120"/>
      <c r="D56" s="1120"/>
      <c r="E56" s="1015">
        <f t="shared" si="0"/>
        <v>0</v>
      </c>
      <c r="F56" s="1201"/>
      <c r="G56" s="90"/>
      <c r="H56" s="90"/>
    </row>
    <row r="57" spans="1:8" ht="15" customHeight="1">
      <c r="A57" s="680"/>
      <c r="B57" s="1200"/>
      <c r="C57" s="1120"/>
      <c r="D57" s="1120"/>
      <c r="E57" s="1015">
        <f t="shared" si="0"/>
        <v>0</v>
      </c>
      <c r="F57" s="1201"/>
      <c r="G57" s="90"/>
      <c r="H57" s="90"/>
    </row>
    <row r="58" spans="1:8" ht="15" customHeight="1">
      <c r="A58" s="680"/>
      <c r="B58" s="1200"/>
      <c r="C58" s="1120"/>
      <c r="D58" s="1120"/>
      <c r="E58" s="1015">
        <f t="shared" si="0"/>
        <v>0</v>
      </c>
      <c r="F58" s="1201"/>
      <c r="G58" s="90"/>
      <c r="H58" s="90"/>
    </row>
    <row r="59" spans="1:8" ht="15" customHeight="1">
      <c r="A59" s="680"/>
      <c r="B59" s="1200"/>
      <c r="C59" s="1120"/>
      <c r="D59" s="1120"/>
      <c r="E59" s="1015">
        <f t="shared" si="0"/>
        <v>0</v>
      </c>
      <c r="F59" s="1201"/>
      <c r="G59" s="90"/>
      <c r="H59" s="90"/>
    </row>
    <row r="60" spans="1:8" ht="15" customHeight="1">
      <c r="A60" s="680"/>
      <c r="B60" s="1200"/>
      <c r="C60" s="1120"/>
      <c r="D60" s="1120"/>
      <c r="E60" s="1015">
        <f t="shared" si="0"/>
        <v>0</v>
      </c>
      <c r="F60" s="1201"/>
      <c r="G60" s="90"/>
      <c r="H60" s="90"/>
    </row>
    <row r="61" spans="1:8" ht="15" customHeight="1">
      <c r="A61" s="680"/>
      <c r="B61" s="1200"/>
      <c r="C61" s="1120"/>
      <c r="D61" s="1120"/>
      <c r="E61" s="1015">
        <f t="shared" si="0"/>
        <v>0</v>
      </c>
      <c r="F61" s="1201"/>
      <c r="G61" s="90"/>
      <c r="H61" s="90"/>
    </row>
    <row r="62" spans="1:8" ht="15" customHeight="1">
      <c r="A62" s="680"/>
      <c r="B62" s="1200"/>
      <c r="C62" s="1120"/>
      <c r="D62" s="1120"/>
      <c r="E62" s="1015">
        <f t="shared" si="0"/>
        <v>0</v>
      </c>
      <c r="F62" s="1201"/>
      <c r="G62" s="90"/>
      <c r="H62" s="90"/>
    </row>
    <row r="63" spans="1:8" ht="15" customHeight="1">
      <c r="A63" s="680"/>
      <c r="B63" s="1200"/>
      <c r="C63" s="1120"/>
      <c r="D63" s="1120"/>
      <c r="E63" s="1015">
        <f t="shared" si="0"/>
        <v>0</v>
      </c>
      <c r="F63" s="1201"/>
      <c r="G63" s="90"/>
      <c r="H63" s="90"/>
    </row>
    <row r="64" spans="1:8" ht="15" customHeight="1">
      <c r="A64" s="680"/>
      <c r="B64" s="1200"/>
      <c r="C64" s="1120"/>
      <c r="D64" s="1120"/>
      <c r="E64" s="1015">
        <f t="shared" si="0"/>
        <v>0</v>
      </c>
      <c r="F64" s="1201"/>
      <c r="G64" s="90"/>
      <c r="H64" s="90"/>
    </row>
    <row r="65" spans="1:8" ht="15" customHeight="1">
      <c r="A65" s="680"/>
      <c r="B65" s="1200"/>
      <c r="C65" s="1120"/>
      <c r="D65" s="1120"/>
      <c r="E65" s="1015">
        <f t="shared" si="0"/>
        <v>0</v>
      </c>
      <c r="F65" s="1201"/>
      <c r="G65" s="90"/>
      <c r="H65" s="90"/>
    </row>
    <row r="66" spans="1:8" ht="15" customHeight="1">
      <c r="A66" s="680"/>
      <c r="B66" s="1200"/>
      <c r="C66" s="1120"/>
      <c r="D66" s="1120"/>
      <c r="E66" s="1015">
        <f t="shared" si="0"/>
        <v>0</v>
      </c>
      <c r="F66" s="1201"/>
      <c r="G66" s="90"/>
      <c r="H66" s="90"/>
    </row>
    <row r="67" spans="1:8" ht="15" customHeight="1">
      <c r="A67" s="680"/>
      <c r="B67" s="1200"/>
      <c r="C67" s="1120"/>
      <c r="D67" s="1120"/>
      <c r="E67" s="1015">
        <f t="shared" si="0"/>
        <v>0</v>
      </c>
      <c r="F67" s="1201"/>
      <c r="G67" s="90"/>
      <c r="H67" s="90"/>
    </row>
    <row r="68" spans="1:8" ht="15" customHeight="1">
      <c r="A68" s="680"/>
      <c r="B68" s="1200"/>
      <c r="C68" s="1120"/>
      <c r="D68" s="1120"/>
      <c r="E68" s="1015">
        <f t="shared" si="0"/>
        <v>0</v>
      </c>
      <c r="F68" s="1201"/>
      <c r="G68" s="90"/>
      <c r="H68" s="90"/>
    </row>
    <row r="69" spans="1:8" ht="15" customHeight="1">
      <c r="A69" s="680"/>
      <c r="B69" s="1200"/>
      <c r="C69" s="1120"/>
      <c r="D69" s="1120"/>
      <c r="E69" s="1015">
        <f t="shared" si="0"/>
        <v>0</v>
      </c>
      <c r="F69" s="1201"/>
      <c r="G69" s="90"/>
      <c r="H69" s="90"/>
    </row>
    <row r="70" spans="1:8" ht="15" customHeight="1">
      <c r="A70" s="680"/>
      <c r="B70" s="1200"/>
      <c r="C70" s="1120"/>
      <c r="D70" s="1120"/>
      <c r="E70" s="1015">
        <f t="shared" si="0"/>
        <v>0</v>
      </c>
      <c r="F70" s="1201"/>
      <c r="G70" s="90"/>
      <c r="H70" s="90"/>
    </row>
    <row r="71" spans="1:8" ht="15" customHeight="1">
      <c r="A71" s="680"/>
      <c r="B71" s="1200"/>
      <c r="C71" s="1120"/>
      <c r="D71" s="1120"/>
      <c r="E71" s="1015">
        <f t="shared" si="0"/>
        <v>0</v>
      </c>
      <c r="F71" s="1201"/>
      <c r="G71" s="90"/>
      <c r="H71" s="90"/>
    </row>
    <row r="72" spans="1:8" ht="15" customHeight="1">
      <c r="A72" s="680"/>
      <c r="B72" s="1200"/>
      <c r="C72" s="1120"/>
      <c r="D72" s="1120"/>
      <c r="E72" s="1015">
        <f t="shared" si="0"/>
        <v>0</v>
      </c>
      <c r="F72" s="1201"/>
      <c r="G72" s="90"/>
      <c r="H72" s="90"/>
    </row>
    <row r="73" spans="1:8" ht="15" customHeight="1">
      <c r="A73" s="680"/>
      <c r="B73" s="1200"/>
      <c r="C73" s="1120"/>
      <c r="D73" s="1120"/>
      <c r="E73" s="1015">
        <f t="shared" si="0"/>
        <v>0</v>
      </c>
      <c r="F73" s="1201"/>
      <c r="G73" s="90"/>
      <c r="H73" s="90"/>
    </row>
    <row r="74" spans="1:8" ht="15" customHeight="1">
      <c r="A74" s="680"/>
      <c r="B74" s="1200"/>
      <c r="C74" s="1120"/>
      <c r="D74" s="1120"/>
      <c r="E74" s="1015">
        <f t="shared" si="0"/>
        <v>0</v>
      </c>
      <c r="F74" s="1201"/>
      <c r="G74" s="90"/>
      <c r="H74" s="90"/>
    </row>
    <row r="75" spans="1:8" ht="15" customHeight="1">
      <c r="A75" s="680"/>
      <c r="B75" s="1200"/>
      <c r="C75" s="1120"/>
      <c r="D75" s="1120"/>
      <c r="E75" s="1015">
        <f t="shared" si="0"/>
        <v>0</v>
      </c>
      <c r="F75" s="1201"/>
      <c r="G75" s="90"/>
      <c r="H75" s="90"/>
    </row>
    <row r="76" spans="1:8" ht="15" customHeight="1">
      <c r="A76" s="680"/>
      <c r="B76" s="1200"/>
      <c r="C76" s="1120"/>
      <c r="D76" s="1120"/>
      <c r="E76" s="1015">
        <f t="shared" si="0"/>
        <v>0</v>
      </c>
      <c r="F76" s="1201"/>
      <c r="G76" s="90"/>
      <c r="H76" s="90"/>
    </row>
    <row r="77" spans="1:8" ht="15" customHeight="1">
      <c r="A77" s="680"/>
      <c r="B77" s="1200"/>
      <c r="C77" s="1120"/>
      <c r="D77" s="1120"/>
      <c r="E77" s="1015">
        <f t="shared" si="0"/>
        <v>0</v>
      </c>
      <c r="F77" s="1201"/>
      <c r="G77" s="90"/>
      <c r="H77" s="90"/>
    </row>
    <row r="78" spans="1:8" ht="15" customHeight="1">
      <c r="A78" s="680"/>
      <c r="B78" s="1200"/>
      <c r="C78" s="1120"/>
      <c r="D78" s="1120"/>
      <c r="E78" s="1015">
        <f t="shared" si="0"/>
        <v>0</v>
      </c>
      <c r="F78" s="1201"/>
      <c r="G78" s="90"/>
      <c r="H78" s="90"/>
    </row>
    <row r="79" spans="1:8" ht="15" customHeight="1">
      <c r="A79" s="680"/>
      <c r="B79" s="1200"/>
      <c r="C79" s="1120"/>
      <c r="D79" s="1120"/>
      <c r="E79" s="1015">
        <f t="shared" ref="E79:E142" si="1">C79-B79+D79</f>
        <v>0</v>
      </c>
      <c r="F79" s="1201"/>
      <c r="G79" s="90"/>
      <c r="H79" s="90"/>
    </row>
    <row r="80" spans="1:8" ht="15" customHeight="1">
      <c r="A80" s="680"/>
      <c r="B80" s="1200"/>
      <c r="C80" s="1120"/>
      <c r="D80" s="1120"/>
      <c r="E80" s="1015">
        <f t="shared" si="1"/>
        <v>0</v>
      </c>
      <c r="F80" s="1201"/>
      <c r="G80" s="90"/>
      <c r="H80" s="90"/>
    </row>
    <row r="81" spans="1:8" ht="15" customHeight="1">
      <c r="A81" s="680"/>
      <c r="B81" s="1200"/>
      <c r="C81" s="1120"/>
      <c r="D81" s="1120"/>
      <c r="E81" s="1015">
        <f t="shared" si="1"/>
        <v>0</v>
      </c>
      <c r="F81" s="1201"/>
      <c r="G81" s="90"/>
      <c r="H81" s="90"/>
    </row>
    <row r="82" spans="1:8" ht="15" customHeight="1">
      <c r="A82" s="680"/>
      <c r="B82" s="1200"/>
      <c r="C82" s="1120"/>
      <c r="D82" s="1120"/>
      <c r="E82" s="1015">
        <f t="shared" si="1"/>
        <v>0</v>
      </c>
      <c r="F82" s="1201"/>
      <c r="G82" s="90"/>
      <c r="H82" s="90"/>
    </row>
    <row r="83" spans="1:8" ht="15" customHeight="1">
      <c r="A83" s="680"/>
      <c r="B83" s="1200"/>
      <c r="C83" s="1120"/>
      <c r="D83" s="1120"/>
      <c r="E83" s="1015">
        <f t="shared" si="1"/>
        <v>0</v>
      </c>
      <c r="F83" s="1201"/>
      <c r="G83" s="90"/>
      <c r="H83" s="90"/>
    </row>
    <row r="84" spans="1:8" ht="15" customHeight="1">
      <c r="A84" s="680"/>
      <c r="B84" s="1200"/>
      <c r="C84" s="1120"/>
      <c r="D84" s="1120"/>
      <c r="E84" s="1015">
        <f t="shared" si="1"/>
        <v>0</v>
      </c>
      <c r="F84" s="1201"/>
      <c r="G84" s="90"/>
      <c r="H84" s="90"/>
    </row>
    <row r="85" spans="1:8" ht="15" customHeight="1">
      <c r="A85" s="680"/>
      <c r="B85" s="1200"/>
      <c r="C85" s="1120"/>
      <c r="D85" s="1120"/>
      <c r="E85" s="1015">
        <f t="shared" si="1"/>
        <v>0</v>
      </c>
      <c r="F85" s="1201"/>
      <c r="G85" s="90"/>
      <c r="H85" s="90"/>
    </row>
    <row r="86" spans="1:8" ht="15" customHeight="1">
      <c r="A86" s="680"/>
      <c r="B86" s="1200"/>
      <c r="C86" s="1120"/>
      <c r="D86" s="1120"/>
      <c r="E86" s="1015">
        <f t="shared" si="1"/>
        <v>0</v>
      </c>
      <c r="F86" s="1201"/>
      <c r="G86" s="90"/>
      <c r="H86" s="90"/>
    </row>
    <row r="87" spans="1:8" ht="15" customHeight="1">
      <c r="A87" s="680"/>
      <c r="B87" s="1200"/>
      <c r="C87" s="1120"/>
      <c r="D87" s="1120"/>
      <c r="E87" s="1015">
        <f t="shared" si="1"/>
        <v>0</v>
      </c>
      <c r="F87" s="1201"/>
      <c r="G87" s="90"/>
      <c r="H87" s="90"/>
    </row>
    <row r="88" spans="1:8" ht="15" customHeight="1">
      <c r="A88" s="680"/>
      <c r="B88" s="1200"/>
      <c r="C88" s="1120"/>
      <c r="D88" s="1120"/>
      <c r="E88" s="1015">
        <f t="shared" si="1"/>
        <v>0</v>
      </c>
      <c r="F88" s="1201"/>
      <c r="G88" s="90"/>
      <c r="H88" s="90"/>
    </row>
    <row r="89" spans="1:8" ht="15" customHeight="1">
      <c r="A89" s="680"/>
      <c r="B89" s="1200"/>
      <c r="C89" s="1120"/>
      <c r="D89" s="1120"/>
      <c r="E89" s="1015">
        <f t="shared" si="1"/>
        <v>0</v>
      </c>
      <c r="F89" s="1201"/>
      <c r="G89" s="90"/>
      <c r="H89" s="90"/>
    </row>
    <row r="90" spans="1:8" ht="15" customHeight="1">
      <c r="A90" s="680"/>
      <c r="B90" s="1200"/>
      <c r="C90" s="1120"/>
      <c r="D90" s="1120"/>
      <c r="E90" s="1015">
        <f t="shared" si="1"/>
        <v>0</v>
      </c>
      <c r="F90" s="1201"/>
      <c r="G90" s="90"/>
      <c r="H90" s="90"/>
    </row>
    <row r="91" spans="1:8" ht="15" customHeight="1">
      <c r="A91" s="680"/>
      <c r="B91" s="1200"/>
      <c r="C91" s="1120"/>
      <c r="D91" s="1120"/>
      <c r="E91" s="1015">
        <f t="shared" si="1"/>
        <v>0</v>
      </c>
      <c r="F91" s="1201"/>
      <c r="G91" s="90"/>
      <c r="H91" s="90"/>
    </row>
    <row r="92" spans="1:8" ht="15" customHeight="1">
      <c r="A92" s="680"/>
      <c r="B92" s="1200"/>
      <c r="C92" s="1120"/>
      <c r="D92" s="1120"/>
      <c r="E92" s="1015">
        <f t="shared" si="1"/>
        <v>0</v>
      </c>
      <c r="F92" s="1201"/>
      <c r="G92" s="90"/>
      <c r="H92" s="90"/>
    </row>
    <row r="93" spans="1:8" ht="15" customHeight="1">
      <c r="A93" s="680"/>
      <c r="B93" s="1200"/>
      <c r="C93" s="1120"/>
      <c r="D93" s="1120"/>
      <c r="E93" s="1015">
        <f t="shared" si="1"/>
        <v>0</v>
      </c>
      <c r="F93" s="1201"/>
      <c r="G93" s="90"/>
      <c r="H93" s="90"/>
    </row>
    <row r="94" spans="1:8" ht="15" customHeight="1">
      <c r="A94" s="680"/>
      <c r="B94" s="1200"/>
      <c r="C94" s="1120"/>
      <c r="D94" s="1120"/>
      <c r="E94" s="1015">
        <f t="shared" si="1"/>
        <v>0</v>
      </c>
      <c r="F94" s="1201"/>
      <c r="G94" s="90"/>
      <c r="H94" s="90"/>
    </row>
    <row r="95" spans="1:8" ht="15" customHeight="1">
      <c r="A95" s="680"/>
      <c r="B95" s="1200"/>
      <c r="C95" s="1120"/>
      <c r="D95" s="1120"/>
      <c r="E95" s="1015">
        <f t="shared" si="1"/>
        <v>0</v>
      </c>
      <c r="F95" s="1201"/>
      <c r="G95" s="90"/>
      <c r="H95" s="90"/>
    </row>
    <row r="96" spans="1:8" ht="15" customHeight="1">
      <c r="A96" s="680"/>
      <c r="B96" s="1200"/>
      <c r="C96" s="1120"/>
      <c r="D96" s="1120"/>
      <c r="E96" s="1015">
        <f t="shared" si="1"/>
        <v>0</v>
      </c>
      <c r="F96" s="1201"/>
      <c r="G96" s="90"/>
      <c r="H96" s="90"/>
    </row>
    <row r="97" spans="1:8" ht="15" customHeight="1">
      <c r="A97" s="680"/>
      <c r="B97" s="1200"/>
      <c r="C97" s="1120"/>
      <c r="D97" s="1120"/>
      <c r="E97" s="1015">
        <f t="shared" si="1"/>
        <v>0</v>
      </c>
      <c r="F97" s="1201"/>
      <c r="G97" s="90"/>
      <c r="H97" s="90"/>
    </row>
    <row r="98" spans="1:8" ht="15" customHeight="1">
      <c r="A98" s="680"/>
      <c r="B98" s="1200"/>
      <c r="C98" s="1120"/>
      <c r="D98" s="1120"/>
      <c r="E98" s="1015">
        <f t="shared" si="1"/>
        <v>0</v>
      </c>
      <c r="F98" s="1201"/>
      <c r="G98" s="90"/>
      <c r="H98" s="90"/>
    </row>
    <row r="99" spans="1:8" ht="15" customHeight="1">
      <c r="A99" s="680"/>
      <c r="B99" s="1200"/>
      <c r="C99" s="1120"/>
      <c r="D99" s="1120"/>
      <c r="E99" s="1015">
        <f t="shared" si="1"/>
        <v>0</v>
      </c>
      <c r="F99" s="1201"/>
      <c r="G99" s="90"/>
      <c r="H99" s="90"/>
    </row>
    <row r="100" spans="1:8" ht="15" customHeight="1">
      <c r="A100" s="680"/>
      <c r="B100" s="1200"/>
      <c r="C100" s="1120"/>
      <c r="D100" s="1120"/>
      <c r="E100" s="1015">
        <f t="shared" si="1"/>
        <v>0</v>
      </c>
      <c r="F100" s="1201"/>
      <c r="G100" s="90"/>
      <c r="H100" s="90"/>
    </row>
    <row r="101" spans="1:8" ht="15" customHeight="1">
      <c r="A101" s="680"/>
      <c r="B101" s="1200"/>
      <c r="C101" s="1120"/>
      <c r="D101" s="1120"/>
      <c r="E101" s="1015">
        <f t="shared" si="1"/>
        <v>0</v>
      </c>
      <c r="F101" s="1201"/>
      <c r="G101" s="90"/>
      <c r="H101" s="90"/>
    </row>
    <row r="102" spans="1:8" ht="15" customHeight="1">
      <c r="A102" s="680"/>
      <c r="B102" s="1200"/>
      <c r="C102" s="1120"/>
      <c r="D102" s="1120"/>
      <c r="E102" s="1015">
        <f t="shared" si="1"/>
        <v>0</v>
      </c>
      <c r="F102" s="1201"/>
      <c r="G102" s="90"/>
      <c r="H102" s="90"/>
    </row>
    <row r="103" spans="1:8" ht="15" customHeight="1">
      <c r="A103" s="680"/>
      <c r="B103" s="1200"/>
      <c r="C103" s="1120"/>
      <c r="D103" s="1120"/>
      <c r="E103" s="1015">
        <f t="shared" si="1"/>
        <v>0</v>
      </c>
      <c r="F103" s="1201"/>
      <c r="G103" s="90"/>
      <c r="H103" s="90"/>
    </row>
    <row r="104" spans="1:8" ht="15" customHeight="1">
      <c r="A104" s="680"/>
      <c r="B104" s="1200"/>
      <c r="C104" s="1120"/>
      <c r="D104" s="1120"/>
      <c r="E104" s="1015">
        <f t="shared" si="1"/>
        <v>0</v>
      </c>
      <c r="F104" s="1201"/>
      <c r="G104" s="90"/>
      <c r="H104" s="90"/>
    </row>
    <row r="105" spans="1:8" ht="15" customHeight="1">
      <c r="A105" s="680"/>
      <c r="B105" s="1200"/>
      <c r="C105" s="1120"/>
      <c r="D105" s="1120"/>
      <c r="E105" s="1015">
        <f t="shared" si="1"/>
        <v>0</v>
      </c>
      <c r="F105" s="1201"/>
      <c r="G105" s="90"/>
      <c r="H105" s="90"/>
    </row>
    <row r="106" spans="1:8" ht="15" customHeight="1">
      <c r="A106" s="680"/>
      <c r="B106" s="1200"/>
      <c r="C106" s="1120"/>
      <c r="D106" s="1120"/>
      <c r="E106" s="1015">
        <f t="shared" si="1"/>
        <v>0</v>
      </c>
      <c r="F106" s="1201"/>
      <c r="G106" s="90"/>
      <c r="H106" s="90"/>
    </row>
    <row r="107" spans="1:8" ht="15" customHeight="1">
      <c r="A107" s="680"/>
      <c r="B107" s="1200"/>
      <c r="C107" s="1120"/>
      <c r="D107" s="1120"/>
      <c r="E107" s="1015">
        <f t="shared" si="1"/>
        <v>0</v>
      </c>
      <c r="F107" s="1201"/>
      <c r="G107" s="90"/>
      <c r="H107" s="90"/>
    </row>
    <row r="108" spans="1:8" ht="15" customHeight="1">
      <c r="A108" s="680"/>
      <c r="B108" s="1200"/>
      <c r="C108" s="1120"/>
      <c r="D108" s="1120"/>
      <c r="E108" s="1015">
        <f t="shared" si="1"/>
        <v>0</v>
      </c>
      <c r="F108" s="1201"/>
      <c r="G108" s="90"/>
      <c r="H108" s="90"/>
    </row>
    <row r="109" spans="1:8" ht="15" customHeight="1">
      <c r="A109" s="680"/>
      <c r="B109" s="1200"/>
      <c r="C109" s="1120"/>
      <c r="D109" s="1120"/>
      <c r="E109" s="1015">
        <f t="shared" si="1"/>
        <v>0</v>
      </c>
      <c r="F109" s="1201"/>
      <c r="G109" s="90"/>
      <c r="H109" s="90"/>
    </row>
    <row r="110" spans="1:8" ht="15" customHeight="1">
      <c r="A110" s="680"/>
      <c r="B110" s="1200"/>
      <c r="C110" s="1120"/>
      <c r="D110" s="1120"/>
      <c r="E110" s="1015">
        <f t="shared" si="1"/>
        <v>0</v>
      </c>
      <c r="F110" s="1201"/>
      <c r="G110" s="90"/>
      <c r="H110" s="90"/>
    </row>
    <row r="111" spans="1:8" ht="15" customHeight="1">
      <c r="A111" s="680"/>
      <c r="B111" s="1200"/>
      <c r="C111" s="1120"/>
      <c r="D111" s="1120"/>
      <c r="E111" s="1015">
        <f t="shared" si="1"/>
        <v>0</v>
      </c>
      <c r="F111" s="1201"/>
      <c r="G111" s="90"/>
      <c r="H111" s="90"/>
    </row>
    <row r="112" spans="1:8" ht="15" customHeight="1">
      <c r="A112" s="680"/>
      <c r="B112" s="1200"/>
      <c r="C112" s="1120"/>
      <c r="D112" s="1120"/>
      <c r="E112" s="1015">
        <f t="shared" si="1"/>
        <v>0</v>
      </c>
      <c r="F112" s="1201"/>
      <c r="G112" s="90"/>
      <c r="H112" s="90"/>
    </row>
    <row r="113" spans="1:8" ht="15" customHeight="1">
      <c r="A113" s="680"/>
      <c r="B113" s="1200"/>
      <c r="C113" s="1120"/>
      <c r="D113" s="1120"/>
      <c r="E113" s="1015">
        <f t="shared" si="1"/>
        <v>0</v>
      </c>
      <c r="F113" s="1201"/>
      <c r="G113" s="90"/>
      <c r="H113" s="90"/>
    </row>
    <row r="114" spans="1:8" ht="15" customHeight="1">
      <c r="A114" s="680"/>
      <c r="B114" s="1200"/>
      <c r="C114" s="1120"/>
      <c r="D114" s="1120"/>
      <c r="E114" s="1015">
        <f t="shared" si="1"/>
        <v>0</v>
      </c>
      <c r="F114" s="1201"/>
      <c r="G114" s="90"/>
      <c r="H114" s="90"/>
    </row>
    <row r="115" spans="1:8" ht="15" customHeight="1">
      <c r="A115" s="680"/>
      <c r="B115" s="1200"/>
      <c r="C115" s="1120"/>
      <c r="D115" s="1120"/>
      <c r="E115" s="1015">
        <f t="shared" si="1"/>
        <v>0</v>
      </c>
      <c r="F115" s="1201"/>
      <c r="G115" s="90"/>
      <c r="H115" s="90"/>
    </row>
    <row r="116" spans="1:8" ht="15" customHeight="1">
      <c r="A116" s="680"/>
      <c r="B116" s="1200"/>
      <c r="C116" s="1120"/>
      <c r="D116" s="1120"/>
      <c r="E116" s="1015">
        <f t="shared" si="1"/>
        <v>0</v>
      </c>
      <c r="F116" s="1201"/>
      <c r="G116" s="90"/>
      <c r="H116" s="90"/>
    </row>
    <row r="117" spans="1:8" ht="15" customHeight="1">
      <c r="A117" s="680"/>
      <c r="B117" s="1200"/>
      <c r="C117" s="1120"/>
      <c r="D117" s="1120"/>
      <c r="E117" s="1015">
        <f t="shared" si="1"/>
        <v>0</v>
      </c>
      <c r="F117" s="1201"/>
      <c r="G117" s="90"/>
      <c r="H117" s="90"/>
    </row>
    <row r="118" spans="1:8" ht="15" customHeight="1">
      <c r="A118" s="680"/>
      <c r="B118" s="1200"/>
      <c r="C118" s="1120"/>
      <c r="D118" s="1120"/>
      <c r="E118" s="1015">
        <f t="shared" si="1"/>
        <v>0</v>
      </c>
      <c r="F118" s="1201"/>
      <c r="G118" s="90"/>
      <c r="H118" s="90"/>
    </row>
    <row r="119" spans="1:8" ht="15" customHeight="1">
      <c r="A119" s="680"/>
      <c r="B119" s="1200"/>
      <c r="C119" s="1120"/>
      <c r="D119" s="1120"/>
      <c r="E119" s="1015">
        <f t="shared" si="1"/>
        <v>0</v>
      </c>
      <c r="F119" s="1201"/>
      <c r="G119" s="90"/>
      <c r="H119" s="90"/>
    </row>
    <row r="120" spans="1:8" ht="15" customHeight="1">
      <c r="A120" s="680"/>
      <c r="B120" s="1200"/>
      <c r="C120" s="1120"/>
      <c r="D120" s="1120"/>
      <c r="E120" s="1015">
        <f t="shared" si="1"/>
        <v>0</v>
      </c>
      <c r="F120" s="1201"/>
      <c r="G120" s="90"/>
      <c r="H120" s="90"/>
    </row>
    <row r="121" spans="1:8" ht="15" customHeight="1">
      <c r="A121" s="680"/>
      <c r="B121" s="1200"/>
      <c r="C121" s="1120"/>
      <c r="D121" s="1120"/>
      <c r="E121" s="1015">
        <f t="shared" si="1"/>
        <v>0</v>
      </c>
      <c r="F121" s="1201"/>
      <c r="G121" s="90"/>
      <c r="H121" s="90"/>
    </row>
    <row r="122" spans="1:8" ht="15" customHeight="1">
      <c r="A122" s="680"/>
      <c r="B122" s="1200"/>
      <c r="C122" s="1120"/>
      <c r="D122" s="1120"/>
      <c r="E122" s="1015">
        <f t="shared" si="1"/>
        <v>0</v>
      </c>
      <c r="F122" s="1201"/>
      <c r="G122" s="90"/>
      <c r="H122" s="90"/>
    </row>
    <row r="123" spans="1:8" ht="15" customHeight="1">
      <c r="A123" s="680"/>
      <c r="B123" s="1200"/>
      <c r="C123" s="1120"/>
      <c r="D123" s="1120"/>
      <c r="E123" s="1015">
        <f t="shared" si="1"/>
        <v>0</v>
      </c>
      <c r="F123" s="1201"/>
      <c r="G123" s="90"/>
      <c r="H123" s="90"/>
    </row>
    <row r="124" spans="1:8" ht="15" customHeight="1">
      <c r="A124" s="680"/>
      <c r="B124" s="1200"/>
      <c r="C124" s="1120"/>
      <c r="D124" s="1120"/>
      <c r="E124" s="1015">
        <f t="shared" si="1"/>
        <v>0</v>
      </c>
      <c r="F124" s="1201"/>
      <c r="G124" s="90"/>
      <c r="H124" s="90"/>
    </row>
    <row r="125" spans="1:8" ht="15" customHeight="1">
      <c r="A125" s="680"/>
      <c r="B125" s="1200"/>
      <c r="C125" s="1120"/>
      <c r="D125" s="1120"/>
      <c r="E125" s="1015">
        <f t="shared" si="1"/>
        <v>0</v>
      </c>
      <c r="F125" s="1201"/>
      <c r="G125" s="90"/>
      <c r="H125" s="90"/>
    </row>
    <row r="126" spans="1:8" ht="15" customHeight="1">
      <c r="A126" s="680"/>
      <c r="B126" s="1200"/>
      <c r="C126" s="1120"/>
      <c r="D126" s="1120"/>
      <c r="E126" s="1015">
        <f t="shared" si="1"/>
        <v>0</v>
      </c>
      <c r="F126" s="1201"/>
      <c r="G126" s="90"/>
      <c r="H126" s="90"/>
    </row>
    <row r="127" spans="1:8" ht="15" customHeight="1">
      <c r="A127" s="680"/>
      <c r="B127" s="1200"/>
      <c r="C127" s="1120"/>
      <c r="D127" s="1120"/>
      <c r="E127" s="1015">
        <f t="shared" si="1"/>
        <v>0</v>
      </c>
      <c r="F127" s="1201"/>
      <c r="G127" s="90"/>
      <c r="H127" s="90"/>
    </row>
    <row r="128" spans="1:8" ht="15" customHeight="1">
      <c r="A128" s="680"/>
      <c r="B128" s="1200"/>
      <c r="C128" s="1120"/>
      <c r="D128" s="1120"/>
      <c r="E128" s="1015">
        <f t="shared" si="1"/>
        <v>0</v>
      </c>
      <c r="F128" s="1201"/>
      <c r="G128" s="90"/>
      <c r="H128" s="90"/>
    </row>
    <row r="129" spans="1:8" ht="15" customHeight="1">
      <c r="A129" s="680"/>
      <c r="B129" s="1200"/>
      <c r="C129" s="1120"/>
      <c r="D129" s="1120"/>
      <c r="E129" s="1015">
        <f t="shared" si="1"/>
        <v>0</v>
      </c>
      <c r="F129" s="1201"/>
      <c r="G129" s="90"/>
      <c r="H129" s="90"/>
    </row>
    <row r="130" spans="1:8" ht="15" customHeight="1">
      <c r="A130" s="680"/>
      <c r="B130" s="1200"/>
      <c r="C130" s="1120"/>
      <c r="D130" s="1120"/>
      <c r="E130" s="1015">
        <f t="shared" si="1"/>
        <v>0</v>
      </c>
      <c r="F130" s="1201"/>
      <c r="G130" s="90"/>
      <c r="H130" s="90"/>
    </row>
    <row r="131" spans="1:8" ht="15" customHeight="1">
      <c r="A131" s="680"/>
      <c r="B131" s="1200"/>
      <c r="C131" s="1120"/>
      <c r="D131" s="1120"/>
      <c r="E131" s="1015">
        <f t="shared" si="1"/>
        <v>0</v>
      </c>
      <c r="F131" s="1201"/>
      <c r="G131" s="90"/>
      <c r="H131" s="90"/>
    </row>
    <row r="132" spans="1:8" ht="15" customHeight="1">
      <c r="A132" s="680"/>
      <c r="B132" s="1200"/>
      <c r="C132" s="1120"/>
      <c r="D132" s="1120"/>
      <c r="E132" s="1015">
        <f t="shared" si="1"/>
        <v>0</v>
      </c>
      <c r="F132" s="1201"/>
      <c r="G132" s="90"/>
      <c r="H132" s="90"/>
    </row>
    <row r="133" spans="1:8" ht="15" customHeight="1">
      <c r="A133" s="680"/>
      <c r="B133" s="1200"/>
      <c r="C133" s="1120"/>
      <c r="D133" s="1120"/>
      <c r="E133" s="1015">
        <f t="shared" si="1"/>
        <v>0</v>
      </c>
      <c r="F133" s="1201"/>
      <c r="G133" s="90"/>
      <c r="H133" s="90"/>
    </row>
    <row r="134" spans="1:8" ht="15" customHeight="1">
      <c r="A134" s="680"/>
      <c r="B134" s="1200"/>
      <c r="C134" s="1120"/>
      <c r="D134" s="1120"/>
      <c r="E134" s="1015">
        <f t="shared" si="1"/>
        <v>0</v>
      </c>
      <c r="F134" s="1201"/>
      <c r="G134" s="90"/>
      <c r="H134" s="90"/>
    </row>
    <row r="135" spans="1:8" ht="15" customHeight="1">
      <c r="A135" s="680"/>
      <c r="B135" s="1200"/>
      <c r="C135" s="1120"/>
      <c r="D135" s="1120"/>
      <c r="E135" s="1015">
        <f t="shared" si="1"/>
        <v>0</v>
      </c>
      <c r="F135" s="1201"/>
      <c r="G135" s="90"/>
      <c r="H135" s="90"/>
    </row>
    <row r="136" spans="1:8" ht="15" customHeight="1">
      <c r="A136" s="680"/>
      <c r="B136" s="1200"/>
      <c r="C136" s="1120"/>
      <c r="D136" s="1120"/>
      <c r="E136" s="1015">
        <f t="shared" si="1"/>
        <v>0</v>
      </c>
      <c r="F136" s="1201"/>
      <c r="G136" s="90"/>
      <c r="H136" s="90"/>
    </row>
    <row r="137" spans="1:8" ht="15" customHeight="1">
      <c r="A137" s="680"/>
      <c r="B137" s="1200"/>
      <c r="C137" s="1120"/>
      <c r="D137" s="1120"/>
      <c r="E137" s="1015">
        <f t="shared" si="1"/>
        <v>0</v>
      </c>
      <c r="F137" s="1201"/>
      <c r="G137" s="90"/>
      <c r="H137" s="90"/>
    </row>
    <row r="138" spans="1:8" ht="15" customHeight="1">
      <c r="A138" s="680"/>
      <c r="B138" s="1200"/>
      <c r="C138" s="1120"/>
      <c r="D138" s="1120"/>
      <c r="E138" s="1015">
        <f t="shared" si="1"/>
        <v>0</v>
      </c>
      <c r="F138" s="1201"/>
      <c r="G138" s="90"/>
      <c r="H138" s="90"/>
    </row>
    <row r="139" spans="1:8" ht="15" customHeight="1">
      <c r="A139" s="680"/>
      <c r="B139" s="1200"/>
      <c r="C139" s="1120"/>
      <c r="D139" s="1120"/>
      <c r="E139" s="1015">
        <f t="shared" si="1"/>
        <v>0</v>
      </c>
      <c r="F139" s="1201"/>
      <c r="G139" s="90"/>
      <c r="H139" s="90"/>
    </row>
    <row r="140" spans="1:8" ht="15" customHeight="1">
      <c r="A140" s="680"/>
      <c r="B140" s="1200"/>
      <c r="C140" s="1120"/>
      <c r="D140" s="1120"/>
      <c r="E140" s="1015">
        <f t="shared" si="1"/>
        <v>0</v>
      </c>
      <c r="F140" s="1201"/>
      <c r="G140" s="90"/>
      <c r="H140" s="90"/>
    </row>
    <row r="141" spans="1:8" ht="15" customHeight="1">
      <c r="A141" s="680"/>
      <c r="B141" s="1200"/>
      <c r="C141" s="1120"/>
      <c r="D141" s="1120"/>
      <c r="E141" s="1015">
        <f t="shared" si="1"/>
        <v>0</v>
      </c>
      <c r="F141" s="1201"/>
      <c r="G141" s="90"/>
      <c r="H141" s="90"/>
    </row>
    <row r="142" spans="1:8" ht="15" customHeight="1">
      <c r="A142" s="680"/>
      <c r="B142" s="1200"/>
      <c r="C142" s="1120"/>
      <c r="D142" s="1120"/>
      <c r="E142" s="1015">
        <f t="shared" si="1"/>
        <v>0</v>
      </c>
      <c r="F142" s="1201"/>
      <c r="G142" s="90"/>
      <c r="H142" s="90"/>
    </row>
    <row r="143" spans="1:8" ht="15" customHeight="1">
      <c r="A143" s="680"/>
      <c r="B143" s="1200"/>
      <c r="C143" s="1120"/>
      <c r="D143" s="1120"/>
      <c r="E143" s="1015">
        <f t="shared" ref="E143:E206" si="2">C143-B143+D143</f>
        <v>0</v>
      </c>
      <c r="F143" s="1201"/>
      <c r="G143" s="90"/>
      <c r="H143" s="90"/>
    </row>
    <row r="144" spans="1:8" ht="15" customHeight="1">
      <c r="A144" s="680"/>
      <c r="B144" s="1200"/>
      <c r="C144" s="1120"/>
      <c r="D144" s="1120"/>
      <c r="E144" s="1015">
        <f t="shared" si="2"/>
        <v>0</v>
      </c>
      <c r="F144" s="1201"/>
      <c r="G144" s="90"/>
      <c r="H144" s="90"/>
    </row>
    <row r="145" spans="1:8" ht="15" customHeight="1">
      <c r="A145" s="680"/>
      <c r="B145" s="1200"/>
      <c r="C145" s="1120"/>
      <c r="D145" s="1120"/>
      <c r="E145" s="1015">
        <f t="shared" si="2"/>
        <v>0</v>
      </c>
      <c r="F145" s="1201"/>
      <c r="G145" s="90"/>
      <c r="H145" s="90"/>
    </row>
    <row r="146" spans="1:8" ht="15" customHeight="1">
      <c r="A146" s="680"/>
      <c r="B146" s="1200"/>
      <c r="C146" s="1120"/>
      <c r="D146" s="1120"/>
      <c r="E146" s="1015">
        <f t="shared" si="2"/>
        <v>0</v>
      </c>
      <c r="F146" s="1201"/>
      <c r="G146" s="90"/>
      <c r="H146" s="90"/>
    </row>
    <row r="147" spans="1:8" ht="15" customHeight="1">
      <c r="A147" s="680"/>
      <c r="B147" s="1200"/>
      <c r="C147" s="1120"/>
      <c r="D147" s="1120"/>
      <c r="E147" s="1015">
        <f t="shared" si="2"/>
        <v>0</v>
      </c>
      <c r="F147" s="1201"/>
      <c r="G147" s="90"/>
      <c r="H147" s="90"/>
    </row>
    <row r="148" spans="1:8" ht="15" customHeight="1">
      <c r="A148" s="680"/>
      <c r="B148" s="1200"/>
      <c r="C148" s="1120"/>
      <c r="D148" s="1120"/>
      <c r="E148" s="1015">
        <f t="shared" si="2"/>
        <v>0</v>
      </c>
      <c r="F148" s="1201"/>
      <c r="G148" s="90"/>
      <c r="H148" s="90"/>
    </row>
    <row r="149" spans="1:8" ht="15" customHeight="1">
      <c r="A149" s="680"/>
      <c r="B149" s="1200"/>
      <c r="C149" s="1120"/>
      <c r="D149" s="1120"/>
      <c r="E149" s="1015">
        <f t="shared" si="2"/>
        <v>0</v>
      </c>
      <c r="F149" s="1201"/>
      <c r="G149" s="90"/>
      <c r="H149" s="90"/>
    </row>
    <row r="150" spans="1:8" ht="15" customHeight="1">
      <c r="A150" s="680"/>
      <c r="B150" s="1200"/>
      <c r="C150" s="1120"/>
      <c r="D150" s="1120"/>
      <c r="E150" s="1015">
        <f t="shared" si="2"/>
        <v>0</v>
      </c>
      <c r="F150" s="1201"/>
      <c r="G150" s="90"/>
      <c r="H150" s="90"/>
    </row>
    <row r="151" spans="1:8" ht="15" customHeight="1">
      <c r="A151" s="680"/>
      <c r="B151" s="1200"/>
      <c r="C151" s="1120"/>
      <c r="D151" s="1120"/>
      <c r="E151" s="1015">
        <f t="shared" si="2"/>
        <v>0</v>
      </c>
      <c r="F151" s="1201"/>
      <c r="G151" s="90"/>
      <c r="H151" s="90"/>
    </row>
    <row r="152" spans="1:8" ht="15" customHeight="1">
      <c r="A152" s="680"/>
      <c r="B152" s="1200"/>
      <c r="C152" s="1120"/>
      <c r="D152" s="1120"/>
      <c r="E152" s="1015">
        <f t="shared" si="2"/>
        <v>0</v>
      </c>
      <c r="F152" s="1201"/>
      <c r="G152" s="90"/>
      <c r="H152" s="90"/>
    </row>
    <row r="153" spans="1:8" ht="15" customHeight="1">
      <c r="A153" s="680"/>
      <c r="B153" s="1200"/>
      <c r="C153" s="1120"/>
      <c r="D153" s="1120"/>
      <c r="E153" s="1015">
        <f t="shared" si="2"/>
        <v>0</v>
      </c>
      <c r="F153" s="1201"/>
      <c r="G153" s="90"/>
      <c r="H153" s="90"/>
    </row>
    <row r="154" spans="1:8" ht="15" customHeight="1">
      <c r="A154" s="680"/>
      <c r="B154" s="1200"/>
      <c r="C154" s="1120"/>
      <c r="D154" s="1120"/>
      <c r="E154" s="1015">
        <f t="shared" si="2"/>
        <v>0</v>
      </c>
      <c r="F154" s="1201"/>
      <c r="G154" s="90"/>
      <c r="H154" s="90"/>
    </row>
    <row r="155" spans="1:8" ht="15" customHeight="1">
      <c r="A155" s="680"/>
      <c r="B155" s="1200"/>
      <c r="C155" s="1120"/>
      <c r="D155" s="1120"/>
      <c r="E155" s="1015">
        <f t="shared" si="2"/>
        <v>0</v>
      </c>
      <c r="F155" s="1201"/>
      <c r="G155" s="90"/>
      <c r="H155" s="90"/>
    </row>
    <row r="156" spans="1:8" ht="15" customHeight="1">
      <c r="A156" s="680"/>
      <c r="B156" s="1200"/>
      <c r="C156" s="1120"/>
      <c r="D156" s="1120"/>
      <c r="E156" s="1015">
        <f t="shared" si="2"/>
        <v>0</v>
      </c>
      <c r="F156" s="1201"/>
      <c r="G156" s="90"/>
      <c r="H156" s="90"/>
    </row>
    <row r="157" spans="1:8" ht="15" customHeight="1">
      <c r="A157" s="680"/>
      <c r="B157" s="1200"/>
      <c r="C157" s="1120"/>
      <c r="D157" s="1120"/>
      <c r="E157" s="1015">
        <f t="shared" si="2"/>
        <v>0</v>
      </c>
      <c r="F157" s="1201"/>
      <c r="G157" s="90"/>
      <c r="H157" s="90"/>
    </row>
    <row r="158" spans="1:8" ht="15" customHeight="1">
      <c r="A158" s="680"/>
      <c r="B158" s="1200"/>
      <c r="C158" s="1120"/>
      <c r="D158" s="1120"/>
      <c r="E158" s="1015">
        <f t="shared" si="2"/>
        <v>0</v>
      </c>
      <c r="F158" s="1201"/>
      <c r="G158" s="90"/>
      <c r="H158" s="90"/>
    </row>
    <row r="159" spans="1:8" ht="15" customHeight="1">
      <c r="A159" s="680"/>
      <c r="B159" s="1200"/>
      <c r="C159" s="1120"/>
      <c r="D159" s="1120"/>
      <c r="E159" s="1015">
        <f t="shared" si="2"/>
        <v>0</v>
      </c>
      <c r="F159" s="1201"/>
      <c r="G159" s="90"/>
      <c r="H159" s="90"/>
    </row>
    <row r="160" spans="1:8" ht="15" customHeight="1">
      <c r="A160" s="680"/>
      <c r="B160" s="1200"/>
      <c r="C160" s="1120"/>
      <c r="D160" s="1120"/>
      <c r="E160" s="1015">
        <f t="shared" si="2"/>
        <v>0</v>
      </c>
      <c r="F160" s="1201"/>
      <c r="G160" s="90"/>
      <c r="H160" s="90"/>
    </row>
    <row r="161" spans="1:8" ht="15" customHeight="1">
      <c r="A161" s="680"/>
      <c r="B161" s="1200"/>
      <c r="C161" s="1120"/>
      <c r="D161" s="1120"/>
      <c r="E161" s="1015">
        <f t="shared" si="2"/>
        <v>0</v>
      </c>
      <c r="F161" s="1201"/>
      <c r="G161" s="90"/>
      <c r="H161" s="90"/>
    </row>
    <row r="162" spans="1:8" ht="15" customHeight="1">
      <c r="A162" s="680"/>
      <c r="B162" s="1200"/>
      <c r="C162" s="1120"/>
      <c r="D162" s="1120"/>
      <c r="E162" s="1015">
        <f t="shared" si="2"/>
        <v>0</v>
      </c>
      <c r="F162" s="1201"/>
      <c r="G162" s="90"/>
      <c r="H162" s="90"/>
    </row>
    <row r="163" spans="1:8" ht="15" customHeight="1">
      <c r="A163" s="680"/>
      <c r="B163" s="1200"/>
      <c r="C163" s="1120"/>
      <c r="D163" s="1120"/>
      <c r="E163" s="1015">
        <f t="shared" si="2"/>
        <v>0</v>
      </c>
      <c r="F163" s="1201"/>
      <c r="G163" s="90"/>
      <c r="H163" s="90"/>
    </row>
    <row r="164" spans="1:8" ht="15" customHeight="1">
      <c r="A164" s="680"/>
      <c r="B164" s="1200"/>
      <c r="C164" s="1120"/>
      <c r="D164" s="1120"/>
      <c r="E164" s="1015">
        <f t="shared" si="2"/>
        <v>0</v>
      </c>
      <c r="F164" s="1201"/>
      <c r="G164" s="90"/>
      <c r="H164" s="90"/>
    </row>
    <row r="165" spans="1:8" ht="15" customHeight="1">
      <c r="A165" s="680"/>
      <c r="B165" s="1200"/>
      <c r="C165" s="1120"/>
      <c r="D165" s="1120"/>
      <c r="E165" s="1015">
        <f t="shared" si="2"/>
        <v>0</v>
      </c>
      <c r="F165" s="1201"/>
      <c r="G165" s="90"/>
      <c r="H165" s="90"/>
    </row>
    <row r="166" spans="1:8" ht="15" customHeight="1">
      <c r="A166" s="680"/>
      <c r="B166" s="1200"/>
      <c r="C166" s="1120"/>
      <c r="D166" s="1120"/>
      <c r="E166" s="1015">
        <f t="shared" si="2"/>
        <v>0</v>
      </c>
      <c r="F166" s="1201"/>
      <c r="G166" s="90"/>
      <c r="H166" s="90"/>
    </row>
    <row r="167" spans="1:8" ht="15" customHeight="1">
      <c r="A167" s="680"/>
      <c r="B167" s="1200"/>
      <c r="C167" s="1120"/>
      <c r="D167" s="1120"/>
      <c r="E167" s="1015">
        <f t="shared" si="2"/>
        <v>0</v>
      </c>
      <c r="F167" s="1201"/>
      <c r="G167" s="90"/>
      <c r="H167" s="90"/>
    </row>
    <row r="168" spans="1:8" ht="15" customHeight="1">
      <c r="A168" s="680"/>
      <c r="B168" s="1200"/>
      <c r="C168" s="1120"/>
      <c r="D168" s="1120"/>
      <c r="E168" s="1015">
        <f t="shared" si="2"/>
        <v>0</v>
      </c>
      <c r="F168" s="1201"/>
      <c r="G168" s="90"/>
      <c r="H168" s="90"/>
    </row>
    <row r="169" spans="1:8" ht="15" customHeight="1">
      <c r="A169" s="680"/>
      <c r="B169" s="1200"/>
      <c r="C169" s="1120"/>
      <c r="D169" s="1120"/>
      <c r="E169" s="1015">
        <f t="shared" si="2"/>
        <v>0</v>
      </c>
      <c r="F169" s="1201"/>
      <c r="G169" s="90"/>
      <c r="H169" s="90"/>
    </row>
    <row r="170" spans="1:8" ht="15" customHeight="1">
      <c r="A170" s="680"/>
      <c r="B170" s="1200"/>
      <c r="C170" s="1120"/>
      <c r="D170" s="1120"/>
      <c r="E170" s="1015">
        <f t="shared" si="2"/>
        <v>0</v>
      </c>
      <c r="F170" s="1201"/>
      <c r="G170" s="90"/>
      <c r="H170" s="90"/>
    </row>
    <row r="171" spans="1:8" ht="15" customHeight="1">
      <c r="A171" s="680"/>
      <c r="B171" s="1200"/>
      <c r="C171" s="1120"/>
      <c r="D171" s="1120"/>
      <c r="E171" s="1015">
        <f t="shared" si="2"/>
        <v>0</v>
      </c>
      <c r="F171" s="1201"/>
      <c r="G171" s="90"/>
      <c r="H171" s="90"/>
    </row>
    <row r="172" spans="1:8" ht="15" customHeight="1">
      <c r="A172" s="680"/>
      <c r="B172" s="1200"/>
      <c r="C172" s="1120"/>
      <c r="D172" s="1120"/>
      <c r="E172" s="1015">
        <f t="shared" si="2"/>
        <v>0</v>
      </c>
      <c r="F172" s="1201"/>
      <c r="G172" s="90"/>
      <c r="H172" s="90"/>
    </row>
    <row r="173" spans="1:8" ht="15" customHeight="1">
      <c r="A173" s="680"/>
      <c r="B173" s="1200"/>
      <c r="C173" s="1120"/>
      <c r="D173" s="1120"/>
      <c r="E173" s="1015">
        <f t="shared" si="2"/>
        <v>0</v>
      </c>
      <c r="F173" s="1201"/>
      <c r="G173" s="90"/>
      <c r="H173" s="90"/>
    </row>
    <row r="174" spans="1:8" ht="15" customHeight="1">
      <c r="A174" s="680"/>
      <c r="B174" s="1200"/>
      <c r="C174" s="1120"/>
      <c r="D174" s="1120"/>
      <c r="E174" s="1015">
        <f t="shared" si="2"/>
        <v>0</v>
      </c>
      <c r="F174" s="1201"/>
      <c r="G174" s="90"/>
      <c r="H174" s="90"/>
    </row>
    <row r="175" spans="1:8" ht="15" customHeight="1">
      <c r="A175" s="680"/>
      <c r="B175" s="1200"/>
      <c r="C175" s="1120"/>
      <c r="D175" s="1120"/>
      <c r="E175" s="1015">
        <f t="shared" si="2"/>
        <v>0</v>
      </c>
      <c r="F175" s="1201"/>
      <c r="G175" s="90"/>
      <c r="H175" s="90"/>
    </row>
    <row r="176" spans="1:8" ht="15" customHeight="1">
      <c r="A176" s="680"/>
      <c r="B176" s="1200"/>
      <c r="C176" s="1120"/>
      <c r="D176" s="1120"/>
      <c r="E176" s="1015">
        <f t="shared" si="2"/>
        <v>0</v>
      </c>
      <c r="F176" s="1201"/>
      <c r="G176" s="90"/>
      <c r="H176" s="90"/>
    </row>
    <row r="177" spans="1:8" ht="15" customHeight="1">
      <c r="A177" s="680"/>
      <c r="B177" s="1200"/>
      <c r="C177" s="1120"/>
      <c r="D177" s="1120"/>
      <c r="E177" s="1015">
        <f t="shared" si="2"/>
        <v>0</v>
      </c>
      <c r="F177" s="1201"/>
      <c r="G177" s="90"/>
      <c r="H177" s="90"/>
    </row>
    <row r="178" spans="1:8" ht="15" customHeight="1">
      <c r="A178" s="680"/>
      <c r="B178" s="1200"/>
      <c r="C178" s="1120"/>
      <c r="D178" s="1120"/>
      <c r="E178" s="1015">
        <f t="shared" si="2"/>
        <v>0</v>
      </c>
      <c r="F178" s="1201"/>
      <c r="G178" s="90"/>
      <c r="H178" s="90"/>
    </row>
    <row r="179" spans="1:8" ht="15" customHeight="1">
      <c r="A179" s="680"/>
      <c r="B179" s="1200"/>
      <c r="C179" s="1120"/>
      <c r="D179" s="1120"/>
      <c r="E179" s="1015">
        <f t="shared" si="2"/>
        <v>0</v>
      </c>
      <c r="F179" s="1201"/>
      <c r="G179" s="90"/>
      <c r="H179" s="90"/>
    </row>
    <row r="180" spans="1:8" ht="15" customHeight="1">
      <c r="A180" s="680"/>
      <c r="B180" s="1200"/>
      <c r="C180" s="1120"/>
      <c r="D180" s="1120"/>
      <c r="E180" s="1015">
        <f t="shared" si="2"/>
        <v>0</v>
      </c>
      <c r="F180" s="1201"/>
      <c r="G180" s="90"/>
      <c r="H180" s="90"/>
    </row>
    <row r="181" spans="1:8" ht="15" customHeight="1">
      <c r="A181" s="680"/>
      <c r="B181" s="1200"/>
      <c r="C181" s="1120"/>
      <c r="D181" s="1120"/>
      <c r="E181" s="1015">
        <f t="shared" si="2"/>
        <v>0</v>
      </c>
      <c r="F181" s="1201"/>
      <c r="G181" s="90"/>
      <c r="H181" s="90"/>
    </row>
    <row r="182" spans="1:8" ht="15" customHeight="1">
      <c r="A182" s="680"/>
      <c r="B182" s="1200"/>
      <c r="C182" s="1120"/>
      <c r="D182" s="1120"/>
      <c r="E182" s="1015">
        <f t="shared" si="2"/>
        <v>0</v>
      </c>
      <c r="F182" s="1201"/>
      <c r="G182" s="90"/>
      <c r="H182" s="90"/>
    </row>
    <row r="183" spans="1:8" ht="15" customHeight="1">
      <c r="A183" s="680"/>
      <c r="B183" s="1200"/>
      <c r="C183" s="1120"/>
      <c r="D183" s="1120"/>
      <c r="E183" s="1015">
        <f t="shared" si="2"/>
        <v>0</v>
      </c>
      <c r="F183" s="1201"/>
      <c r="G183" s="90"/>
      <c r="H183" s="90"/>
    </row>
    <row r="184" spans="1:8" ht="15" customHeight="1">
      <c r="A184" s="680"/>
      <c r="B184" s="1200"/>
      <c r="C184" s="1120"/>
      <c r="D184" s="1120"/>
      <c r="E184" s="1015">
        <f t="shared" si="2"/>
        <v>0</v>
      </c>
      <c r="F184" s="1201"/>
      <c r="G184" s="90"/>
      <c r="H184" s="90"/>
    </row>
    <row r="185" spans="1:8" ht="15" customHeight="1">
      <c r="A185" s="680"/>
      <c r="B185" s="1200"/>
      <c r="C185" s="1120"/>
      <c r="D185" s="1120"/>
      <c r="E185" s="1015">
        <f t="shared" si="2"/>
        <v>0</v>
      </c>
      <c r="F185" s="1201"/>
      <c r="G185" s="90"/>
      <c r="H185" s="90"/>
    </row>
    <row r="186" spans="1:8" ht="15" customHeight="1">
      <c r="A186" s="680"/>
      <c r="B186" s="1200"/>
      <c r="C186" s="1120"/>
      <c r="D186" s="1120"/>
      <c r="E186" s="1015">
        <f t="shared" si="2"/>
        <v>0</v>
      </c>
      <c r="F186" s="1201"/>
      <c r="G186" s="90"/>
      <c r="H186" s="90"/>
    </row>
    <row r="187" spans="1:8" ht="15" customHeight="1">
      <c r="A187" s="680"/>
      <c r="B187" s="1200"/>
      <c r="C187" s="1120"/>
      <c r="D187" s="1120"/>
      <c r="E187" s="1015">
        <f t="shared" si="2"/>
        <v>0</v>
      </c>
      <c r="F187" s="1201"/>
      <c r="G187" s="90"/>
      <c r="H187" s="90"/>
    </row>
    <row r="188" spans="1:8" ht="15" customHeight="1">
      <c r="A188" s="680"/>
      <c r="B188" s="1200"/>
      <c r="C188" s="1120"/>
      <c r="D188" s="1120"/>
      <c r="E188" s="1015">
        <f t="shared" si="2"/>
        <v>0</v>
      </c>
      <c r="F188" s="1201"/>
      <c r="G188" s="90"/>
      <c r="H188" s="90"/>
    </row>
    <row r="189" spans="1:8" ht="15" customHeight="1">
      <c r="A189" s="680"/>
      <c r="B189" s="1200"/>
      <c r="C189" s="1120"/>
      <c r="D189" s="1120"/>
      <c r="E189" s="1015">
        <f t="shared" si="2"/>
        <v>0</v>
      </c>
      <c r="F189" s="1201"/>
      <c r="G189" s="90"/>
      <c r="H189" s="90"/>
    </row>
    <row r="190" spans="1:8" ht="15" customHeight="1">
      <c r="A190" s="680"/>
      <c r="B190" s="1200"/>
      <c r="C190" s="1120"/>
      <c r="D190" s="1120"/>
      <c r="E190" s="1015">
        <f t="shared" si="2"/>
        <v>0</v>
      </c>
      <c r="F190" s="1201"/>
      <c r="G190" s="90"/>
      <c r="H190" s="90"/>
    </row>
    <row r="191" spans="1:8" ht="15" customHeight="1">
      <c r="A191" s="680"/>
      <c r="B191" s="1200"/>
      <c r="C191" s="1120"/>
      <c r="D191" s="1120"/>
      <c r="E191" s="1015">
        <f t="shared" si="2"/>
        <v>0</v>
      </c>
      <c r="F191" s="1201"/>
      <c r="G191" s="90"/>
      <c r="H191" s="90"/>
    </row>
    <row r="192" spans="1:8" ht="15" customHeight="1">
      <c r="A192" s="680"/>
      <c r="B192" s="1200"/>
      <c r="C192" s="1120"/>
      <c r="D192" s="1120"/>
      <c r="E192" s="1015">
        <f t="shared" si="2"/>
        <v>0</v>
      </c>
      <c r="F192" s="1201"/>
      <c r="G192" s="90"/>
      <c r="H192" s="90"/>
    </row>
    <row r="193" spans="1:8" ht="15" customHeight="1">
      <c r="A193" s="680"/>
      <c r="B193" s="1200"/>
      <c r="C193" s="1120"/>
      <c r="D193" s="1120"/>
      <c r="E193" s="1015">
        <f t="shared" si="2"/>
        <v>0</v>
      </c>
      <c r="F193" s="1201"/>
      <c r="G193" s="90"/>
      <c r="H193" s="90"/>
    </row>
    <row r="194" spans="1:8" ht="15" customHeight="1">
      <c r="A194" s="680"/>
      <c r="B194" s="1200"/>
      <c r="C194" s="1120"/>
      <c r="D194" s="1120"/>
      <c r="E194" s="1015">
        <f t="shared" si="2"/>
        <v>0</v>
      </c>
      <c r="F194" s="1201"/>
      <c r="G194" s="90"/>
      <c r="H194" s="90"/>
    </row>
    <row r="195" spans="1:8" ht="15" customHeight="1">
      <c r="A195" s="680"/>
      <c r="B195" s="1200"/>
      <c r="C195" s="1120"/>
      <c r="D195" s="1120"/>
      <c r="E195" s="1015">
        <f t="shared" si="2"/>
        <v>0</v>
      </c>
      <c r="F195" s="1201"/>
      <c r="G195" s="90"/>
      <c r="H195" s="90"/>
    </row>
    <row r="196" spans="1:8" ht="15" customHeight="1">
      <c r="A196" s="680"/>
      <c r="B196" s="1200"/>
      <c r="C196" s="1120"/>
      <c r="D196" s="1120"/>
      <c r="E196" s="1015">
        <f t="shared" si="2"/>
        <v>0</v>
      </c>
      <c r="F196" s="1201"/>
      <c r="G196" s="90"/>
      <c r="H196" s="90"/>
    </row>
    <row r="197" spans="1:8" ht="15" customHeight="1">
      <c r="A197" s="680"/>
      <c r="B197" s="1200"/>
      <c r="C197" s="1120"/>
      <c r="D197" s="1120"/>
      <c r="E197" s="1015">
        <f t="shared" si="2"/>
        <v>0</v>
      </c>
      <c r="F197" s="1201"/>
      <c r="G197" s="90"/>
      <c r="H197" s="90"/>
    </row>
    <row r="198" spans="1:8" ht="15" customHeight="1">
      <c r="A198" s="680"/>
      <c r="B198" s="1200"/>
      <c r="C198" s="1120"/>
      <c r="D198" s="1120"/>
      <c r="E198" s="1015">
        <f t="shared" si="2"/>
        <v>0</v>
      </c>
      <c r="F198" s="1201"/>
      <c r="G198" s="90"/>
      <c r="H198" s="90"/>
    </row>
    <row r="199" spans="1:8" ht="15" customHeight="1">
      <c r="A199" s="680"/>
      <c r="B199" s="1200"/>
      <c r="C199" s="1120"/>
      <c r="D199" s="1120"/>
      <c r="E199" s="1015">
        <f t="shared" si="2"/>
        <v>0</v>
      </c>
      <c r="F199" s="1201"/>
      <c r="G199" s="90"/>
      <c r="H199" s="90"/>
    </row>
    <row r="200" spans="1:8" ht="15" customHeight="1">
      <c r="A200" s="680"/>
      <c r="B200" s="1200"/>
      <c r="C200" s="1120"/>
      <c r="D200" s="1120"/>
      <c r="E200" s="1015">
        <f t="shared" si="2"/>
        <v>0</v>
      </c>
      <c r="F200" s="1201"/>
      <c r="G200" s="90"/>
      <c r="H200" s="90"/>
    </row>
    <row r="201" spans="1:8" ht="15" customHeight="1">
      <c r="A201" s="680"/>
      <c r="B201" s="1200"/>
      <c r="C201" s="1120"/>
      <c r="D201" s="1120"/>
      <c r="E201" s="1015">
        <f t="shared" si="2"/>
        <v>0</v>
      </c>
      <c r="F201" s="1201"/>
      <c r="G201" s="90"/>
      <c r="H201" s="90"/>
    </row>
    <row r="202" spans="1:8" ht="15" customHeight="1">
      <c r="A202" s="680"/>
      <c r="B202" s="1200"/>
      <c r="C202" s="1120"/>
      <c r="D202" s="1120"/>
      <c r="E202" s="1015">
        <f t="shared" si="2"/>
        <v>0</v>
      </c>
      <c r="F202" s="1201"/>
      <c r="G202" s="90"/>
      <c r="H202" s="90"/>
    </row>
    <row r="203" spans="1:8" ht="15" customHeight="1">
      <c r="A203" s="680"/>
      <c r="B203" s="1200"/>
      <c r="C203" s="1120"/>
      <c r="D203" s="1120"/>
      <c r="E203" s="1015">
        <f t="shared" si="2"/>
        <v>0</v>
      </c>
      <c r="F203" s="1201"/>
      <c r="G203" s="90"/>
      <c r="H203" s="90"/>
    </row>
    <row r="204" spans="1:8" ht="15" customHeight="1">
      <c r="A204" s="680"/>
      <c r="B204" s="1200"/>
      <c r="C204" s="1120"/>
      <c r="D204" s="1120"/>
      <c r="E204" s="1015">
        <f t="shared" si="2"/>
        <v>0</v>
      </c>
      <c r="F204" s="1201"/>
      <c r="G204" s="90"/>
      <c r="H204" s="90"/>
    </row>
    <row r="205" spans="1:8" ht="15" customHeight="1">
      <c r="A205" s="680"/>
      <c r="B205" s="1200"/>
      <c r="C205" s="1120"/>
      <c r="D205" s="1120"/>
      <c r="E205" s="1015">
        <f t="shared" si="2"/>
        <v>0</v>
      </c>
      <c r="F205" s="1201"/>
      <c r="G205" s="90"/>
      <c r="H205" s="90"/>
    </row>
    <row r="206" spans="1:8" ht="15" customHeight="1">
      <c r="A206" s="680"/>
      <c r="B206" s="1200"/>
      <c r="C206" s="1120"/>
      <c r="D206" s="1120"/>
      <c r="E206" s="1015">
        <f t="shared" si="2"/>
        <v>0</v>
      </c>
      <c r="F206" s="1201"/>
      <c r="G206" s="90"/>
      <c r="H206" s="90"/>
    </row>
    <row r="207" spans="1:8" ht="15" customHeight="1">
      <c r="A207" s="680"/>
      <c r="B207" s="1200"/>
      <c r="C207" s="1120"/>
      <c r="D207" s="1120"/>
      <c r="E207" s="1015">
        <f t="shared" ref="E207:E270" si="3">C207-B207+D207</f>
        <v>0</v>
      </c>
      <c r="F207" s="1201"/>
      <c r="G207" s="90"/>
      <c r="H207" s="90"/>
    </row>
    <row r="208" spans="1:8" ht="15" customHeight="1">
      <c r="A208" s="680"/>
      <c r="B208" s="1200"/>
      <c r="C208" s="1120"/>
      <c r="D208" s="1120"/>
      <c r="E208" s="1015">
        <f t="shared" si="3"/>
        <v>0</v>
      </c>
      <c r="F208" s="1201"/>
      <c r="G208" s="90"/>
      <c r="H208" s="90"/>
    </row>
    <row r="209" spans="1:8" ht="15" customHeight="1">
      <c r="A209" s="680"/>
      <c r="B209" s="1200"/>
      <c r="C209" s="1120"/>
      <c r="D209" s="1120"/>
      <c r="E209" s="1015">
        <f t="shared" si="3"/>
        <v>0</v>
      </c>
      <c r="F209" s="1201"/>
      <c r="G209" s="90"/>
      <c r="H209" s="90"/>
    </row>
    <row r="210" spans="1:8" ht="15" customHeight="1">
      <c r="A210" s="680"/>
      <c r="B210" s="1200"/>
      <c r="C210" s="1120"/>
      <c r="D210" s="1120"/>
      <c r="E210" s="1015">
        <f t="shared" si="3"/>
        <v>0</v>
      </c>
      <c r="F210" s="1201"/>
      <c r="G210" s="90"/>
      <c r="H210" s="90"/>
    </row>
    <row r="211" spans="1:8" ht="15" customHeight="1">
      <c r="A211" s="680"/>
      <c r="B211" s="1200"/>
      <c r="C211" s="1120"/>
      <c r="D211" s="1120"/>
      <c r="E211" s="1015">
        <f t="shared" si="3"/>
        <v>0</v>
      </c>
      <c r="F211" s="1201"/>
      <c r="G211" s="90"/>
      <c r="H211" s="90"/>
    </row>
    <row r="212" spans="1:8" ht="15" customHeight="1">
      <c r="A212" s="680"/>
      <c r="B212" s="1200"/>
      <c r="C212" s="1120"/>
      <c r="D212" s="1120"/>
      <c r="E212" s="1015">
        <f t="shared" si="3"/>
        <v>0</v>
      </c>
      <c r="F212" s="1201"/>
      <c r="G212" s="90"/>
      <c r="H212" s="90"/>
    </row>
    <row r="213" spans="1:8" ht="15" customHeight="1">
      <c r="A213" s="680"/>
      <c r="B213" s="1200"/>
      <c r="C213" s="1120"/>
      <c r="D213" s="1120"/>
      <c r="E213" s="1015">
        <f t="shared" si="3"/>
        <v>0</v>
      </c>
      <c r="F213" s="1201"/>
      <c r="G213" s="90"/>
      <c r="H213" s="90"/>
    </row>
    <row r="214" spans="1:8" ht="15" customHeight="1">
      <c r="A214" s="680"/>
      <c r="B214" s="1200"/>
      <c r="C214" s="1120"/>
      <c r="D214" s="1120"/>
      <c r="E214" s="1015">
        <f t="shared" si="3"/>
        <v>0</v>
      </c>
      <c r="F214" s="1201"/>
      <c r="G214" s="90"/>
      <c r="H214" s="90"/>
    </row>
    <row r="215" spans="1:8" ht="15" customHeight="1">
      <c r="A215" s="680"/>
      <c r="B215" s="1200"/>
      <c r="C215" s="1120"/>
      <c r="D215" s="1120"/>
      <c r="E215" s="1015">
        <f t="shared" si="3"/>
        <v>0</v>
      </c>
      <c r="F215" s="1201"/>
      <c r="G215" s="90"/>
      <c r="H215" s="90"/>
    </row>
    <row r="216" spans="1:8" ht="15" customHeight="1">
      <c r="A216" s="680"/>
      <c r="B216" s="1200"/>
      <c r="C216" s="1120"/>
      <c r="D216" s="1120"/>
      <c r="E216" s="1015">
        <f t="shared" si="3"/>
        <v>0</v>
      </c>
      <c r="F216" s="1201"/>
      <c r="G216" s="90"/>
      <c r="H216" s="90"/>
    </row>
    <row r="217" spans="1:8" ht="15" customHeight="1">
      <c r="A217" s="680"/>
      <c r="B217" s="1200"/>
      <c r="C217" s="1120"/>
      <c r="D217" s="1120"/>
      <c r="E217" s="1015">
        <f t="shared" si="3"/>
        <v>0</v>
      </c>
      <c r="F217" s="1201"/>
      <c r="G217" s="90"/>
      <c r="H217" s="90"/>
    </row>
    <row r="218" spans="1:8" ht="15" customHeight="1">
      <c r="A218" s="680"/>
      <c r="B218" s="1200"/>
      <c r="C218" s="1120"/>
      <c r="D218" s="1120"/>
      <c r="E218" s="1015">
        <f t="shared" si="3"/>
        <v>0</v>
      </c>
      <c r="F218" s="1201"/>
      <c r="G218" s="90"/>
      <c r="H218" s="90"/>
    </row>
    <row r="219" spans="1:8" ht="15" customHeight="1">
      <c r="A219" s="680"/>
      <c r="B219" s="1200"/>
      <c r="C219" s="1120"/>
      <c r="D219" s="1120"/>
      <c r="E219" s="1015">
        <f t="shared" si="3"/>
        <v>0</v>
      </c>
      <c r="F219" s="1201"/>
      <c r="G219" s="90"/>
      <c r="H219" s="90"/>
    </row>
    <row r="220" spans="1:8" ht="15" customHeight="1">
      <c r="A220" s="680"/>
      <c r="B220" s="1200"/>
      <c r="C220" s="1120"/>
      <c r="D220" s="1120"/>
      <c r="E220" s="1015">
        <f t="shared" si="3"/>
        <v>0</v>
      </c>
      <c r="F220" s="1201"/>
      <c r="G220" s="90"/>
      <c r="H220" s="90"/>
    </row>
    <row r="221" spans="1:8" ht="15" customHeight="1">
      <c r="A221" s="680"/>
      <c r="B221" s="1200"/>
      <c r="C221" s="1120"/>
      <c r="D221" s="1120"/>
      <c r="E221" s="1015">
        <f t="shared" si="3"/>
        <v>0</v>
      </c>
      <c r="F221" s="1201"/>
      <c r="G221" s="90"/>
      <c r="H221" s="90"/>
    </row>
    <row r="222" spans="1:8" ht="15" customHeight="1">
      <c r="A222" s="680"/>
      <c r="B222" s="1200"/>
      <c r="C222" s="1120"/>
      <c r="D222" s="1120"/>
      <c r="E222" s="1015">
        <f t="shared" si="3"/>
        <v>0</v>
      </c>
      <c r="F222" s="1201"/>
      <c r="G222" s="90"/>
      <c r="H222" s="90"/>
    </row>
    <row r="223" spans="1:8" ht="15" customHeight="1">
      <c r="A223" s="680"/>
      <c r="B223" s="1200"/>
      <c r="C223" s="1120"/>
      <c r="D223" s="1120"/>
      <c r="E223" s="1015">
        <f t="shared" si="3"/>
        <v>0</v>
      </c>
      <c r="F223" s="1201"/>
      <c r="G223" s="90"/>
      <c r="H223" s="90"/>
    </row>
    <row r="224" spans="1:8" ht="15" customHeight="1">
      <c r="A224" s="680"/>
      <c r="B224" s="1200"/>
      <c r="C224" s="1120"/>
      <c r="D224" s="1120"/>
      <c r="E224" s="1015">
        <f t="shared" si="3"/>
        <v>0</v>
      </c>
      <c r="F224" s="1201"/>
      <c r="G224" s="90"/>
      <c r="H224" s="90"/>
    </row>
    <row r="225" spans="1:8" ht="15" customHeight="1">
      <c r="A225" s="680"/>
      <c r="B225" s="1200"/>
      <c r="C225" s="1120"/>
      <c r="D225" s="1120"/>
      <c r="E225" s="1015">
        <f t="shared" si="3"/>
        <v>0</v>
      </c>
      <c r="F225" s="1201"/>
      <c r="G225" s="90"/>
      <c r="H225" s="90"/>
    </row>
    <row r="226" spans="1:8" ht="15" customHeight="1">
      <c r="A226" s="680"/>
      <c r="B226" s="1200"/>
      <c r="C226" s="1120"/>
      <c r="D226" s="1120"/>
      <c r="E226" s="1015">
        <f t="shared" si="3"/>
        <v>0</v>
      </c>
      <c r="F226" s="1201"/>
      <c r="G226" s="90"/>
      <c r="H226" s="90"/>
    </row>
    <row r="227" spans="1:8" ht="15" customHeight="1">
      <c r="A227" s="680"/>
      <c r="B227" s="1200"/>
      <c r="C227" s="1120"/>
      <c r="D227" s="1120"/>
      <c r="E227" s="1015">
        <f t="shared" si="3"/>
        <v>0</v>
      </c>
      <c r="F227" s="1201"/>
      <c r="G227" s="90"/>
      <c r="H227" s="90"/>
    </row>
    <row r="228" spans="1:8" ht="15" customHeight="1">
      <c r="A228" s="680"/>
      <c r="B228" s="1200"/>
      <c r="C228" s="1120"/>
      <c r="D228" s="1120"/>
      <c r="E228" s="1015">
        <f t="shared" si="3"/>
        <v>0</v>
      </c>
      <c r="F228" s="1201"/>
      <c r="G228" s="90"/>
      <c r="H228" s="90"/>
    </row>
    <row r="229" spans="1:8" ht="15" customHeight="1">
      <c r="A229" s="680"/>
      <c r="B229" s="1200"/>
      <c r="C229" s="1120"/>
      <c r="D229" s="1120"/>
      <c r="E229" s="1015">
        <f t="shared" si="3"/>
        <v>0</v>
      </c>
      <c r="F229" s="1201"/>
      <c r="G229" s="90"/>
      <c r="H229" s="90"/>
    </row>
    <row r="230" spans="1:8" ht="15" customHeight="1">
      <c r="A230" s="680"/>
      <c r="B230" s="1200"/>
      <c r="C230" s="1120"/>
      <c r="D230" s="1120"/>
      <c r="E230" s="1015">
        <f t="shared" si="3"/>
        <v>0</v>
      </c>
      <c r="F230" s="1201"/>
      <c r="G230" s="90"/>
      <c r="H230" s="90"/>
    </row>
    <row r="231" spans="1:8" ht="15" customHeight="1">
      <c r="A231" s="680"/>
      <c r="B231" s="1200"/>
      <c r="C231" s="1120"/>
      <c r="D231" s="1120"/>
      <c r="E231" s="1015">
        <f t="shared" si="3"/>
        <v>0</v>
      </c>
      <c r="F231" s="1201"/>
      <c r="G231" s="90"/>
      <c r="H231" s="90"/>
    </row>
    <row r="232" spans="1:8" ht="15" customHeight="1">
      <c r="A232" s="680"/>
      <c r="B232" s="1200"/>
      <c r="C232" s="1120"/>
      <c r="D232" s="1120"/>
      <c r="E232" s="1015">
        <f t="shared" si="3"/>
        <v>0</v>
      </c>
      <c r="F232" s="1201"/>
      <c r="G232" s="90"/>
      <c r="H232" s="90"/>
    </row>
    <row r="233" spans="1:8" ht="15" customHeight="1">
      <c r="A233" s="680"/>
      <c r="B233" s="1200"/>
      <c r="C233" s="1120"/>
      <c r="D233" s="1120"/>
      <c r="E233" s="1015">
        <f t="shared" si="3"/>
        <v>0</v>
      </c>
      <c r="F233" s="1201"/>
      <c r="G233" s="90"/>
      <c r="H233" s="90"/>
    </row>
    <row r="234" spans="1:8" ht="15" customHeight="1">
      <c r="A234" s="680"/>
      <c r="B234" s="1200"/>
      <c r="C234" s="1120"/>
      <c r="D234" s="1120"/>
      <c r="E234" s="1015">
        <f t="shared" si="3"/>
        <v>0</v>
      </c>
      <c r="F234" s="1201"/>
      <c r="G234" s="90"/>
      <c r="H234" s="90"/>
    </row>
    <row r="235" spans="1:8" ht="15" customHeight="1">
      <c r="A235" s="680"/>
      <c r="B235" s="1200"/>
      <c r="C235" s="1120"/>
      <c r="D235" s="1120"/>
      <c r="E235" s="1015">
        <f t="shared" si="3"/>
        <v>0</v>
      </c>
      <c r="F235" s="1201"/>
      <c r="G235" s="90"/>
      <c r="H235" s="90"/>
    </row>
    <row r="236" spans="1:8" ht="15" customHeight="1">
      <c r="A236" s="680"/>
      <c r="B236" s="1200"/>
      <c r="C236" s="1120"/>
      <c r="D236" s="1120"/>
      <c r="E236" s="1015">
        <f t="shared" si="3"/>
        <v>0</v>
      </c>
      <c r="F236" s="1201"/>
      <c r="G236" s="90"/>
      <c r="H236" s="90"/>
    </row>
    <row r="237" spans="1:8" ht="15" customHeight="1">
      <c r="A237" s="680"/>
      <c r="B237" s="1200"/>
      <c r="C237" s="1120"/>
      <c r="D237" s="1120"/>
      <c r="E237" s="1015">
        <f t="shared" si="3"/>
        <v>0</v>
      </c>
      <c r="F237" s="1201"/>
      <c r="G237" s="90"/>
      <c r="H237" s="90"/>
    </row>
    <row r="238" spans="1:8" ht="15" customHeight="1">
      <c r="A238" s="680"/>
      <c r="B238" s="1200"/>
      <c r="C238" s="1120"/>
      <c r="D238" s="1120"/>
      <c r="E238" s="1015">
        <f t="shared" si="3"/>
        <v>0</v>
      </c>
      <c r="F238" s="1201"/>
      <c r="G238" s="90"/>
      <c r="H238" s="90"/>
    </row>
    <row r="239" spans="1:8" ht="15" customHeight="1">
      <c r="A239" s="680"/>
      <c r="B239" s="1200"/>
      <c r="C239" s="1120"/>
      <c r="D239" s="1120"/>
      <c r="E239" s="1015">
        <f t="shared" si="3"/>
        <v>0</v>
      </c>
      <c r="F239" s="1201"/>
      <c r="G239" s="90"/>
      <c r="H239" s="90"/>
    </row>
    <row r="240" spans="1:8" ht="15" customHeight="1">
      <c r="A240" s="680"/>
      <c r="B240" s="1200"/>
      <c r="C240" s="1120"/>
      <c r="D240" s="1120"/>
      <c r="E240" s="1015">
        <f t="shared" si="3"/>
        <v>0</v>
      </c>
      <c r="F240" s="1201"/>
      <c r="G240" s="90"/>
      <c r="H240" s="90"/>
    </row>
    <row r="241" spans="1:8" ht="15" customHeight="1">
      <c r="A241" s="680"/>
      <c r="B241" s="1200"/>
      <c r="C241" s="1120"/>
      <c r="D241" s="1120"/>
      <c r="E241" s="1015">
        <f t="shared" si="3"/>
        <v>0</v>
      </c>
      <c r="F241" s="1201"/>
      <c r="G241" s="90"/>
      <c r="H241" s="90"/>
    </row>
    <row r="242" spans="1:8" ht="15" customHeight="1">
      <c r="A242" s="680"/>
      <c r="B242" s="1200"/>
      <c r="C242" s="1120"/>
      <c r="D242" s="1120"/>
      <c r="E242" s="1015">
        <f t="shared" si="3"/>
        <v>0</v>
      </c>
      <c r="F242" s="1201"/>
      <c r="G242" s="90"/>
      <c r="H242" s="90"/>
    </row>
    <row r="243" spans="1:8" ht="15" customHeight="1">
      <c r="A243" s="680"/>
      <c r="B243" s="1200"/>
      <c r="C243" s="1120"/>
      <c r="D243" s="1120"/>
      <c r="E243" s="1015">
        <f t="shared" si="3"/>
        <v>0</v>
      </c>
      <c r="F243" s="1201"/>
      <c r="G243" s="90"/>
      <c r="H243" s="90"/>
    </row>
    <row r="244" spans="1:8" ht="15" customHeight="1">
      <c r="A244" s="680"/>
      <c r="B244" s="1200"/>
      <c r="C244" s="1120"/>
      <c r="D244" s="1120"/>
      <c r="E244" s="1015">
        <f t="shared" si="3"/>
        <v>0</v>
      </c>
      <c r="F244" s="1201"/>
      <c r="G244" s="90"/>
      <c r="H244" s="90"/>
    </row>
    <row r="245" spans="1:8" ht="15" customHeight="1">
      <c r="A245" s="680"/>
      <c r="B245" s="1200"/>
      <c r="C245" s="1120"/>
      <c r="D245" s="1120"/>
      <c r="E245" s="1015">
        <f t="shared" si="3"/>
        <v>0</v>
      </c>
      <c r="F245" s="1201"/>
      <c r="G245" s="90"/>
      <c r="H245" s="90"/>
    </row>
    <row r="246" spans="1:8" ht="15" customHeight="1">
      <c r="A246" s="680"/>
      <c r="B246" s="1200"/>
      <c r="C246" s="1120"/>
      <c r="D246" s="1120"/>
      <c r="E246" s="1015">
        <f t="shared" si="3"/>
        <v>0</v>
      </c>
      <c r="F246" s="1201"/>
      <c r="G246" s="90"/>
      <c r="H246" s="90"/>
    </row>
    <row r="247" spans="1:8" ht="15" customHeight="1">
      <c r="A247" s="680"/>
      <c r="B247" s="1200"/>
      <c r="C247" s="1120"/>
      <c r="D247" s="1120"/>
      <c r="E247" s="1015">
        <f t="shared" si="3"/>
        <v>0</v>
      </c>
      <c r="F247" s="1201"/>
      <c r="G247" s="90"/>
      <c r="H247" s="90"/>
    </row>
    <row r="248" spans="1:8" ht="15" customHeight="1">
      <c r="A248" s="680"/>
      <c r="B248" s="1200"/>
      <c r="C248" s="1120"/>
      <c r="D248" s="1120"/>
      <c r="E248" s="1015">
        <f t="shared" si="3"/>
        <v>0</v>
      </c>
      <c r="F248" s="1201"/>
      <c r="G248" s="90"/>
      <c r="H248" s="90"/>
    </row>
    <row r="249" spans="1:8" ht="15" customHeight="1">
      <c r="A249" s="680"/>
      <c r="B249" s="1200"/>
      <c r="C249" s="1120"/>
      <c r="D249" s="1120"/>
      <c r="E249" s="1015">
        <f t="shared" si="3"/>
        <v>0</v>
      </c>
      <c r="F249" s="1201"/>
      <c r="G249" s="90"/>
      <c r="H249" s="90"/>
    </row>
    <row r="250" spans="1:8" ht="15" customHeight="1">
      <c r="A250" s="680"/>
      <c r="B250" s="1200"/>
      <c r="C250" s="1120"/>
      <c r="D250" s="1120"/>
      <c r="E250" s="1015">
        <f t="shared" si="3"/>
        <v>0</v>
      </c>
      <c r="F250" s="1201"/>
      <c r="G250" s="90"/>
      <c r="H250" s="90"/>
    </row>
    <row r="251" spans="1:8" ht="15" customHeight="1">
      <c r="A251" s="680"/>
      <c r="B251" s="1200"/>
      <c r="C251" s="1120"/>
      <c r="D251" s="1120"/>
      <c r="E251" s="1015">
        <f t="shared" si="3"/>
        <v>0</v>
      </c>
      <c r="F251" s="1201"/>
      <c r="G251" s="90"/>
      <c r="H251" s="90"/>
    </row>
    <row r="252" spans="1:8" ht="15" customHeight="1">
      <c r="A252" s="680"/>
      <c r="B252" s="1200"/>
      <c r="C252" s="1120"/>
      <c r="D252" s="1120"/>
      <c r="E252" s="1015">
        <f t="shared" si="3"/>
        <v>0</v>
      </c>
      <c r="F252" s="1201"/>
      <c r="G252" s="90"/>
      <c r="H252" s="90"/>
    </row>
    <row r="253" spans="1:8" ht="15" customHeight="1">
      <c r="A253" s="680"/>
      <c r="B253" s="1200"/>
      <c r="C253" s="1120"/>
      <c r="D253" s="1120"/>
      <c r="E253" s="1015">
        <f t="shared" si="3"/>
        <v>0</v>
      </c>
      <c r="F253" s="1201"/>
      <c r="G253" s="90"/>
      <c r="H253" s="90"/>
    </row>
    <row r="254" spans="1:8" ht="15" customHeight="1">
      <c r="A254" s="680"/>
      <c r="B254" s="1200"/>
      <c r="C254" s="1120"/>
      <c r="D254" s="1120"/>
      <c r="E254" s="1015">
        <f t="shared" si="3"/>
        <v>0</v>
      </c>
      <c r="F254" s="1201"/>
      <c r="G254" s="90"/>
      <c r="H254" s="90"/>
    </row>
    <row r="255" spans="1:8" ht="15" customHeight="1">
      <c r="A255" s="680"/>
      <c r="B255" s="1200"/>
      <c r="C255" s="1120"/>
      <c r="D255" s="1120"/>
      <c r="E255" s="1015">
        <f t="shared" si="3"/>
        <v>0</v>
      </c>
      <c r="F255" s="1201"/>
      <c r="G255" s="90"/>
      <c r="H255" s="90"/>
    </row>
    <row r="256" spans="1:8" ht="15" customHeight="1">
      <c r="A256" s="680"/>
      <c r="B256" s="1200"/>
      <c r="C256" s="1120"/>
      <c r="D256" s="1120"/>
      <c r="E256" s="1015">
        <f t="shared" si="3"/>
        <v>0</v>
      </c>
      <c r="F256" s="1201"/>
      <c r="G256" s="90"/>
      <c r="H256" s="90"/>
    </row>
    <row r="257" spans="1:8" ht="15" customHeight="1">
      <c r="A257" s="680"/>
      <c r="B257" s="1200"/>
      <c r="C257" s="1120"/>
      <c r="D257" s="1120"/>
      <c r="E257" s="1015">
        <f t="shared" si="3"/>
        <v>0</v>
      </c>
      <c r="F257" s="1201"/>
      <c r="G257" s="90"/>
      <c r="H257" s="90"/>
    </row>
    <row r="258" spans="1:8" ht="15" customHeight="1">
      <c r="A258" s="680"/>
      <c r="B258" s="1200"/>
      <c r="C258" s="1120"/>
      <c r="D258" s="1120"/>
      <c r="E258" s="1015">
        <f t="shared" si="3"/>
        <v>0</v>
      </c>
      <c r="F258" s="1201"/>
      <c r="G258" s="90"/>
      <c r="H258" s="90"/>
    </row>
    <row r="259" spans="1:8" ht="15" customHeight="1">
      <c r="A259" s="680"/>
      <c r="B259" s="1200"/>
      <c r="C259" s="1120"/>
      <c r="D259" s="1120"/>
      <c r="E259" s="1015">
        <f t="shared" si="3"/>
        <v>0</v>
      </c>
      <c r="F259" s="1201"/>
      <c r="G259" s="90"/>
      <c r="H259" s="90"/>
    </row>
    <row r="260" spans="1:8" ht="15" customHeight="1">
      <c r="A260" s="680"/>
      <c r="B260" s="1200"/>
      <c r="C260" s="1120"/>
      <c r="D260" s="1120"/>
      <c r="E260" s="1015">
        <f t="shared" si="3"/>
        <v>0</v>
      </c>
      <c r="F260" s="1201"/>
      <c r="G260" s="90"/>
      <c r="H260" s="90"/>
    </row>
    <row r="261" spans="1:8" ht="15" customHeight="1">
      <c r="A261" s="680"/>
      <c r="B261" s="1200"/>
      <c r="C261" s="1120"/>
      <c r="D261" s="1120"/>
      <c r="E261" s="1015">
        <f t="shared" si="3"/>
        <v>0</v>
      </c>
      <c r="F261" s="1201"/>
      <c r="G261" s="90"/>
      <c r="H261" s="90"/>
    </row>
    <row r="262" spans="1:8" ht="15" customHeight="1">
      <c r="A262" s="680"/>
      <c r="B262" s="1200"/>
      <c r="C262" s="1120"/>
      <c r="D262" s="1120"/>
      <c r="E262" s="1015">
        <f t="shared" si="3"/>
        <v>0</v>
      </c>
      <c r="F262" s="1201"/>
      <c r="G262" s="90"/>
      <c r="H262" s="90"/>
    </row>
    <row r="263" spans="1:8" ht="15" customHeight="1">
      <c r="A263" s="680"/>
      <c r="B263" s="1200"/>
      <c r="C263" s="1120"/>
      <c r="D263" s="1120"/>
      <c r="E263" s="1015">
        <f t="shared" si="3"/>
        <v>0</v>
      </c>
      <c r="F263" s="1201"/>
      <c r="G263" s="90"/>
      <c r="H263" s="90"/>
    </row>
    <row r="264" spans="1:8" ht="15" customHeight="1">
      <c r="A264" s="680"/>
      <c r="B264" s="1200"/>
      <c r="C264" s="1120"/>
      <c r="D264" s="1120"/>
      <c r="E264" s="1015">
        <f t="shared" si="3"/>
        <v>0</v>
      </c>
      <c r="F264" s="1201"/>
      <c r="G264" s="90"/>
      <c r="H264" s="90"/>
    </row>
    <row r="265" spans="1:8" ht="15" customHeight="1">
      <c r="A265" s="680"/>
      <c r="B265" s="1200"/>
      <c r="C265" s="1120"/>
      <c r="D265" s="1120"/>
      <c r="E265" s="1015">
        <f t="shared" si="3"/>
        <v>0</v>
      </c>
      <c r="F265" s="1201"/>
      <c r="G265" s="90"/>
      <c r="H265" s="90"/>
    </row>
    <row r="266" spans="1:8" ht="15" customHeight="1">
      <c r="A266" s="680"/>
      <c r="B266" s="1200"/>
      <c r="C266" s="1120"/>
      <c r="D266" s="1120"/>
      <c r="E266" s="1015">
        <f t="shared" si="3"/>
        <v>0</v>
      </c>
      <c r="F266" s="1201"/>
      <c r="G266" s="90"/>
      <c r="H266" s="90"/>
    </row>
    <row r="267" spans="1:8" ht="15" customHeight="1">
      <c r="A267" s="680"/>
      <c r="B267" s="1200"/>
      <c r="C267" s="1120"/>
      <c r="D267" s="1120"/>
      <c r="E267" s="1015">
        <f t="shared" si="3"/>
        <v>0</v>
      </c>
      <c r="F267" s="1201"/>
      <c r="G267" s="90"/>
      <c r="H267" s="90"/>
    </row>
    <row r="268" spans="1:8" ht="15" customHeight="1">
      <c r="A268" s="680"/>
      <c r="B268" s="1200"/>
      <c r="C268" s="1120"/>
      <c r="D268" s="1120"/>
      <c r="E268" s="1015">
        <f t="shared" si="3"/>
        <v>0</v>
      </c>
      <c r="F268" s="1201"/>
      <c r="G268" s="90"/>
      <c r="H268" s="90"/>
    </row>
    <row r="269" spans="1:8" ht="15" customHeight="1">
      <c r="A269" s="680"/>
      <c r="B269" s="1200"/>
      <c r="C269" s="1120"/>
      <c r="D269" s="1120"/>
      <c r="E269" s="1015">
        <f t="shared" si="3"/>
        <v>0</v>
      </c>
      <c r="F269" s="1201"/>
      <c r="G269" s="90"/>
      <c r="H269" s="90"/>
    </row>
    <row r="270" spans="1:8" ht="15" customHeight="1">
      <c r="A270" s="680"/>
      <c r="B270" s="1200"/>
      <c r="C270" s="1120"/>
      <c r="D270" s="1120"/>
      <c r="E270" s="1015">
        <f t="shared" si="3"/>
        <v>0</v>
      </c>
      <c r="F270" s="1201"/>
      <c r="G270" s="90"/>
      <c r="H270" s="90"/>
    </row>
    <row r="271" spans="1:8" ht="15" customHeight="1">
      <c r="A271" s="680"/>
      <c r="B271" s="1200"/>
      <c r="C271" s="1120"/>
      <c r="D271" s="1120"/>
      <c r="E271" s="1015">
        <f t="shared" ref="E271:E302" si="4">C271-B271+D271</f>
        <v>0</v>
      </c>
      <c r="F271" s="1201"/>
      <c r="G271" s="90"/>
      <c r="H271" s="90"/>
    </row>
    <row r="272" spans="1:8" ht="15" customHeight="1">
      <c r="A272" s="680"/>
      <c r="B272" s="1200"/>
      <c r="C272" s="1120"/>
      <c r="D272" s="1120"/>
      <c r="E272" s="1015">
        <f t="shared" si="4"/>
        <v>0</v>
      </c>
      <c r="F272" s="1201"/>
      <c r="G272" s="90"/>
      <c r="H272" s="90"/>
    </row>
    <row r="273" spans="1:8" ht="15" customHeight="1">
      <c r="A273" s="680"/>
      <c r="B273" s="1200"/>
      <c r="C273" s="1120"/>
      <c r="D273" s="1120"/>
      <c r="E273" s="1015">
        <f t="shared" si="4"/>
        <v>0</v>
      </c>
      <c r="F273" s="1201"/>
      <c r="G273" s="90"/>
      <c r="H273" s="90"/>
    </row>
    <row r="274" spans="1:8" ht="15" customHeight="1">
      <c r="A274" s="680"/>
      <c r="B274" s="1200"/>
      <c r="C274" s="1120"/>
      <c r="D274" s="1120"/>
      <c r="E274" s="1015">
        <f t="shared" si="4"/>
        <v>0</v>
      </c>
      <c r="F274" s="1201"/>
      <c r="G274" s="90"/>
      <c r="H274" s="90"/>
    </row>
    <row r="275" spans="1:8" ht="15" customHeight="1">
      <c r="A275" s="680"/>
      <c r="B275" s="1200"/>
      <c r="C275" s="1120"/>
      <c r="D275" s="1120"/>
      <c r="E275" s="1015">
        <f t="shared" si="4"/>
        <v>0</v>
      </c>
      <c r="F275" s="1201"/>
      <c r="G275" s="90"/>
      <c r="H275" s="90"/>
    </row>
    <row r="276" spans="1:8" ht="15" customHeight="1">
      <c r="A276" s="680"/>
      <c r="B276" s="1200"/>
      <c r="C276" s="1120"/>
      <c r="D276" s="1120"/>
      <c r="E276" s="1015">
        <f t="shared" si="4"/>
        <v>0</v>
      </c>
      <c r="F276" s="1201"/>
      <c r="G276" s="90"/>
      <c r="H276" s="90"/>
    </row>
    <row r="277" spans="1:8" ht="15" customHeight="1">
      <c r="A277" s="680"/>
      <c r="B277" s="1200"/>
      <c r="C277" s="1120"/>
      <c r="D277" s="1120"/>
      <c r="E277" s="1015">
        <f t="shared" si="4"/>
        <v>0</v>
      </c>
      <c r="F277" s="1201"/>
      <c r="G277" s="90"/>
      <c r="H277" s="90"/>
    </row>
    <row r="278" spans="1:8" ht="15" customHeight="1">
      <c r="A278" s="680"/>
      <c r="B278" s="1200"/>
      <c r="C278" s="1120"/>
      <c r="D278" s="1120"/>
      <c r="E278" s="1015">
        <f t="shared" si="4"/>
        <v>0</v>
      </c>
      <c r="F278" s="1201"/>
      <c r="G278" s="90"/>
      <c r="H278" s="90"/>
    </row>
    <row r="279" spans="1:8" ht="15" customHeight="1">
      <c r="A279" s="680"/>
      <c r="B279" s="1200"/>
      <c r="C279" s="1120"/>
      <c r="D279" s="1120"/>
      <c r="E279" s="1015">
        <f t="shared" si="4"/>
        <v>0</v>
      </c>
      <c r="F279" s="1201"/>
      <c r="G279" s="90"/>
      <c r="H279" s="90"/>
    </row>
    <row r="280" spans="1:8" ht="15" customHeight="1">
      <c r="A280" s="680"/>
      <c r="B280" s="1200"/>
      <c r="C280" s="1120"/>
      <c r="D280" s="1120"/>
      <c r="E280" s="1015">
        <f t="shared" si="4"/>
        <v>0</v>
      </c>
      <c r="F280" s="1201"/>
      <c r="G280" s="90"/>
      <c r="H280" s="90"/>
    </row>
    <row r="281" spans="1:8" ht="15" customHeight="1">
      <c r="A281" s="680"/>
      <c r="B281" s="1200"/>
      <c r="C281" s="1120"/>
      <c r="D281" s="1120"/>
      <c r="E281" s="1015">
        <f t="shared" si="4"/>
        <v>0</v>
      </c>
      <c r="F281" s="1201"/>
      <c r="G281" s="90"/>
      <c r="H281" s="90"/>
    </row>
    <row r="282" spans="1:8" ht="15" customHeight="1">
      <c r="A282" s="680"/>
      <c r="B282" s="1200"/>
      <c r="C282" s="1120"/>
      <c r="D282" s="1120"/>
      <c r="E282" s="1015">
        <f t="shared" si="4"/>
        <v>0</v>
      </c>
      <c r="F282" s="1201"/>
      <c r="G282" s="90"/>
      <c r="H282" s="90"/>
    </row>
    <row r="283" spans="1:8" ht="15" customHeight="1">
      <c r="A283" s="680"/>
      <c r="B283" s="1200"/>
      <c r="C283" s="1120"/>
      <c r="D283" s="1120"/>
      <c r="E283" s="1015">
        <f t="shared" si="4"/>
        <v>0</v>
      </c>
      <c r="F283" s="1201"/>
      <c r="G283" s="90"/>
      <c r="H283" s="90"/>
    </row>
    <row r="284" spans="1:8" ht="15" customHeight="1">
      <c r="A284" s="680"/>
      <c r="B284" s="1200"/>
      <c r="C284" s="1120"/>
      <c r="D284" s="1120"/>
      <c r="E284" s="1015">
        <f t="shared" si="4"/>
        <v>0</v>
      </c>
      <c r="F284" s="1201"/>
      <c r="G284" s="90"/>
      <c r="H284" s="90"/>
    </row>
    <row r="285" spans="1:8" ht="15" customHeight="1">
      <c r="A285" s="680"/>
      <c r="B285" s="1200"/>
      <c r="C285" s="1120"/>
      <c r="D285" s="1120"/>
      <c r="E285" s="1015">
        <f t="shared" si="4"/>
        <v>0</v>
      </c>
      <c r="F285" s="1201"/>
      <c r="G285" s="90"/>
      <c r="H285" s="90"/>
    </row>
    <row r="286" spans="1:8" ht="15" customHeight="1">
      <c r="A286" s="680"/>
      <c r="B286" s="1200"/>
      <c r="C286" s="1120"/>
      <c r="D286" s="1120"/>
      <c r="E286" s="1015">
        <f t="shared" si="4"/>
        <v>0</v>
      </c>
      <c r="F286" s="1201"/>
      <c r="G286" s="90"/>
      <c r="H286" s="90"/>
    </row>
    <row r="287" spans="1:8" ht="15" customHeight="1">
      <c r="A287" s="680"/>
      <c r="B287" s="1200"/>
      <c r="C287" s="1120"/>
      <c r="D287" s="1120"/>
      <c r="E287" s="1015">
        <f t="shared" si="4"/>
        <v>0</v>
      </c>
      <c r="F287" s="1201"/>
      <c r="G287" s="90"/>
      <c r="H287" s="90"/>
    </row>
    <row r="288" spans="1:8" ht="15" customHeight="1">
      <c r="A288" s="680"/>
      <c r="B288" s="1200"/>
      <c r="C288" s="1120"/>
      <c r="D288" s="1120"/>
      <c r="E288" s="1015">
        <f t="shared" si="4"/>
        <v>0</v>
      </c>
      <c r="F288" s="1201"/>
      <c r="G288" s="90"/>
      <c r="H288" s="90"/>
    </row>
    <row r="289" spans="1:8" ht="15" customHeight="1">
      <c r="A289" s="680"/>
      <c r="B289" s="1200"/>
      <c r="C289" s="1120"/>
      <c r="D289" s="1120"/>
      <c r="E289" s="1015">
        <f t="shared" si="4"/>
        <v>0</v>
      </c>
      <c r="F289" s="1201"/>
      <c r="G289" s="90"/>
      <c r="H289" s="90"/>
    </row>
    <row r="290" spans="1:8" ht="15" customHeight="1">
      <c r="A290" s="680"/>
      <c r="B290" s="1200"/>
      <c r="C290" s="1120"/>
      <c r="D290" s="1120"/>
      <c r="E290" s="1015">
        <f t="shared" si="4"/>
        <v>0</v>
      </c>
      <c r="F290" s="1201"/>
      <c r="G290" s="90"/>
      <c r="H290" s="90"/>
    </row>
    <row r="291" spans="1:8" ht="15" customHeight="1">
      <c r="A291" s="680"/>
      <c r="B291" s="1200"/>
      <c r="C291" s="1120"/>
      <c r="D291" s="1120"/>
      <c r="E291" s="1015">
        <f t="shared" si="4"/>
        <v>0</v>
      </c>
      <c r="F291" s="1201"/>
      <c r="G291" s="90"/>
      <c r="H291" s="90"/>
    </row>
    <row r="292" spans="1:8" ht="15" customHeight="1">
      <c r="A292" s="680"/>
      <c r="B292" s="1200"/>
      <c r="C292" s="1120"/>
      <c r="D292" s="1120"/>
      <c r="E292" s="1015">
        <f t="shared" si="4"/>
        <v>0</v>
      </c>
      <c r="F292" s="1201"/>
      <c r="G292" s="90"/>
      <c r="H292" s="90"/>
    </row>
    <row r="293" spans="1:8" ht="15" customHeight="1">
      <c r="A293" s="680"/>
      <c r="B293" s="1200"/>
      <c r="C293" s="1120"/>
      <c r="D293" s="1120"/>
      <c r="E293" s="1015">
        <f t="shared" si="4"/>
        <v>0</v>
      </c>
      <c r="F293" s="1201"/>
      <c r="G293" s="90"/>
      <c r="H293" s="90"/>
    </row>
    <row r="294" spans="1:8" ht="15" customHeight="1">
      <c r="A294" s="680"/>
      <c r="B294" s="1200"/>
      <c r="C294" s="1120"/>
      <c r="D294" s="1120"/>
      <c r="E294" s="1015">
        <f t="shared" si="4"/>
        <v>0</v>
      </c>
      <c r="F294" s="1201"/>
      <c r="G294" s="90"/>
      <c r="H294" s="90"/>
    </row>
    <row r="295" spans="1:8" ht="15" customHeight="1">
      <c r="A295" s="680"/>
      <c r="B295" s="1200"/>
      <c r="C295" s="1120"/>
      <c r="D295" s="1120"/>
      <c r="E295" s="1015">
        <f t="shared" si="4"/>
        <v>0</v>
      </c>
      <c r="F295" s="1201"/>
      <c r="G295" s="90"/>
      <c r="H295" s="90"/>
    </row>
    <row r="296" spans="1:8" ht="15" customHeight="1">
      <c r="A296" s="680"/>
      <c r="B296" s="1200"/>
      <c r="C296" s="1120"/>
      <c r="D296" s="1120"/>
      <c r="E296" s="1015">
        <f t="shared" si="4"/>
        <v>0</v>
      </c>
      <c r="F296" s="1201"/>
      <c r="G296" s="90"/>
      <c r="H296" s="90"/>
    </row>
    <row r="297" spans="1:8" ht="15" customHeight="1">
      <c r="A297" s="680"/>
      <c r="B297" s="1200"/>
      <c r="C297" s="1120"/>
      <c r="D297" s="1120"/>
      <c r="E297" s="1015">
        <f t="shared" si="4"/>
        <v>0</v>
      </c>
      <c r="F297" s="1201"/>
      <c r="G297" s="90"/>
      <c r="H297" s="90"/>
    </row>
    <row r="298" spans="1:8" ht="15" customHeight="1">
      <c r="A298" s="680"/>
      <c r="B298" s="1200"/>
      <c r="C298" s="1120"/>
      <c r="D298" s="1120"/>
      <c r="E298" s="1015">
        <f t="shared" si="4"/>
        <v>0</v>
      </c>
      <c r="F298" s="1201"/>
      <c r="G298" s="90"/>
      <c r="H298" s="90"/>
    </row>
    <row r="299" spans="1:8" ht="15" customHeight="1">
      <c r="A299" s="680"/>
      <c r="B299" s="1200"/>
      <c r="C299" s="1120"/>
      <c r="D299" s="1120"/>
      <c r="E299" s="1015">
        <f t="shared" si="4"/>
        <v>0</v>
      </c>
      <c r="F299" s="1201"/>
      <c r="G299" s="90"/>
      <c r="H299" s="90"/>
    </row>
    <row r="300" spans="1:8" ht="15" customHeight="1">
      <c r="A300" s="680"/>
      <c r="B300" s="1200"/>
      <c r="C300" s="1120"/>
      <c r="D300" s="1120"/>
      <c r="E300" s="1015">
        <f t="shared" si="4"/>
        <v>0</v>
      </c>
      <c r="F300" s="1201"/>
      <c r="G300" s="90"/>
      <c r="H300" s="90"/>
    </row>
    <row r="301" spans="1:8" ht="15" customHeight="1">
      <c r="A301" s="680"/>
      <c r="B301" s="1200"/>
      <c r="C301" s="1120"/>
      <c r="D301" s="1120"/>
      <c r="E301" s="1015">
        <f t="shared" si="4"/>
        <v>0</v>
      </c>
      <c r="F301" s="1201"/>
      <c r="G301" s="90"/>
      <c r="H301" s="90"/>
    </row>
    <row r="302" spans="1:8" ht="15" customHeight="1">
      <c r="A302" s="682"/>
      <c r="B302" s="1202"/>
      <c r="C302" s="1125"/>
      <c r="D302" s="1125"/>
      <c r="E302" s="1020">
        <f t="shared" si="4"/>
        <v>0</v>
      </c>
      <c r="F302" s="1203"/>
      <c r="G302" s="90"/>
      <c r="H302" s="90"/>
    </row>
    <row r="303" spans="1:8" ht="15" customHeight="1">
      <c r="A303" s="1050"/>
      <c r="B303" s="1050"/>
      <c r="C303" s="1050"/>
      <c r="D303" s="1050"/>
      <c r="E303" s="1050"/>
      <c r="F303" s="1050"/>
    </row>
    <row r="304" spans="1:8" ht="15" customHeight="1">
      <c r="A304" s="1050"/>
      <c r="B304" s="1050"/>
      <c r="C304" s="1050"/>
      <c r="D304" s="1050"/>
      <c r="E304" s="1050"/>
      <c r="F304" s="1050"/>
    </row>
    <row r="305" spans="1:6" ht="15" customHeight="1">
      <c r="A305" s="1050"/>
      <c r="B305" s="1050"/>
      <c r="C305" s="1050"/>
      <c r="D305" s="1050"/>
      <c r="E305" s="1050"/>
      <c r="F305" s="1050"/>
    </row>
    <row r="306" spans="1:6" ht="15" customHeight="1">
      <c r="A306" s="1050"/>
      <c r="B306" s="1050"/>
      <c r="C306" s="1050"/>
      <c r="D306" s="1050"/>
      <c r="E306" s="1050"/>
      <c r="F306" s="1050"/>
    </row>
    <row r="307" spans="1:6" ht="15" customHeight="1">
      <c r="A307" s="1050"/>
      <c r="B307" s="1050"/>
      <c r="C307" s="1050"/>
      <c r="D307" s="1050"/>
      <c r="E307" s="1050"/>
      <c r="F307" s="1050"/>
    </row>
    <row r="308" spans="1:6" ht="15" customHeight="1">
      <c r="A308" s="1050"/>
      <c r="B308" s="1050"/>
      <c r="C308" s="1050"/>
      <c r="D308" s="1050"/>
      <c r="E308" s="1050"/>
      <c r="F308" s="1050"/>
    </row>
    <row r="309" spans="1:6" ht="15" customHeight="1">
      <c r="A309" s="1050"/>
      <c r="B309" s="1050"/>
      <c r="C309" s="1050"/>
      <c r="D309" s="1050"/>
      <c r="E309" s="1050"/>
      <c r="F309" s="1050"/>
    </row>
    <row r="310" spans="1:6" ht="15" customHeight="1">
      <c r="A310" s="1050"/>
      <c r="B310" s="1050"/>
      <c r="C310" s="1050"/>
      <c r="D310" s="1050"/>
      <c r="E310" s="1050"/>
      <c r="F310" s="1050"/>
    </row>
    <row r="311" spans="1:6" ht="15" customHeight="1">
      <c r="A311" s="1050"/>
      <c r="B311" s="1050"/>
      <c r="C311" s="1050"/>
      <c r="D311" s="1050"/>
      <c r="E311" s="1050"/>
      <c r="F311" s="1050"/>
    </row>
    <row r="312" spans="1:6" ht="15" customHeight="1">
      <c r="A312" s="1050"/>
      <c r="B312" s="1050"/>
      <c r="C312" s="1050"/>
      <c r="D312" s="1050"/>
      <c r="E312" s="1050"/>
      <c r="F312" s="1050"/>
    </row>
    <row r="313" spans="1:6" ht="15" customHeight="1">
      <c r="A313" s="1050"/>
      <c r="B313" s="1050"/>
      <c r="C313" s="1050"/>
      <c r="D313" s="1050"/>
      <c r="E313" s="1050"/>
      <c r="F313" s="1050"/>
    </row>
    <row r="314" spans="1:6" ht="15" customHeight="1">
      <c r="A314" s="1050"/>
      <c r="B314" s="1050"/>
      <c r="C314" s="1050"/>
      <c r="D314" s="1050"/>
      <c r="E314" s="1050"/>
      <c r="F314" s="1050"/>
    </row>
    <row r="315" spans="1:6" ht="15" customHeight="1">
      <c r="A315" s="1050"/>
      <c r="B315" s="1050"/>
      <c r="C315" s="1050"/>
      <c r="D315" s="1050"/>
      <c r="E315" s="1050"/>
      <c r="F315" s="1050"/>
    </row>
    <row r="316" spans="1:6" ht="15" customHeight="1">
      <c r="A316" s="1050"/>
      <c r="B316" s="1050"/>
      <c r="C316" s="1050"/>
      <c r="D316" s="1050"/>
      <c r="E316" s="1050"/>
      <c r="F316" s="1050"/>
    </row>
    <row r="317" spans="1:6" ht="15" customHeight="1">
      <c r="A317" s="1050"/>
      <c r="B317" s="1050"/>
      <c r="C317" s="1050"/>
      <c r="D317" s="1050"/>
      <c r="E317" s="1050"/>
      <c r="F317" s="1050"/>
    </row>
    <row r="318" spans="1:6" ht="15" customHeight="1">
      <c r="A318" s="1050"/>
      <c r="B318" s="1050"/>
      <c r="C318" s="1050"/>
      <c r="D318" s="1050"/>
      <c r="E318" s="1050"/>
      <c r="F318" s="1050"/>
    </row>
    <row r="319" spans="1:6" ht="15" customHeight="1">
      <c r="A319" s="1050"/>
      <c r="B319" s="1050"/>
      <c r="C319" s="1050"/>
      <c r="D319" s="1050"/>
      <c r="E319" s="1050"/>
      <c r="F319" s="1050"/>
    </row>
    <row r="320" spans="1:6" ht="15" customHeight="1">
      <c r="A320" s="1050"/>
      <c r="B320" s="1050"/>
      <c r="C320" s="1050"/>
      <c r="D320" s="1050"/>
      <c r="E320" s="1050"/>
      <c r="F320" s="1050"/>
    </row>
    <row r="321" spans="1:6" ht="15" customHeight="1">
      <c r="A321" s="1050"/>
      <c r="B321" s="1050"/>
      <c r="C321" s="1050"/>
      <c r="D321" s="1050"/>
      <c r="E321" s="1050"/>
      <c r="F321" s="1050"/>
    </row>
    <row r="322" spans="1:6" ht="15" customHeight="1">
      <c r="A322" s="1050"/>
      <c r="B322" s="1050"/>
      <c r="C322" s="1050"/>
      <c r="D322" s="1050"/>
      <c r="E322" s="1050"/>
      <c r="F322" s="1050"/>
    </row>
    <row r="323" spans="1:6" ht="15" customHeight="1">
      <c r="A323" s="1050"/>
      <c r="B323" s="1050"/>
      <c r="C323" s="1050"/>
      <c r="D323" s="1050"/>
      <c r="E323" s="1050"/>
      <c r="F323" s="1050"/>
    </row>
    <row r="324" spans="1:6" ht="15" customHeight="1">
      <c r="A324" s="1050"/>
      <c r="B324" s="1050"/>
      <c r="C324" s="1050"/>
      <c r="D324" s="1050"/>
      <c r="E324" s="1050"/>
      <c r="F324" s="1050"/>
    </row>
    <row r="325" spans="1:6" ht="15" customHeight="1">
      <c r="A325" s="1050"/>
      <c r="B325" s="1050"/>
      <c r="C325" s="1050"/>
      <c r="D325" s="1050"/>
      <c r="E325" s="1050"/>
      <c r="F325" s="1050"/>
    </row>
    <row r="326" spans="1:6" ht="15" customHeight="1">
      <c r="A326" s="1050"/>
      <c r="B326" s="1050"/>
      <c r="C326" s="1050"/>
      <c r="D326" s="1050"/>
      <c r="E326" s="1050"/>
      <c r="F326" s="1050"/>
    </row>
    <row r="327" spans="1:6" ht="15" customHeight="1">
      <c r="A327" s="1050"/>
      <c r="B327" s="1050"/>
      <c r="C327" s="1050"/>
      <c r="D327" s="1050"/>
      <c r="E327" s="1050"/>
      <c r="F327" s="1050"/>
    </row>
    <row r="328" spans="1:6" ht="15" customHeight="1">
      <c r="A328" s="1050"/>
      <c r="B328" s="1050"/>
      <c r="C328" s="1050"/>
      <c r="D328" s="1050"/>
      <c r="E328" s="1050"/>
      <c r="F328" s="1050"/>
    </row>
    <row r="329" spans="1:6" ht="15" customHeight="1">
      <c r="A329" s="1050"/>
      <c r="B329" s="1050"/>
      <c r="C329" s="1050"/>
      <c r="D329" s="1050"/>
      <c r="E329" s="1050"/>
      <c r="F329" s="1050"/>
    </row>
    <row r="330" spans="1:6" ht="15" customHeight="1">
      <c r="A330" s="1050"/>
      <c r="B330" s="1050"/>
      <c r="C330" s="1050"/>
      <c r="D330" s="1050"/>
      <c r="E330" s="1050"/>
      <c r="F330" s="1050"/>
    </row>
    <row r="331" spans="1:6" ht="15" customHeight="1">
      <c r="A331" s="744"/>
      <c r="B331" s="744"/>
      <c r="C331" s="744"/>
      <c r="D331" s="744"/>
      <c r="E331" s="744"/>
      <c r="F331" s="744"/>
    </row>
    <row r="332" spans="1:6" ht="15" customHeight="1">
      <c r="A332" s="744"/>
      <c r="B332" s="744"/>
      <c r="C332" s="744"/>
      <c r="D332" s="744"/>
      <c r="E332" s="744"/>
      <c r="F332" s="744"/>
    </row>
    <row r="333" spans="1:6" ht="15" customHeight="1">
      <c r="A333" s="744"/>
      <c r="B333" s="744"/>
      <c r="C333" s="744"/>
      <c r="D333" s="744"/>
      <c r="E333" s="744"/>
      <c r="F333" s="744"/>
    </row>
    <row r="334" spans="1:6" ht="15" customHeight="1">
      <c r="A334" s="744"/>
      <c r="B334" s="744"/>
      <c r="C334" s="744"/>
      <c r="D334" s="744"/>
      <c r="E334" s="744"/>
      <c r="F334" s="744"/>
    </row>
    <row r="335" spans="1:6" ht="15" customHeight="1">
      <c r="A335" s="744"/>
      <c r="B335" s="744"/>
      <c r="C335" s="744"/>
      <c r="D335" s="744"/>
      <c r="E335" s="744"/>
      <c r="F335" s="744"/>
    </row>
    <row r="336" spans="1:6" ht="15" customHeight="1">
      <c r="A336" s="744"/>
      <c r="B336" s="744"/>
      <c r="C336" s="744"/>
      <c r="D336" s="744"/>
      <c r="E336" s="744"/>
      <c r="F336" s="744"/>
    </row>
    <row r="337" spans="1:6" ht="15" customHeight="1">
      <c r="A337" s="744"/>
      <c r="B337" s="744"/>
      <c r="C337" s="744"/>
      <c r="D337" s="744"/>
      <c r="E337" s="744"/>
      <c r="F337" s="744"/>
    </row>
    <row r="338" spans="1:6" ht="15" customHeight="1">
      <c r="A338" s="744"/>
      <c r="B338" s="744"/>
      <c r="C338" s="744"/>
      <c r="D338" s="744"/>
      <c r="E338" s="744"/>
      <c r="F338" s="744"/>
    </row>
    <row r="339" spans="1:6" ht="15" customHeight="1">
      <c r="A339" s="744"/>
      <c r="B339" s="744"/>
      <c r="C339" s="744"/>
      <c r="D339" s="744"/>
      <c r="E339" s="744"/>
      <c r="F339" s="744"/>
    </row>
    <row r="340" spans="1:6" ht="15" customHeight="1">
      <c r="A340" s="744"/>
      <c r="B340" s="744"/>
      <c r="C340" s="744"/>
      <c r="D340" s="744"/>
      <c r="E340" s="744"/>
      <c r="F340" s="744"/>
    </row>
    <row r="341" spans="1:6" ht="15" customHeight="1">
      <c r="A341" s="744"/>
      <c r="B341" s="744"/>
      <c r="C341" s="744"/>
      <c r="D341" s="744"/>
      <c r="E341" s="744"/>
      <c r="F341" s="744"/>
    </row>
    <row r="342" spans="1:6" ht="15" customHeight="1">
      <c r="A342" s="744"/>
      <c r="B342" s="744"/>
      <c r="C342" s="744"/>
      <c r="D342" s="744"/>
      <c r="E342" s="744"/>
      <c r="F342" s="744"/>
    </row>
    <row r="343" spans="1:6" ht="15" customHeight="1">
      <c r="A343" s="744"/>
      <c r="B343" s="744"/>
      <c r="C343" s="744"/>
      <c r="D343" s="744"/>
      <c r="E343" s="744"/>
      <c r="F343" s="744"/>
    </row>
    <row r="344" spans="1:6" ht="15" customHeight="1">
      <c r="A344" s="744"/>
      <c r="B344" s="744"/>
      <c r="C344" s="744"/>
      <c r="D344" s="744"/>
      <c r="E344" s="744"/>
      <c r="F344" s="744"/>
    </row>
    <row r="345" spans="1:6" ht="15" customHeight="1">
      <c r="A345" s="744"/>
      <c r="B345" s="744"/>
      <c r="C345" s="744"/>
      <c r="D345" s="744"/>
      <c r="E345" s="744"/>
      <c r="F345" s="744"/>
    </row>
    <row r="346" spans="1:6" ht="15" customHeight="1">
      <c r="A346" s="744"/>
      <c r="B346" s="744"/>
      <c r="C346" s="744"/>
      <c r="D346" s="744"/>
      <c r="E346" s="744"/>
      <c r="F346" s="744"/>
    </row>
    <row r="347" spans="1:6" ht="15" customHeight="1">
      <c r="A347" s="744"/>
      <c r="B347" s="744"/>
      <c r="C347" s="744"/>
      <c r="D347" s="744"/>
      <c r="E347" s="744"/>
      <c r="F347" s="744"/>
    </row>
    <row r="348" spans="1:6" ht="15" customHeight="1">
      <c r="A348" s="744"/>
      <c r="B348" s="744"/>
      <c r="C348" s="744"/>
      <c r="D348" s="744"/>
      <c r="E348" s="744"/>
      <c r="F348" s="744"/>
    </row>
    <row r="349" spans="1:6" ht="15" customHeight="1">
      <c r="A349" s="744"/>
      <c r="B349" s="744"/>
      <c r="C349" s="744"/>
      <c r="D349" s="744"/>
      <c r="E349" s="744"/>
      <c r="F349" s="744"/>
    </row>
    <row r="350" spans="1:6" ht="15" customHeight="1">
      <c r="A350" s="744"/>
      <c r="B350" s="744"/>
      <c r="C350" s="744"/>
      <c r="D350" s="744"/>
      <c r="E350" s="744"/>
      <c r="F350" s="744"/>
    </row>
    <row r="351" spans="1:6" ht="15" customHeight="1">
      <c r="A351" s="744"/>
      <c r="B351" s="744"/>
      <c r="C351" s="744"/>
      <c r="D351" s="744"/>
      <c r="E351" s="744"/>
      <c r="F351" s="744"/>
    </row>
    <row r="352" spans="1:6" ht="15" customHeight="1">
      <c r="A352" s="744"/>
      <c r="B352" s="744"/>
      <c r="C352" s="744"/>
      <c r="D352" s="744"/>
      <c r="E352" s="744"/>
      <c r="F352" s="744"/>
    </row>
    <row r="353" spans="1:6" ht="15" customHeight="1">
      <c r="A353" s="744"/>
      <c r="B353" s="744"/>
      <c r="C353" s="744"/>
      <c r="D353" s="744"/>
      <c r="E353" s="744"/>
      <c r="F353" s="744"/>
    </row>
    <row r="354" spans="1:6" ht="15" customHeight="1">
      <c r="A354" s="744"/>
      <c r="B354" s="744"/>
      <c r="C354" s="744"/>
      <c r="D354" s="744"/>
      <c r="E354" s="744"/>
      <c r="F354" s="744"/>
    </row>
    <row r="355" spans="1:6" ht="15" customHeight="1"/>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sheetData>
  <sheetProtection selectLockedCells="1" selectUnlockedCells="1"/>
  <mergeCells count="12">
    <mergeCell ref="G13:H21"/>
    <mergeCell ref="A5:F5"/>
    <mergeCell ref="B6:F6"/>
    <mergeCell ref="A7:A8"/>
    <mergeCell ref="B7:D7"/>
    <mergeCell ref="E7:F7"/>
    <mergeCell ref="B8:F8"/>
    <mergeCell ref="A1:F1"/>
    <mergeCell ref="A2:B3"/>
    <mergeCell ref="F3:F4"/>
    <mergeCell ref="A4:B4"/>
    <mergeCell ref="B9:F9"/>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H400"/>
  <sheetViews>
    <sheetView workbookViewId="0">
      <selection sqref="A1:F1"/>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55.3984375" style="554" customWidth="1"/>
    <col min="8" max="16384" width="9" style="554"/>
  </cols>
  <sheetData>
    <row r="1" spans="1:8" ht="30" customHeight="1">
      <c r="A1" s="2729" t="s">
        <v>366</v>
      </c>
      <c r="B1" s="2729"/>
      <c r="C1" s="2729"/>
      <c r="D1" s="2729"/>
      <c r="E1" s="2729"/>
      <c r="F1" s="2729"/>
      <c r="G1" s="90"/>
    </row>
    <row r="2" spans="1:8" s="558" customFormat="1" ht="20.25" customHeight="1">
      <c r="A2" s="3223" t="str">
        <f>"委托单位："&amp;基本情况!B2</f>
        <v>委托单位：0</v>
      </c>
      <c r="B2" s="3223"/>
      <c r="C2" s="509"/>
      <c r="D2" s="136" t="s">
        <v>1282</v>
      </c>
      <c r="E2" s="136" t="s">
        <v>1053</v>
      </c>
      <c r="F2" s="485" t="s">
        <v>283</v>
      </c>
      <c r="G2" s="557"/>
    </row>
    <row r="3" spans="1:8" s="558" customFormat="1" ht="20.25" customHeight="1">
      <c r="A3" s="3223"/>
      <c r="B3" s="3223"/>
      <c r="C3" s="158" t="s">
        <v>450</v>
      </c>
      <c r="D3" s="510">
        <f>基本情况!B12</f>
        <v>0</v>
      </c>
      <c r="E3" s="559" t="str">
        <f>TEXT(基本情况!B21,"yyyy-mm-dd")</f>
        <v>2017-03-16</v>
      </c>
      <c r="F3" s="3138" t="str">
        <f>档案索引!D41</f>
        <v>4-8</v>
      </c>
      <c r="G3" s="557"/>
    </row>
    <row r="4" spans="1:8" s="558" customFormat="1" ht="20.25" customHeight="1">
      <c r="A4" s="3189" t="str">
        <f>"会计期间："&amp;基本情况!B7</f>
        <v>会计期间：2016年01月01日至2016年12月31日</v>
      </c>
      <c r="B4" s="3189"/>
      <c r="C4" s="140" t="s">
        <v>452</v>
      </c>
      <c r="D4" s="513">
        <f>基本情况!B11</f>
        <v>0</v>
      </c>
      <c r="E4" s="513" t="str">
        <f>TEXT(基本情况!B22,"yyyy-mm-dd")</f>
        <v>2017-05-04</v>
      </c>
      <c r="F4" s="3138"/>
      <c r="G4" s="557"/>
    </row>
    <row r="5" spans="1:8" s="565" customFormat="1" ht="7.5" customHeight="1">
      <c r="A5" s="2926"/>
      <c r="B5" s="2926"/>
      <c r="C5" s="2926"/>
      <c r="D5" s="2926"/>
      <c r="E5" s="2926"/>
      <c r="F5" s="2926"/>
      <c r="G5" s="543"/>
    </row>
    <row r="6" spans="1:8" s="649" customFormat="1" ht="20.25" customHeight="1">
      <c r="A6" s="532" t="s">
        <v>641</v>
      </c>
      <c r="B6" s="3270" t="str">
        <f>IF(基本情况!B29="否",IF(C12-B12&lt;&gt;资产负债!H8,"账载数与报表数相差"&amp;DOLLAR(C12-B12-资产负债!H8,2)&amp;"元！","账载数与报表数相符！"),IF(C11&lt;&gt;资产负债!H8,"账载数与报表数相差"&amp;DOLLAR(C11-资产负债!H8,2)&amp;"元！","账载数与报表数相符！"))</f>
        <v>账载数与报表数相符！</v>
      </c>
      <c r="C6" s="3270"/>
      <c r="D6" s="3270"/>
      <c r="E6" s="3270"/>
      <c r="F6" s="3270"/>
      <c r="G6" s="84" t="s">
        <v>395</v>
      </c>
      <c r="H6" s="607"/>
    </row>
    <row r="7" spans="1:8" s="649" customFormat="1" ht="15" customHeight="1">
      <c r="A7" s="3065" t="s">
        <v>1323</v>
      </c>
      <c r="B7" s="3148" t="s">
        <v>1407</v>
      </c>
      <c r="C7" s="3148"/>
      <c r="D7" s="3148"/>
      <c r="E7" s="3102" t="str">
        <f>IF(OR(D11&lt;&gt;0,D12&lt;&gt;0),"、E","")</f>
        <v/>
      </c>
      <c r="F7" s="3102"/>
      <c r="G7" s="648"/>
      <c r="H7" s="607"/>
    </row>
    <row r="8" spans="1:8" s="649" customFormat="1" ht="61.5" customHeight="1">
      <c r="A8" s="3065"/>
      <c r="B8" s="3673"/>
      <c r="C8" s="3673"/>
      <c r="D8" s="3673"/>
      <c r="E8" s="3673"/>
      <c r="F8" s="3673"/>
      <c r="G8" s="606"/>
      <c r="H8" s="607"/>
    </row>
    <row r="9" spans="1:8" s="649" customFormat="1" ht="20.25" customHeight="1">
      <c r="A9" s="528" t="s">
        <v>574</v>
      </c>
      <c r="B9" s="3141" t="str">
        <f>IF(OR(D12&lt;&gt;0,D11&lt;&gt;0),"调整后认可！","不存在调整事项,认可！")</f>
        <v>不存在调整事项,认可！</v>
      </c>
      <c r="C9" s="3141"/>
      <c r="D9" s="3141"/>
      <c r="E9" s="3141"/>
      <c r="F9" s="3141"/>
      <c r="G9" s="493" t="s">
        <v>1288</v>
      </c>
      <c r="H9" s="607"/>
    </row>
    <row r="10" spans="1:8" s="649" customFormat="1" ht="20.25" customHeight="1">
      <c r="A10" s="135" t="s">
        <v>665</v>
      </c>
      <c r="B10" s="1011" t="s">
        <v>1409</v>
      </c>
      <c r="C10" s="136" t="s">
        <v>1410</v>
      </c>
      <c r="D10" s="136" t="s">
        <v>980</v>
      </c>
      <c r="E10" s="136" t="s">
        <v>502</v>
      </c>
      <c r="F10" s="485" t="s">
        <v>1411</v>
      </c>
      <c r="G10" s="493" t="s">
        <v>642</v>
      </c>
    </row>
    <row r="11" spans="1:8" s="649" customFormat="1" ht="20.25" customHeight="1">
      <c r="A11" s="1013" t="s">
        <v>839</v>
      </c>
      <c r="B11" s="1014">
        <f>IF(基本情况!B29="否",0,B12+应收!B14)</f>
        <v>0</v>
      </c>
      <c r="C11" s="1014">
        <f>IF(基本情况!B29="否",0,C12+应收!C14)</f>
        <v>0</v>
      </c>
      <c r="D11" s="1204"/>
      <c r="E11" s="527">
        <f>C11+D11</f>
        <v>0</v>
      </c>
      <c r="F11" s="1023">
        <f>IF(基本情况!B29="否",0,F12+应收!F14)</f>
        <v>0</v>
      </c>
      <c r="G11" s="493"/>
    </row>
    <row r="12" spans="1:8" s="649" customFormat="1" ht="20.25" customHeight="1">
      <c r="A12" s="528" t="s">
        <v>1413</v>
      </c>
      <c r="B12" s="1017">
        <f>SUM(B13:B3002)</f>
        <v>0</v>
      </c>
      <c r="C12" s="1017">
        <f>SUM(C13:C3002)</f>
        <v>0</v>
      </c>
      <c r="D12" s="823">
        <f>SUM(D13:D302)</f>
        <v>0</v>
      </c>
      <c r="E12" s="823">
        <f>SUM(E13:E302)</f>
        <v>0</v>
      </c>
      <c r="F12" s="596">
        <f>SUM(F13:F302)</f>
        <v>0</v>
      </c>
      <c r="G12" s="648"/>
    </row>
    <row r="13" spans="1:8" s="558" customFormat="1" ht="15" customHeight="1">
      <c r="A13" s="1018"/>
      <c r="B13" s="1198"/>
      <c r="C13" s="1161"/>
      <c r="D13" s="1161"/>
      <c r="E13" s="1019">
        <f>C13-B13+D13</f>
        <v>0</v>
      </c>
      <c r="F13" s="1199"/>
      <c r="G13" s="3107" t="s">
        <v>841</v>
      </c>
    </row>
    <row r="14" spans="1:8" s="558" customFormat="1" ht="15" customHeight="1">
      <c r="A14" s="680"/>
      <c r="B14" s="1200"/>
      <c r="C14" s="1120"/>
      <c r="D14" s="1120"/>
      <c r="E14" s="1015">
        <f>C14-B14+D14</f>
        <v>0</v>
      </c>
      <c r="F14" s="1201"/>
      <c r="G14" s="3107"/>
    </row>
    <row r="15" spans="1:8" s="558" customFormat="1" ht="15" customHeight="1">
      <c r="A15" s="680"/>
      <c r="B15" s="1200"/>
      <c r="C15" s="1120"/>
      <c r="D15" s="1120"/>
      <c r="E15" s="1015">
        <f t="shared" ref="E15:E78" si="0">C15-B15+D15</f>
        <v>0</v>
      </c>
      <c r="F15" s="1201"/>
      <c r="G15" s="3107"/>
    </row>
    <row r="16" spans="1:8" s="558" customFormat="1" ht="15" customHeight="1">
      <c r="A16" s="680"/>
      <c r="B16" s="1200"/>
      <c r="C16" s="1120"/>
      <c r="D16" s="1120"/>
      <c r="E16" s="1015">
        <f t="shared" si="0"/>
        <v>0</v>
      </c>
      <c r="F16" s="1201"/>
      <c r="G16" s="3107"/>
    </row>
    <row r="17" spans="1:7" s="558" customFormat="1" ht="15" customHeight="1">
      <c r="A17" s="680"/>
      <c r="B17" s="1200"/>
      <c r="C17" s="1120"/>
      <c r="D17" s="1120"/>
      <c r="E17" s="1015">
        <f t="shared" si="0"/>
        <v>0</v>
      </c>
      <c r="F17" s="1201"/>
      <c r="G17" s="3107"/>
    </row>
    <row r="18" spans="1:7" s="558" customFormat="1" ht="15" customHeight="1">
      <c r="A18" s="680"/>
      <c r="B18" s="1200"/>
      <c r="C18" s="1120"/>
      <c r="D18" s="1120"/>
      <c r="E18" s="1015">
        <f t="shared" si="0"/>
        <v>0</v>
      </c>
      <c r="F18" s="1201"/>
      <c r="G18" s="3107"/>
    </row>
    <row r="19" spans="1:7" s="558" customFormat="1" ht="15" customHeight="1">
      <c r="A19" s="680"/>
      <c r="B19" s="1200"/>
      <c r="C19" s="1120"/>
      <c r="D19" s="1120"/>
      <c r="E19" s="1015">
        <f t="shared" si="0"/>
        <v>0</v>
      </c>
      <c r="F19" s="1201"/>
      <c r="G19" s="3107"/>
    </row>
    <row r="20" spans="1:7" s="558" customFormat="1" ht="15" customHeight="1">
      <c r="A20" s="680"/>
      <c r="B20" s="1200"/>
      <c r="C20" s="1120"/>
      <c r="D20" s="1120"/>
      <c r="E20" s="1015">
        <f t="shared" si="0"/>
        <v>0</v>
      </c>
      <c r="F20" s="1201"/>
      <c r="G20" s="3107"/>
    </row>
    <row r="21" spans="1:7" s="558" customFormat="1" ht="15" customHeight="1">
      <c r="A21" s="680"/>
      <c r="B21" s="1200"/>
      <c r="C21" s="1120"/>
      <c r="D21" s="1120"/>
      <c r="E21" s="1015">
        <f t="shared" si="0"/>
        <v>0</v>
      </c>
      <c r="F21" s="1201"/>
      <c r="G21" s="3107"/>
    </row>
    <row r="22" spans="1:7" s="558" customFormat="1" ht="15" customHeight="1">
      <c r="A22" s="680"/>
      <c r="B22" s="1200"/>
      <c r="C22" s="1120"/>
      <c r="D22" s="1120"/>
      <c r="E22" s="1015">
        <f t="shared" si="0"/>
        <v>0</v>
      </c>
      <c r="F22" s="1201"/>
      <c r="G22" s="1051"/>
    </row>
    <row r="23" spans="1:7" s="558" customFormat="1" ht="15" customHeight="1">
      <c r="A23" s="680"/>
      <c r="B23" s="1200"/>
      <c r="C23" s="1120"/>
      <c r="D23" s="1120"/>
      <c r="E23" s="1015">
        <f t="shared" si="0"/>
        <v>0</v>
      </c>
      <c r="F23" s="1201"/>
      <c r="G23" s="557"/>
    </row>
    <row r="24" spans="1:7" s="558" customFormat="1" ht="15" customHeight="1">
      <c r="A24" s="680"/>
      <c r="B24" s="1200"/>
      <c r="C24" s="1120"/>
      <c r="D24" s="1120"/>
      <c r="E24" s="1015">
        <f t="shared" si="0"/>
        <v>0</v>
      </c>
      <c r="F24" s="1201"/>
      <c r="G24" s="557"/>
    </row>
    <row r="25" spans="1:7" s="558" customFormat="1" ht="15" customHeight="1">
      <c r="A25" s="680"/>
      <c r="B25" s="1200"/>
      <c r="C25" s="1120"/>
      <c r="D25" s="1120"/>
      <c r="E25" s="1015">
        <f t="shared" si="0"/>
        <v>0</v>
      </c>
      <c r="F25" s="1201"/>
      <c r="G25" s="557"/>
    </row>
    <row r="26" spans="1:7" s="558" customFormat="1" ht="15" customHeight="1">
      <c r="A26" s="680"/>
      <c r="B26" s="1200"/>
      <c r="C26" s="1120"/>
      <c r="D26" s="1120"/>
      <c r="E26" s="1015">
        <f t="shared" si="0"/>
        <v>0</v>
      </c>
      <c r="F26" s="1201"/>
      <c r="G26" s="557"/>
    </row>
    <row r="27" spans="1:7" s="558" customFormat="1" ht="15" customHeight="1">
      <c r="A27" s="680"/>
      <c r="B27" s="1200"/>
      <c r="C27" s="1120"/>
      <c r="D27" s="1120"/>
      <c r="E27" s="1015">
        <f t="shared" si="0"/>
        <v>0</v>
      </c>
      <c r="F27" s="1201"/>
      <c r="G27" s="557"/>
    </row>
    <row r="28" spans="1:7" s="558" customFormat="1" ht="15" customHeight="1">
      <c r="A28" s="680"/>
      <c r="B28" s="1200"/>
      <c r="C28" s="1120"/>
      <c r="D28" s="1120"/>
      <c r="E28" s="1015">
        <f t="shared" si="0"/>
        <v>0</v>
      </c>
      <c r="F28" s="1201"/>
      <c r="G28" s="557"/>
    </row>
    <row r="29" spans="1:7" s="558" customFormat="1" ht="15" customHeight="1">
      <c r="A29" s="680"/>
      <c r="B29" s="1200"/>
      <c r="C29" s="1120"/>
      <c r="D29" s="1120"/>
      <c r="E29" s="1015">
        <f t="shared" si="0"/>
        <v>0</v>
      </c>
      <c r="F29" s="1201"/>
      <c r="G29" s="557"/>
    </row>
    <row r="30" spans="1:7" s="558" customFormat="1" ht="15" customHeight="1">
      <c r="A30" s="680"/>
      <c r="B30" s="1200"/>
      <c r="C30" s="1120"/>
      <c r="D30" s="1120"/>
      <c r="E30" s="1015">
        <f t="shared" si="0"/>
        <v>0</v>
      </c>
      <c r="F30" s="1201"/>
      <c r="G30" s="557"/>
    </row>
    <row r="31" spans="1:7" s="558" customFormat="1" ht="15" customHeight="1">
      <c r="A31" s="680"/>
      <c r="B31" s="1200"/>
      <c r="C31" s="1120"/>
      <c r="D31" s="1120"/>
      <c r="E31" s="1015">
        <f t="shared" si="0"/>
        <v>0</v>
      </c>
      <c r="F31" s="1201"/>
      <c r="G31" s="557"/>
    </row>
    <row r="32" spans="1:7" s="558" customFormat="1" ht="15" customHeight="1">
      <c r="A32" s="680"/>
      <c r="B32" s="1200"/>
      <c r="C32" s="1120"/>
      <c r="D32" s="1120"/>
      <c r="E32" s="1015">
        <f t="shared" si="0"/>
        <v>0</v>
      </c>
      <c r="F32" s="1201"/>
      <c r="G32" s="557"/>
    </row>
    <row r="33" spans="1:7" s="558" customFormat="1" ht="15" customHeight="1">
      <c r="A33" s="680"/>
      <c r="B33" s="1200"/>
      <c r="C33" s="1120"/>
      <c r="D33" s="1120"/>
      <c r="E33" s="1015">
        <f t="shared" si="0"/>
        <v>0</v>
      </c>
      <c r="F33" s="1201"/>
      <c r="G33" s="557"/>
    </row>
    <row r="34" spans="1:7" s="558" customFormat="1" ht="15" customHeight="1">
      <c r="A34" s="680"/>
      <c r="B34" s="1200"/>
      <c r="C34" s="1120"/>
      <c r="D34" s="1120"/>
      <c r="E34" s="1015">
        <f t="shared" si="0"/>
        <v>0</v>
      </c>
      <c r="F34" s="1201"/>
      <c r="G34" s="557"/>
    </row>
    <row r="35" spans="1:7" s="558" customFormat="1" ht="15" customHeight="1">
      <c r="A35" s="680"/>
      <c r="B35" s="1200"/>
      <c r="C35" s="1120"/>
      <c r="D35" s="1120"/>
      <c r="E35" s="1015">
        <f t="shared" si="0"/>
        <v>0</v>
      </c>
      <c r="F35" s="1201"/>
      <c r="G35" s="557"/>
    </row>
    <row r="36" spans="1:7" s="558" customFormat="1" ht="15" customHeight="1">
      <c r="A36" s="680"/>
      <c r="B36" s="1200"/>
      <c r="C36" s="1120"/>
      <c r="D36" s="1120"/>
      <c r="E36" s="1015">
        <f t="shared" si="0"/>
        <v>0</v>
      </c>
      <c r="F36" s="1201"/>
      <c r="G36" s="557"/>
    </row>
    <row r="37" spans="1:7" s="558" customFormat="1" ht="15" customHeight="1">
      <c r="A37" s="680"/>
      <c r="B37" s="1200"/>
      <c r="C37" s="1120"/>
      <c r="D37" s="1120"/>
      <c r="E37" s="1015">
        <f t="shared" si="0"/>
        <v>0</v>
      </c>
      <c r="F37" s="1201"/>
      <c r="G37" s="557"/>
    </row>
    <row r="38" spans="1:7" s="558" customFormat="1" ht="15" customHeight="1">
      <c r="A38" s="680"/>
      <c r="B38" s="1200"/>
      <c r="C38" s="1120"/>
      <c r="D38" s="1120"/>
      <c r="E38" s="1015">
        <f t="shared" si="0"/>
        <v>0</v>
      </c>
      <c r="F38" s="1201"/>
      <c r="G38" s="557"/>
    </row>
    <row r="39" spans="1:7" s="558" customFormat="1" ht="15" customHeight="1">
      <c r="A39" s="680"/>
      <c r="B39" s="1200"/>
      <c r="C39" s="1120"/>
      <c r="D39" s="1120"/>
      <c r="E39" s="1015">
        <f t="shared" si="0"/>
        <v>0</v>
      </c>
      <c r="F39" s="1201"/>
      <c r="G39" s="557"/>
    </row>
    <row r="40" spans="1:7" s="558" customFormat="1" ht="15" customHeight="1">
      <c r="A40" s="680"/>
      <c r="B40" s="1200"/>
      <c r="C40" s="1120"/>
      <c r="D40" s="1120"/>
      <c r="E40" s="1015">
        <f t="shared" si="0"/>
        <v>0</v>
      </c>
      <c r="F40" s="1201"/>
      <c r="G40" s="557"/>
    </row>
    <row r="41" spans="1:7" s="558" customFormat="1" ht="15" customHeight="1">
      <c r="A41" s="680"/>
      <c r="B41" s="1200"/>
      <c r="C41" s="1120"/>
      <c r="D41" s="1120"/>
      <c r="E41" s="1015">
        <f t="shared" si="0"/>
        <v>0</v>
      </c>
      <c r="F41" s="1201"/>
      <c r="G41" s="557"/>
    </row>
    <row r="42" spans="1:7" s="558" customFormat="1" ht="15" customHeight="1">
      <c r="A42" s="680"/>
      <c r="B42" s="1200"/>
      <c r="C42" s="1120"/>
      <c r="D42" s="1120"/>
      <c r="E42" s="1015">
        <f t="shared" si="0"/>
        <v>0</v>
      </c>
      <c r="F42" s="1201"/>
      <c r="G42" s="557"/>
    </row>
    <row r="43" spans="1:7" s="558" customFormat="1" ht="15" customHeight="1">
      <c r="A43" s="680"/>
      <c r="B43" s="1200"/>
      <c r="C43" s="1120"/>
      <c r="D43" s="1120"/>
      <c r="E43" s="1015">
        <f t="shared" si="0"/>
        <v>0</v>
      </c>
      <c r="F43" s="1201"/>
      <c r="G43" s="557"/>
    </row>
    <row r="44" spans="1:7" s="558" customFormat="1" ht="15" customHeight="1">
      <c r="A44" s="680"/>
      <c r="B44" s="1200"/>
      <c r="C44" s="1120"/>
      <c r="D44" s="1120"/>
      <c r="E44" s="1015">
        <f t="shared" si="0"/>
        <v>0</v>
      </c>
      <c r="F44" s="1201"/>
      <c r="G44" s="557"/>
    </row>
    <row r="45" spans="1:7" s="558" customFormat="1" ht="15" customHeight="1">
      <c r="A45" s="680"/>
      <c r="B45" s="1200"/>
      <c r="C45" s="1120"/>
      <c r="D45" s="1120"/>
      <c r="E45" s="1015">
        <f t="shared" si="0"/>
        <v>0</v>
      </c>
      <c r="F45" s="1201"/>
      <c r="G45" s="557"/>
    </row>
    <row r="46" spans="1:7" s="558" customFormat="1" ht="15" customHeight="1">
      <c r="A46" s="680"/>
      <c r="B46" s="1200"/>
      <c r="C46" s="1120"/>
      <c r="D46" s="1120"/>
      <c r="E46" s="1015">
        <f t="shared" si="0"/>
        <v>0</v>
      </c>
      <c r="F46" s="1201"/>
      <c r="G46" s="557"/>
    </row>
    <row r="47" spans="1:7" s="558" customFormat="1" ht="15" customHeight="1">
      <c r="A47" s="680"/>
      <c r="B47" s="1200"/>
      <c r="C47" s="1120"/>
      <c r="D47" s="1120"/>
      <c r="E47" s="1015">
        <f t="shared" si="0"/>
        <v>0</v>
      </c>
      <c r="F47" s="1201"/>
      <c r="G47" s="557"/>
    </row>
    <row r="48" spans="1:7" s="502" customFormat="1" ht="15" customHeight="1">
      <c r="A48" s="680"/>
      <c r="B48" s="1200"/>
      <c r="C48" s="1120"/>
      <c r="D48" s="1120"/>
      <c r="E48" s="1015">
        <f t="shared" si="0"/>
        <v>0</v>
      </c>
      <c r="F48" s="1201"/>
      <c r="G48" s="144"/>
    </row>
    <row r="49" spans="1:7" s="502" customFormat="1" ht="15" customHeight="1">
      <c r="A49" s="680"/>
      <c r="B49" s="1200"/>
      <c r="C49" s="1120"/>
      <c r="D49" s="1120"/>
      <c r="E49" s="1015">
        <f t="shared" si="0"/>
        <v>0</v>
      </c>
      <c r="F49" s="1201"/>
      <c r="G49" s="144"/>
    </row>
    <row r="50" spans="1:7" s="502" customFormat="1" ht="15" customHeight="1">
      <c r="A50" s="680"/>
      <c r="B50" s="1200"/>
      <c r="C50" s="1120"/>
      <c r="D50" s="1120"/>
      <c r="E50" s="1015">
        <f t="shared" si="0"/>
        <v>0</v>
      </c>
      <c r="F50" s="1201"/>
      <c r="G50" s="144"/>
    </row>
    <row r="51" spans="1:7" s="502" customFormat="1" ht="15" customHeight="1">
      <c r="A51" s="680"/>
      <c r="B51" s="1200"/>
      <c r="C51" s="1120"/>
      <c r="D51" s="1120"/>
      <c r="E51" s="1015">
        <f t="shared" si="0"/>
        <v>0</v>
      </c>
      <c r="F51" s="1201"/>
      <c r="G51" s="144"/>
    </row>
    <row r="52" spans="1:7" s="502" customFormat="1" ht="15" customHeight="1">
      <c r="A52" s="680"/>
      <c r="B52" s="1200"/>
      <c r="C52" s="1120"/>
      <c r="D52" s="1120"/>
      <c r="E52" s="1015">
        <f t="shared" si="0"/>
        <v>0</v>
      </c>
      <c r="F52" s="1201"/>
      <c r="G52" s="144"/>
    </row>
    <row r="53" spans="1:7" ht="15" customHeight="1">
      <c r="A53" s="680"/>
      <c r="B53" s="1200"/>
      <c r="C53" s="1120"/>
      <c r="D53" s="1120"/>
      <c r="E53" s="1015">
        <f t="shared" si="0"/>
        <v>0</v>
      </c>
      <c r="F53" s="1201"/>
      <c r="G53" s="90"/>
    </row>
    <row r="54" spans="1:7" ht="15" customHeight="1">
      <c r="A54" s="680"/>
      <c r="B54" s="1200"/>
      <c r="C54" s="1120"/>
      <c r="D54" s="1120"/>
      <c r="E54" s="1015">
        <f t="shared" si="0"/>
        <v>0</v>
      </c>
      <c r="F54" s="1201"/>
      <c r="G54" s="90"/>
    </row>
    <row r="55" spans="1:7" ht="15" customHeight="1">
      <c r="A55" s="680"/>
      <c r="B55" s="1200"/>
      <c r="C55" s="1120"/>
      <c r="D55" s="1120"/>
      <c r="E55" s="1015">
        <f t="shared" si="0"/>
        <v>0</v>
      </c>
      <c r="F55" s="1201"/>
      <c r="G55" s="90"/>
    </row>
    <row r="56" spans="1:7" ht="15" customHeight="1">
      <c r="A56" s="680"/>
      <c r="B56" s="1200"/>
      <c r="C56" s="1120"/>
      <c r="D56" s="1120"/>
      <c r="E56" s="1015">
        <f t="shared" si="0"/>
        <v>0</v>
      </c>
      <c r="F56" s="1201"/>
      <c r="G56" s="90"/>
    </row>
    <row r="57" spans="1:7" ht="15" customHeight="1">
      <c r="A57" s="680"/>
      <c r="B57" s="1200"/>
      <c r="C57" s="1120"/>
      <c r="D57" s="1120"/>
      <c r="E57" s="1015">
        <f t="shared" si="0"/>
        <v>0</v>
      </c>
      <c r="F57" s="1201"/>
      <c r="G57" s="90"/>
    </row>
    <row r="58" spans="1:7" ht="15" customHeight="1">
      <c r="A58" s="680"/>
      <c r="B58" s="1200"/>
      <c r="C58" s="1120"/>
      <c r="D58" s="1120"/>
      <c r="E58" s="1015">
        <f t="shared" si="0"/>
        <v>0</v>
      </c>
      <c r="F58" s="1201"/>
      <c r="G58" s="90"/>
    </row>
    <row r="59" spans="1:7" ht="15" customHeight="1">
      <c r="A59" s="680"/>
      <c r="B59" s="1200"/>
      <c r="C59" s="1120"/>
      <c r="D59" s="1120"/>
      <c r="E59" s="1015">
        <f t="shared" si="0"/>
        <v>0</v>
      </c>
      <c r="F59" s="1201"/>
      <c r="G59" s="90"/>
    </row>
    <row r="60" spans="1:7" ht="15" customHeight="1">
      <c r="A60" s="680"/>
      <c r="B60" s="1200"/>
      <c r="C60" s="1120"/>
      <c r="D60" s="1120"/>
      <c r="E60" s="1015">
        <f t="shared" si="0"/>
        <v>0</v>
      </c>
      <c r="F60" s="1201"/>
      <c r="G60" s="90"/>
    </row>
    <row r="61" spans="1:7" ht="15" customHeight="1">
      <c r="A61" s="680"/>
      <c r="B61" s="1200"/>
      <c r="C61" s="1120"/>
      <c r="D61" s="1120"/>
      <c r="E61" s="1015">
        <f t="shared" si="0"/>
        <v>0</v>
      </c>
      <c r="F61" s="1201"/>
      <c r="G61" s="90"/>
    </row>
    <row r="62" spans="1:7" ht="15" customHeight="1">
      <c r="A62" s="680"/>
      <c r="B62" s="1200"/>
      <c r="C62" s="1120"/>
      <c r="D62" s="1120"/>
      <c r="E62" s="1015">
        <f t="shared" si="0"/>
        <v>0</v>
      </c>
      <c r="F62" s="1201"/>
      <c r="G62" s="90"/>
    </row>
    <row r="63" spans="1:7" ht="15" customHeight="1">
      <c r="A63" s="680"/>
      <c r="B63" s="1200"/>
      <c r="C63" s="1120"/>
      <c r="D63" s="1120"/>
      <c r="E63" s="1015">
        <f t="shared" si="0"/>
        <v>0</v>
      </c>
      <c r="F63" s="1201"/>
      <c r="G63" s="90"/>
    </row>
    <row r="64" spans="1:7" ht="15" customHeight="1">
      <c r="A64" s="680"/>
      <c r="B64" s="1200"/>
      <c r="C64" s="1120"/>
      <c r="D64" s="1120"/>
      <c r="E64" s="1015">
        <f t="shared" si="0"/>
        <v>0</v>
      </c>
      <c r="F64" s="1201"/>
      <c r="G64" s="90"/>
    </row>
    <row r="65" spans="1:7" ht="15" customHeight="1">
      <c r="A65" s="680"/>
      <c r="B65" s="1200"/>
      <c r="C65" s="1120"/>
      <c r="D65" s="1120"/>
      <c r="E65" s="1015">
        <f t="shared" si="0"/>
        <v>0</v>
      </c>
      <c r="F65" s="1201"/>
      <c r="G65" s="90"/>
    </row>
    <row r="66" spans="1:7" ht="15" customHeight="1">
      <c r="A66" s="680"/>
      <c r="B66" s="1200"/>
      <c r="C66" s="1120"/>
      <c r="D66" s="1120"/>
      <c r="E66" s="1015">
        <f t="shared" si="0"/>
        <v>0</v>
      </c>
      <c r="F66" s="1201"/>
      <c r="G66" s="90"/>
    </row>
    <row r="67" spans="1:7" ht="15" customHeight="1">
      <c r="A67" s="680"/>
      <c r="B67" s="1200"/>
      <c r="C67" s="1120"/>
      <c r="D67" s="1120"/>
      <c r="E67" s="1015">
        <f t="shared" si="0"/>
        <v>0</v>
      </c>
      <c r="F67" s="1201"/>
      <c r="G67" s="90"/>
    </row>
    <row r="68" spans="1:7" ht="15" customHeight="1">
      <c r="A68" s="680"/>
      <c r="B68" s="1200"/>
      <c r="C68" s="1120"/>
      <c r="D68" s="1120"/>
      <c r="E68" s="1015">
        <f t="shared" si="0"/>
        <v>0</v>
      </c>
      <c r="F68" s="1201"/>
      <c r="G68" s="90"/>
    </row>
    <row r="69" spans="1:7" ht="15" customHeight="1">
      <c r="A69" s="680"/>
      <c r="B69" s="1200"/>
      <c r="C69" s="1120"/>
      <c r="D69" s="1120"/>
      <c r="E69" s="1015">
        <f t="shared" si="0"/>
        <v>0</v>
      </c>
      <c r="F69" s="1201"/>
      <c r="G69" s="90"/>
    </row>
    <row r="70" spans="1:7" ht="15" customHeight="1">
      <c r="A70" s="680"/>
      <c r="B70" s="1200"/>
      <c r="C70" s="1120"/>
      <c r="D70" s="1120"/>
      <c r="E70" s="1015">
        <f t="shared" si="0"/>
        <v>0</v>
      </c>
      <c r="F70" s="1201"/>
      <c r="G70" s="90"/>
    </row>
    <row r="71" spans="1:7" ht="15" customHeight="1">
      <c r="A71" s="680"/>
      <c r="B71" s="1200"/>
      <c r="C71" s="1120"/>
      <c r="D71" s="1120"/>
      <c r="E71" s="1015">
        <f t="shared" si="0"/>
        <v>0</v>
      </c>
      <c r="F71" s="1201"/>
      <c r="G71" s="90"/>
    </row>
    <row r="72" spans="1:7" ht="15" customHeight="1">
      <c r="A72" s="680"/>
      <c r="B72" s="1200"/>
      <c r="C72" s="1120"/>
      <c r="D72" s="1120"/>
      <c r="E72" s="1015">
        <f t="shared" si="0"/>
        <v>0</v>
      </c>
      <c r="F72" s="1201"/>
      <c r="G72" s="90"/>
    </row>
    <row r="73" spans="1:7" ht="15" customHeight="1">
      <c r="A73" s="680"/>
      <c r="B73" s="1200"/>
      <c r="C73" s="1120"/>
      <c r="D73" s="1120"/>
      <c r="E73" s="1015">
        <f t="shared" si="0"/>
        <v>0</v>
      </c>
      <c r="F73" s="1201"/>
      <c r="G73" s="90"/>
    </row>
    <row r="74" spans="1:7" ht="15" customHeight="1">
      <c r="A74" s="680"/>
      <c r="B74" s="1200"/>
      <c r="C74" s="1120"/>
      <c r="D74" s="1120"/>
      <c r="E74" s="1015">
        <f t="shared" si="0"/>
        <v>0</v>
      </c>
      <c r="F74" s="1201"/>
      <c r="G74" s="90"/>
    </row>
    <row r="75" spans="1:7" ht="15" customHeight="1">
      <c r="A75" s="680"/>
      <c r="B75" s="1200"/>
      <c r="C75" s="1120"/>
      <c r="D75" s="1120"/>
      <c r="E75" s="1015">
        <f t="shared" si="0"/>
        <v>0</v>
      </c>
      <c r="F75" s="1201"/>
      <c r="G75" s="90"/>
    </row>
    <row r="76" spans="1:7" ht="15" customHeight="1">
      <c r="A76" s="680"/>
      <c r="B76" s="1200"/>
      <c r="C76" s="1120"/>
      <c r="D76" s="1120"/>
      <c r="E76" s="1015">
        <f t="shared" si="0"/>
        <v>0</v>
      </c>
      <c r="F76" s="1201"/>
      <c r="G76" s="90"/>
    </row>
    <row r="77" spans="1:7" ht="15" customHeight="1">
      <c r="A77" s="680"/>
      <c r="B77" s="1200"/>
      <c r="C77" s="1120"/>
      <c r="D77" s="1120"/>
      <c r="E77" s="1015">
        <f t="shared" si="0"/>
        <v>0</v>
      </c>
      <c r="F77" s="1201"/>
      <c r="G77" s="90"/>
    </row>
    <row r="78" spans="1:7" ht="15" customHeight="1">
      <c r="A78" s="680"/>
      <c r="B78" s="1200"/>
      <c r="C78" s="1120"/>
      <c r="D78" s="1120"/>
      <c r="E78" s="1015">
        <f t="shared" si="0"/>
        <v>0</v>
      </c>
      <c r="F78" s="1201"/>
      <c r="G78" s="90"/>
    </row>
    <row r="79" spans="1:7" ht="15" customHeight="1">
      <c r="A79" s="680"/>
      <c r="B79" s="1200"/>
      <c r="C79" s="1120"/>
      <c r="D79" s="1120"/>
      <c r="E79" s="1015">
        <f t="shared" ref="E79:E142" si="1">C79-B79+D79</f>
        <v>0</v>
      </c>
      <c r="F79" s="1201"/>
      <c r="G79" s="90"/>
    </row>
    <row r="80" spans="1:7" ht="15" customHeight="1">
      <c r="A80" s="680"/>
      <c r="B80" s="1200"/>
      <c r="C80" s="1120"/>
      <c r="D80" s="1120"/>
      <c r="E80" s="1015">
        <f t="shared" si="1"/>
        <v>0</v>
      </c>
      <c r="F80" s="1201"/>
      <c r="G80" s="90"/>
    </row>
    <row r="81" spans="1:7" ht="15" customHeight="1">
      <c r="A81" s="680"/>
      <c r="B81" s="1200"/>
      <c r="C81" s="1120"/>
      <c r="D81" s="1120"/>
      <c r="E81" s="1015">
        <f t="shared" si="1"/>
        <v>0</v>
      </c>
      <c r="F81" s="1201"/>
      <c r="G81" s="90"/>
    </row>
    <row r="82" spans="1:7" ht="15" customHeight="1">
      <c r="A82" s="680"/>
      <c r="B82" s="1200"/>
      <c r="C82" s="1120"/>
      <c r="D82" s="1120"/>
      <c r="E82" s="1015">
        <f t="shared" si="1"/>
        <v>0</v>
      </c>
      <c r="F82" s="1201"/>
      <c r="G82" s="90"/>
    </row>
    <row r="83" spans="1:7" ht="15" customHeight="1">
      <c r="A83" s="680"/>
      <c r="B83" s="1200"/>
      <c r="C83" s="1120"/>
      <c r="D83" s="1120"/>
      <c r="E83" s="1015">
        <f t="shared" si="1"/>
        <v>0</v>
      </c>
      <c r="F83" s="1201"/>
      <c r="G83" s="90"/>
    </row>
    <row r="84" spans="1:7" ht="15" customHeight="1">
      <c r="A84" s="680"/>
      <c r="B84" s="1200"/>
      <c r="C84" s="1120"/>
      <c r="D84" s="1120"/>
      <c r="E84" s="1015">
        <f t="shared" si="1"/>
        <v>0</v>
      </c>
      <c r="F84" s="1201"/>
      <c r="G84" s="90"/>
    </row>
    <row r="85" spans="1:7" ht="15" customHeight="1">
      <c r="A85" s="680"/>
      <c r="B85" s="1200"/>
      <c r="C85" s="1120"/>
      <c r="D85" s="1120"/>
      <c r="E85" s="1015">
        <f t="shared" si="1"/>
        <v>0</v>
      </c>
      <c r="F85" s="1201"/>
      <c r="G85" s="90"/>
    </row>
    <row r="86" spans="1:7" ht="15" customHeight="1">
      <c r="A86" s="680"/>
      <c r="B86" s="1200"/>
      <c r="C86" s="1120"/>
      <c r="D86" s="1120"/>
      <c r="E86" s="1015">
        <f t="shared" si="1"/>
        <v>0</v>
      </c>
      <c r="F86" s="1201"/>
      <c r="G86" s="90"/>
    </row>
    <row r="87" spans="1:7" ht="15" customHeight="1">
      <c r="A87" s="680"/>
      <c r="B87" s="1200"/>
      <c r="C87" s="1120"/>
      <c r="D87" s="1120"/>
      <c r="E87" s="1015">
        <f t="shared" si="1"/>
        <v>0</v>
      </c>
      <c r="F87" s="1201"/>
      <c r="G87" s="90"/>
    </row>
    <row r="88" spans="1:7" ht="15" customHeight="1">
      <c r="A88" s="680"/>
      <c r="B88" s="1200"/>
      <c r="C88" s="1120"/>
      <c r="D88" s="1120"/>
      <c r="E88" s="1015">
        <f t="shared" si="1"/>
        <v>0</v>
      </c>
      <c r="F88" s="1201"/>
      <c r="G88" s="90"/>
    </row>
    <row r="89" spans="1:7" ht="15" customHeight="1">
      <c r="A89" s="680"/>
      <c r="B89" s="1200"/>
      <c r="C89" s="1120"/>
      <c r="D89" s="1120"/>
      <c r="E89" s="1015">
        <f t="shared" si="1"/>
        <v>0</v>
      </c>
      <c r="F89" s="1201"/>
      <c r="G89" s="90"/>
    </row>
    <row r="90" spans="1:7" ht="15" customHeight="1">
      <c r="A90" s="680"/>
      <c r="B90" s="1200"/>
      <c r="C90" s="1120"/>
      <c r="D90" s="1120"/>
      <c r="E90" s="1015">
        <f t="shared" si="1"/>
        <v>0</v>
      </c>
      <c r="F90" s="1201"/>
      <c r="G90" s="90"/>
    </row>
    <row r="91" spans="1:7" ht="15" customHeight="1">
      <c r="A91" s="680"/>
      <c r="B91" s="1200"/>
      <c r="C91" s="1120"/>
      <c r="D91" s="1120"/>
      <c r="E91" s="1015">
        <f t="shared" si="1"/>
        <v>0</v>
      </c>
      <c r="F91" s="1201"/>
      <c r="G91" s="90"/>
    </row>
    <row r="92" spans="1:7" ht="15" customHeight="1">
      <c r="A92" s="680"/>
      <c r="B92" s="1200"/>
      <c r="C92" s="1120"/>
      <c r="D92" s="1120"/>
      <c r="E92" s="1015">
        <f t="shared" si="1"/>
        <v>0</v>
      </c>
      <c r="F92" s="1201"/>
      <c r="G92" s="90"/>
    </row>
    <row r="93" spans="1:7" ht="15" customHeight="1">
      <c r="A93" s="680"/>
      <c r="B93" s="1200"/>
      <c r="C93" s="1120"/>
      <c r="D93" s="1120"/>
      <c r="E93" s="1015">
        <f t="shared" si="1"/>
        <v>0</v>
      </c>
      <c r="F93" s="1201"/>
      <c r="G93" s="90"/>
    </row>
    <row r="94" spans="1:7" ht="15" customHeight="1">
      <c r="A94" s="680"/>
      <c r="B94" s="1200"/>
      <c r="C94" s="1120"/>
      <c r="D94" s="1120"/>
      <c r="E94" s="1015">
        <f t="shared" si="1"/>
        <v>0</v>
      </c>
      <c r="F94" s="1201"/>
      <c r="G94" s="90"/>
    </row>
    <row r="95" spans="1:7" ht="15" customHeight="1">
      <c r="A95" s="680"/>
      <c r="B95" s="1200"/>
      <c r="C95" s="1120"/>
      <c r="D95" s="1120"/>
      <c r="E95" s="1015">
        <f t="shared" si="1"/>
        <v>0</v>
      </c>
      <c r="F95" s="1201"/>
      <c r="G95" s="90"/>
    </row>
    <row r="96" spans="1:7" ht="15" customHeight="1">
      <c r="A96" s="680"/>
      <c r="B96" s="1200"/>
      <c r="C96" s="1120"/>
      <c r="D96" s="1120"/>
      <c r="E96" s="1015">
        <f t="shared" si="1"/>
        <v>0</v>
      </c>
      <c r="F96" s="1201"/>
      <c r="G96" s="90"/>
    </row>
    <row r="97" spans="1:7" ht="15" customHeight="1">
      <c r="A97" s="680"/>
      <c r="B97" s="1200"/>
      <c r="C97" s="1120"/>
      <c r="D97" s="1120"/>
      <c r="E97" s="1015">
        <f t="shared" si="1"/>
        <v>0</v>
      </c>
      <c r="F97" s="1201"/>
      <c r="G97" s="90"/>
    </row>
    <row r="98" spans="1:7" ht="15" customHeight="1">
      <c r="A98" s="680"/>
      <c r="B98" s="1200"/>
      <c r="C98" s="1120"/>
      <c r="D98" s="1120"/>
      <c r="E98" s="1015">
        <f t="shared" si="1"/>
        <v>0</v>
      </c>
      <c r="F98" s="1201"/>
      <c r="G98" s="90"/>
    </row>
    <row r="99" spans="1:7" ht="15" customHeight="1">
      <c r="A99" s="680"/>
      <c r="B99" s="1200"/>
      <c r="C99" s="1120"/>
      <c r="D99" s="1120"/>
      <c r="E99" s="1015">
        <f t="shared" si="1"/>
        <v>0</v>
      </c>
      <c r="F99" s="1201"/>
      <c r="G99" s="90"/>
    </row>
    <row r="100" spans="1:7" ht="15" customHeight="1">
      <c r="A100" s="680"/>
      <c r="B100" s="1200"/>
      <c r="C100" s="1120"/>
      <c r="D100" s="1120"/>
      <c r="E100" s="1015">
        <f t="shared" si="1"/>
        <v>0</v>
      </c>
      <c r="F100" s="1201"/>
      <c r="G100" s="90"/>
    </row>
    <row r="101" spans="1:7" ht="15" customHeight="1">
      <c r="A101" s="680"/>
      <c r="B101" s="1200"/>
      <c r="C101" s="1120"/>
      <c r="D101" s="1120"/>
      <c r="E101" s="1015">
        <f t="shared" si="1"/>
        <v>0</v>
      </c>
      <c r="F101" s="1201"/>
      <c r="G101" s="90"/>
    </row>
    <row r="102" spans="1:7" ht="15" customHeight="1">
      <c r="A102" s="680"/>
      <c r="B102" s="1200"/>
      <c r="C102" s="1120"/>
      <c r="D102" s="1120"/>
      <c r="E102" s="1015">
        <f t="shared" si="1"/>
        <v>0</v>
      </c>
      <c r="F102" s="1201"/>
      <c r="G102" s="90"/>
    </row>
    <row r="103" spans="1:7" ht="15" customHeight="1">
      <c r="A103" s="680"/>
      <c r="B103" s="1200"/>
      <c r="C103" s="1120"/>
      <c r="D103" s="1120"/>
      <c r="E103" s="1015">
        <f t="shared" si="1"/>
        <v>0</v>
      </c>
      <c r="F103" s="1201"/>
      <c r="G103" s="90"/>
    </row>
    <row r="104" spans="1:7" ht="15" customHeight="1">
      <c r="A104" s="680"/>
      <c r="B104" s="1200"/>
      <c r="C104" s="1120"/>
      <c r="D104" s="1120"/>
      <c r="E104" s="1015">
        <f t="shared" si="1"/>
        <v>0</v>
      </c>
      <c r="F104" s="1201"/>
      <c r="G104" s="90"/>
    </row>
    <row r="105" spans="1:7" ht="15" customHeight="1">
      <c r="A105" s="680"/>
      <c r="B105" s="1200"/>
      <c r="C105" s="1120"/>
      <c r="D105" s="1120"/>
      <c r="E105" s="1015">
        <f t="shared" si="1"/>
        <v>0</v>
      </c>
      <c r="F105" s="1201"/>
      <c r="G105" s="90"/>
    </row>
    <row r="106" spans="1:7" ht="15" customHeight="1">
      <c r="A106" s="680"/>
      <c r="B106" s="1200"/>
      <c r="C106" s="1120"/>
      <c r="D106" s="1120"/>
      <c r="E106" s="1015">
        <f t="shared" si="1"/>
        <v>0</v>
      </c>
      <c r="F106" s="1201"/>
      <c r="G106" s="90"/>
    </row>
    <row r="107" spans="1:7" ht="15" customHeight="1">
      <c r="A107" s="680"/>
      <c r="B107" s="1200"/>
      <c r="C107" s="1120"/>
      <c r="D107" s="1120"/>
      <c r="E107" s="1015">
        <f t="shared" si="1"/>
        <v>0</v>
      </c>
      <c r="F107" s="1201"/>
      <c r="G107" s="90"/>
    </row>
    <row r="108" spans="1:7" ht="15" customHeight="1">
      <c r="A108" s="680"/>
      <c r="B108" s="1200"/>
      <c r="C108" s="1120"/>
      <c r="D108" s="1120"/>
      <c r="E108" s="1015">
        <f t="shared" si="1"/>
        <v>0</v>
      </c>
      <c r="F108" s="1201"/>
      <c r="G108" s="90"/>
    </row>
    <row r="109" spans="1:7" ht="15" customHeight="1">
      <c r="A109" s="680"/>
      <c r="B109" s="1200"/>
      <c r="C109" s="1120"/>
      <c r="D109" s="1120"/>
      <c r="E109" s="1015">
        <f t="shared" si="1"/>
        <v>0</v>
      </c>
      <c r="F109" s="1201"/>
      <c r="G109" s="90"/>
    </row>
    <row r="110" spans="1:7" ht="15" customHeight="1">
      <c r="A110" s="680"/>
      <c r="B110" s="1200"/>
      <c r="C110" s="1120"/>
      <c r="D110" s="1120"/>
      <c r="E110" s="1015">
        <f t="shared" si="1"/>
        <v>0</v>
      </c>
      <c r="F110" s="1201"/>
      <c r="G110" s="90"/>
    </row>
    <row r="111" spans="1:7" ht="15" customHeight="1">
      <c r="A111" s="680"/>
      <c r="B111" s="1200"/>
      <c r="C111" s="1120"/>
      <c r="D111" s="1120"/>
      <c r="E111" s="1015">
        <f t="shared" si="1"/>
        <v>0</v>
      </c>
      <c r="F111" s="1201"/>
      <c r="G111" s="90"/>
    </row>
    <row r="112" spans="1:7" ht="15" customHeight="1">
      <c r="A112" s="680"/>
      <c r="B112" s="1200"/>
      <c r="C112" s="1120"/>
      <c r="D112" s="1120"/>
      <c r="E112" s="1015">
        <f t="shared" si="1"/>
        <v>0</v>
      </c>
      <c r="F112" s="1201"/>
      <c r="G112" s="90"/>
    </row>
    <row r="113" spans="1:7" ht="15" customHeight="1">
      <c r="A113" s="680"/>
      <c r="B113" s="1200"/>
      <c r="C113" s="1120"/>
      <c r="D113" s="1120"/>
      <c r="E113" s="1015">
        <f t="shared" si="1"/>
        <v>0</v>
      </c>
      <c r="F113" s="1201"/>
      <c r="G113" s="90"/>
    </row>
    <row r="114" spans="1:7" ht="15" customHeight="1">
      <c r="A114" s="680"/>
      <c r="B114" s="1200"/>
      <c r="C114" s="1120"/>
      <c r="D114" s="1120"/>
      <c r="E114" s="1015">
        <f t="shared" si="1"/>
        <v>0</v>
      </c>
      <c r="F114" s="1201"/>
      <c r="G114" s="90"/>
    </row>
    <row r="115" spans="1:7" ht="15" customHeight="1">
      <c r="A115" s="680"/>
      <c r="B115" s="1200"/>
      <c r="C115" s="1120"/>
      <c r="D115" s="1120"/>
      <c r="E115" s="1015">
        <f t="shared" si="1"/>
        <v>0</v>
      </c>
      <c r="F115" s="1201"/>
      <c r="G115" s="90"/>
    </row>
    <row r="116" spans="1:7" ht="15" customHeight="1">
      <c r="A116" s="680"/>
      <c r="B116" s="1200"/>
      <c r="C116" s="1120"/>
      <c r="D116" s="1120"/>
      <c r="E116" s="1015">
        <f t="shared" si="1"/>
        <v>0</v>
      </c>
      <c r="F116" s="1201"/>
      <c r="G116" s="90"/>
    </row>
    <row r="117" spans="1:7" ht="15" customHeight="1">
      <c r="A117" s="680"/>
      <c r="B117" s="1200"/>
      <c r="C117" s="1120"/>
      <c r="D117" s="1120"/>
      <c r="E117" s="1015">
        <f t="shared" si="1"/>
        <v>0</v>
      </c>
      <c r="F117" s="1201"/>
      <c r="G117" s="90"/>
    </row>
    <row r="118" spans="1:7" ht="15" customHeight="1">
      <c r="A118" s="680"/>
      <c r="B118" s="1200"/>
      <c r="C118" s="1120"/>
      <c r="D118" s="1120"/>
      <c r="E118" s="1015">
        <f t="shared" si="1"/>
        <v>0</v>
      </c>
      <c r="F118" s="1201"/>
      <c r="G118" s="90"/>
    </row>
    <row r="119" spans="1:7" ht="15" customHeight="1">
      <c r="A119" s="680"/>
      <c r="B119" s="1200"/>
      <c r="C119" s="1120"/>
      <c r="D119" s="1120"/>
      <c r="E119" s="1015">
        <f t="shared" si="1"/>
        <v>0</v>
      </c>
      <c r="F119" s="1201"/>
      <c r="G119" s="90"/>
    </row>
    <row r="120" spans="1:7" ht="15" customHeight="1">
      <c r="A120" s="680"/>
      <c r="B120" s="1200"/>
      <c r="C120" s="1120"/>
      <c r="D120" s="1120"/>
      <c r="E120" s="1015">
        <f t="shared" si="1"/>
        <v>0</v>
      </c>
      <c r="F120" s="1201"/>
      <c r="G120" s="90"/>
    </row>
    <row r="121" spans="1:7" ht="15" customHeight="1">
      <c r="A121" s="680"/>
      <c r="B121" s="1200"/>
      <c r="C121" s="1120"/>
      <c r="D121" s="1120"/>
      <c r="E121" s="1015">
        <f t="shared" si="1"/>
        <v>0</v>
      </c>
      <c r="F121" s="1201"/>
      <c r="G121" s="90"/>
    </row>
    <row r="122" spans="1:7" ht="15" customHeight="1">
      <c r="A122" s="680"/>
      <c r="B122" s="1200"/>
      <c r="C122" s="1120"/>
      <c r="D122" s="1120"/>
      <c r="E122" s="1015">
        <f t="shared" si="1"/>
        <v>0</v>
      </c>
      <c r="F122" s="1201"/>
      <c r="G122" s="90"/>
    </row>
    <row r="123" spans="1:7" ht="15" customHeight="1">
      <c r="A123" s="680"/>
      <c r="B123" s="1200"/>
      <c r="C123" s="1120"/>
      <c r="D123" s="1120"/>
      <c r="E123" s="1015">
        <f t="shared" si="1"/>
        <v>0</v>
      </c>
      <c r="F123" s="1201"/>
      <c r="G123" s="90"/>
    </row>
    <row r="124" spans="1:7" ht="15" customHeight="1">
      <c r="A124" s="680"/>
      <c r="B124" s="1200"/>
      <c r="C124" s="1120"/>
      <c r="D124" s="1120"/>
      <c r="E124" s="1015">
        <f t="shared" si="1"/>
        <v>0</v>
      </c>
      <c r="F124" s="1201"/>
      <c r="G124" s="90"/>
    </row>
    <row r="125" spans="1:7" ht="15" customHeight="1">
      <c r="A125" s="680"/>
      <c r="B125" s="1200"/>
      <c r="C125" s="1120"/>
      <c r="D125" s="1120"/>
      <c r="E125" s="1015">
        <f t="shared" si="1"/>
        <v>0</v>
      </c>
      <c r="F125" s="1201"/>
      <c r="G125" s="90"/>
    </row>
    <row r="126" spans="1:7" ht="15" customHeight="1">
      <c r="A126" s="680"/>
      <c r="B126" s="1200"/>
      <c r="C126" s="1120"/>
      <c r="D126" s="1120"/>
      <c r="E126" s="1015">
        <f t="shared" si="1"/>
        <v>0</v>
      </c>
      <c r="F126" s="1201"/>
      <c r="G126" s="90"/>
    </row>
    <row r="127" spans="1:7" ht="15" customHeight="1">
      <c r="A127" s="680"/>
      <c r="B127" s="1200"/>
      <c r="C127" s="1120"/>
      <c r="D127" s="1120"/>
      <c r="E127" s="1015">
        <f t="shared" si="1"/>
        <v>0</v>
      </c>
      <c r="F127" s="1201"/>
      <c r="G127" s="90"/>
    </row>
    <row r="128" spans="1:7" ht="15" customHeight="1">
      <c r="A128" s="680"/>
      <c r="B128" s="1200"/>
      <c r="C128" s="1120"/>
      <c r="D128" s="1120"/>
      <c r="E128" s="1015">
        <f t="shared" si="1"/>
        <v>0</v>
      </c>
      <c r="F128" s="1201"/>
      <c r="G128" s="90"/>
    </row>
    <row r="129" spans="1:7" ht="15" customHeight="1">
      <c r="A129" s="680"/>
      <c r="B129" s="1200"/>
      <c r="C129" s="1120"/>
      <c r="D129" s="1120"/>
      <c r="E129" s="1015">
        <f t="shared" si="1"/>
        <v>0</v>
      </c>
      <c r="F129" s="1201"/>
      <c r="G129" s="90"/>
    </row>
    <row r="130" spans="1:7" ht="15" customHeight="1">
      <c r="A130" s="680"/>
      <c r="B130" s="1200"/>
      <c r="C130" s="1120"/>
      <c r="D130" s="1120"/>
      <c r="E130" s="1015">
        <f t="shared" si="1"/>
        <v>0</v>
      </c>
      <c r="F130" s="1201"/>
      <c r="G130" s="90"/>
    </row>
    <row r="131" spans="1:7" ht="15" customHeight="1">
      <c r="A131" s="680"/>
      <c r="B131" s="1200"/>
      <c r="C131" s="1120"/>
      <c r="D131" s="1120"/>
      <c r="E131" s="1015">
        <f t="shared" si="1"/>
        <v>0</v>
      </c>
      <c r="F131" s="1201"/>
      <c r="G131" s="90"/>
    </row>
    <row r="132" spans="1:7" ht="15" customHeight="1">
      <c r="A132" s="680"/>
      <c r="B132" s="1200"/>
      <c r="C132" s="1120"/>
      <c r="D132" s="1120"/>
      <c r="E132" s="1015">
        <f t="shared" si="1"/>
        <v>0</v>
      </c>
      <c r="F132" s="1201"/>
      <c r="G132" s="90"/>
    </row>
    <row r="133" spans="1:7" ht="15" customHeight="1">
      <c r="A133" s="680"/>
      <c r="B133" s="1200"/>
      <c r="C133" s="1120"/>
      <c r="D133" s="1120"/>
      <c r="E133" s="1015">
        <f t="shared" si="1"/>
        <v>0</v>
      </c>
      <c r="F133" s="1201"/>
      <c r="G133" s="90"/>
    </row>
    <row r="134" spans="1:7" ht="15" customHeight="1">
      <c r="A134" s="680"/>
      <c r="B134" s="1200"/>
      <c r="C134" s="1120"/>
      <c r="D134" s="1120"/>
      <c r="E134" s="1015">
        <f t="shared" si="1"/>
        <v>0</v>
      </c>
      <c r="F134" s="1201"/>
      <c r="G134" s="90"/>
    </row>
    <row r="135" spans="1:7" ht="15" customHeight="1">
      <c r="A135" s="680"/>
      <c r="B135" s="1200"/>
      <c r="C135" s="1120"/>
      <c r="D135" s="1120"/>
      <c r="E135" s="1015">
        <f t="shared" si="1"/>
        <v>0</v>
      </c>
      <c r="F135" s="1201"/>
      <c r="G135" s="90"/>
    </row>
    <row r="136" spans="1:7" ht="15" customHeight="1">
      <c r="A136" s="680"/>
      <c r="B136" s="1200"/>
      <c r="C136" s="1120"/>
      <c r="D136" s="1120"/>
      <c r="E136" s="1015">
        <f t="shared" si="1"/>
        <v>0</v>
      </c>
      <c r="F136" s="1201"/>
      <c r="G136" s="90"/>
    </row>
    <row r="137" spans="1:7" ht="15" customHeight="1">
      <c r="A137" s="680"/>
      <c r="B137" s="1200"/>
      <c r="C137" s="1120"/>
      <c r="D137" s="1120"/>
      <c r="E137" s="1015">
        <f t="shared" si="1"/>
        <v>0</v>
      </c>
      <c r="F137" s="1201"/>
      <c r="G137" s="90"/>
    </row>
    <row r="138" spans="1:7" ht="15" customHeight="1">
      <c r="A138" s="680"/>
      <c r="B138" s="1200"/>
      <c r="C138" s="1120"/>
      <c r="D138" s="1120"/>
      <c r="E138" s="1015">
        <f t="shared" si="1"/>
        <v>0</v>
      </c>
      <c r="F138" s="1201"/>
      <c r="G138" s="90"/>
    </row>
    <row r="139" spans="1:7" ht="15" customHeight="1">
      <c r="A139" s="680"/>
      <c r="B139" s="1200"/>
      <c r="C139" s="1120"/>
      <c r="D139" s="1120"/>
      <c r="E139" s="1015">
        <f t="shared" si="1"/>
        <v>0</v>
      </c>
      <c r="F139" s="1201"/>
      <c r="G139" s="90"/>
    </row>
    <row r="140" spans="1:7" ht="15" customHeight="1">
      <c r="A140" s="680"/>
      <c r="B140" s="1200"/>
      <c r="C140" s="1120"/>
      <c r="D140" s="1120"/>
      <c r="E140" s="1015">
        <f t="shared" si="1"/>
        <v>0</v>
      </c>
      <c r="F140" s="1201"/>
      <c r="G140" s="90"/>
    </row>
    <row r="141" spans="1:7" ht="15" customHeight="1">
      <c r="A141" s="680"/>
      <c r="B141" s="1200"/>
      <c r="C141" s="1120"/>
      <c r="D141" s="1120"/>
      <c r="E141" s="1015">
        <f t="shared" si="1"/>
        <v>0</v>
      </c>
      <c r="F141" s="1201"/>
      <c r="G141" s="90"/>
    </row>
    <row r="142" spans="1:7" ht="15" customHeight="1">
      <c r="A142" s="680"/>
      <c r="B142" s="1200"/>
      <c r="C142" s="1120"/>
      <c r="D142" s="1120"/>
      <c r="E142" s="1015">
        <f t="shared" si="1"/>
        <v>0</v>
      </c>
      <c r="F142" s="1201"/>
      <c r="G142" s="90"/>
    </row>
    <row r="143" spans="1:7" ht="15" customHeight="1">
      <c r="A143" s="680"/>
      <c r="B143" s="1200"/>
      <c r="C143" s="1120"/>
      <c r="D143" s="1120"/>
      <c r="E143" s="1015">
        <f t="shared" ref="E143:E206" si="2">C143-B143+D143</f>
        <v>0</v>
      </c>
      <c r="F143" s="1201"/>
      <c r="G143" s="90"/>
    </row>
    <row r="144" spans="1:7" ht="15" customHeight="1">
      <c r="A144" s="680"/>
      <c r="B144" s="1200"/>
      <c r="C144" s="1120"/>
      <c r="D144" s="1120"/>
      <c r="E144" s="1015">
        <f t="shared" si="2"/>
        <v>0</v>
      </c>
      <c r="F144" s="1201"/>
      <c r="G144" s="90"/>
    </row>
    <row r="145" spans="1:7" ht="15" customHeight="1">
      <c r="A145" s="680"/>
      <c r="B145" s="1200"/>
      <c r="C145" s="1120"/>
      <c r="D145" s="1120"/>
      <c r="E145" s="1015">
        <f t="shared" si="2"/>
        <v>0</v>
      </c>
      <c r="F145" s="1201"/>
      <c r="G145" s="90"/>
    </row>
    <row r="146" spans="1:7" ht="15" customHeight="1">
      <c r="A146" s="680"/>
      <c r="B146" s="1200"/>
      <c r="C146" s="1120"/>
      <c r="D146" s="1120"/>
      <c r="E146" s="1015">
        <f t="shared" si="2"/>
        <v>0</v>
      </c>
      <c r="F146" s="1201"/>
      <c r="G146" s="90"/>
    </row>
    <row r="147" spans="1:7" ht="15" customHeight="1">
      <c r="A147" s="680"/>
      <c r="B147" s="1200"/>
      <c r="C147" s="1120"/>
      <c r="D147" s="1120"/>
      <c r="E147" s="1015">
        <f t="shared" si="2"/>
        <v>0</v>
      </c>
      <c r="F147" s="1201"/>
      <c r="G147" s="90"/>
    </row>
    <row r="148" spans="1:7" ht="15" customHeight="1">
      <c r="A148" s="680"/>
      <c r="B148" s="1200"/>
      <c r="C148" s="1120"/>
      <c r="D148" s="1120"/>
      <c r="E148" s="1015">
        <f t="shared" si="2"/>
        <v>0</v>
      </c>
      <c r="F148" s="1201"/>
      <c r="G148" s="90"/>
    </row>
    <row r="149" spans="1:7" ht="15" customHeight="1">
      <c r="A149" s="680"/>
      <c r="B149" s="1200"/>
      <c r="C149" s="1120"/>
      <c r="D149" s="1120"/>
      <c r="E149" s="1015">
        <f t="shared" si="2"/>
        <v>0</v>
      </c>
      <c r="F149" s="1201"/>
      <c r="G149" s="90"/>
    </row>
    <row r="150" spans="1:7" ht="15" customHeight="1">
      <c r="A150" s="680"/>
      <c r="B150" s="1200"/>
      <c r="C150" s="1120"/>
      <c r="D150" s="1120"/>
      <c r="E150" s="1015">
        <f t="shared" si="2"/>
        <v>0</v>
      </c>
      <c r="F150" s="1201"/>
      <c r="G150" s="90"/>
    </row>
    <row r="151" spans="1:7" ht="15" customHeight="1">
      <c r="A151" s="680"/>
      <c r="B151" s="1200"/>
      <c r="C151" s="1120"/>
      <c r="D151" s="1120"/>
      <c r="E151" s="1015">
        <f t="shared" si="2"/>
        <v>0</v>
      </c>
      <c r="F151" s="1201"/>
      <c r="G151" s="90"/>
    </row>
    <row r="152" spans="1:7" ht="15" customHeight="1">
      <c r="A152" s="680"/>
      <c r="B152" s="1200"/>
      <c r="C152" s="1120"/>
      <c r="D152" s="1120"/>
      <c r="E152" s="1015">
        <f t="shared" si="2"/>
        <v>0</v>
      </c>
      <c r="F152" s="1201"/>
      <c r="G152" s="90"/>
    </row>
    <row r="153" spans="1:7" ht="15" customHeight="1">
      <c r="A153" s="680"/>
      <c r="B153" s="1200"/>
      <c r="C153" s="1120"/>
      <c r="D153" s="1120"/>
      <c r="E153" s="1015">
        <f t="shared" si="2"/>
        <v>0</v>
      </c>
      <c r="F153" s="1201"/>
      <c r="G153" s="90"/>
    </row>
    <row r="154" spans="1:7" ht="15" customHeight="1">
      <c r="A154" s="680"/>
      <c r="B154" s="1200"/>
      <c r="C154" s="1120"/>
      <c r="D154" s="1120"/>
      <c r="E154" s="1015">
        <f t="shared" si="2"/>
        <v>0</v>
      </c>
      <c r="F154" s="1201"/>
      <c r="G154" s="90"/>
    </row>
    <row r="155" spans="1:7" ht="15" customHeight="1">
      <c r="A155" s="680"/>
      <c r="B155" s="1200"/>
      <c r="C155" s="1120"/>
      <c r="D155" s="1120"/>
      <c r="E155" s="1015">
        <f t="shared" si="2"/>
        <v>0</v>
      </c>
      <c r="F155" s="1201"/>
      <c r="G155" s="90"/>
    </row>
    <row r="156" spans="1:7" ht="15" customHeight="1">
      <c r="A156" s="680"/>
      <c r="B156" s="1200"/>
      <c r="C156" s="1120"/>
      <c r="D156" s="1120"/>
      <c r="E156" s="1015">
        <f t="shared" si="2"/>
        <v>0</v>
      </c>
      <c r="F156" s="1201"/>
      <c r="G156" s="90"/>
    </row>
    <row r="157" spans="1:7" ht="15" customHeight="1">
      <c r="A157" s="680"/>
      <c r="B157" s="1200"/>
      <c r="C157" s="1120"/>
      <c r="D157" s="1120"/>
      <c r="E157" s="1015">
        <f t="shared" si="2"/>
        <v>0</v>
      </c>
      <c r="F157" s="1201"/>
      <c r="G157" s="90"/>
    </row>
    <row r="158" spans="1:7" ht="15" customHeight="1">
      <c r="A158" s="680"/>
      <c r="B158" s="1200"/>
      <c r="C158" s="1120"/>
      <c r="D158" s="1120"/>
      <c r="E158" s="1015">
        <f t="shared" si="2"/>
        <v>0</v>
      </c>
      <c r="F158" s="1201"/>
      <c r="G158" s="90"/>
    </row>
    <row r="159" spans="1:7" ht="15" customHeight="1">
      <c r="A159" s="680"/>
      <c r="B159" s="1200"/>
      <c r="C159" s="1120"/>
      <c r="D159" s="1120"/>
      <c r="E159" s="1015">
        <f t="shared" si="2"/>
        <v>0</v>
      </c>
      <c r="F159" s="1201"/>
      <c r="G159" s="90"/>
    </row>
    <row r="160" spans="1:7" ht="15" customHeight="1">
      <c r="A160" s="680"/>
      <c r="B160" s="1200"/>
      <c r="C160" s="1120"/>
      <c r="D160" s="1120"/>
      <c r="E160" s="1015">
        <f t="shared" si="2"/>
        <v>0</v>
      </c>
      <c r="F160" s="1201"/>
      <c r="G160" s="90"/>
    </row>
    <row r="161" spans="1:7" ht="15" customHeight="1">
      <c r="A161" s="680"/>
      <c r="B161" s="1200"/>
      <c r="C161" s="1120"/>
      <c r="D161" s="1120"/>
      <c r="E161" s="1015">
        <f t="shared" si="2"/>
        <v>0</v>
      </c>
      <c r="F161" s="1201"/>
      <c r="G161" s="90"/>
    </row>
    <row r="162" spans="1:7" ht="15" customHeight="1">
      <c r="A162" s="680"/>
      <c r="B162" s="1200"/>
      <c r="C162" s="1120"/>
      <c r="D162" s="1120"/>
      <c r="E162" s="1015">
        <f t="shared" si="2"/>
        <v>0</v>
      </c>
      <c r="F162" s="1201"/>
      <c r="G162" s="90"/>
    </row>
    <row r="163" spans="1:7" ht="15" customHeight="1">
      <c r="A163" s="680"/>
      <c r="B163" s="1200"/>
      <c r="C163" s="1120"/>
      <c r="D163" s="1120"/>
      <c r="E163" s="1015">
        <f t="shared" si="2"/>
        <v>0</v>
      </c>
      <c r="F163" s="1201"/>
      <c r="G163" s="90"/>
    </row>
    <row r="164" spans="1:7" ht="15" customHeight="1">
      <c r="A164" s="680"/>
      <c r="B164" s="1200"/>
      <c r="C164" s="1120"/>
      <c r="D164" s="1120"/>
      <c r="E164" s="1015">
        <f t="shared" si="2"/>
        <v>0</v>
      </c>
      <c r="F164" s="1201"/>
      <c r="G164" s="90"/>
    </row>
    <row r="165" spans="1:7" ht="15" customHeight="1">
      <c r="A165" s="680"/>
      <c r="B165" s="1200"/>
      <c r="C165" s="1120"/>
      <c r="D165" s="1120"/>
      <c r="E165" s="1015">
        <f t="shared" si="2"/>
        <v>0</v>
      </c>
      <c r="F165" s="1201"/>
      <c r="G165" s="90"/>
    </row>
    <row r="166" spans="1:7" ht="15" customHeight="1">
      <c r="A166" s="680"/>
      <c r="B166" s="1200"/>
      <c r="C166" s="1120"/>
      <c r="D166" s="1120"/>
      <c r="E166" s="1015">
        <f t="shared" si="2"/>
        <v>0</v>
      </c>
      <c r="F166" s="1201"/>
      <c r="G166" s="90"/>
    </row>
    <row r="167" spans="1:7" ht="15" customHeight="1">
      <c r="A167" s="680"/>
      <c r="B167" s="1200"/>
      <c r="C167" s="1120"/>
      <c r="D167" s="1120"/>
      <c r="E167" s="1015">
        <f t="shared" si="2"/>
        <v>0</v>
      </c>
      <c r="F167" s="1201"/>
      <c r="G167" s="90"/>
    </row>
    <row r="168" spans="1:7" ht="15" customHeight="1">
      <c r="A168" s="680"/>
      <c r="B168" s="1200"/>
      <c r="C168" s="1120"/>
      <c r="D168" s="1120"/>
      <c r="E168" s="1015">
        <f t="shared" si="2"/>
        <v>0</v>
      </c>
      <c r="F168" s="1201"/>
      <c r="G168" s="90"/>
    </row>
    <row r="169" spans="1:7" ht="15" customHeight="1">
      <c r="A169" s="680"/>
      <c r="B169" s="1200"/>
      <c r="C169" s="1120"/>
      <c r="D169" s="1120"/>
      <c r="E169" s="1015">
        <f t="shared" si="2"/>
        <v>0</v>
      </c>
      <c r="F169" s="1201"/>
      <c r="G169" s="90"/>
    </row>
    <row r="170" spans="1:7" ht="15" customHeight="1">
      <c r="A170" s="680"/>
      <c r="B170" s="1200"/>
      <c r="C170" s="1120"/>
      <c r="D170" s="1120"/>
      <c r="E170" s="1015">
        <f t="shared" si="2"/>
        <v>0</v>
      </c>
      <c r="F170" s="1201"/>
      <c r="G170" s="90"/>
    </row>
    <row r="171" spans="1:7" ht="15" customHeight="1">
      <c r="A171" s="680"/>
      <c r="B171" s="1200"/>
      <c r="C171" s="1120"/>
      <c r="D171" s="1120"/>
      <c r="E171" s="1015">
        <f t="shared" si="2"/>
        <v>0</v>
      </c>
      <c r="F171" s="1201"/>
      <c r="G171" s="90"/>
    </row>
    <row r="172" spans="1:7" ht="15" customHeight="1">
      <c r="A172" s="680"/>
      <c r="B172" s="1200"/>
      <c r="C172" s="1120"/>
      <c r="D172" s="1120"/>
      <c r="E172" s="1015">
        <f t="shared" si="2"/>
        <v>0</v>
      </c>
      <c r="F172" s="1201"/>
      <c r="G172" s="90"/>
    </row>
    <row r="173" spans="1:7" ht="15" customHeight="1">
      <c r="A173" s="680"/>
      <c r="B173" s="1200"/>
      <c r="C173" s="1120"/>
      <c r="D173" s="1120"/>
      <c r="E173" s="1015">
        <f t="shared" si="2"/>
        <v>0</v>
      </c>
      <c r="F173" s="1201"/>
      <c r="G173" s="90"/>
    </row>
    <row r="174" spans="1:7" ht="15" customHeight="1">
      <c r="A174" s="680"/>
      <c r="B174" s="1200"/>
      <c r="C174" s="1120"/>
      <c r="D174" s="1120"/>
      <c r="E174" s="1015">
        <f t="shared" si="2"/>
        <v>0</v>
      </c>
      <c r="F174" s="1201"/>
      <c r="G174" s="90"/>
    </row>
    <row r="175" spans="1:7" ht="15" customHeight="1">
      <c r="A175" s="680"/>
      <c r="B175" s="1200"/>
      <c r="C175" s="1120"/>
      <c r="D175" s="1120"/>
      <c r="E175" s="1015">
        <f t="shared" si="2"/>
        <v>0</v>
      </c>
      <c r="F175" s="1201"/>
      <c r="G175" s="90"/>
    </row>
    <row r="176" spans="1:7" ht="15" customHeight="1">
      <c r="A176" s="680"/>
      <c r="B176" s="1200"/>
      <c r="C176" s="1120"/>
      <c r="D176" s="1120"/>
      <c r="E176" s="1015">
        <f t="shared" si="2"/>
        <v>0</v>
      </c>
      <c r="F176" s="1201"/>
      <c r="G176" s="90"/>
    </row>
    <row r="177" spans="1:7" ht="15" customHeight="1">
      <c r="A177" s="680"/>
      <c r="B177" s="1200"/>
      <c r="C177" s="1120"/>
      <c r="D177" s="1120"/>
      <c r="E177" s="1015">
        <f t="shared" si="2"/>
        <v>0</v>
      </c>
      <c r="F177" s="1201"/>
      <c r="G177" s="90"/>
    </row>
    <row r="178" spans="1:7" ht="15" customHeight="1">
      <c r="A178" s="680"/>
      <c r="B178" s="1200"/>
      <c r="C178" s="1120"/>
      <c r="D178" s="1120"/>
      <c r="E178" s="1015">
        <f t="shared" si="2"/>
        <v>0</v>
      </c>
      <c r="F178" s="1201"/>
      <c r="G178" s="90"/>
    </row>
    <row r="179" spans="1:7" ht="15" customHeight="1">
      <c r="A179" s="680"/>
      <c r="B179" s="1200"/>
      <c r="C179" s="1120"/>
      <c r="D179" s="1120"/>
      <c r="E179" s="1015">
        <f t="shared" si="2"/>
        <v>0</v>
      </c>
      <c r="F179" s="1201"/>
      <c r="G179" s="90"/>
    </row>
    <row r="180" spans="1:7" ht="15" customHeight="1">
      <c r="A180" s="680"/>
      <c r="B180" s="1200"/>
      <c r="C180" s="1120"/>
      <c r="D180" s="1120"/>
      <c r="E180" s="1015">
        <f t="shared" si="2"/>
        <v>0</v>
      </c>
      <c r="F180" s="1201"/>
      <c r="G180" s="90"/>
    </row>
    <row r="181" spans="1:7" ht="15" customHeight="1">
      <c r="A181" s="680"/>
      <c r="B181" s="1200"/>
      <c r="C181" s="1120"/>
      <c r="D181" s="1120"/>
      <c r="E181" s="1015">
        <f t="shared" si="2"/>
        <v>0</v>
      </c>
      <c r="F181" s="1201"/>
      <c r="G181" s="90"/>
    </row>
    <row r="182" spans="1:7" ht="15" customHeight="1">
      <c r="A182" s="680"/>
      <c r="B182" s="1200"/>
      <c r="C182" s="1120"/>
      <c r="D182" s="1120"/>
      <c r="E182" s="1015">
        <f t="shared" si="2"/>
        <v>0</v>
      </c>
      <c r="F182" s="1201"/>
      <c r="G182" s="90"/>
    </row>
    <row r="183" spans="1:7" ht="15" customHeight="1">
      <c r="A183" s="680"/>
      <c r="B183" s="1200"/>
      <c r="C183" s="1120"/>
      <c r="D183" s="1120"/>
      <c r="E183" s="1015">
        <f t="shared" si="2"/>
        <v>0</v>
      </c>
      <c r="F183" s="1201"/>
      <c r="G183" s="90"/>
    </row>
    <row r="184" spans="1:7" ht="15" customHeight="1">
      <c r="A184" s="680"/>
      <c r="B184" s="1200"/>
      <c r="C184" s="1120"/>
      <c r="D184" s="1120"/>
      <c r="E184" s="1015">
        <f t="shared" si="2"/>
        <v>0</v>
      </c>
      <c r="F184" s="1201"/>
      <c r="G184" s="90"/>
    </row>
    <row r="185" spans="1:7" ht="15" customHeight="1">
      <c r="A185" s="680"/>
      <c r="B185" s="1200"/>
      <c r="C185" s="1120"/>
      <c r="D185" s="1120"/>
      <c r="E185" s="1015">
        <f t="shared" si="2"/>
        <v>0</v>
      </c>
      <c r="F185" s="1201"/>
      <c r="G185" s="90"/>
    </row>
    <row r="186" spans="1:7" ht="15" customHeight="1">
      <c r="A186" s="680"/>
      <c r="B186" s="1200"/>
      <c r="C186" s="1120"/>
      <c r="D186" s="1120"/>
      <c r="E186" s="1015">
        <f t="shared" si="2"/>
        <v>0</v>
      </c>
      <c r="F186" s="1201"/>
      <c r="G186" s="90"/>
    </row>
    <row r="187" spans="1:7" ht="15" customHeight="1">
      <c r="A187" s="680"/>
      <c r="B187" s="1200"/>
      <c r="C187" s="1120"/>
      <c r="D187" s="1120"/>
      <c r="E187" s="1015">
        <f t="shared" si="2"/>
        <v>0</v>
      </c>
      <c r="F187" s="1201"/>
      <c r="G187" s="90"/>
    </row>
    <row r="188" spans="1:7" ht="15" customHeight="1">
      <c r="A188" s="680"/>
      <c r="B188" s="1200"/>
      <c r="C188" s="1120"/>
      <c r="D188" s="1120"/>
      <c r="E188" s="1015">
        <f t="shared" si="2"/>
        <v>0</v>
      </c>
      <c r="F188" s="1201"/>
      <c r="G188" s="90"/>
    </row>
    <row r="189" spans="1:7" ht="15" customHeight="1">
      <c r="A189" s="680"/>
      <c r="B189" s="1200"/>
      <c r="C189" s="1120"/>
      <c r="D189" s="1120"/>
      <c r="E189" s="1015">
        <f t="shared" si="2"/>
        <v>0</v>
      </c>
      <c r="F189" s="1201"/>
      <c r="G189" s="90"/>
    </row>
    <row r="190" spans="1:7" ht="15" customHeight="1">
      <c r="A190" s="680"/>
      <c r="B190" s="1200"/>
      <c r="C190" s="1120"/>
      <c r="D190" s="1120"/>
      <c r="E190" s="1015">
        <f t="shared" si="2"/>
        <v>0</v>
      </c>
      <c r="F190" s="1201"/>
      <c r="G190" s="90"/>
    </row>
    <row r="191" spans="1:7" ht="15" customHeight="1">
      <c r="A191" s="680"/>
      <c r="B191" s="1200"/>
      <c r="C191" s="1120"/>
      <c r="D191" s="1120"/>
      <c r="E191" s="1015">
        <f t="shared" si="2"/>
        <v>0</v>
      </c>
      <c r="F191" s="1201"/>
      <c r="G191" s="90"/>
    </row>
    <row r="192" spans="1:7" ht="15" customHeight="1">
      <c r="A192" s="680"/>
      <c r="B192" s="1200"/>
      <c r="C192" s="1120"/>
      <c r="D192" s="1120"/>
      <c r="E192" s="1015">
        <f t="shared" si="2"/>
        <v>0</v>
      </c>
      <c r="F192" s="1201"/>
      <c r="G192" s="90"/>
    </row>
    <row r="193" spans="1:7" ht="15" customHeight="1">
      <c r="A193" s="680"/>
      <c r="B193" s="1200"/>
      <c r="C193" s="1120"/>
      <c r="D193" s="1120"/>
      <c r="E193" s="1015">
        <f t="shared" si="2"/>
        <v>0</v>
      </c>
      <c r="F193" s="1201"/>
      <c r="G193" s="90"/>
    </row>
    <row r="194" spans="1:7" ht="15" customHeight="1">
      <c r="A194" s="680"/>
      <c r="B194" s="1200"/>
      <c r="C194" s="1120"/>
      <c r="D194" s="1120"/>
      <c r="E194" s="1015">
        <f t="shared" si="2"/>
        <v>0</v>
      </c>
      <c r="F194" s="1201"/>
      <c r="G194" s="90"/>
    </row>
    <row r="195" spans="1:7" ht="15" customHeight="1">
      <c r="A195" s="680"/>
      <c r="B195" s="1200"/>
      <c r="C195" s="1120"/>
      <c r="D195" s="1120"/>
      <c r="E195" s="1015">
        <f t="shared" si="2"/>
        <v>0</v>
      </c>
      <c r="F195" s="1201"/>
      <c r="G195" s="90"/>
    </row>
    <row r="196" spans="1:7" ht="15" customHeight="1">
      <c r="A196" s="680"/>
      <c r="B196" s="1200"/>
      <c r="C196" s="1120"/>
      <c r="D196" s="1120"/>
      <c r="E196" s="1015">
        <f t="shared" si="2"/>
        <v>0</v>
      </c>
      <c r="F196" s="1201"/>
      <c r="G196" s="90"/>
    </row>
    <row r="197" spans="1:7" ht="15" customHeight="1">
      <c r="A197" s="680"/>
      <c r="B197" s="1200"/>
      <c r="C197" s="1120"/>
      <c r="D197" s="1120"/>
      <c r="E197" s="1015">
        <f t="shared" si="2"/>
        <v>0</v>
      </c>
      <c r="F197" s="1201"/>
      <c r="G197" s="90"/>
    </row>
    <row r="198" spans="1:7" ht="15" customHeight="1">
      <c r="A198" s="680"/>
      <c r="B198" s="1200"/>
      <c r="C198" s="1120"/>
      <c r="D198" s="1120"/>
      <c r="E198" s="1015">
        <f t="shared" si="2"/>
        <v>0</v>
      </c>
      <c r="F198" s="1201"/>
      <c r="G198" s="90"/>
    </row>
    <row r="199" spans="1:7" ht="15" customHeight="1">
      <c r="A199" s="680"/>
      <c r="B199" s="1200"/>
      <c r="C199" s="1120"/>
      <c r="D199" s="1120"/>
      <c r="E199" s="1015">
        <f t="shared" si="2"/>
        <v>0</v>
      </c>
      <c r="F199" s="1201"/>
      <c r="G199" s="90"/>
    </row>
    <row r="200" spans="1:7" ht="15" customHeight="1">
      <c r="A200" s="680"/>
      <c r="B200" s="1200"/>
      <c r="C200" s="1120"/>
      <c r="D200" s="1120"/>
      <c r="E200" s="1015">
        <f t="shared" si="2"/>
        <v>0</v>
      </c>
      <c r="F200" s="1201"/>
      <c r="G200" s="90"/>
    </row>
    <row r="201" spans="1:7" ht="15" customHeight="1">
      <c r="A201" s="680"/>
      <c r="B201" s="1200"/>
      <c r="C201" s="1120"/>
      <c r="D201" s="1120"/>
      <c r="E201" s="1015">
        <f t="shared" si="2"/>
        <v>0</v>
      </c>
      <c r="F201" s="1201"/>
      <c r="G201" s="90"/>
    </row>
    <row r="202" spans="1:7" ht="15" customHeight="1">
      <c r="A202" s="680"/>
      <c r="B202" s="1200"/>
      <c r="C202" s="1120"/>
      <c r="D202" s="1120"/>
      <c r="E202" s="1015">
        <f t="shared" si="2"/>
        <v>0</v>
      </c>
      <c r="F202" s="1201"/>
      <c r="G202" s="90"/>
    </row>
    <row r="203" spans="1:7" ht="15" customHeight="1">
      <c r="A203" s="680"/>
      <c r="B203" s="1200"/>
      <c r="C203" s="1120"/>
      <c r="D203" s="1120"/>
      <c r="E203" s="1015">
        <f t="shared" si="2"/>
        <v>0</v>
      </c>
      <c r="F203" s="1201"/>
      <c r="G203" s="90"/>
    </row>
    <row r="204" spans="1:7" ht="15" customHeight="1">
      <c r="A204" s="680"/>
      <c r="B204" s="1200"/>
      <c r="C204" s="1120"/>
      <c r="D204" s="1120"/>
      <c r="E204" s="1015">
        <f t="shared" si="2"/>
        <v>0</v>
      </c>
      <c r="F204" s="1201"/>
      <c r="G204" s="90"/>
    </row>
    <row r="205" spans="1:7" ht="15" customHeight="1">
      <c r="A205" s="680"/>
      <c r="B205" s="1200"/>
      <c r="C205" s="1120"/>
      <c r="D205" s="1120"/>
      <c r="E205" s="1015">
        <f t="shared" si="2"/>
        <v>0</v>
      </c>
      <c r="F205" s="1201"/>
      <c r="G205" s="90"/>
    </row>
    <row r="206" spans="1:7" ht="15" customHeight="1">
      <c r="A206" s="680"/>
      <c r="B206" s="1200"/>
      <c r="C206" s="1120"/>
      <c r="D206" s="1120"/>
      <c r="E206" s="1015">
        <f t="shared" si="2"/>
        <v>0</v>
      </c>
      <c r="F206" s="1201"/>
      <c r="G206" s="90"/>
    </row>
    <row r="207" spans="1:7" ht="15" customHeight="1">
      <c r="A207" s="680"/>
      <c r="B207" s="1200"/>
      <c r="C207" s="1120"/>
      <c r="D207" s="1120"/>
      <c r="E207" s="1015">
        <f t="shared" ref="E207:E270" si="3">C207-B207+D207</f>
        <v>0</v>
      </c>
      <c r="F207" s="1201"/>
      <c r="G207" s="90"/>
    </row>
    <row r="208" spans="1:7" ht="15" customHeight="1">
      <c r="A208" s="680"/>
      <c r="B208" s="1200"/>
      <c r="C208" s="1120"/>
      <c r="D208" s="1120"/>
      <c r="E208" s="1015">
        <f t="shared" si="3"/>
        <v>0</v>
      </c>
      <c r="F208" s="1201"/>
      <c r="G208" s="90"/>
    </row>
    <row r="209" spans="1:7" ht="15" customHeight="1">
      <c r="A209" s="680"/>
      <c r="B209" s="1200"/>
      <c r="C209" s="1120"/>
      <c r="D209" s="1120"/>
      <c r="E209" s="1015">
        <f t="shared" si="3"/>
        <v>0</v>
      </c>
      <c r="F209" s="1201"/>
      <c r="G209" s="90"/>
    </row>
    <row r="210" spans="1:7" ht="15" customHeight="1">
      <c r="A210" s="680"/>
      <c r="B210" s="1200"/>
      <c r="C210" s="1120"/>
      <c r="D210" s="1120"/>
      <c r="E210" s="1015">
        <f t="shared" si="3"/>
        <v>0</v>
      </c>
      <c r="F210" s="1201"/>
      <c r="G210" s="90"/>
    </row>
    <row r="211" spans="1:7" ht="15" customHeight="1">
      <c r="A211" s="680"/>
      <c r="B211" s="1200"/>
      <c r="C211" s="1120"/>
      <c r="D211" s="1120"/>
      <c r="E211" s="1015">
        <f t="shared" si="3"/>
        <v>0</v>
      </c>
      <c r="F211" s="1201"/>
      <c r="G211" s="90"/>
    </row>
    <row r="212" spans="1:7" ht="15" customHeight="1">
      <c r="A212" s="680"/>
      <c r="B212" s="1200"/>
      <c r="C212" s="1120"/>
      <c r="D212" s="1120"/>
      <c r="E212" s="1015">
        <f t="shared" si="3"/>
        <v>0</v>
      </c>
      <c r="F212" s="1201"/>
      <c r="G212" s="90"/>
    </row>
    <row r="213" spans="1:7" ht="15" customHeight="1">
      <c r="A213" s="680"/>
      <c r="B213" s="1200"/>
      <c r="C213" s="1120"/>
      <c r="D213" s="1120"/>
      <c r="E213" s="1015">
        <f t="shared" si="3"/>
        <v>0</v>
      </c>
      <c r="F213" s="1201"/>
      <c r="G213" s="90"/>
    </row>
    <row r="214" spans="1:7" ht="15" customHeight="1">
      <c r="A214" s="680"/>
      <c r="B214" s="1200"/>
      <c r="C214" s="1120"/>
      <c r="D214" s="1120"/>
      <c r="E214" s="1015">
        <f t="shared" si="3"/>
        <v>0</v>
      </c>
      <c r="F214" s="1201"/>
      <c r="G214" s="90"/>
    </row>
    <row r="215" spans="1:7" ht="15" customHeight="1">
      <c r="A215" s="680"/>
      <c r="B215" s="1200"/>
      <c r="C215" s="1120"/>
      <c r="D215" s="1120"/>
      <c r="E215" s="1015">
        <f t="shared" si="3"/>
        <v>0</v>
      </c>
      <c r="F215" s="1201"/>
      <c r="G215" s="90"/>
    </row>
    <row r="216" spans="1:7" ht="15" customHeight="1">
      <c r="A216" s="680"/>
      <c r="B216" s="1200"/>
      <c r="C216" s="1120"/>
      <c r="D216" s="1120"/>
      <c r="E216" s="1015">
        <f t="shared" si="3"/>
        <v>0</v>
      </c>
      <c r="F216" s="1201"/>
      <c r="G216" s="90"/>
    </row>
    <row r="217" spans="1:7" ht="15" customHeight="1">
      <c r="A217" s="680"/>
      <c r="B217" s="1200"/>
      <c r="C217" s="1120"/>
      <c r="D217" s="1120"/>
      <c r="E217" s="1015">
        <f t="shared" si="3"/>
        <v>0</v>
      </c>
      <c r="F217" s="1201"/>
      <c r="G217" s="90"/>
    </row>
    <row r="218" spans="1:7" ht="15" customHeight="1">
      <c r="A218" s="680"/>
      <c r="B218" s="1200"/>
      <c r="C218" s="1120"/>
      <c r="D218" s="1120"/>
      <c r="E218" s="1015">
        <f t="shared" si="3"/>
        <v>0</v>
      </c>
      <c r="F218" s="1201"/>
      <c r="G218" s="90"/>
    </row>
    <row r="219" spans="1:7" ht="15" customHeight="1">
      <c r="A219" s="680"/>
      <c r="B219" s="1200"/>
      <c r="C219" s="1120"/>
      <c r="D219" s="1120"/>
      <c r="E219" s="1015">
        <f t="shared" si="3"/>
        <v>0</v>
      </c>
      <c r="F219" s="1201"/>
      <c r="G219" s="90"/>
    </row>
    <row r="220" spans="1:7" ht="15" customHeight="1">
      <c r="A220" s="680"/>
      <c r="B220" s="1200"/>
      <c r="C220" s="1120"/>
      <c r="D220" s="1120"/>
      <c r="E220" s="1015">
        <f t="shared" si="3"/>
        <v>0</v>
      </c>
      <c r="F220" s="1201"/>
      <c r="G220" s="90"/>
    </row>
    <row r="221" spans="1:7" ht="15" customHeight="1">
      <c r="A221" s="680"/>
      <c r="B221" s="1200"/>
      <c r="C221" s="1120"/>
      <c r="D221" s="1120"/>
      <c r="E221" s="1015">
        <f t="shared" si="3"/>
        <v>0</v>
      </c>
      <c r="F221" s="1201"/>
      <c r="G221" s="90"/>
    </row>
    <row r="222" spans="1:7" ht="15" customHeight="1">
      <c r="A222" s="680"/>
      <c r="B222" s="1200"/>
      <c r="C222" s="1120"/>
      <c r="D222" s="1120"/>
      <c r="E222" s="1015">
        <f t="shared" si="3"/>
        <v>0</v>
      </c>
      <c r="F222" s="1201"/>
      <c r="G222" s="90"/>
    </row>
    <row r="223" spans="1:7" ht="15" customHeight="1">
      <c r="A223" s="680"/>
      <c r="B223" s="1200"/>
      <c r="C223" s="1120"/>
      <c r="D223" s="1120"/>
      <c r="E223" s="1015">
        <f t="shared" si="3"/>
        <v>0</v>
      </c>
      <c r="F223" s="1201"/>
      <c r="G223" s="90"/>
    </row>
    <row r="224" spans="1:7" ht="15" customHeight="1">
      <c r="A224" s="680"/>
      <c r="B224" s="1200"/>
      <c r="C224" s="1120"/>
      <c r="D224" s="1120"/>
      <c r="E224" s="1015">
        <f t="shared" si="3"/>
        <v>0</v>
      </c>
      <c r="F224" s="1201"/>
      <c r="G224" s="90"/>
    </row>
    <row r="225" spans="1:7" ht="15" customHeight="1">
      <c r="A225" s="680"/>
      <c r="B225" s="1200"/>
      <c r="C225" s="1120"/>
      <c r="D225" s="1120"/>
      <c r="E225" s="1015">
        <f t="shared" si="3"/>
        <v>0</v>
      </c>
      <c r="F225" s="1201"/>
      <c r="G225" s="90"/>
    </row>
    <row r="226" spans="1:7" ht="15" customHeight="1">
      <c r="A226" s="680"/>
      <c r="B226" s="1200"/>
      <c r="C226" s="1120"/>
      <c r="D226" s="1120"/>
      <c r="E226" s="1015">
        <f t="shared" si="3"/>
        <v>0</v>
      </c>
      <c r="F226" s="1201"/>
      <c r="G226" s="90"/>
    </row>
    <row r="227" spans="1:7" ht="15" customHeight="1">
      <c r="A227" s="680"/>
      <c r="B227" s="1200"/>
      <c r="C227" s="1120"/>
      <c r="D227" s="1120"/>
      <c r="E227" s="1015">
        <f t="shared" si="3"/>
        <v>0</v>
      </c>
      <c r="F227" s="1201"/>
      <c r="G227" s="90"/>
    </row>
    <row r="228" spans="1:7" ht="15" customHeight="1">
      <c r="A228" s="680"/>
      <c r="B228" s="1200"/>
      <c r="C228" s="1120"/>
      <c r="D228" s="1120"/>
      <c r="E228" s="1015">
        <f t="shared" si="3"/>
        <v>0</v>
      </c>
      <c r="F228" s="1201"/>
      <c r="G228" s="90"/>
    </row>
    <row r="229" spans="1:7" ht="15" customHeight="1">
      <c r="A229" s="680"/>
      <c r="B229" s="1200"/>
      <c r="C229" s="1120"/>
      <c r="D229" s="1120"/>
      <c r="E229" s="1015">
        <f t="shared" si="3"/>
        <v>0</v>
      </c>
      <c r="F229" s="1201"/>
      <c r="G229" s="90"/>
    </row>
    <row r="230" spans="1:7" ht="15" customHeight="1">
      <c r="A230" s="680"/>
      <c r="B230" s="1200"/>
      <c r="C230" s="1120"/>
      <c r="D230" s="1120"/>
      <c r="E230" s="1015">
        <f t="shared" si="3"/>
        <v>0</v>
      </c>
      <c r="F230" s="1201"/>
      <c r="G230" s="90"/>
    </row>
    <row r="231" spans="1:7" ht="15" customHeight="1">
      <c r="A231" s="680"/>
      <c r="B231" s="1200"/>
      <c r="C231" s="1120"/>
      <c r="D231" s="1120"/>
      <c r="E231" s="1015">
        <f t="shared" si="3"/>
        <v>0</v>
      </c>
      <c r="F231" s="1201"/>
      <c r="G231" s="90"/>
    </row>
    <row r="232" spans="1:7" ht="15" customHeight="1">
      <c r="A232" s="680"/>
      <c r="B232" s="1200"/>
      <c r="C232" s="1120"/>
      <c r="D232" s="1120"/>
      <c r="E232" s="1015">
        <f t="shared" si="3"/>
        <v>0</v>
      </c>
      <c r="F232" s="1201"/>
      <c r="G232" s="90"/>
    </row>
    <row r="233" spans="1:7" ht="15" customHeight="1">
      <c r="A233" s="680"/>
      <c r="B233" s="1200"/>
      <c r="C233" s="1120"/>
      <c r="D233" s="1120"/>
      <c r="E233" s="1015">
        <f t="shared" si="3"/>
        <v>0</v>
      </c>
      <c r="F233" s="1201"/>
      <c r="G233" s="90"/>
    </row>
    <row r="234" spans="1:7" ht="15" customHeight="1">
      <c r="A234" s="680"/>
      <c r="B234" s="1200"/>
      <c r="C234" s="1120"/>
      <c r="D234" s="1120"/>
      <c r="E234" s="1015">
        <f t="shared" si="3"/>
        <v>0</v>
      </c>
      <c r="F234" s="1201"/>
      <c r="G234" s="90"/>
    </row>
    <row r="235" spans="1:7" ht="15" customHeight="1">
      <c r="A235" s="680"/>
      <c r="B235" s="1200"/>
      <c r="C235" s="1120"/>
      <c r="D235" s="1120"/>
      <c r="E235" s="1015">
        <f t="shared" si="3"/>
        <v>0</v>
      </c>
      <c r="F235" s="1201"/>
      <c r="G235" s="90"/>
    </row>
    <row r="236" spans="1:7" ht="15" customHeight="1">
      <c r="A236" s="680"/>
      <c r="B236" s="1200"/>
      <c r="C236" s="1120"/>
      <c r="D236" s="1120"/>
      <c r="E236" s="1015">
        <f t="shared" si="3"/>
        <v>0</v>
      </c>
      <c r="F236" s="1201"/>
      <c r="G236" s="90"/>
    </row>
    <row r="237" spans="1:7" ht="15" customHeight="1">
      <c r="A237" s="680"/>
      <c r="B237" s="1200"/>
      <c r="C237" s="1120"/>
      <c r="D237" s="1120"/>
      <c r="E237" s="1015">
        <f t="shared" si="3"/>
        <v>0</v>
      </c>
      <c r="F237" s="1201"/>
      <c r="G237" s="90"/>
    </row>
    <row r="238" spans="1:7" ht="15" customHeight="1">
      <c r="A238" s="680"/>
      <c r="B238" s="1200"/>
      <c r="C238" s="1120"/>
      <c r="D238" s="1120"/>
      <c r="E238" s="1015">
        <f t="shared" si="3"/>
        <v>0</v>
      </c>
      <c r="F238" s="1201"/>
      <c r="G238" s="90"/>
    </row>
    <row r="239" spans="1:7" ht="15" customHeight="1">
      <c r="A239" s="680"/>
      <c r="B239" s="1200"/>
      <c r="C239" s="1120"/>
      <c r="D239" s="1120"/>
      <c r="E239" s="1015">
        <f t="shared" si="3"/>
        <v>0</v>
      </c>
      <c r="F239" s="1201"/>
      <c r="G239" s="90"/>
    </row>
    <row r="240" spans="1:7" ht="15" customHeight="1">
      <c r="A240" s="680"/>
      <c r="B240" s="1200"/>
      <c r="C240" s="1120"/>
      <c r="D240" s="1120"/>
      <c r="E240" s="1015">
        <f t="shared" si="3"/>
        <v>0</v>
      </c>
      <c r="F240" s="1201"/>
      <c r="G240" s="90"/>
    </row>
    <row r="241" spans="1:7" ht="15" customHeight="1">
      <c r="A241" s="680"/>
      <c r="B241" s="1200"/>
      <c r="C241" s="1120"/>
      <c r="D241" s="1120"/>
      <c r="E241" s="1015">
        <f t="shared" si="3"/>
        <v>0</v>
      </c>
      <c r="F241" s="1201"/>
      <c r="G241" s="90"/>
    </row>
    <row r="242" spans="1:7" ht="15" customHeight="1">
      <c r="A242" s="680"/>
      <c r="B242" s="1200"/>
      <c r="C242" s="1120"/>
      <c r="D242" s="1120"/>
      <c r="E242" s="1015">
        <f t="shared" si="3"/>
        <v>0</v>
      </c>
      <c r="F242" s="1201"/>
      <c r="G242" s="90"/>
    </row>
    <row r="243" spans="1:7" ht="15" customHeight="1">
      <c r="A243" s="680"/>
      <c r="B243" s="1200"/>
      <c r="C243" s="1120"/>
      <c r="D243" s="1120"/>
      <c r="E243" s="1015">
        <f t="shared" si="3"/>
        <v>0</v>
      </c>
      <c r="F243" s="1201"/>
      <c r="G243" s="90"/>
    </row>
    <row r="244" spans="1:7" ht="15" customHeight="1">
      <c r="A244" s="680"/>
      <c r="B244" s="1200"/>
      <c r="C244" s="1120"/>
      <c r="D244" s="1120"/>
      <c r="E244" s="1015">
        <f t="shared" si="3"/>
        <v>0</v>
      </c>
      <c r="F244" s="1201"/>
      <c r="G244" s="90"/>
    </row>
    <row r="245" spans="1:7" ht="15" customHeight="1">
      <c r="A245" s="680"/>
      <c r="B245" s="1200"/>
      <c r="C245" s="1120"/>
      <c r="D245" s="1120"/>
      <c r="E245" s="1015">
        <f t="shared" si="3"/>
        <v>0</v>
      </c>
      <c r="F245" s="1201"/>
      <c r="G245" s="90"/>
    </row>
    <row r="246" spans="1:7" ht="15" customHeight="1">
      <c r="A246" s="680"/>
      <c r="B246" s="1200"/>
      <c r="C246" s="1120"/>
      <c r="D246" s="1120"/>
      <c r="E246" s="1015">
        <f t="shared" si="3"/>
        <v>0</v>
      </c>
      <c r="F246" s="1201"/>
      <c r="G246" s="90"/>
    </row>
    <row r="247" spans="1:7" ht="15" customHeight="1">
      <c r="A247" s="680"/>
      <c r="B247" s="1200"/>
      <c r="C247" s="1120"/>
      <c r="D247" s="1120"/>
      <c r="E247" s="1015">
        <f t="shared" si="3"/>
        <v>0</v>
      </c>
      <c r="F247" s="1201"/>
      <c r="G247" s="90"/>
    </row>
    <row r="248" spans="1:7" ht="15" customHeight="1">
      <c r="A248" s="680"/>
      <c r="B248" s="1200"/>
      <c r="C248" s="1120"/>
      <c r="D248" s="1120"/>
      <c r="E248" s="1015">
        <f t="shared" si="3"/>
        <v>0</v>
      </c>
      <c r="F248" s="1201"/>
      <c r="G248" s="90"/>
    </row>
    <row r="249" spans="1:7" ht="15" customHeight="1">
      <c r="A249" s="680"/>
      <c r="B249" s="1200"/>
      <c r="C249" s="1120"/>
      <c r="D249" s="1120"/>
      <c r="E249" s="1015">
        <f t="shared" si="3"/>
        <v>0</v>
      </c>
      <c r="F249" s="1201"/>
      <c r="G249" s="90"/>
    </row>
    <row r="250" spans="1:7" ht="15" customHeight="1">
      <c r="A250" s="680"/>
      <c r="B250" s="1200"/>
      <c r="C250" s="1120"/>
      <c r="D250" s="1120"/>
      <c r="E250" s="1015">
        <f t="shared" si="3"/>
        <v>0</v>
      </c>
      <c r="F250" s="1201"/>
      <c r="G250" s="90"/>
    </row>
    <row r="251" spans="1:7" ht="15" customHeight="1">
      <c r="A251" s="680"/>
      <c r="B251" s="1200"/>
      <c r="C251" s="1120"/>
      <c r="D251" s="1120"/>
      <c r="E251" s="1015">
        <f t="shared" si="3"/>
        <v>0</v>
      </c>
      <c r="F251" s="1201"/>
      <c r="G251" s="90"/>
    </row>
    <row r="252" spans="1:7" ht="15" customHeight="1">
      <c r="A252" s="680"/>
      <c r="B252" s="1200"/>
      <c r="C252" s="1120"/>
      <c r="D252" s="1120"/>
      <c r="E252" s="1015">
        <f t="shared" si="3"/>
        <v>0</v>
      </c>
      <c r="F252" s="1201"/>
      <c r="G252" s="90"/>
    </row>
    <row r="253" spans="1:7" ht="15" customHeight="1">
      <c r="A253" s="680"/>
      <c r="B253" s="1200"/>
      <c r="C253" s="1120"/>
      <c r="D253" s="1120"/>
      <c r="E253" s="1015">
        <f t="shared" si="3"/>
        <v>0</v>
      </c>
      <c r="F253" s="1201"/>
      <c r="G253" s="90"/>
    </row>
    <row r="254" spans="1:7" ht="15" customHeight="1">
      <c r="A254" s="680"/>
      <c r="B254" s="1200"/>
      <c r="C254" s="1120"/>
      <c r="D254" s="1120"/>
      <c r="E254" s="1015">
        <f t="shared" si="3"/>
        <v>0</v>
      </c>
      <c r="F254" s="1201"/>
      <c r="G254" s="90"/>
    </row>
    <row r="255" spans="1:7" ht="15" customHeight="1">
      <c r="A255" s="680"/>
      <c r="B255" s="1200"/>
      <c r="C255" s="1120"/>
      <c r="D255" s="1120"/>
      <c r="E255" s="1015">
        <f t="shared" si="3"/>
        <v>0</v>
      </c>
      <c r="F255" s="1201"/>
      <c r="G255" s="90"/>
    </row>
    <row r="256" spans="1:7" ht="15" customHeight="1">
      <c r="A256" s="680"/>
      <c r="B256" s="1200"/>
      <c r="C256" s="1120"/>
      <c r="D256" s="1120"/>
      <c r="E256" s="1015">
        <f t="shared" si="3"/>
        <v>0</v>
      </c>
      <c r="F256" s="1201"/>
      <c r="G256" s="90"/>
    </row>
    <row r="257" spans="1:7" ht="15" customHeight="1">
      <c r="A257" s="680"/>
      <c r="B257" s="1200"/>
      <c r="C257" s="1120"/>
      <c r="D257" s="1120"/>
      <c r="E257" s="1015">
        <f t="shared" si="3"/>
        <v>0</v>
      </c>
      <c r="F257" s="1201"/>
      <c r="G257" s="90"/>
    </row>
    <row r="258" spans="1:7" ht="15" customHeight="1">
      <c r="A258" s="680"/>
      <c r="B258" s="1200"/>
      <c r="C258" s="1120"/>
      <c r="D258" s="1120"/>
      <c r="E258" s="1015">
        <f t="shared" si="3"/>
        <v>0</v>
      </c>
      <c r="F258" s="1201"/>
      <c r="G258" s="90"/>
    </row>
    <row r="259" spans="1:7" ht="15" customHeight="1">
      <c r="A259" s="680"/>
      <c r="B259" s="1200"/>
      <c r="C259" s="1120"/>
      <c r="D259" s="1120"/>
      <c r="E259" s="1015">
        <f t="shared" si="3"/>
        <v>0</v>
      </c>
      <c r="F259" s="1201"/>
      <c r="G259" s="90"/>
    </row>
    <row r="260" spans="1:7" ht="15" customHeight="1">
      <c r="A260" s="680"/>
      <c r="B260" s="1200"/>
      <c r="C260" s="1120"/>
      <c r="D260" s="1120"/>
      <c r="E260" s="1015">
        <f t="shared" si="3"/>
        <v>0</v>
      </c>
      <c r="F260" s="1201"/>
      <c r="G260" s="90"/>
    </row>
    <row r="261" spans="1:7" ht="15" customHeight="1">
      <c r="A261" s="680"/>
      <c r="B261" s="1200"/>
      <c r="C261" s="1120"/>
      <c r="D261" s="1120"/>
      <c r="E261" s="1015">
        <f t="shared" si="3"/>
        <v>0</v>
      </c>
      <c r="F261" s="1201"/>
      <c r="G261" s="90"/>
    </row>
    <row r="262" spans="1:7" ht="15" customHeight="1">
      <c r="A262" s="680"/>
      <c r="B262" s="1200"/>
      <c r="C262" s="1120"/>
      <c r="D262" s="1120"/>
      <c r="E262" s="1015">
        <f t="shared" si="3"/>
        <v>0</v>
      </c>
      <c r="F262" s="1201"/>
      <c r="G262" s="90"/>
    </row>
    <row r="263" spans="1:7" ht="15" customHeight="1">
      <c r="A263" s="680"/>
      <c r="B263" s="1200"/>
      <c r="C263" s="1120"/>
      <c r="D263" s="1120"/>
      <c r="E263" s="1015">
        <f t="shared" si="3"/>
        <v>0</v>
      </c>
      <c r="F263" s="1201"/>
      <c r="G263" s="90"/>
    </row>
    <row r="264" spans="1:7" ht="15" customHeight="1">
      <c r="A264" s="680"/>
      <c r="B264" s="1200"/>
      <c r="C264" s="1120"/>
      <c r="D264" s="1120"/>
      <c r="E264" s="1015">
        <f t="shared" si="3"/>
        <v>0</v>
      </c>
      <c r="F264" s="1201"/>
      <c r="G264" s="90"/>
    </row>
    <row r="265" spans="1:7" ht="15" customHeight="1">
      <c r="A265" s="680"/>
      <c r="B265" s="1200"/>
      <c r="C265" s="1120"/>
      <c r="D265" s="1120"/>
      <c r="E265" s="1015">
        <f t="shared" si="3"/>
        <v>0</v>
      </c>
      <c r="F265" s="1201"/>
      <c r="G265" s="90"/>
    </row>
    <row r="266" spans="1:7" ht="15" customHeight="1">
      <c r="A266" s="680"/>
      <c r="B266" s="1200"/>
      <c r="C266" s="1120"/>
      <c r="D266" s="1120"/>
      <c r="E266" s="1015">
        <f t="shared" si="3"/>
        <v>0</v>
      </c>
      <c r="F266" s="1201"/>
      <c r="G266" s="90"/>
    </row>
    <row r="267" spans="1:7" ht="15" customHeight="1">
      <c r="A267" s="680"/>
      <c r="B267" s="1200"/>
      <c r="C267" s="1120"/>
      <c r="D267" s="1120"/>
      <c r="E267" s="1015">
        <f t="shared" si="3"/>
        <v>0</v>
      </c>
      <c r="F267" s="1201"/>
      <c r="G267" s="90"/>
    </row>
    <row r="268" spans="1:7" ht="15" customHeight="1">
      <c r="A268" s="680"/>
      <c r="B268" s="1200"/>
      <c r="C268" s="1120"/>
      <c r="D268" s="1120"/>
      <c r="E268" s="1015">
        <f t="shared" si="3"/>
        <v>0</v>
      </c>
      <c r="F268" s="1201"/>
      <c r="G268" s="90"/>
    </row>
    <row r="269" spans="1:7" ht="15" customHeight="1">
      <c r="A269" s="680"/>
      <c r="B269" s="1200"/>
      <c r="C269" s="1120"/>
      <c r="D269" s="1120"/>
      <c r="E269" s="1015">
        <f t="shared" si="3"/>
        <v>0</v>
      </c>
      <c r="F269" s="1201"/>
      <c r="G269" s="90"/>
    </row>
    <row r="270" spans="1:7" ht="15" customHeight="1">
      <c r="A270" s="680"/>
      <c r="B270" s="1200"/>
      <c r="C270" s="1120"/>
      <c r="D270" s="1120"/>
      <c r="E270" s="1015">
        <f t="shared" si="3"/>
        <v>0</v>
      </c>
      <c r="F270" s="1201"/>
      <c r="G270" s="90"/>
    </row>
    <row r="271" spans="1:7" ht="15" customHeight="1">
      <c r="A271" s="680"/>
      <c r="B271" s="1200"/>
      <c r="C271" s="1120"/>
      <c r="D271" s="1120"/>
      <c r="E271" s="1015">
        <f t="shared" ref="E271:E302" si="4">C271-B271+D271</f>
        <v>0</v>
      </c>
      <c r="F271" s="1201"/>
      <c r="G271" s="90"/>
    </row>
    <row r="272" spans="1:7" ht="15" customHeight="1">
      <c r="A272" s="680"/>
      <c r="B272" s="1200"/>
      <c r="C272" s="1120"/>
      <c r="D272" s="1120"/>
      <c r="E272" s="1015">
        <f t="shared" si="4"/>
        <v>0</v>
      </c>
      <c r="F272" s="1201"/>
      <c r="G272" s="90"/>
    </row>
    <row r="273" spans="1:7" ht="15" customHeight="1">
      <c r="A273" s="680"/>
      <c r="B273" s="1200"/>
      <c r="C273" s="1120"/>
      <c r="D273" s="1120"/>
      <c r="E273" s="1015">
        <f t="shared" si="4"/>
        <v>0</v>
      </c>
      <c r="F273" s="1201"/>
      <c r="G273" s="90"/>
    </row>
    <row r="274" spans="1:7" ht="15" customHeight="1">
      <c r="A274" s="680"/>
      <c r="B274" s="1200"/>
      <c r="C274" s="1120"/>
      <c r="D274" s="1120"/>
      <c r="E274" s="1015">
        <f t="shared" si="4"/>
        <v>0</v>
      </c>
      <c r="F274" s="1201"/>
      <c r="G274" s="90"/>
    </row>
    <row r="275" spans="1:7" ht="15" customHeight="1">
      <c r="A275" s="680"/>
      <c r="B275" s="1200"/>
      <c r="C275" s="1120"/>
      <c r="D275" s="1120"/>
      <c r="E275" s="1015">
        <f t="shared" si="4"/>
        <v>0</v>
      </c>
      <c r="F275" s="1201"/>
      <c r="G275" s="90"/>
    </row>
    <row r="276" spans="1:7" ht="15" customHeight="1">
      <c r="A276" s="680"/>
      <c r="B276" s="1200"/>
      <c r="C276" s="1120"/>
      <c r="D276" s="1120"/>
      <c r="E276" s="1015">
        <f t="shared" si="4"/>
        <v>0</v>
      </c>
      <c r="F276" s="1201"/>
      <c r="G276" s="90"/>
    </row>
    <row r="277" spans="1:7" ht="15" customHeight="1">
      <c r="A277" s="680"/>
      <c r="B277" s="1200"/>
      <c r="C277" s="1120"/>
      <c r="D277" s="1120"/>
      <c r="E277" s="1015">
        <f t="shared" si="4"/>
        <v>0</v>
      </c>
      <c r="F277" s="1201"/>
      <c r="G277" s="90"/>
    </row>
    <row r="278" spans="1:7" ht="15" customHeight="1">
      <c r="A278" s="680"/>
      <c r="B278" s="1200"/>
      <c r="C278" s="1120"/>
      <c r="D278" s="1120"/>
      <c r="E278" s="1015">
        <f t="shared" si="4"/>
        <v>0</v>
      </c>
      <c r="F278" s="1201"/>
      <c r="G278" s="90"/>
    </row>
    <row r="279" spans="1:7" ht="15" customHeight="1">
      <c r="A279" s="680"/>
      <c r="B279" s="1200"/>
      <c r="C279" s="1120"/>
      <c r="D279" s="1120"/>
      <c r="E279" s="1015">
        <f t="shared" si="4"/>
        <v>0</v>
      </c>
      <c r="F279" s="1201"/>
      <c r="G279" s="90"/>
    </row>
    <row r="280" spans="1:7" ht="15" customHeight="1">
      <c r="A280" s="680"/>
      <c r="B280" s="1200"/>
      <c r="C280" s="1120"/>
      <c r="D280" s="1120"/>
      <c r="E280" s="1015">
        <f t="shared" si="4"/>
        <v>0</v>
      </c>
      <c r="F280" s="1201"/>
      <c r="G280" s="90"/>
    </row>
    <row r="281" spans="1:7" ht="15" customHeight="1">
      <c r="A281" s="680"/>
      <c r="B281" s="1200"/>
      <c r="C281" s="1120"/>
      <c r="D281" s="1120"/>
      <c r="E281" s="1015">
        <f t="shared" si="4"/>
        <v>0</v>
      </c>
      <c r="F281" s="1201"/>
      <c r="G281" s="90"/>
    </row>
    <row r="282" spans="1:7" ht="15" customHeight="1">
      <c r="A282" s="680"/>
      <c r="B282" s="1200"/>
      <c r="C282" s="1120"/>
      <c r="D282" s="1120"/>
      <c r="E282" s="1015">
        <f t="shared" si="4"/>
        <v>0</v>
      </c>
      <c r="F282" s="1201"/>
      <c r="G282" s="90"/>
    </row>
    <row r="283" spans="1:7" ht="15" customHeight="1">
      <c r="A283" s="680"/>
      <c r="B283" s="1200"/>
      <c r="C283" s="1120"/>
      <c r="D283" s="1120"/>
      <c r="E283" s="1015">
        <f t="shared" si="4"/>
        <v>0</v>
      </c>
      <c r="F283" s="1201"/>
      <c r="G283" s="90"/>
    </row>
    <row r="284" spans="1:7" ht="15" customHeight="1">
      <c r="A284" s="680"/>
      <c r="B284" s="1200"/>
      <c r="C284" s="1120"/>
      <c r="D284" s="1120"/>
      <c r="E284" s="1015">
        <f t="shared" si="4"/>
        <v>0</v>
      </c>
      <c r="F284" s="1201"/>
      <c r="G284" s="90"/>
    </row>
    <row r="285" spans="1:7" ht="15" customHeight="1">
      <c r="A285" s="680"/>
      <c r="B285" s="1200"/>
      <c r="C285" s="1120"/>
      <c r="D285" s="1120"/>
      <c r="E285" s="1015">
        <f t="shared" si="4"/>
        <v>0</v>
      </c>
      <c r="F285" s="1201"/>
      <c r="G285" s="90"/>
    </row>
    <row r="286" spans="1:7" ht="15" customHeight="1">
      <c r="A286" s="680"/>
      <c r="B286" s="1200"/>
      <c r="C286" s="1120"/>
      <c r="D286" s="1120"/>
      <c r="E286" s="1015">
        <f t="shared" si="4"/>
        <v>0</v>
      </c>
      <c r="F286" s="1201"/>
      <c r="G286" s="90"/>
    </row>
    <row r="287" spans="1:7" ht="15" customHeight="1">
      <c r="A287" s="680"/>
      <c r="B287" s="1200"/>
      <c r="C287" s="1120"/>
      <c r="D287" s="1120"/>
      <c r="E287" s="1015">
        <f t="shared" si="4"/>
        <v>0</v>
      </c>
      <c r="F287" s="1201"/>
      <c r="G287" s="90"/>
    </row>
    <row r="288" spans="1:7" ht="15" customHeight="1">
      <c r="A288" s="680"/>
      <c r="B288" s="1200"/>
      <c r="C288" s="1120"/>
      <c r="D288" s="1120"/>
      <c r="E288" s="1015">
        <f t="shared" si="4"/>
        <v>0</v>
      </c>
      <c r="F288" s="1201"/>
      <c r="G288" s="90"/>
    </row>
    <row r="289" spans="1:7" ht="15" customHeight="1">
      <c r="A289" s="680"/>
      <c r="B289" s="1200"/>
      <c r="C289" s="1120"/>
      <c r="D289" s="1120"/>
      <c r="E289" s="1015">
        <f t="shared" si="4"/>
        <v>0</v>
      </c>
      <c r="F289" s="1201"/>
      <c r="G289" s="90"/>
    </row>
    <row r="290" spans="1:7" ht="15" customHeight="1">
      <c r="A290" s="680"/>
      <c r="B290" s="1200"/>
      <c r="C290" s="1120"/>
      <c r="D290" s="1120"/>
      <c r="E290" s="1015">
        <f t="shared" si="4"/>
        <v>0</v>
      </c>
      <c r="F290" s="1201"/>
      <c r="G290" s="90"/>
    </row>
    <row r="291" spans="1:7" ht="15" customHeight="1">
      <c r="A291" s="680"/>
      <c r="B291" s="1200"/>
      <c r="C291" s="1120"/>
      <c r="D291" s="1120"/>
      <c r="E291" s="1015">
        <f t="shared" si="4"/>
        <v>0</v>
      </c>
      <c r="F291" s="1201"/>
      <c r="G291" s="90"/>
    </row>
    <row r="292" spans="1:7" ht="15" customHeight="1">
      <c r="A292" s="680"/>
      <c r="B292" s="1200"/>
      <c r="C292" s="1120"/>
      <c r="D292" s="1120"/>
      <c r="E292" s="1015">
        <f t="shared" si="4"/>
        <v>0</v>
      </c>
      <c r="F292" s="1201"/>
      <c r="G292" s="90"/>
    </row>
    <row r="293" spans="1:7" ht="15" customHeight="1">
      <c r="A293" s="680"/>
      <c r="B293" s="1200"/>
      <c r="C293" s="1120"/>
      <c r="D293" s="1120"/>
      <c r="E293" s="1015">
        <f t="shared" si="4"/>
        <v>0</v>
      </c>
      <c r="F293" s="1201"/>
      <c r="G293" s="90"/>
    </row>
    <row r="294" spans="1:7" ht="15" customHeight="1">
      <c r="A294" s="680"/>
      <c r="B294" s="1200"/>
      <c r="C294" s="1120"/>
      <c r="D294" s="1120"/>
      <c r="E294" s="1015">
        <f t="shared" si="4"/>
        <v>0</v>
      </c>
      <c r="F294" s="1201"/>
      <c r="G294" s="90"/>
    </row>
    <row r="295" spans="1:7" ht="15" customHeight="1">
      <c r="A295" s="680"/>
      <c r="B295" s="1200"/>
      <c r="C295" s="1120"/>
      <c r="D295" s="1120"/>
      <c r="E295" s="1015">
        <f t="shared" si="4"/>
        <v>0</v>
      </c>
      <c r="F295" s="1201"/>
      <c r="G295" s="90"/>
    </row>
    <row r="296" spans="1:7" ht="15" customHeight="1">
      <c r="A296" s="680"/>
      <c r="B296" s="1200"/>
      <c r="C296" s="1120"/>
      <c r="D296" s="1120"/>
      <c r="E296" s="1015">
        <f t="shared" si="4"/>
        <v>0</v>
      </c>
      <c r="F296" s="1201"/>
      <c r="G296" s="90"/>
    </row>
    <row r="297" spans="1:7" ht="15" customHeight="1">
      <c r="A297" s="680"/>
      <c r="B297" s="1200"/>
      <c r="C297" s="1120"/>
      <c r="D297" s="1120"/>
      <c r="E297" s="1015">
        <f t="shared" si="4"/>
        <v>0</v>
      </c>
      <c r="F297" s="1201"/>
      <c r="G297" s="90"/>
    </row>
    <row r="298" spans="1:7" ht="15" customHeight="1">
      <c r="A298" s="680"/>
      <c r="B298" s="1200"/>
      <c r="C298" s="1120"/>
      <c r="D298" s="1120"/>
      <c r="E298" s="1015">
        <f t="shared" si="4"/>
        <v>0</v>
      </c>
      <c r="F298" s="1201"/>
      <c r="G298" s="90"/>
    </row>
    <row r="299" spans="1:7" ht="15" customHeight="1">
      <c r="A299" s="680"/>
      <c r="B299" s="1200"/>
      <c r="C299" s="1120"/>
      <c r="D299" s="1120"/>
      <c r="E299" s="1015">
        <f t="shared" si="4"/>
        <v>0</v>
      </c>
      <c r="F299" s="1201"/>
      <c r="G299" s="90"/>
    </row>
    <row r="300" spans="1:7" ht="15" customHeight="1">
      <c r="A300" s="680"/>
      <c r="B300" s="1200"/>
      <c r="C300" s="1120"/>
      <c r="D300" s="1120"/>
      <c r="E300" s="1015">
        <f t="shared" si="4"/>
        <v>0</v>
      </c>
      <c r="F300" s="1201"/>
      <c r="G300" s="90"/>
    </row>
    <row r="301" spans="1:7" ht="15" customHeight="1">
      <c r="A301" s="680"/>
      <c r="B301" s="1200"/>
      <c r="C301" s="1120"/>
      <c r="D301" s="1120"/>
      <c r="E301" s="1015">
        <f t="shared" si="4"/>
        <v>0</v>
      </c>
      <c r="F301" s="1201"/>
      <c r="G301" s="90"/>
    </row>
    <row r="302" spans="1:7" ht="15" customHeight="1">
      <c r="A302" s="682"/>
      <c r="B302" s="1202"/>
      <c r="C302" s="1125"/>
      <c r="D302" s="1125"/>
      <c r="E302" s="1020">
        <f t="shared" si="4"/>
        <v>0</v>
      </c>
      <c r="F302" s="1203"/>
      <c r="G302" s="90"/>
    </row>
    <row r="303" spans="1:7" ht="15" customHeight="1">
      <c r="A303" s="554"/>
      <c r="B303" s="554"/>
      <c r="C303" s="554"/>
      <c r="D303" s="554"/>
      <c r="E303" s="554"/>
      <c r="F303" s="554"/>
    </row>
    <row r="304" spans="1:7" ht="15" customHeight="1">
      <c r="A304" s="554"/>
      <c r="B304" s="554"/>
      <c r="C304" s="554"/>
      <c r="D304" s="554"/>
      <c r="E304" s="554"/>
      <c r="F304" s="554"/>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c r="A309" s="554"/>
      <c r="B309" s="554"/>
      <c r="C309" s="554"/>
      <c r="D309" s="554"/>
      <c r="E309" s="554"/>
      <c r="F309" s="554"/>
    </row>
    <row r="310" spans="1:6" ht="15" customHeight="1">
      <c r="A310" s="554"/>
      <c r="B310" s="554"/>
      <c r="C310" s="554"/>
      <c r="D310" s="554"/>
      <c r="E310" s="554"/>
      <c r="F310" s="554"/>
    </row>
    <row r="311" spans="1:6" ht="15" customHeight="1">
      <c r="A311" s="554"/>
      <c r="B311" s="554"/>
      <c r="C311" s="554"/>
      <c r="D311" s="554"/>
      <c r="E311" s="554"/>
      <c r="F311" s="554"/>
    </row>
    <row r="312" spans="1:6" ht="15" customHeight="1">
      <c r="A312" s="554"/>
      <c r="B312" s="554"/>
      <c r="C312" s="554"/>
      <c r="D312" s="554"/>
      <c r="E312" s="554"/>
      <c r="F312" s="554"/>
    </row>
    <row r="313" spans="1:6" ht="15" customHeight="1">
      <c r="A313" s="554"/>
      <c r="B313" s="554"/>
      <c r="C313" s="554"/>
      <c r="D313" s="554"/>
      <c r="E313" s="554"/>
      <c r="F313" s="554"/>
    </row>
    <row r="314" spans="1:6" ht="15" customHeight="1">
      <c r="A314" s="554"/>
      <c r="B314" s="554"/>
      <c r="C314" s="554"/>
      <c r="D314" s="554"/>
      <c r="E314" s="554"/>
      <c r="F314" s="554"/>
    </row>
    <row r="315" spans="1:6" ht="15" customHeight="1">
      <c r="A315" s="554"/>
      <c r="B315" s="554"/>
      <c r="C315" s="554"/>
      <c r="D315" s="554"/>
      <c r="E315" s="554"/>
      <c r="F315" s="554"/>
    </row>
    <row r="316" spans="1:6" ht="15" customHeight="1">
      <c r="A316" s="554"/>
      <c r="B316" s="554"/>
      <c r="C316" s="554"/>
      <c r="D316" s="554"/>
      <c r="E316" s="554"/>
      <c r="F316" s="554"/>
    </row>
    <row r="317" spans="1:6" ht="15" customHeight="1">
      <c r="A317" s="554"/>
      <c r="B317" s="554"/>
      <c r="C317" s="554"/>
      <c r="D317" s="554"/>
      <c r="E317" s="554"/>
      <c r="F317" s="554"/>
    </row>
    <row r="318" spans="1:6" ht="15" customHeight="1">
      <c r="A318" s="554"/>
      <c r="B318" s="554"/>
      <c r="C318" s="554"/>
      <c r="D318" s="554"/>
      <c r="E318" s="554"/>
      <c r="F318" s="554"/>
    </row>
    <row r="319" spans="1:6" ht="15" customHeight="1">
      <c r="A319" s="554"/>
      <c r="B319" s="554"/>
      <c r="C319" s="554"/>
      <c r="D319" s="554"/>
      <c r="E319" s="554"/>
      <c r="F319" s="554"/>
    </row>
    <row r="320" spans="1:6" ht="15" customHeight="1">
      <c r="A320" s="554"/>
      <c r="B320" s="554"/>
      <c r="C320" s="554"/>
      <c r="D320" s="554"/>
      <c r="E320" s="554"/>
      <c r="F320" s="554"/>
    </row>
    <row r="321" spans="1:6" ht="15" customHeight="1">
      <c r="A321" s="554"/>
      <c r="B321" s="554"/>
      <c r="C321" s="554"/>
      <c r="D321" s="554"/>
      <c r="E321" s="554"/>
      <c r="F321" s="554"/>
    </row>
    <row r="322" spans="1:6" ht="15" customHeight="1">
      <c r="A322" s="554"/>
      <c r="B322" s="554"/>
      <c r="C322" s="554"/>
      <c r="D322" s="554"/>
      <c r="E322" s="554"/>
      <c r="F322" s="554"/>
    </row>
    <row r="323" spans="1:6" ht="15" customHeight="1">
      <c r="A323" s="554"/>
      <c r="B323" s="554"/>
      <c r="C323" s="554"/>
      <c r="D323" s="554"/>
      <c r="E323" s="554"/>
      <c r="F323" s="554"/>
    </row>
    <row r="324" spans="1:6" ht="15" customHeight="1">
      <c r="A324" s="554"/>
      <c r="B324" s="554"/>
      <c r="C324" s="554"/>
      <c r="D324" s="554"/>
      <c r="E324" s="554"/>
      <c r="F324" s="554"/>
    </row>
    <row r="325" spans="1:6" ht="15" customHeight="1">
      <c r="A325" s="554"/>
      <c r="B325" s="554"/>
      <c r="C325" s="554"/>
      <c r="D325" s="554"/>
      <c r="E325" s="554"/>
      <c r="F325" s="554"/>
    </row>
    <row r="326" spans="1:6" ht="15" customHeight="1">
      <c r="A326" s="554"/>
      <c r="B326" s="554"/>
      <c r="C326" s="554"/>
      <c r="D326" s="554"/>
      <c r="E326" s="554"/>
      <c r="F326" s="554"/>
    </row>
    <row r="327" spans="1:6" ht="15" customHeight="1">
      <c r="A327" s="554"/>
      <c r="B327" s="554"/>
      <c r="C327" s="554"/>
      <c r="D327" s="554"/>
      <c r="E327" s="554"/>
      <c r="F327" s="554"/>
    </row>
    <row r="328" spans="1:6" ht="15" customHeight="1">
      <c r="A328" s="554"/>
      <c r="B328" s="554"/>
      <c r="C328" s="554"/>
      <c r="D328" s="554"/>
      <c r="E328" s="554"/>
      <c r="F328" s="554"/>
    </row>
    <row r="329" spans="1:6" ht="15" customHeight="1">
      <c r="A329" s="554"/>
      <c r="B329" s="554"/>
      <c r="C329" s="554"/>
      <c r="D329" s="554"/>
      <c r="E329" s="554"/>
      <c r="F329" s="554"/>
    </row>
    <row r="330" spans="1:6" ht="15" customHeight="1">
      <c r="A330" s="554"/>
      <c r="B330" s="554"/>
      <c r="C330" s="554"/>
      <c r="D330" s="554"/>
      <c r="E330" s="554"/>
      <c r="F330" s="554"/>
    </row>
    <row r="331" spans="1:6" ht="15" customHeight="1">
      <c r="A331" s="554"/>
      <c r="B331" s="554"/>
      <c r="C331" s="554"/>
      <c r="D331" s="554"/>
      <c r="E331" s="554"/>
      <c r="F331" s="554"/>
    </row>
    <row r="332" spans="1:6" ht="15" customHeight="1">
      <c r="A332" s="554"/>
      <c r="B332" s="554"/>
      <c r="C332" s="554"/>
      <c r="D332" s="554"/>
      <c r="E332" s="554"/>
      <c r="F332" s="554"/>
    </row>
    <row r="333" spans="1:6" ht="15" customHeight="1">
      <c r="A333" s="554"/>
      <c r="B333" s="554"/>
      <c r="C333" s="554"/>
      <c r="D333" s="554"/>
      <c r="E333" s="554"/>
      <c r="F333" s="554"/>
    </row>
    <row r="334" spans="1:6" ht="15" customHeight="1">
      <c r="A334" s="554"/>
      <c r="B334" s="554"/>
      <c r="C334" s="554"/>
      <c r="D334" s="554"/>
      <c r="E334" s="554"/>
      <c r="F334" s="554"/>
    </row>
    <row r="335" spans="1:6" ht="15" customHeight="1">
      <c r="A335" s="554"/>
      <c r="B335" s="554"/>
      <c r="C335" s="554"/>
      <c r="D335" s="554"/>
      <c r="E335" s="554"/>
      <c r="F335" s="554"/>
    </row>
    <row r="336" spans="1:6" ht="15" customHeight="1">
      <c r="A336" s="554"/>
      <c r="B336" s="554"/>
      <c r="C336" s="554"/>
      <c r="D336" s="554"/>
      <c r="E336" s="554"/>
      <c r="F336" s="554"/>
    </row>
    <row r="337" spans="1:6" ht="15" customHeight="1">
      <c r="A337" s="554"/>
      <c r="B337" s="554"/>
      <c r="C337" s="554"/>
      <c r="D337" s="554"/>
      <c r="E337" s="554"/>
      <c r="F337" s="554"/>
    </row>
    <row r="338" spans="1:6" ht="15" customHeight="1">
      <c r="A338" s="554"/>
      <c r="B338" s="554"/>
      <c r="C338" s="554"/>
      <c r="D338" s="554"/>
      <c r="E338" s="554"/>
      <c r="F338" s="554"/>
    </row>
    <row r="339" spans="1:6" ht="15" customHeight="1">
      <c r="A339" s="554"/>
      <c r="B339" s="554"/>
      <c r="C339" s="554"/>
      <c r="D339" s="554"/>
      <c r="E339" s="554"/>
      <c r="F339" s="554"/>
    </row>
    <row r="340" spans="1:6" ht="15" customHeight="1">
      <c r="A340" s="554"/>
      <c r="B340" s="554"/>
      <c r="C340" s="554"/>
      <c r="D340" s="554"/>
      <c r="E340" s="554"/>
      <c r="F340" s="554"/>
    </row>
    <row r="341" spans="1:6" ht="15" customHeight="1">
      <c r="A341" s="554"/>
      <c r="B341" s="554"/>
      <c r="C341" s="554"/>
      <c r="D341" s="554"/>
      <c r="E341" s="554"/>
      <c r="F341" s="554"/>
    </row>
    <row r="342" spans="1:6" ht="15" customHeight="1">
      <c r="A342" s="554"/>
      <c r="B342" s="554"/>
      <c r="C342" s="554"/>
      <c r="D342" s="554"/>
      <c r="E342" s="554"/>
      <c r="F342" s="554"/>
    </row>
    <row r="343" spans="1:6" ht="15" customHeight="1">
      <c r="A343" s="554"/>
      <c r="B343" s="554"/>
      <c r="C343" s="554"/>
      <c r="D343" s="554"/>
      <c r="E343" s="554"/>
      <c r="F343" s="554"/>
    </row>
    <row r="344" spans="1:6" ht="15" customHeight="1">
      <c r="A344" s="554"/>
      <c r="B344" s="554"/>
      <c r="C344" s="554"/>
      <c r="D344" s="554"/>
      <c r="E344" s="554"/>
      <c r="F344" s="554"/>
    </row>
    <row r="345" spans="1:6" ht="15" customHeight="1">
      <c r="A345" s="554"/>
      <c r="B345" s="554"/>
      <c r="C345" s="554"/>
      <c r="D345" s="554"/>
      <c r="E345" s="554"/>
      <c r="F345" s="554"/>
    </row>
    <row r="346" spans="1:6" ht="15" customHeight="1">
      <c r="A346" s="554"/>
      <c r="B346" s="554"/>
      <c r="C346" s="554"/>
      <c r="D346" s="554"/>
      <c r="E346" s="554"/>
      <c r="F346" s="554"/>
    </row>
    <row r="347" spans="1:6" ht="15" customHeight="1">
      <c r="A347" s="554"/>
      <c r="B347" s="554"/>
      <c r="C347" s="554"/>
      <c r="D347" s="554"/>
      <c r="E347" s="554"/>
      <c r="F347" s="554"/>
    </row>
    <row r="348" spans="1:6" ht="15" customHeight="1">
      <c r="A348" s="554"/>
      <c r="B348" s="554"/>
      <c r="C348" s="554"/>
      <c r="D348" s="554"/>
      <c r="E348" s="554"/>
      <c r="F348" s="554"/>
    </row>
    <row r="349" spans="1:6" ht="15" customHeight="1">
      <c r="A349" s="554"/>
      <c r="B349" s="554"/>
      <c r="C349" s="554"/>
      <c r="D349" s="554"/>
      <c r="E349" s="554"/>
      <c r="F349" s="554"/>
    </row>
    <row r="350" spans="1:6" ht="15" customHeight="1">
      <c r="A350" s="554"/>
      <c r="B350" s="554"/>
      <c r="C350" s="554"/>
      <c r="D350" s="554"/>
      <c r="E350" s="554"/>
      <c r="F350" s="554"/>
    </row>
    <row r="351" spans="1:6" ht="15" customHeight="1">
      <c r="A351" s="554"/>
      <c r="B351" s="554"/>
      <c r="C351" s="554"/>
      <c r="D351" s="554"/>
      <c r="E351" s="554"/>
      <c r="F351" s="554"/>
    </row>
    <row r="352" spans="1:6" ht="15" customHeight="1">
      <c r="A352" s="554"/>
      <c r="B352" s="554"/>
      <c r="C352" s="554"/>
      <c r="D352" s="554"/>
      <c r="E352" s="554"/>
      <c r="F352" s="554"/>
    </row>
    <row r="353" spans="1:6" ht="15" customHeight="1">
      <c r="A353" s="554"/>
      <c r="B353" s="554"/>
      <c r="C353" s="554"/>
      <c r="D353" s="554"/>
      <c r="E353" s="554"/>
      <c r="F353" s="554"/>
    </row>
    <row r="354" spans="1:6" ht="15" customHeight="1">
      <c r="A354" s="554"/>
      <c r="B354" s="554"/>
      <c r="C354" s="554"/>
      <c r="D354" s="554"/>
      <c r="E354" s="554"/>
      <c r="F354" s="554"/>
    </row>
    <row r="355" spans="1:6" ht="15" customHeight="1">
      <c r="A355" s="554"/>
      <c r="B355" s="554"/>
      <c r="C355" s="554"/>
      <c r="D355" s="554"/>
      <c r="E355" s="554"/>
      <c r="F355" s="554"/>
    </row>
    <row r="356" spans="1:6" ht="15" customHeight="1">
      <c r="A356" s="554"/>
      <c r="B356" s="554"/>
      <c r="C356" s="554"/>
      <c r="D356" s="554"/>
      <c r="E356" s="554"/>
      <c r="F356" s="554"/>
    </row>
    <row r="357" spans="1:6" ht="15" customHeight="1">
      <c r="A357" s="554"/>
      <c r="B357" s="554"/>
      <c r="C357" s="554"/>
      <c r="D357" s="554"/>
      <c r="E357" s="554"/>
      <c r="F357" s="554"/>
    </row>
    <row r="358" spans="1:6" ht="15" customHeight="1">
      <c r="A358" s="554"/>
      <c r="B358" s="554"/>
      <c r="C358" s="554"/>
      <c r="D358" s="554"/>
      <c r="E358" s="554"/>
      <c r="F358" s="554"/>
    </row>
    <row r="359" spans="1:6" ht="15" customHeight="1">
      <c r="A359" s="554"/>
      <c r="B359" s="554"/>
      <c r="C359" s="554"/>
      <c r="D359" s="554"/>
      <c r="E359" s="554"/>
      <c r="F359" s="554"/>
    </row>
    <row r="360" spans="1:6" ht="15" customHeight="1">
      <c r="A360" s="554"/>
      <c r="B360" s="554"/>
      <c r="C360" s="554"/>
      <c r="D360" s="554"/>
      <c r="E360" s="554"/>
      <c r="F360" s="554"/>
    </row>
    <row r="361" spans="1:6" ht="15" customHeight="1">
      <c r="A361" s="554"/>
      <c r="B361" s="554"/>
      <c r="C361" s="554"/>
      <c r="D361" s="554"/>
      <c r="E361" s="554"/>
      <c r="F361" s="554"/>
    </row>
    <row r="362" spans="1:6" ht="15" customHeight="1">
      <c r="A362" s="554"/>
      <c r="B362" s="554"/>
      <c r="C362" s="554"/>
      <c r="D362" s="554"/>
      <c r="E362" s="554"/>
      <c r="F362" s="554"/>
    </row>
    <row r="363" spans="1:6" ht="15" customHeight="1">
      <c r="A363" s="554"/>
      <c r="B363" s="554"/>
      <c r="C363" s="554"/>
      <c r="D363" s="554"/>
      <c r="E363" s="554"/>
      <c r="F363" s="554"/>
    </row>
    <row r="364" spans="1:6" ht="15" customHeight="1">
      <c r="A364" s="554"/>
      <c r="B364" s="554"/>
      <c r="C364" s="554"/>
      <c r="D364" s="554"/>
      <c r="E364" s="554"/>
      <c r="F364" s="554"/>
    </row>
    <row r="365" spans="1:6" ht="15" customHeight="1">
      <c r="A365" s="554"/>
      <c r="B365" s="554"/>
      <c r="C365" s="554"/>
      <c r="D365" s="554"/>
      <c r="E365" s="554"/>
      <c r="F365" s="554"/>
    </row>
    <row r="366" spans="1:6" ht="15" customHeight="1">
      <c r="A366" s="554"/>
      <c r="B366" s="554"/>
      <c r="C366" s="554"/>
      <c r="D366" s="554"/>
      <c r="E366" s="554"/>
      <c r="F366" s="554"/>
    </row>
    <row r="367" spans="1:6" ht="15" customHeight="1">
      <c r="A367" s="554"/>
      <c r="B367" s="554"/>
      <c r="C367" s="554"/>
      <c r="D367" s="554"/>
      <c r="E367" s="554"/>
      <c r="F367" s="554"/>
    </row>
    <row r="368" spans="1:6" ht="15" customHeight="1">
      <c r="A368" s="554"/>
      <c r="B368" s="554"/>
      <c r="C368" s="554"/>
      <c r="D368" s="554"/>
      <c r="E368" s="554"/>
      <c r="F368" s="554"/>
    </row>
    <row r="369" spans="1:6" ht="15" customHeight="1">
      <c r="A369" s="554"/>
      <c r="B369" s="554"/>
      <c r="C369" s="554"/>
      <c r="D369" s="554"/>
      <c r="E369" s="554"/>
      <c r="F369" s="554"/>
    </row>
    <row r="370" spans="1:6" ht="15" customHeight="1">
      <c r="A370" s="554"/>
      <c r="B370" s="554"/>
      <c r="C370" s="554"/>
      <c r="D370" s="554"/>
      <c r="E370" s="554"/>
      <c r="F370" s="554"/>
    </row>
    <row r="371" spans="1:6" ht="15" customHeight="1">
      <c r="A371" s="554"/>
      <c r="B371" s="554"/>
      <c r="C371" s="554"/>
      <c r="D371" s="554"/>
      <c r="E371" s="554"/>
      <c r="F371" s="554"/>
    </row>
    <row r="372" spans="1:6" ht="15" customHeight="1">
      <c r="A372" s="554"/>
      <c r="B372" s="554"/>
      <c r="C372" s="554"/>
      <c r="D372" s="554"/>
      <c r="E372" s="554"/>
      <c r="F372" s="554"/>
    </row>
    <row r="373" spans="1:6" ht="15" customHeight="1">
      <c r="A373" s="554"/>
      <c r="B373" s="554"/>
      <c r="C373" s="554"/>
      <c r="D373" s="554"/>
      <c r="E373" s="554"/>
      <c r="F373" s="554"/>
    </row>
    <row r="374" spans="1:6" ht="15" customHeight="1">
      <c r="A374" s="554"/>
      <c r="B374" s="554"/>
      <c r="C374" s="554"/>
      <c r="D374" s="554"/>
      <c r="E374" s="554"/>
      <c r="F374" s="554"/>
    </row>
    <row r="375" spans="1:6" ht="15" customHeight="1">
      <c r="A375" s="554"/>
      <c r="B375" s="554"/>
      <c r="C375" s="554"/>
      <c r="D375" s="554"/>
      <c r="E375" s="554"/>
      <c r="F375" s="554"/>
    </row>
    <row r="376" spans="1:6" ht="15" customHeight="1">
      <c r="A376" s="554"/>
      <c r="B376" s="554"/>
      <c r="C376" s="554"/>
      <c r="D376" s="554"/>
      <c r="E376" s="554"/>
      <c r="F376" s="554"/>
    </row>
    <row r="377" spans="1:6" ht="15" customHeight="1">
      <c r="A377" s="554"/>
      <c r="B377" s="554"/>
      <c r="C377" s="554"/>
      <c r="D377" s="554"/>
      <c r="E377" s="554"/>
      <c r="F377" s="554"/>
    </row>
    <row r="378" spans="1:6" ht="15" customHeight="1">
      <c r="A378" s="554"/>
      <c r="B378" s="554"/>
      <c r="C378" s="554"/>
      <c r="D378" s="554"/>
      <c r="E378" s="554"/>
      <c r="F378" s="554"/>
    </row>
    <row r="379" spans="1:6" ht="15" customHeight="1">
      <c r="A379" s="554"/>
      <c r="B379" s="554"/>
      <c r="C379" s="554"/>
      <c r="D379" s="554"/>
      <c r="E379" s="554"/>
      <c r="F379" s="554"/>
    </row>
    <row r="380" spans="1:6" ht="15" customHeight="1">
      <c r="A380" s="554"/>
      <c r="B380" s="554"/>
      <c r="C380" s="554"/>
      <c r="D380" s="554"/>
      <c r="E380" s="554"/>
      <c r="F380" s="554"/>
    </row>
    <row r="381" spans="1:6" ht="15" customHeight="1">
      <c r="A381" s="554"/>
      <c r="B381" s="554"/>
      <c r="C381" s="554"/>
      <c r="D381" s="554"/>
      <c r="E381" s="554"/>
      <c r="F381" s="554"/>
    </row>
    <row r="382" spans="1:6" ht="15" customHeight="1">
      <c r="A382" s="554"/>
      <c r="B382" s="554"/>
      <c r="C382" s="554"/>
      <c r="D382" s="554"/>
      <c r="E382" s="554"/>
      <c r="F382" s="554"/>
    </row>
    <row r="383" spans="1:6" ht="15" customHeight="1">
      <c r="A383" s="554"/>
      <c r="B383" s="554"/>
      <c r="C383" s="554"/>
      <c r="D383" s="554"/>
      <c r="E383" s="554"/>
      <c r="F383" s="554"/>
    </row>
    <row r="384" spans="1:6" ht="15" customHeight="1">
      <c r="A384" s="554"/>
      <c r="B384" s="554"/>
      <c r="C384" s="554"/>
      <c r="D384" s="554"/>
      <c r="E384" s="554"/>
      <c r="F384" s="554"/>
    </row>
    <row r="385" spans="1:6" ht="15" customHeight="1">
      <c r="A385" s="554"/>
      <c r="B385" s="554"/>
      <c r="C385" s="554"/>
      <c r="D385" s="554"/>
      <c r="E385" s="554"/>
      <c r="F385" s="554"/>
    </row>
    <row r="386" spans="1:6" ht="15" customHeight="1">
      <c r="A386" s="554"/>
      <c r="B386" s="554"/>
      <c r="C386" s="554"/>
      <c r="D386" s="554"/>
      <c r="E386" s="554"/>
      <c r="F386" s="554"/>
    </row>
    <row r="387" spans="1:6" ht="15" customHeight="1">
      <c r="A387" s="554"/>
      <c r="B387" s="554"/>
      <c r="C387" s="554"/>
      <c r="D387" s="554"/>
      <c r="E387" s="554"/>
      <c r="F387" s="554"/>
    </row>
    <row r="388" spans="1:6" ht="15" customHeight="1">
      <c r="A388" s="554"/>
      <c r="B388" s="554"/>
      <c r="C388" s="554"/>
      <c r="D388" s="554"/>
      <c r="E388" s="554"/>
      <c r="F388" s="554"/>
    </row>
    <row r="389" spans="1:6" ht="15" customHeight="1">
      <c r="A389" s="554"/>
      <c r="B389" s="554"/>
      <c r="C389" s="554"/>
      <c r="D389" s="554"/>
      <c r="E389" s="554"/>
      <c r="F389" s="554"/>
    </row>
    <row r="390" spans="1:6" ht="15" customHeight="1">
      <c r="A390" s="554"/>
      <c r="B390" s="554"/>
      <c r="C390" s="554"/>
      <c r="D390" s="554"/>
      <c r="E390" s="554"/>
      <c r="F390" s="554"/>
    </row>
    <row r="391" spans="1:6">
      <c r="A391" s="554"/>
      <c r="B391" s="554"/>
      <c r="C391" s="554"/>
      <c r="D391" s="554"/>
      <c r="E391" s="554"/>
      <c r="F391" s="554"/>
    </row>
    <row r="392" spans="1:6">
      <c r="A392" s="554"/>
      <c r="B392" s="554"/>
      <c r="C392" s="554"/>
      <c r="D392" s="554"/>
      <c r="E392" s="554"/>
      <c r="F392" s="554"/>
    </row>
    <row r="393" spans="1:6">
      <c r="A393" s="554"/>
      <c r="B393" s="554"/>
      <c r="C393" s="554"/>
      <c r="D393" s="554"/>
      <c r="E393" s="554"/>
      <c r="F393" s="554"/>
    </row>
    <row r="394" spans="1:6">
      <c r="A394" s="554"/>
      <c r="B394" s="554"/>
      <c r="C394" s="554"/>
      <c r="D394" s="554"/>
      <c r="E394" s="554"/>
      <c r="F394" s="554"/>
    </row>
    <row r="395" spans="1:6">
      <c r="A395" s="554"/>
      <c r="B395" s="554"/>
      <c r="C395" s="554"/>
      <c r="D395" s="554"/>
      <c r="E395" s="554"/>
      <c r="F395" s="554"/>
    </row>
    <row r="396" spans="1:6">
      <c r="A396" s="554"/>
      <c r="B396" s="554"/>
      <c r="C396" s="554"/>
      <c r="D396" s="554"/>
      <c r="E396" s="554"/>
      <c r="F396" s="554"/>
    </row>
    <row r="397" spans="1:6">
      <c r="A397" s="554"/>
      <c r="B397" s="554"/>
      <c r="C397" s="554"/>
      <c r="D397" s="554"/>
      <c r="E397" s="554"/>
      <c r="F397" s="554"/>
    </row>
    <row r="398" spans="1:6">
      <c r="A398" s="554"/>
      <c r="B398" s="554"/>
      <c r="C398" s="554"/>
      <c r="D398" s="554"/>
      <c r="E398" s="554"/>
      <c r="F398" s="554"/>
    </row>
    <row r="399" spans="1:6">
      <c r="A399" s="554"/>
      <c r="B399" s="554"/>
      <c r="C399" s="554"/>
      <c r="D399" s="554"/>
      <c r="E399" s="554"/>
      <c r="F399" s="554"/>
    </row>
    <row r="400" spans="1:6">
      <c r="A400" s="554"/>
      <c r="B400" s="554"/>
      <c r="C400" s="554"/>
      <c r="D400" s="554"/>
      <c r="E400" s="554"/>
      <c r="F400" s="554"/>
    </row>
  </sheetData>
  <sheetProtection selectLockedCells="1" selectUnlockedCells="1"/>
  <mergeCells count="12">
    <mergeCell ref="G13:G21"/>
    <mergeCell ref="A5:F5"/>
    <mergeCell ref="B6:F6"/>
    <mergeCell ref="A7:A8"/>
    <mergeCell ref="B7:D7"/>
    <mergeCell ref="E7:F7"/>
    <mergeCell ref="B8:F8"/>
    <mergeCell ref="A1:F1"/>
    <mergeCell ref="A2:B3"/>
    <mergeCell ref="F3:F4"/>
    <mergeCell ref="A4:B4"/>
    <mergeCell ref="B9:F9"/>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H390"/>
  <sheetViews>
    <sheetView workbookViewId="0">
      <selection activeCell="G7" sqref="G7"/>
    </sheetView>
  </sheetViews>
  <sheetFormatPr defaultColWidth="9" defaultRowHeight="15.6"/>
  <cols>
    <col min="1" max="1" width="23.09765625" style="130" customWidth="1"/>
    <col min="2" max="3" width="13.69921875" style="130" customWidth="1"/>
    <col min="4" max="4" width="9.09765625" style="130" customWidth="1"/>
    <col min="5" max="5" width="13.69921875" style="130" customWidth="1"/>
    <col min="6" max="6" width="9.69921875" style="130" customWidth="1"/>
    <col min="7" max="7" width="63.8984375" style="953" customWidth="1"/>
    <col min="8" max="16384" width="9" style="554"/>
  </cols>
  <sheetData>
    <row r="1" spans="1:8" ht="30" customHeight="1">
      <c r="A1" s="2729" t="s">
        <v>370</v>
      </c>
      <c r="B1" s="2729"/>
      <c r="C1" s="2729"/>
      <c r="D1" s="2729"/>
      <c r="E1" s="2729"/>
      <c r="F1" s="2729"/>
      <c r="G1" s="1009"/>
    </row>
    <row r="2" spans="1:8" s="558" customFormat="1" ht="20.25" customHeight="1">
      <c r="A2" s="3223" t="str">
        <f>"委托单位："&amp;基本情况!B2</f>
        <v>委托单位：0</v>
      </c>
      <c r="B2" s="3223"/>
      <c r="C2" s="509"/>
      <c r="D2" s="136" t="s">
        <v>1282</v>
      </c>
      <c r="E2" s="136" t="s">
        <v>1053</v>
      </c>
      <c r="F2" s="485" t="s">
        <v>283</v>
      </c>
      <c r="G2" s="1026"/>
    </row>
    <row r="3" spans="1:8" s="558" customFormat="1" ht="20.25" customHeight="1">
      <c r="A3" s="3223"/>
      <c r="B3" s="3223"/>
      <c r="C3" s="158" t="s">
        <v>450</v>
      </c>
      <c r="D3" s="510">
        <f>基本情况!B12</f>
        <v>0</v>
      </c>
      <c r="E3" s="559" t="str">
        <f>TEXT(基本情况!B21,"yyyy-mm-dd")</f>
        <v>2017-03-16</v>
      </c>
      <c r="F3" s="3138" t="str">
        <f>档案索引!D42</f>
        <v>4-9</v>
      </c>
      <c r="G3" s="1026"/>
    </row>
    <row r="4" spans="1:8" s="558" customFormat="1" ht="20.25" customHeight="1">
      <c r="A4" s="3189" t="str">
        <f>"会计期间："&amp;基本情况!B7</f>
        <v>会计期间：2016年01月01日至2016年12月31日</v>
      </c>
      <c r="B4" s="3189"/>
      <c r="C4" s="140" t="s">
        <v>452</v>
      </c>
      <c r="D4" s="513">
        <f>基本情况!B11</f>
        <v>0</v>
      </c>
      <c r="E4" s="513" t="str">
        <f>TEXT(基本情况!B22,"yyyy-mm-dd")</f>
        <v>2017-05-04</v>
      </c>
      <c r="F4" s="3138"/>
      <c r="G4" s="1026"/>
    </row>
    <row r="5" spans="1:8" s="565" customFormat="1" ht="7.5" customHeight="1">
      <c r="A5" s="2926"/>
      <c r="B5" s="2926"/>
      <c r="C5" s="2926"/>
      <c r="D5" s="2926"/>
      <c r="E5" s="2926"/>
      <c r="F5" s="2926"/>
      <c r="G5" s="1021"/>
    </row>
    <row r="6" spans="1:8" s="649" customFormat="1" ht="20.25" customHeight="1">
      <c r="A6" s="532" t="s">
        <v>641</v>
      </c>
      <c r="B6" s="3270" t="str">
        <f>IF(基本情况!B29="否",IF(C12-B12&lt;&gt;资产负债!H13,"账载数与报表数相差"&amp;DOLLAR(C12-B12-资产负债!H13,2)&amp;"元！","账载数与报表数相符！"),IF(C11&lt;&gt;资产负债!H13,"账载数与报表数相差"&amp;DOLLAR(C11-资产负债!H13,2)&amp;"元！","账载数与报表数相符！"))</f>
        <v>账载数与报表数相符！</v>
      </c>
      <c r="C6" s="3270"/>
      <c r="D6" s="3270"/>
      <c r="E6" s="3270"/>
      <c r="F6" s="3270"/>
      <c r="G6" s="483" t="s">
        <v>395</v>
      </c>
      <c r="H6" s="607"/>
    </row>
    <row r="7" spans="1:8" s="649" customFormat="1" ht="15" customHeight="1">
      <c r="A7" s="3065" t="s">
        <v>1323</v>
      </c>
      <c r="B7" s="3148" t="s">
        <v>1407</v>
      </c>
      <c r="C7" s="3148"/>
      <c r="D7" s="3148"/>
      <c r="E7" s="3102" t="str">
        <f>IF(D12&lt;&gt;0,"、E","")</f>
        <v/>
      </c>
      <c r="F7" s="3102"/>
      <c r="G7" s="1052"/>
      <c r="H7" s="607"/>
    </row>
    <row r="8" spans="1:8" s="649" customFormat="1" ht="61.5" customHeight="1">
      <c r="A8" s="3065"/>
      <c r="B8" s="3673"/>
      <c r="C8" s="3673"/>
      <c r="D8" s="3673"/>
      <c r="E8" s="3673"/>
      <c r="F8" s="3673"/>
      <c r="G8" s="1012"/>
      <c r="H8" s="607"/>
    </row>
    <row r="9" spans="1:8" s="649" customFormat="1" ht="20.25" customHeight="1">
      <c r="A9" s="528" t="s">
        <v>574</v>
      </c>
      <c r="B9" s="3141" t="str">
        <f>IF(D12&lt;&gt;0,"调整后认可！","不存在调整事项,认可！")</f>
        <v>不存在调整事项,认可！</v>
      </c>
      <c r="C9" s="3141"/>
      <c r="D9" s="3141"/>
      <c r="E9" s="3141"/>
      <c r="F9" s="3141"/>
      <c r="G9" s="1010" t="s">
        <v>1288</v>
      </c>
      <c r="H9" s="607"/>
    </row>
    <row r="10" spans="1:8" s="649" customFormat="1" ht="20.25" customHeight="1">
      <c r="A10" s="135" t="s">
        <v>665</v>
      </c>
      <c r="B10" s="1011" t="s">
        <v>1409</v>
      </c>
      <c r="C10" s="136" t="s">
        <v>1410</v>
      </c>
      <c r="D10" s="136" t="s">
        <v>980</v>
      </c>
      <c r="E10" s="136" t="s">
        <v>502</v>
      </c>
      <c r="F10" s="485" t="s">
        <v>1417</v>
      </c>
      <c r="G10" s="1010" t="s">
        <v>642</v>
      </c>
    </row>
    <row r="11" spans="1:8" s="649" customFormat="1" ht="20.25" customHeight="1">
      <c r="A11" s="1013" t="s">
        <v>1412</v>
      </c>
      <c r="B11" s="1014">
        <f>IF(基本情况!B29="否",0,B12+其他应收!B14)</f>
        <v>0</v>
      </c>
      <c r="C11" s="1014">
        <f>IF(基本情况!B29="否",0,C12+其他应收!C14)</f>
        <v>0</v>
      </c>
      <c r="D11" s="1204"/>
      <c r="E11" s="521">
        <f>C11+D11</f>
        <v>0</v>
      </c>
      <c r="F11" s="1023">
        <f>IF(基本情况!B29="否",0,F12+其他应收!F14)</f>
        <v>0</v>
      </c>
      <c r="G11" s="1022"/>
    </row>
    <row r="12" spans="1:8" s="649" customFormat="1" ht="20.25" customHeight="1">
      <c r="A12" s="528" t="s">
        <v>1413</v>
      </c>
      <c r="B12" s="1017">
        <f>SUM(B13:B3002)</f>
        <v>0</v>
      </c>
      <c r="C12" s="1017">
        <f>SUM(C13:C3002)</f>
        <v>0</v>
      </c>
      <c r="D12" s="823">
        <f>SUM(D13:D302)</f>
        <v>0</v>
      </c>
      <c r="E12" s="823">
        <f>SUM(E13:E302)</f>
        <v>0</v>
      </c>
      <c r="F12" s="596">
        <f>SUM(F13:F302)</f>
        <v>0</v>
      </c>
      <c r="G12" s="1052"/>
    </row>
    <row r="13" spans="1:8" s="558" customFormat="1" ht="15" customHeight="1">
      <c r="A13" s="1018"/>
      <c r="B13" s="1198"/>
      <c r="C13" s="1161"/>
      <c r="D13" s="1161"/>
      <c r="E13" s="1019">
        <f>C13-B13+D13</f>
        <v>0</v>
      </c>
      <c r="F13" s="1199"/>
      <c r="G13" s="3675" t="s">
        <v>989</v>
      </c>
    </row>
    <row r="14" spans="1:8" s="558" customFormat="1" ht="15" customHeight="1">
      <c r="A14" s="680"/>
      <c r="B14" s="1200"/>
      <c r="C14" s="1120"/>
      <c r="D14" s="1120"/>
      <c r="E14" s="1015">
        <f>C14-B14+D14</f>
        <v>0</v>
      </c>
      <c r="F14" s="1201"/>
      <c r="G14" s="3675"/>
    </row>
    <row r="15" spans="1:8" s="558" customFormat="1" ht="15" customHeight="1">
      <c r="A15" s="680"/>
      <c r="B15" s="1200"/>
      <c r="C15" s="1120"/>
      <c r="D15" s="1120"/>
      <c r="E15" s="1015">
        <f t="shared" ref="E15:E78" si="0">C15-B15+D15</f>
        <v>0</v>
      </c>
      <c r="F15" s="1201"/>
      <c r="G15" s="1029" t="s">
        <v>990</v>
      </c>
    </row>
    <row r="16" spans="1:8" s="558" customFormat="1" ht="15" customHeight="1">
      <c r="A16" s="680"/>
      <c r="B16" s="1200"/>
      <c r="C16" s="1120"/>
      <c r="D16" s="1120"/>
      <c r="E16" s="1015">
        <f t="shared" si="0"/>
        <v>0</v>
      </c>
      <c r="F16" s="1201"/>
      <c r="G16" s="1029" t="s">
        <v>991</v>
      </c>
    </row>
    <row r="17" spans="1:7" s="558" customFormat="1" ht="15" customHeight="1">
      <c r="A17" s="680"/>
      <c r="B17" s="1200"/>
      <c r="C17" s="1120"/>
      <c r="D17" s="1120"/>
      <c r="E17" s="1015">
        <f t="shared" si="0"/>
        <v>0</v>
      </c>
      <c r="F17" s="1201"/>
      <c r="G17" s="1029" t="s">
        <v>992</v>
      </c>
    </row>
    <row r="18" spans="1:7" s="558" customFormat="1" ht="15" customHeight="1">
      <c r="A18" s="680"/>
      <c r="B18" s="1200"/>
      <c r="C18" s="1120"/>
      <c r="D18" s="1120"/>
      <c r="E18" s="1015">
        <f t="shared" si="0"/>
        <v>0</v>
      </c>
      <c r="F18" s="1201"/>
      <c r="G18" s="1029" t="s">
        <v>993</v>
      </c>
    </row>
    <row r="19" spans="1:7" s="558" customFormat="1" ht="15" customHeight="1">
      <c r="A19" s="680"/>
      <c r="B19" s="1200"/>
      <c r="C19" s="1120"/>
      <c r="D19" s="1120"/>
      <c r="E19" s="1015">
        <f t="shared" si="0"/>
        <v>0</v>
      </c>
      <c r="F19" s="1201"/>
      <c r="G19" s="1029" t="s">
        <v>994</v>
      </c>
    </row>
    <row r="20" spans="1:7" s="558" customFormat="1" ht="15" customHeight="1">
      <c r="A20" s="680"/>
      <c r="B20" s="1200"/>
      <c r="C20" s="1120"/>
      <c r="D20" s="1120"/>
      <c r="E20" s="1015">
        <f t="shared" si="0"/>
        <v>0</v>
      </c>
      <c r="F20" s="1201"/>
      <c r="G20" s="1029" t="s">
        <v>995</v>
      </c>
    </row>
    <row r="21" spans="1:7" s="558" customFormat="1" ht="15" customHeight="1">
      <c r="A21" s="680"/>
      <c r="B21" s="1200"/>
      <c r="C21" s="1120"/>
      <c r="D21" s="1120"/>
      <c r="E21" s="1015">
        <f t="shared" si="0"/>
        <v>0</v>
      </c>
      <c r="F21" s="1201"/>
      <c r="G21" s="1026"/>
    </row>
    <row r="22" spans="1:7" s="558" customFormat="1" ht="15" customHeight="1">
      <c r="A22" s="680"/>
      <c r="B22" s="1200"/>
      <c r="C22" s="1120"/>
      <c r="D22" s="1120"/>
      <c r="E22" s="1015">
        <f t="shared" si="0"/>
        <v>0</v>
      </c>
      <c r="F22" s="1201"/>
      <c r="G22" s="1026"/>
    </row>
    <row r="23" spans="1:7" s="558" customFormat="1" ht="15" customHeight="1">
      <c r="A23" s="680"/>
      <c r="B23" s="1200"/>
      <c r="C23" s="1120"/>
      <c r="D23" s="1120"/>
      <c r="E23" s="1015">
        <f t="shared" si="0"/>
        <v>0</v>
      </c>
      <c r="F23" s="1201"/>
      <c r="G23" s="1026"/>
    </row>
    <row r="24" spans="1:7" s="558" customFormat="1" ht="15" customHeight="1">
      <c r="A24" s="680"/>
      <c r="B24" s="1200"/>
      <c r="C24" s="1120"/>
      <c r="D24" s="1120"/>
      <c r="E24" s="1015">
        <f t="shared" si="0"/>
        <v>0</v>
      </c>
      <c r="F24" s="1201"/>
      <c r="G24" s="1026"/>
    </row>
    <row r="25" spans="1:7" s="558" customFormat="1" ht="15" customHeight="1">
      <c r="A25" s="680"/>
      <c r="B25" s="1200"/>
      <c r="C25" s="1120"/>
      <c r="D25" s="1120"/>
      <c r="E25" s="1015">
        <f t="shared" si="0"/>
        <v>0</v>
      </c>
      <c r="F25" s="1201"/>
      <c r="G25" s="1026"/>
    </row>
    <row r="26" spans="1:7" s="558" customFormat="1" ht="15" customHeight="1">
      <c r="A26" s="680"/>
      <c r="B26" s="1200"/>
      <c r="C26" s="1120"/>
      <c r="D26" s="1120"/>
      <c r="E26" s="1015">
        <f t="shared" si="0"/>
        <v>0</v>
      </c>
      <c r="F26" s="1201"/>
      <c r="G26" s="1026"/>
    </row>
    <row r="27" spans="1:7" s="558" customFormat="1" ht="15" customHeight="1">
      <c r="A27" s="680"/>
      <c r="B27" s="1200"/>
      <c r="C27" s="1120"/>
      <c r="D27" s="1120"/>
      <c r="E27" s="1015">
        <f t="shared" si="0"/>
        <v>0</v>
      </c>
      <c r="F27" s="1201"/>
      <c r="G27" s="1026"/>
    </row>
    <row r="28" spans="1:7" s="558" customFormat="1" ht="15" customHeight="1">
      <c r="A28" s="680"/>
      <c r="B28" s="1200"/>
      <c r="C28" s="1120"/>
      <c r="D28" s="1120"/>
      <c r="E28" s="1015">
        <f t="shared" si="0"/>
        <v>0</v>
      </c>
      <c r="F28" s="1201"/>
      <c r="G28" s="1026"/>
    </row>
    <row r="29" spans="1:7" s="558" customFormat="1" ht="15" customHeight="1">
      <c r="A29" s="680"/>
      <c r="B29" s="1200"/>
      <c r="C29" s="1120"/>
      <c r="D29" s="1120"/>
      <c r="E29" s="1015">
        <f t="shared" si="0"/>
        <v>0</v>
      </c>
      <c r="F29" s="1201"/>
      <c r="G29" s="1026"/>
    </row>
    <row r="30" spans="1:7" s="558" customFormat="1" ht="15" customHeight="1">
      <c r="A30" s="680"/>
      <c r="B30" s="1200"/>
      <c r="C30" s="1120"/>
      <c r="D30" s="1120"/>
      <c r="E30" s="1015">
        <f t="shared" si="0"/>
        <v>0</v>
      </c>
      <c r="F30" s="1201"/>
      <c r="G30" s="1026"/>
    </row>
    <row r="31" spans="1:7" s="558" customFormat="1" ht="15" customHeight="1">
      <c r="A31" s="680"/>
      <c r="B31" s="1200"/>
      <c r="C31" s="1120"/>
      <c r="D31" s="1120"/>
      <c r="E31" s="1015">
        <f t="shared" si="0"/>
        <v>0</v>
      </c>
      <c r="F31" s="1201"/>
      <c r="G31" s="1026"/>
    </row>
    <row r="32" spans="1:7" s="558" customFormat="1" ht="15" customHeight="1">
      <c r="A32" s="680"/>
      <c r="B32" s="1200"/>
      <c r="C32" s="1120"/>
      <c r="D32" s="1120"/>
      <c r="E32" s="1015">
        <f t="shared" si="0"/>
        <v>0</v>
      </c>
      <c r="F32" s="1201"/>
      <c r="G32" s="1026"/>
    </row>
    <row r="33" spans="1:7" s="558" customFormat="1" ht="15" customHeight="1">
      <c r="A33" s="680"/>
      <c r="B33" s="1200"/>
      <c r="C33" s="1120"/>
      <c r="D33" s="1120"/>
      <c r="E33" s="1015">
        <f t="shared" si="0"/>
        <v>0</v>
      </c>
      <c r="F33" s="1201"/>
      <c r="G33" s="1026"/>
    </row>
    <row r="34" spans="1:7" s="558" customFormat="1" ht="15" customHeight="1">
      <c r="A34" s="680"/>
      <c r="B34" s="1200"/>
      <c r="C34" s="1120"/>
      <c r="D34" s="1120"/>
      <c r="E34" s="1015">
        <f t="shared" si="0"/>
        <v>0</v>
      </c>
      <c r="F34" s="1201"/>
      <c r="G34" s="1026"/>
    </row>
    <row r="35" spans="1:7" s="558" customFormat="1" ht="15" customHeight="1">
      <c r="A35" s="680"/>
      <c r="B35" s="1200"/>
      <c r="C35" s="1120"/>
      <c r="D35" s="1120"/>
      <c r="E35" s="1015">
        <f t="shared" si="0"/>
        <v>0</v>
      </c>
      <c r="F35" s="1201"/>
      <c r="G35" s="1026"/>
    </row>
    <row r="36" spans="1:7" s="558" customFormat="1" ht="15" customHeight="1">
      <c r="A36" s="680"/>
      <c r="B36" s="1200"/>
      <c r="C36" s="1120"/>
      <c r="D36" s="1120"/>
      <c r="E36" s="1015">
        <f t="shared" si="0"/>
        <v>0</v>
      </c>
      <c r="F36" s="1201"/>
      <c r="G36" s="1026"/>
    </row>
    <row r="37" spans="1:7" s="558" customFormat="1" ht="15" customHeight="1">
      <c r="A37" s="680"/>
      <c r="B37" s="1200"/>
      <c r="C37" s="1120"/>
      <c r="D37" s="1120"/>
      <c r="E37" s="1015">
        <f t="shared" si="0"/>
        <v>0</v>
      </c>
      <c r="F37" s="1201"/>
      <c r="G37" s="1026"/>
    </row>
    <row r="38" spans="1:7" s="558" customFormat="1" ht="15" customHeight="1">
      <c r="A38" s="680"/>
      <c r="B38" s="1200"/>
      <c r="C38" s="1120"/>
      <c r="D38" s="1120"/>
      <c r="E38" s="1015">
        <f t="shared" si="0"/>
        <v>0</v>
      </c>
      <c r="F38" s="1201"/>
      <c r="G38" s="1026"/>
    </row>
    <row r="39" spans="1:7" s="558" customFormat="1" ht="15" customHeight="1">
      <c r="A39" s="680"/>
      <c r="B39" s="1200"/>
      <c r="C39" s="1120"/>
      <c r="D39" s="1120"/>
      <c r="E39" s="1015">
        <f t="shared" si="0"/>
        <v>0</v>
      </c>
      <c r="F39" s="1201"/>
      <c r="G39" s="1026"/>
    </row>
    <row r="40" spans="1:7" s="558" customFormat="1" ht="15" customHeight="1">
      <c r="A40" s="680"/>
      <c r="B40" s="1200"/>
      <c r="C40" s="1120"/>
      <c r="D40" s="1120"/>
      <c r="E40" s="1015">
        <f t="shared" si="0"/>
        <v>0</v>
      </c>
      <c r="F40" s="1201"/>
      <c r="G40" s="1026"/>
    </row>
    <row r="41" spans="1:7" s="558" customFormat="1" ht="15" customHeight="1">
      <c r="A41" s="680"/>
      <c r="B41" s="1200"/>
      <c r="C41" s="1120"/>
      <c r="D41" s="1120"/>
      <c r="E41" s="1015">
        <f t="shared" si="0"/>
        <v>0</v>
      </c>
      <c r="F41" s="1201"/>
      <c r="G41" s="1026"/>
    </row>
    <row r="42" spans="1:7" s="558" customFormat="1" ht="15" customHeight="1">
      <c r="A42" s="680"/>
      <c r="B42" s="1200"/>
      <c r="C42" s="1120"/>
      <c r="D42" s="1120"/>
      <c r="E42" s="1015">
        <f t="shared" si="0"/>
        <v>0</v>
      </c>
      <c r="F42" s="1201"/>
      <c r="G42" s="1026"/>
    </row>
    <row r="43" spans="1:7" s="558" customFormat="1" ht="15" customHeight="1">
      <c r="A43" s="680"/>
      <c r="B43" s="1200"/>
      <c r="C43" s="1120"/>
      <c r="D43" s="1120"/>
      <c r="E43" s="1015">
        <f t="shared" si="0"/>
        <v>0</v>
      </c>
      <c r="F43" s="1201"/>
      <c r="G43" s="1026"/>
    </row>
    <row r="44" spans="1:7" s="558" customFormat="1" ht="15" customHeight="1">
      <c r="A44" s="680"/>
      <c r="B44" s="1200"/>
      <c r="C44" s="1120"/>
      <c r="D44" s="1120"/>
      <c r="E44" s="1015">
        <f t="shared" si="0"/>
        <v>0</v>
      </c>
      <c r="F44" s="1201"/>
      <c r="G44" s="1026"/>
    </row>
    <row r="45" spans="1:7" s="558" customFormat="1" ht="15" customHeight="1">
      <c r="A45" s="680"/>
      <c r="B45" s="1200"/>
      <c r="C45" s="1120"/>
      <c r="D45" s="1120"/>
      <c r="E45" s="1015">
        <f t="shared" si="0"/>
        <v>0</v>
      </c>
      <c r="F45" s="1201"/>
      <c r="G45" s="1026"/>
    </row>
    <row r="46" spans="1:7" s="558" customFormat="1" ht="15" customHeight="1">
      <c r="A46" s="680"/>
      <c r="B46" s="1200"/>
      <c r="C46" s="1120"/>
      <c r="D46" s="1120"/>
      <c r="E46" s="1015">
        <f t="shared" si="0"/>
        <v>0</v>
      </c>
      <c r="F46" s="1201"/>
      <c r="G46" s="1026"/>
    </row>
    <row r="47" spans="1:7" s="558" customFormat="1" ht="15" customHeight="1">
      <c r="A47" s="680"/>
      <c r="B47" s="1200"/>
      <c r="C47" s="1120"/>
      <c r="D47" s="1120"/>
      <c r="E47" s="1015">
        <f t="shared" si="0"/>
        <v>0</v>
      </c>
      <c r="F47" s="1201"/>
      <c r="G47" s="1026"/>
    </row>
    <row r="48" spans="1:7" s="502" customFormat="1" ht="15" customHeight="1">
      <c r="A48" s="680"/>
      <c r="B48" s="1200"/>
      <c r="C48" s="1120"/>
      <c r="D48" s="1120"/>
      <c r="E48" s="1015">
        <f t="shared" si="0"/>
        <v>0</v>
      </c>
      <c r="F48" s="1201"/>
      <c r="G48" s="470"/>
    </row>
    <row r="49" spans="1:7" s="502" customFormat="1" ht="15" customHeight="1">
      <c r="A49" s="680"/>
      <c r="B49" s="1200"/>
      <c r="C49" s="1120"/>
      <c r="D49" s="1120"/>
      <c r="E49" s="1015">
        <f t="shared" si="0"/>
        <v>0</v>
      </c>
      <c r="F49" s="1201"/>
      <c r="G49" s="470"/>
    </row>
    <row r="50" spans="1:7" s="502" customFormat="1" ht="15" customHeight="1">
      <c r="A50" s="680"/>
      <c r="B50" s="1200"/>
      <c r="C50" s="1120"/>
      <c r="D50" s="1120"/>
      <c r="E50" s="1015">
        <f t="shared" si="0"/>
        <v>0</v>
      </c>
      <c r="F50" s="1201"/>
      <c r="G50" s="470"/>
    </row>
    <row r="51" spans="1:7" s="502" customFormat="1" ht="15" customHeight="1">
      <c r="A51" s="680"/>
      <c r="B51" s="1200"/>
      <c r="C51" s="1120"/>
      <c r="D51" s="1120"/>
      <c r="E51" s="1015">
        <f t="shared" si="0"/>
        <v>0</v>
      </c>
      <c r="F51" s="1201"/>
      <c r="G51" s="470"/>
    </row>
    <row r="52" spans="1:7" s="502" customFormat="1" ht="15" customHeight="1">
      <c r="A52" s="680"/>
      <c r="B52" s="1200"/>
      <c r="C52" s="1120"/>
      <c r="D52" s="1120"/>
      <c r="E52" s="1015">
        <f t="shared" si="0"/>
        <v>0</v>
      </c>
      <c r="F52" s="1201"/>
      <c r="G52" s="470"/>
    </row>
    <row r="53" spans="1:7" ht="15" customHeight="1">
      <c r="A53" s="680"/>
      <c r="B53" s="1200"/>
      <c r="C53" s="1120"/>
      <c r="D53" s="1120"/>
      <c r="E53" s="1015">
        <f t="shared" si="0"/>
        <v>0</v>
      </c>
      <c r="F53" s="1201"/>
      <c r="G53" s="1009"/>
    </row>
    <row r="54" spans="1:7" ht="15" customHeight="1">
      <c r="A54" s="680"/>
      <c r="B54" s="1200"/>
      <c r="C54" s="1120"/>
      <c r="D54" s="1120"/>
      <c r="E54" s="1015">
        <f t="shared" si="0"/>
        <v>0</v>
      </c>
      <c r="F54" s="1201"/>
      <c r="G54" s="1009"/>
    </row>
    <row r="55" spans="1:7" ht="15" customHeight="1">
      <c r="A55" s="680"/>
      <c r="B55" s="1200"/>
      <c r="C55" s="1120"/>
      <c r="D55" s="1120"/>
      <c r="E55" s="1015">
        <f t="shared" si="0"/>
        <v>0</v>
      </c>
      <c r="F55" s="1201"/>
      <c r="G55" s="1009"/>
    </row>
    <row r="56" spans="1:7" ht="15" customHeight="1">
      <c r="A56" s="680"/>
      <c r="B56" s="1200"/>
      <c r="C56" s="1120"/>
      <c r="D56" s="1120"/>
      <c r="E56" s="1015">
        <f t="shared" si="0"/>
        <v>0</v>
      </c>
      <c r="F56" s="1201"/>
      <c r="G56" s="1009"/>
    </row>
    <row r="57" spans="1:7" ht="15" customHeight="1">
      <c r="A57" s="680"/>
      <c r="B57" s="1200"/>
      <c r="C57" s="1120"/>
      <c r="D57" s="1120"/>
      <c r="E57" s="1015">
        <f t="shared" si="0"/>
        <v>0</v>
      </c>
      <c r="F57" s="1201"/>
      <c r="G57" s="1009"/>
    </row>
    <row r="58" spans="1:7" ht="15" customHeight="1">
      <c r="A58" s="680"/>
      <c r="B58" s="1200"/>
      <c r="C58" s="1120"/>
      <c r="D58" s="1120"/>
      <c r="E58" s="1015">
        <f t="shared" si="0"/>
        <v>0</v>
      </c>
      <c r="F58" s="1201"/>
      <c r="G58" s="1009"/>
    </row>
    <row r="59" spans="1:7" ht="15" customHeight="1">
      <c r="A59" s="680"/>
      <c r="B59" s="1200"/>
      <c r="C59" s="1120"/>
      <c r="D59" s="1120"/>
      <c r="E59" s="1015">
        <f t="shared" si="0"/>
        <v>0</v>
      </c>
      <c r="F59" s="1201"/>
      <c r="G59" s="1009"/>
    </row>
    <row r="60" spans="1:7" ht="15" customHeight="1">
      <c r="A60" s="680"/>
      <c r="B60" s="1200"/>
      <c r="C60" s="1120"/>
      <c r="D60" s="1120"/>
      <c r="E60" s="1015">
        <f t="shared" si="0"/>
        <v>0</v>
      </c>
      <c r="F60" s="1201"/>
      <c r="G60" s="1009"/>
    </row>
    <row r="61" spans="1:7" ht="15" customHeight="1">
      <c r="A61" s="680"/>
      <c r="B61" s="1200"/>
      <c r="C61" s="1120"/>
      <c r="D61" s="1120"/>
      <c r="E61" s="1015">
        <f t="shared" si="0"/>
        <v>0</v>
      </c>
      <c r="F61" s="1201"/>
      <c r="G61" s="1009"/>
    </row>
    <row r="62" spans="1:7" ht="15" customHeight="1">
      <c r="A62" s="680"/>
      <c r="B62" s="1200"/>
      <c r="C62" s="1120"/>
      <c r="D62" s="1120"/>
      <c r="E62" s="1015">
        <f t="shared" si="0"/>
        <v>0</v>
      </c>
      <c r="F62" s="1201"/>
      <c r="G62" s="1009"/>
    </row>
    <row r="63" spans="1:7" ht="15" customHeight="1">
      <c r="A63" s="680"/>
      <c r="B63" s="1200"/>
      <c r="C63" s="1120"/>
      <c r="D63" s="1120"/>
      <c r="E63" s="1015">
        <f t="shared" si="0"/>
        <v>0</v>
      </c>
      <c r="F63" s="1201"/>
      <c r="G63" s="1009"/>
    </row>
    <row r="64" spans="1:7" ht="15" customHeight="1">
      <c r="A64" s="680"/>
      <c r="B64" s="1200"/>
      <c r="C64" s="1120"/>
      <c r="D64" s="1120"/>
      <c r="E64" s="1015">
        <f t="shared" si="0"/>
        <v>0</v>
      </c>
      <c r="F64" s="1201"/>
      <c r="G64" s="1009"/>
    </row>
    <row r="65" spans="1:7" ht="15" customHeight="1">
      <c r="A65" s="680"/>
      <c r="B65" s="1200"/>
      <c r="C65" s="1120"/>
      <c r="D65" s="1120"/>
      <c r="E65" s="1015">
        <f t="shared" si="0"/>
        <v>0</v>
      </c>
      <c r="F65" s="1201"/>
      <c r="G65" s="1009"/>
    </row>
    <row r="66" spans="1:7" ht="15" customHeight="1">
      <c r="A66" s="680"/>
      <c r="B66" s="1200"/>
      <c r="C66" s="1120"/>
      <c r="D66" s="1120"/>
      <c r="E66" s="1015">
        <f t="shared" si="0"/>
        <v>0</v>
      </c>
      <c r="F66" s="1201"/>
      <c r="G66" s="1009"/>
    </row>
    <row r="67" spans="1:7" ht="15" customHeight="1">
      <c r="A67" s="680"/>
      <c r="B67" s="1200"/>
      <c r="C67" s="1120"/>
      <c r="D67" s="1120"/>
      <c r="E67" s="1015">
        <f t="shared" si="0"/>
        <v>0</v>
      </c>
      <c r="F67" s="1201"/>
      <c r="G67" s="1009"/>
    </row>
    <row r="68" spans="1:7" ht="15" customHeight="1">
      <c r="A68" s="680"/>
      <c r="B68" s="1200"/>
      <c r="C68" s="1120"/>
      <c r="D68" s="1120"/>
      <c r="E68" s="1015">
        <f t="shared" si="0"/>
        <v>0</v>
      </c>
      <c r="F68" s="1201"/>
      <c r="G68" s="1009"/>
    </row>
    <row r="69" spans="1:7" ht="15" customHeight="1">
      <c r="A69" s="680"/>
      <c r="B69" s="1200"/>
      <c r="C69" s="1120"/>
      <c r="D69" s="1120"/>
      <c r="E69" s="1015">
        <f t="shared" si="0"/>
        <v>0</v>
      </c>
      <c r="F69" s="1201"/>
      <c r="G69" s="1009"/>
    </row>
    <row r="70" spans="1:7" ht="15" customHeight="1">
      <c r="A70" s="680"/>
      <c r="B70" s="1200"/>
      <c r="C70" s="1120"/>
      <c r="D70" s="1120"/>
      <c r="E70" s="1015">
        <f t="shared" si="0"/>
        <v>0</v>
      </c>
      <c r="F70" s="1201"/>
      <c r="G70" s="1009"/>
    </row>
    <row r="71" spans="1:7" ht="15" customHeight="1">
      <c r="A71" s="680"/>
      <c r="B71" s="1200"/>
      <c r="C71" s="1120"/>
      <c r="D71" s="1120"/>
      <c r="E71" s="1015">
        <f t="shared" si="0"/>
        <v>0</v>
      </c>
      <c r="F71" s="1201"/>
      <c r="G71" s="1009"/>
    </row>
    <row r="72" spans="1:7" ht="15" customHeight="1">
      <c r="A72" s="680"/>
      <c r="B72" s="1200"/>
      <c r="C72" s="1120"/>
      <c r="D72" s="1120"/>
      <c r="E72" s="1015">
        <f t="shared" si="0"/>
        <v>0</v>
      </c>
      <c r="F72" s="1201"/>
      <c r="G72" s="1009"/>
    </row>
    <row r="73" spans="1:7" ht="15" customHeight="1">
      <c r="A73" s="680"/>
      <c r="B73" s="1200"/>
      <c r="C73" s="1120"/>
      <c r="D73" s="1120"/>
      <c r="E73" s="1015">
        <f t="shared" si="0"/>
        <v>0</v>
      </c>
      <c r="F73" s="1201"/>
      <c r="G73" s="1009"/>
    </row>
    <row r="74" spans="1:7" ht="15" customHeight="1">
      <c r="A74" s="680"/>
      <c r="B74" s="1200"/>
      <c r="C74" s="1120"/>
      <c r="D74" s="1120"/>
      <c r="E74" s="1015">
        <f t="shared" si="0"/>
        <v>0</v>
      </c>
      <c r="F74" s="1201"/>
      <c r="G74" s="1009"/>
    </row>
    <row r="75" spans="1:7" ht="15" customHeight="1">
      <c r="A75" s="680"/>
      <c r="B75" s="1200"/>
      <c r="C75" s="1120"/>
      <c r="D75" s="1120"/>
      <c r="E75" s="1015">
        <f t="shared" si="0"/>
        <v>0</v>
      </c>
      <c r="F75" s="1201"/>
      <c r="G75" s="1009"/>
    </row>
    <row r="76" spans="1:7" ht="15" customHeight="1">
      <c r="A76" s="680"/>
      <c r="B76" s="1200"/>
      <c r="C76" s="1120"/>
      <c r="D76" s="1120"/>
      <c r="E76" s="1015">
        <f t="shared" si="0"/>
        <v>0</v>
      </c>
      <c r="F76" s="1201"/>
      <c r="G76" s="1009"/>
    </row>
    <row r="77" spans="1:7" ht="15" customHeight="1">
      <c r="A77" s="680"/>
      <c r="B77" s="1200"/>
      <c r="C77" s="1120"/>
      <c r="D77" s="1120"/>
      <c r="E77" s="1015">
        <f t="shared" si="0"/>
        <v>0</v>
      </c>
      <c r="F77" s="1201"/>
      <c r="G77" s="1009"/>
    </row>
    <row r="78" spans="1:7" ht="15" customHeight="1">
      <c r="A78" s="680"/>
      <c r="B78" s="1200"/>
      <c r="C78" s="1120"/>
      <c r="D78" s="1120"/>
      <c r="E78" s="1015">
        <f t="shared" si="0"/>
        <v>0</v>
      </c>
      <c r="F78" s="1201"/>
      <c r="G78" s="1009"/>
    </row>
    <row r="79" spans="1:7" ht="15" customHeight="1">
      <c r="A79" s="680"/>
      <c r="B79" s="1200"/>
      <c r="C79" s="1120"/>
      <c r="D79" s="1120"/>
      <c r="E79" s="1015">
        <f t="shared" ref="E79:E142" si="1">C79-B79+D79</f>
        <v>0</v>
      </c>
      <c r="F79" s="1201"/>
      <c r="G79" s="1009"/>
    </row>
    <row r="80" spans="1:7" ht="15" customHeight="1">
      <c r="A80" s="680"/>
      <c r="B80" s="1200"/>
      <c r="C80" s="1120"/>
      <c r="D80" s="1120"/>
      <c r="E80" s="1015">
        <f t="shared" si="1"/>
        <v>0</v>
      </c>
      <c r="F80" s="1201"/>
      <c r="G80" s="1009"/>
    </row>
    <row r="81" spans="1:7" ht="15" customHeight="1">
      <c r="A81" s="680"/>
      <c r="B81" s="1200"/>
      <c r="C81" s="1120"/>
      <c r="D81" s="1120"/>
      <c r="E81" s="1015">
        <f t="shared" si="1"/>
        <v>0</v>
      </c>
      <c r="F81" s="1201"/>
      <c r="G81" s="1009"/>
    </row>
    <row r="82" spans="1:7" ht="15" customHeight="1">
      <c r="A82" s="680"/>
      <c r="B82" s="1200"/>
      <c r="C82" s="1120"/>
      <c r="D82" s="1120"/>
      <c r="E82" s="1015">
        <f t="shared" si="1"/>
        <v>0</v>
      </c>
      <c r="F82" s="1201"/>
      <c r="G82" s="1009"/>
    </row>
    <row r="83" spans="1:7" ht="15" customHeight="1">
      <c r="A83" s="680"/>
      <c r="B83" s="1200"/>
      <c r="C83" s="1120"/>
      <c r="D83" s="1120"/>
      <c r="E83" s="1015">
        <f t="shared" si="1"/>
        <v>0</v>
      </c>
      <c r="F83" s="1201"/>
      <c r="G83" s="1009"/>
    </row>
    <row r="84" spans="1:7" ht="15" customHeight="1">
      <c r="A84" s="680"/>
      <c r="B84" s="1200"/>
      <c r="C84" s="1120"/>
      <c r="D84" s="1120"/>
      <c r="E84" s="1015">
        <f t="shared" si="1"/>
        <v>0</v>
      </c>
      <c r="F84" s="1201"/>
      <c r="G84" s="1009"/>
    </row>
    <row r="85" spans="1:7" ht="15" customHeight="1">
      <c r="A85" s="680"/>
      <c r="B85" s="1200"/>
      <c r="C85" s="1120"/>
      <c r="D85" s="1120"/>
      <c r="E85" s="1015">
        <f t="shared" si="1"/>
        <v>0</v>
      </c>
      <c r="F85" s="1201"/>
      <c r="G85" s="1009"/>
    </row>
    <row r="86" spans="1:7" ht="15" customHeight="1">
      <c r="A86" s="680"/>
      <c r="B86" s="1200"/>
      <c r="C86" s="1120"/>
      <c r="D86" s="1120"/>
      <c r="E86" s="1015">
        <f t="shared" si="1"/>
        <v>0</v>
      </c>
      <c r="F86" s="1201"/>
      <c r="G86" s="1009"/>
    </row>
    <row r="87" spans="1:7" ht="15" customHeight="1">
      <c r="A87" s="680"/>
      <c r="B87" s="1200"/>
      <c r="C87" s="1120"/>
      <c r="D87" s="1120"/>
      <c r="E87" s="1015">
        <f t="shared" si="1"/>
        <v>0</v>
      </c>
      <c r="F87" s="1201"/>
      <c r="G87" s="1009"/>
    </row>
    <row r="88" spans="1:7" ht="15" customHeight="1">
      <c r="A88" s="680"/>
      <c r="B88" s="1200"/>
      <c r="C88" s="1120"/>
      <c r="D88" s="1120"/>
      <c r="E88" s="1015">
        <f t="shared" si="1"/>
        <v>0</v>
      </c>
      <c r="F88" s="1201"/>
      <c r="G88" s="1009"/>
    </row>
    <row r="89" spans="1:7" ht="15" customHeight="1">
      <c r="A89" s="680"/>
      <c r="B89" s="1200"/>
      <c r="C89" s="1120"/>
      <c r="D89" s="1120"/>
      <c r="E89" s="1015">
        <f t="shared" si="1"/>
        <v>0</v>
      </c>
      <c r="F89" s="1201"/>
      <c r="G89" s="1009"/>
    </row>
    <row r="90" spans="1:7" ht="15" customHeight="1">
      <c r="A90" s="680"/>
      <c r="B90" s="1200"/>
      <c r="C90" s="1120"/>
      <c r="D90" s="1120"/>
      <c r="E90" s="1015">
        <f t="shared" si="1"/>
        <v>0</v>
      </c>
      <c r="F90" s="1201"/>
      <c r="G90" s="1009"/>
    </row>
    <row r="91" spans="1:7" ht="15" customHeight="1">
      <c r="A91" s="680"/>
      <c r="B91" s="1200"/>
      <c r="C91" s="1120"/>
      <c r="D91" s="1120"/>
      <c r="E91" s="1015">
        <f t="shared" si="1"/>
        <v>0</v>
      </c>
      <c r="F91" s="1201"/>
      <c r="G91" s="1009"/>
    </row>
    <row r="92" spans="1:7" ht="15" customHeight="1">
      <c r="A92" s="680"/>
      <c r="B92" s="1200"/>
      <c r="C92" s="1120"/>
      <c r="D92" s="1120"/>
      <c r="E92" s="1015">
        <f t="shared" si="1"/>
        <v>0</v>
      </c>
      <c r="F92" s="1201"/>
      <c r="G92" s="1009"/>
    </row>
    <row r="93" spans="1:7" ht="15" customHeight="1">
      <c r="A93" s="680"/>
      <c r="B93" s="1200"/>
      <c r="C93" s="1120"/>
      <c r="D93" s="1120"/>
      <c r="E93" s="1015">
        <f t="shared" si="1"/>
        <v>0</v>
      </c>
      <c r="F93" s="1201"/>
      <c r="G93" s="1009"/>
    </row>
    <row r="94" spans="1:7" ht="15" customHeight="1">
      <c r="A94" s="680"/>
      <c r="B94" s="1200"/>
      <c r="C94" s="1120"/>
      <c r="D94" s="1120"/>
      <c r="E94" s="1015">
        <f t="shared" si="1"/>
        <v>0</v>
      </c>
      <c r="F94" s="1201"/>
      <c r="G94" s="1009"/>
    </row>
    <row r="95" spans="1:7" ht="15" customHeight="1">
      <c r="A95" s="680"/>
      <c r="B95" s="1200"/>
      <c r="C95" s="1120"/>
      <c r="D95" s="1120"/>
      <c r="E95" s="1015">
        <f t="shared" si="1"/>
        <v>0</v>
      </c>
      <c r="F95" s="1201"/>
      <c r="G95" s="1009"/>
    </row>
    <row r="96" spans="1:7" ht="15" customHeight="1">
      <c r="A96" s="680"/>
      <c r="B96" s="1200"/>
      <c r="C96" s="1120"/>
      <c r="D96" s="1120"/>
      <c r="E96" s="1015">
        <f t="shared" si="1"/>
        <v>0</v>
      </c>
      <c r="F96" s="1201"/>
      <c r="G96" s="1009"/>
    </row>
    <row r="97" spans="1:7" ht="15" customHeight="1">
      <c r="A97" s="680"/>
      <c r="B97" s="1200"/>
      <c r="C97" s="1120"/>
      <c r="D97" s="1120"/>
      <c r="E97" s="1015">
        <f t="shared" si="1"/>
        <v>0</v>
      </c>
      <c r="F97" s="1201"/>
      <c r="G97" s="1009"/>
    </row>
    <row r="98" spans="1:7" ht="15" customHeight="1">
      <c r="A98" s="680"/>
      <c r="B98" s="1200"/>
      <c r="C98" s="1120"/>
      <c r="D98" s="1120"/>
      <c r="E98" s="1015">
        <f t="shared" si="1"/>
        <v>0</v>
      </c>
      <c r="F98" s="1201"/>
      <c r="G98" s="1009"/>
    </row>
    <row r="99" spans="1:7" ht="15" customHeight="1">
      <c r="A99" s="680"/>
      <c r="B99" s="1200"/>
      <c r="C99" s="1120"/>
      <c r="D99" s="1120"/>
      <c r="E99" s="1015">
        <f t="shared" si="1"/>
        <v>0</v>
      </c>
      <c r="F99" s="1201"/>
      <c r="G99" s="1009"/>
    </row>
    <row r="100" spans="1:7" ht="15" customHeight="1">
      <c r="A100" s="680"/>
      <c r="B100" s="1200"/>
      <c r="C100" s="1120"/>
      <c r="D100" s="1120"/>
      <c r="E100" s="1015">
        <f t="shared" si="1"/>
        <v>0</v>
      </c>
      <c r="F100" s="1201"/>
      <c r="G100" s="1009"/>
    </row>
    <row r="101" spans="1:7" ht="15" customHeight="1">
      <c r="A101" s="680"/>
      <c r="B101" s="1200"/>
      <c r="C101" s="1120"/>
      <c r="D101" s="1120"/>
      <c r="E101" s="1015">
        <f t="shared" si="1"/>
        <v>0</v>
      </c>
      <c r="F101" s="1201"/>
      <c r="G101" s="1009"/>
    </row>
    <row r="102" spans="1:7" ht="15" customHeight="1">
      <c r="A102" s="680"/>
      <c r="B102" s="1200"/>
      <c r="C102" s="1120"/>
      <c r="D102" s="1120"/>
      <c r="E102" s="1015">
        <f t="shared" si="1"/>
        <v>0</v>
      </c>
      <c r="F102" s="1201"/>
      <c r="G102" s="1009"/>
    </row>
    <row r="103" spans="1:7" ht="15" customHeight="1">
      <c r="A103" s="680"/>
      <c r="B103" s="1200"/>
      <c r="C103" s="1120"/>
      <c r="D103" s="1120"/>
      <c r="E103" s="1015">
        <f t="shared" si="1"/>
        <v>0</v>
      </c>
      <c r="F103" s="1201"/>
      <c r="G103" s="1009"/>
    </row>
    <row r="104" spans="1:7" ht="15" customHeight="1">
      <c r="A104" s="680"/>
      <c r="B104" s="1200"/>
      <c r="C104" s="1120"/>
      <c r="D104" s="1120"/>
      <c r="E104" s="1015">
        <f t="shared" si="1"/>
        <v>0</v>
      </c>
      <c r="F104" s="1201"/>
      <c r="G104" s="1009"/>
    </row>
    <row r="105" spans="1:7" ht="15" customHeight="1">
      <c r="A105" s="680"/>
      <c r="B105" s="1200"/>
      <c r="C105" s="1120"/>
      <c r="D105" s="1120"/>
      <c r="E105" s="1015">
        <f t="shared" si="1"/>
        <v>0</v>
      </c>
      <c r="F105" s="1201"/>
      <c r="G105" s="1009"/>
    </row>
    <row r="106" spans="1:7" ht="15" customHeight="1">
      <c r="A106" s="680"/>
      <c r="B106" s="1200"/>
      <c r="C106" s="1120"/>
      <c r="D106" s="1120"/>
      <c r="E106" s="1015">
        <f t="shared" si="1"/>
        <v>0</v>
      </c>
      <c r="F106" s="1201"/>
      <c r="G106" s="1009"/>
    </row>
    <row r="107" spans="1:7" ht="15" customHeight="1">
      <c r="A107" s="680"/>
      <c r="B107" s="1200"/>
      <c r="C107" s="1120"/>
      <c r="D107" s="1120"/>
      <c r="E107" s="1015">
        <f t="shared" si="1"/>
        <v>0</v>
      </c>
      <c r="F107" s="1201"/>
      <c r="G107" s="1009"/>
    </row>
    <row r="108" spans="1:7" ht="15" customHeight="1">
      <c r="A108" s="680"/>
      <c r="B108" s="1200"/>
      <c r="C108" s="1120"/>
      <c r="D108" s="1120"/>
      <c r="E108" s="1015">
        <f t="shared" si="1"/>
        <v>0</v>
      </c>
      <c r="F108" s="1201"/>
      <c r="G108" s="1009"/>
    </row>
    <row r="109" spans="1:7" ht="15" customHeight="1">
      <c r="A109" s="680"/>
      <c r="B109" s="1200"/>
      <c r="C109" s="1120"/>
      <c r="D109" s="1120"/>
      <c r="E109" s="1015">
        <f t="shared" si="1"/>
        <v>0</v>
      </c>
      <c r="F109" s="1201"/>
      <c r="G109" s="1009"/>
    </row>
    <row r="110" spans="1:7" ht="15" customHeight="1">
      <c r="A110" s="680"/>
      <c r="B110" s="1200"/>
      <c r="C110" s="1120"/>
      <c r="D110" s="1120"/>
      <c r="E110" s="1015">
        <f t="shared" si="1"/>
        <v>0</v>
      </c>
      <c r="F110" s="1201"/>
      <c r="G110" s="1009"/>
    </row>
    <row r="111" spans="1:7" ht="15" customHeight="1">
      <c r="A111" s="680"/>
      <c r="B111" s="1200"/>
      <c r="C111" s="1120"/>
      <c r="D111" s="1120"/>
      <c r="E111" s="1015">
        <f t="shared" si="1"/>
        <v>0</v>
      </c>
      <c r="F111" s="1201"/>
      <c r="G111" s="1009"/>
    </row>
    <row r="112" spans="1:7" ht="15" customHeight="1">
      <c r="A112" s="680"/>
      <c r="B112" s="1200"/>
      <c r="C112" s="1120"/>
      <c r="D112" s="1120"/>
      <c r="E112" s="1015">
        <f t="shared" si="1"/>
        <v>0</v>
      </c>
      <c r="F112" s="1201"/>
      <c r="G112" s="1009"/>
    </row>
    <row r="113" spans="1:7" ht="15" customHeight="1">
      <c r="A113" s="680"/>
      <c r="B113" s="1200"/>
      <c r="C113" s="1120"/>
      <c r="D113" s="1120"/>
      <c r="E113" s="1015">
        <f t="shared" si="1"/>
        <v>0</v>
      </c>
      <c r="F113" s="1201"/>
      <c r="G113" s="1009"/>
    </row>
    <row r="114" spans="1:7" ht="15" customHeight="1">
      <c r="A114" s="680"/>
      <c r="B114" s="1200"/>
      <c r="C114" s="1120"/>
      <c r="D114" s="1120"/>
      <c r="E114" s="1015">
        <f t="shared" si="1"/>
        <v>0</v>
      </c>
      <c r="F114" s="1201"/>
      <c r="G114" s="1009"/>
    </row>
    <row r="115" spans="1:7" ht="15" customHeight="1">
      <c r="A115" s="680"/>
      <c r="B115" s="1200"/>
      <c r="C115" s="1120"/>
      <c r="D115" s="1120"/>
      <c r="E115" s="1015">
        <f t="shared" si="1"/>
        <v>0</v>
      </c>
      <c r="F115" s="1201"/>
      <c r="G115" s="1009"/>
    </row>
    <row r="116" spans="1:7" ht="15" customHeight="1">
      <c r="A116" s="680"/>
      <c r="B116" s="1200"/>
      <c r="C116" s="1120"/>
      <c r="D116" s="1120"/>
      <c r="E116" s="1015">
        <f t="shared" si="1"/>
        <v>0</v>
      </c>
      <c r="F116" s="1201"/>
      <c r="G116" s="1009"/>
    </row>
    <row r="117" spans="1:7" ht="15" customHeight="1">
      <c r="A117" s="680"/>
      <c r="B117" s="1200"/>
      <c r="C117" s="1120"/>
      <c r="D117" s="1120"/>
      <c r="E117" s="1015">
        <f t="shared" si="1"/>
        <v>0</v>
      </c>
      <c r="F117" s="1201"/>
      <c r="G117" s="1009"/>
    </row>
    <row r="118" spans="1:7" ht="15" customHeight="1">
      <c r="A118" s="680"/>
      <c r="B118" s="1200"/>
      <c r="C118" s="1120"/>
      <c r="D118" s="1120"/>
      <c r="E118" s="1015">
        <f t="shared" si="1"/>
        <v>0</v>
      </c>
      <c r="F118" s="1201"/>
      <c r="G118" s="1009"/>
    </row>
    <row r="119" spans="1:7" ht="15" customHeight="1">
      <c r="A119" s="680"/>
      <c r="B119" s="1200"/>
      <c r="C119" s="1120"/>
      <c r="D119" s="1120"/>
      <c r="E119" s="1015">
        <f t="shared" si="1"/>
        <v>0</v>
      </c>
      <c r="F119" s="1201"/>
      <c r="G119" s="1009"/>
    </row>
    <row r="120" spans="1:7" ht="15" customHeight="1">
      <c r="A120" s="680"/>
      <c r="B120" s="1200"/>
      <c r="C120" s="1120"/>
      <c r="D120" s="1120"/>
      <c r="E120" s="1015">
        <f t="shared" si="1"/>
        <v>0</v>
      </c>
      <c r="F120" s="1201"/>
      <c r="G120" s="1009"/>
    </row>
    <row r="121" spans="1:7" ht="15" customHeight="1">
      <c r="A121" s="680"/>
      <c r="B121" s="1200"/>
      <c r="C121" s="1120"/>
      <c r="D121" s="1120"/>
      <c r="E121" s="1015">
        <f t="shared" si="1"/>
        <v>0</v>
      </c>
      <c r="F121" s="1201"/>
      <c r="G121" s="1009"/>
    </row>
    <row r="122" spans="1:7" ht="15" customHeight="1">
      <c r="A122" s="680"/>
      <c r="B122" s="1200"/>
      <c r="C122" s="1120"/>
      <c r="D122" s="1120"/>
      <c r="E122" s="1015">
        <f t="shared" si="1"/>
        <v>0</v>
      </c>
      <c r="F122" s="1201"/>
      <c r="G122" s="1009"/>
    </row>
    <row r="123" spans="1:7" ht="15" customHeight="1">
      <c r="A123" s="680"/>
      <c r="B123" s="1200"/>
      <c r="C123" s="1120"/>
      <c r="D123" s="1120"/>
      <c r="E123" s="1015">
        <f t="shared" si="1"/>
        <v>0</v>
      </c>
      <c r="F123" s="1201"/>
      <c r="G123" s="1009"/>
    </row>
    <row r="124" spans="1:7" ht="15" customHeight="1">
      <c r="A124" s="680"/>
      <c r="B124" s="1200"/>
      <c r="C124" s="1120"/>
      <c r="D124" s="1120"/>
      <c r="E124" s="1015">
        <f t="shared" si="1"/>
        <v>0</v>
      </c>
      <c r="F124" s="1201"/>
      <c r="G124" s="1009"/>
    </row>
    <row r="125" spans="1:7" ht="15" customHeight="1">
      <c r="A125" s="680"/>
      <c r="B125" s="1200"/>
      <c r="C125" s="1120"/>
      <c r="D125" s="1120"/>
      <c r="E125" s="1015">
        <f t="shared" si="1"/>
        <v>0</v>
      </c>
      <c r="F125" s="1201"/>
      <c r="G125" s="1009"/>
    </row>
    <row r="126" spans="1:7" ht="15" customHeight="1">
      <c r="A126" s="680"/>
      <c r="B126" s="1200"/>
      <c r="C126" s="1120"/>
      <c r="D126" s="1120"/>
      <c r="E126" s="1015">
        <f t="shared" si="1"/>
        <v>0</v>
      </c>
      <c r="F126" s="1201"/>
      <c r="G126" s="1009"/>
    </row>
    <row r="127" spans="1:7" ht="15" customHeight="1">
      <c r="A127" s="680"/>
      <c r="B127" s="1200"/>
      <c r="C127" s="1120"/>
      <c r="D127" s="1120"/>
      <c r="E127" s="1015">
        <f t="shared" si="1"/>
        <v>0</v>
      </c>
      <c r="F127" s="1201"/>
      <c r="G127" s="1009"/>
    </row>
    <row r="128" spans="1:7" ht="15" customHeight="1">
      <c r="A128" s="680"/>
      <c r="B128" s="1200"/>
      <c r="C128" s="1120"/>
      <c r="D128" s="1120"/>
      <c r="E128" s="1015">
        <f t="shared" si="1"/>
        <v>0</v>
      </c>
      <c r="F128" s="1201"/>
      <c r="G128" s="1009"/>
    </row>
    <row r="129" spans="1:7" ht="15" customHeight="1">
      <c r="A129" s="680"/>
      <c r="B129" s="1200"/>
      <c r="C129" s="1120"/>
      <c r="D129" s="1120"/>
      <c r="E129" s="1015">
        <f t="shared" si="1"/>
        <v>0</v>
      </c>
      <c r="F129" s="1201"/>
      <c r="G129" s="1009"/>
    </row>
    <row r="130" spans="1:7" ht="15" customHeight="1">
      <c r="A130" s="680"/>
      <c r="B130" s="1200"/>
      <c r="C130" s="1120"/>
      <c r="D130" s="1120"/>
      <c r="E130" s="1015">
        <f t="shared" si="1"/>
        <v>0</v>
      </c>
      <c r="F130" s="1201"/>
      <c r="G130" s="1009"/>
    </row>
    <row r="131" spans="1:7" ht="15" customHeight="1">
      <c r="A131" s="680"/>
      <c r="B131" s="1200"/>
      <c r="C131" s="1120"/>
      <c r="D131" s="1120"/>
      <c r="E131" s="1015">
        <f t="shared" si="1"/>
        <v>0</v>
      </c>
      <c r="F131" s="1201"/>
      <c r="G131" s="1009"/>
    </row>
    <row r="132" spans="1:7" ht="15" customHeight="1">
      <c r="A132" s="680"/>
      <c r="B132" s="1200"/>
      <c r="C132" s="1120"/>
      <c r="D132" s="1120"/>
      <c r="E132" s="1015">
        <f t="shared" si="1"/>
        <v>0</v>
      </c>
      <c r="F132" s="1201"/>
      <c r="G132" s="1009"/>
    </row>
    <row r="133" spans="1:7" ht="15" customHeight="1">
      <c r="A133" s="680"/>
      <c r="B133" s="1200"/>
      <c r="C133" s="1120"/>
      <c r="D133" s="1120"/>
      <c r="E133" s="1015">
        <f t="shared" si="1"/>
        <v>0</v>
      </c>
      <c r="F133" s="1201"/>
      <c r="G133" s="1009"/>
    </row>
    <row r="134" spans="1:7" ht="15" customHeight="1">
      <c r="A134" s="680"/>
      <c r="B134" s="1200"/>
      <c r="C134" s="1120"/>
      <c r="D134" s="1120"/>
      <c r="E134" s="1015">
        <f t="shared" si="1"/>
        <v>0</v>
      </c>
      <c r="F134" s="1201"/>
      <c r="G134" s="1009"/>
    </row>
    <row r="135" spans="1:7" ht="15" customHeight="1">
      <c r="A135" s="680"/>
      <c r="B135" s="1200"/>
      <c r="C135" s="1120"/>
      <c r="D135" s="1120"/>
      <c r="E135" s="1015">
        <f t="shared" si="1"/>
        <v>0</v>
      </c>
      <c r="F135" s="1201"/>
      <c r="G135" s="1009"/>
    </row>
    <row r="136" spans="1:7" ht="15" customHeight="1">
      <c r="A136" s="680"/>
      <c r="B136" s="1200"/>
      <c r="C136" s="1120"/>
      <c r="D136" s="1120"/>
      <c r="E136" s="1015">
        <f t="shared" si="1"/>
        <v>0</v>
      </c>
      <c r="F136" s="1201"/>
      <c r="G136" s="1009"/>
    </row>
    <row r="137" spans="1:7" ht="15" customHeight="1">
      <c r="A137" s="680"/>
      <c r="B137" s="1200"/>
      <c r="C137" s="1120"/>
      <c r="D137" s="1120"/>
      <c r="E137" s="1015">
        <f t="shared" si="1"/>
        <v>0</v>
      </c>
      <c r="F137" s="1201"/>
      <c r="G137" s="1009"/>
    </row>
    <row r="138" spans="1:7" ht="15" customHeight="1">
      <c r="A138" s="680"/>
      <c r="B138" s="1200"/>
      <c r="C138" s="1120"/>
      <c r="D138" s="1120"/>
      <c r="E138" s="1015">
        <f t="shared" si="1"/>
        <v>0</v>
      </c>
      <c r="F138" s="1201"/>
      <c r="G138" s="1009"/>
    </row>
    <row r="139" spans="1:7" ht="15" customHeight="1">
      <c r="A139" s="680"/>
      <c r="B139" s="1200"/>
      <c r="C139" s="1120"/>
      <c r="D139" s="1120"/>
      <c r="E139" s="1015">
        <f t="shared" si="1"/>
        <v>0</v>
      </c>
      <c r="F139" s="1201"/>
      <c r="G139" s="1009"/>
    </row>
    <row r="140" spans="1:7" ht="15" customHeight="1">
      <c r="A140" s="680"/>
      <c r="B140" s="1200"/>
      <c r="C140" s="1120"/>
      <c r="D140" s="1120"/>
      <c r="E140" s="1015">
        <f t="shared" si="1"/>
        <v>0</v>
      </c>
      <c r="F140" s="1201"/>
      <c r="G140" s="1009"/>
    </row>
    <row r="141" spans="1:7" ht="15" customHeight="1">
      <c r="A141" s="680"/>
      <c r="B141" s="1200"/>
      <c r="C141" s="1120"/>
      <c r="D141" s="1120"/>
      <c r="E141" s="1015">
        <f t="shared" si="1"/>
        <v>0</v>
      </c>
      <c r="F141" s="1201"/>
      <c r="G141" s="1009"/>
    </row>
    <row r="142" spans="1:7" ht="15" customHeight="1">
      <c r="A142" s="680"/>
      <c r="B142" s="1200"/>
      <c r="C142" s="1120"/>
      <c r="D142" s="1120"/>
      <c r="E142" s="1015">
        <f t="shared" si="1"/>
        <v>0</v>
      </c>
      <c r="F142" s="1201"/>
      <c r="G142" s="1009"/>
    </row>
    <row r="143" spans="1:7" ht="15" customHeight="1">
      <c r="A143" s="680"/>
      <c r="B143" s="1200"/>
      <c r="C143" s="1120"/>
      <c r="D143" s="1120"/>
      <c r="E143" s="1015">
        <f t="shared" ref="E143:E206" si="2">C143-B143+D143</f>
        <v>0</v>
      </c>
      <c r="F143" s="1201"/>
      <c r="G143" s="1009"/>
    </row>
    <row r="144" spans="1:7" ht="15" customHeight="1">
      <c r="A144" s="680"/>
      <c r="B144" s="1200"/>
      <c r="C144" s="1120"/>
      <c r="D144" s="1120"/>
      <c r="E144" s="1015">
        <f t="shared" si="2"/>
        <v>0</v>
      </c>
      <c r="F144" s="1201"/>
      <c r="G144" s="1009"/>
    </row>
    <row r="145" spans="1:7" ht="15" customHeight="1">
      <c r="A145" s="680"/>
      <c r="B145" s="1200"/>
      <c r="C145" s="1120"/>
      <c r="D145" s="1120"/>
      <c r="E145" s="1015">
        <f t="shared" si="2"/>
        <v>0</v>
      </c>
      <c r="F145" s="1201"/>
      <c r="G145" s="1009"/>
    </row>
    <row r="146" spans="1:7" ht="15" customHeight="1">
      <c r="A146" s="680"/>
      <c r="B146" s="1200"/>
      <c r="C146" s="1120"/>
      <c r="D146" s="1120"/>
      <c r="E146" s="1015">
        <f t="shared" si="2"/>
        <v>0</v>
      </c>
      <c r="F146" s="1201"/>
      <c r="G146" s="1009"/>
    </row>
    <row r="147" spans="1:7" ht="15" customHeight="1">
      <c r="A147" s="680"/>
      <c r="B147" s="1200"/>
      <c r="C147" s="1120"/>
      <c r="D147" s="1120"/>
      <c r="E147" s="1015">
        <f t="shared" si="2"/>
        <v>0</v>
      </c>
      <c r="F147" s="1201"/>
      <c r="G147" s="1009"/>
    </row>
    <row r="148" spans="1:7" ht="15" customHeight="1">
      <c r="A148" s="680"/>
      <c r="B148" s="1200"/>
      <c r="C148" s="1120"/>
      <c r="D148" s="1120"/>
      <c r="E148" s="1015">
        <f t="shared" si="2"/>
        <v>0</v>
      </c>
      <c r="F148" s="1201"/>
      <c r="G148" s="1009"/>
    </row>
    <row r="149" spans="1:7" ht="15" customHeight="1">
      <c r="A149" s="680"/>
      <c r="B149" s="1200"/>
      <c r="C149" s="1120"/>
      <c r="D149" s="1120"/>
      <c r="E149" s="1015">
        <f t="shared" si="2"/>
        <v>0</v>
      </c>
      <c r="F149" s="1201"/>
      <c r="G149" s="1009"/>
    </row>
    <row r="150" spans="1:7" ht="15" customHeight="1">
      <c r="A150" s="680"/>
      <c r="B150" s="1200"/>
      <c r="C150" s="1120"/>
      <c r="D150" s="1120"/>
      <c r="E150" s="1015">
        <f t="shared" si="2"/>
        <v>0</v>
      </c>
      <c r="F150" s="1201"/>
      <c r="G150" s="1009"/>
    </row>
    <row r="151" spans="1:7" ht="15" customHeight="1">
      <c r="A151" s="680"/>
      <c r="B151" s="1200"/>
      <c r="C151" s="1120"/>
      <c r="D151" s="1120"/>
      <c r="E151" s="1015">
        <f t="shared" si="2"/>
        <v>0</v>
      </c>
      <c r="F151" s="1201"/>
      <c r="G151" s="1009"/>
    </row>
    <row r="152" spans="1:7" ht="15" customHeight="1">
      <c r="A152" s="680"/>
      <c r="B152" s="1200"/>
      <c r="C152" s="1120"/>
      <c r="D152" s="1120"/>
      <c r="E152" s="1015">
        <f t="shared" si="2"/>
        <v>0</v>
      </c>
      <c r="F152" s="1201"/>
      <c r="G152" s="1009"/>
    </row>
    <row r="153" spans="1:7" ht="15" customHeight="1">
      <c r="A153" s="680"/>
      <c r="B153" s="1200"/>
      <c r="C153" s="1120"/>
      <c r="D153" s="1120"/>
      <c r="E153" s="1015">
        <f t="shared" si="2"/>
        <v>0</v>
      </c>
      <c r="F153" s="1201"/>
      <c r="G153" s="1009"/>
    </row>
    <row r="154" spans="1:7" ht="15" customHeight="1">
      <c r="A154" s="680"/>
      <c r="B154" s="1200"/>
      <c r="C154" s="1120"/>
      <c r="D154" s="1120"/>
      <c r="E154" s="1015">
        <f t="shared" si="2"/>
        <v>0</v>
      </c>
      <c r="F154" s="1201"/>
      <c r="G154" s="1009"/>
    </row>
    <row r="155" spans="1:7" ht="15" customHeight="1">
      <c r="A155" s="680"/>
      <c r="B155" s="1200"/>
      <c r="C155" s="1120"/>
      <c r="D155" s="1120"/>
      <c r="E155" s="1015">
        <f t="shared" si="2"/>
        <v>0</v>
      </c>
      <c r="F155" s="1201"/>
      <c r="G155" s="1009"/>
    </row>
    <row r="156" spans="1:7" ht="15" customHeight="1">
      <c r="A156" s="680"/>
      <c r="B156" s="1200"/>
      <c r="C156" s="1120"/>
      <c r="D156" s="1120"/>
      <c r="E156" s="1015">
        <f t="shared" si="2"/>
        <v>0</v>
      </c>
      <c r="F156" s="1201"/>
      <c r="G156" s="1009"/>
    </row>
    <row r="157" spans="1:7" ht="15" customHeight="1">
      <c r="A157" s="680"/>
      <c r="B157" s="1200"/>
      <c r="C157" s="1120"/>
      <c r="D157" s="1120"/>
      <c r="E157" s="1015">
        <f t="shared" si="2"/>
        <v>0</v>
      </c>
      <c r="F157" s="1201"/>
      <c r="G157" s="1009"/>
    </row>
    <row r="158" spans="1:7" ht="15" customHeight="1">
      <c r="A158" s="680"/>
      <c r="B158" s="1200"/>
      <c r="C158" s="1120"/>
      <c r="D158" s="1120"/>
      <c r="E158" s="1015">
        <f t="shared" si="2"/>
        <v>0</v>
      </c>
      <c r="F158" s="1201"/>
      <c r="G158" s="1009"/>
    </row>
    <row r="159" spans="1:7" ht="15" customHeight="1">
      <c r="A159" s="680"/>
      <c r="B159" s="1200"/>
      <c r="C159" s="1120"/>
      <c r="D159" s="1120"/>
      <c r="E159" s="1015">
        <f t="shared" si="2"/>
        <v>0</v>
      </c>
      <c r="F159" s="1201"/>
      <c r="G159" s="1009"/>
    </row>
    <row r="160" spans="1:7" ht="15" customHeight="1">
      <c r="A160" s="680"/>
      <c r="B160" s="1200"/>
      <c r="C160" s="1120"/>
      <c r="D160" s="1120"/>
      <c r="E160" s="1015">
        <f t="shared" si="2"/>
        <v>0</v>
      </c>
      <c r="F160" s="1201"/>
      <c r="G160" s="1009"/>
    </row>
    <row r="161" spans="1:7" ht="15" customHeight="1">
      <c r="A161" s="680"/>
      <c r="B161" s="1200"/>
      <c r="C161" s="1120"/>
      <c r="D161" s="1120"/>
      <c r="E161" s="1015">
        <f t="shared" si="2"/>
        <v>0</v>
      </c>
      <c r="F161" s="1201"/>
      <c r="G161" s="1009"/>
    </row>
    <row r="162" spans="1:7" ht="15" customHeight="1">
      <c r="A162" s="680"/>
      <c r="B162" s="1200"/>
      <c r="C162" s="1120"/>
      <c r="D162" s="1120"/>
      <c r="E162" s="1015">
        <f t="shared" si="2"/>
        <v>0</v>
      </c>
      <c r="F162" s="1201"/>
      <c r="G162" s="1009"/>
    </row>
    <row r="163" spans="1:7" ht="15" customHeight="1">
      <c r="A163" s="680"/>
      <c r="B163" s="1200"/>
      <c r="C163" s="1120"/>
      <c r="D163" s="1120"/>
      <c r="E163" s="1015">
        <f t="shared" si="2"/>
        <v>0</v>
      </c>
      <c r="F163" s="1201"/>
      <c r="G163" s="1009"/>
    </row>
    <row r="164" spans="1:7" ht="15" customHeight="1">
      <c r="A164" s="680"/>
      <c r="B164" s="1200"/>
      <c r="C164" s="1120"/>
      <c r="D164" s="1120"/>
      <c r="E164" s="1015">
        <f t="shared" si="2"/>
        <v>0</v>
      </c>
      <c r="F164" s="1201"/>
      <c r="G164" s="1009"/>
    </row>
    <row r="165" spans="1:7" ht="15" customHeight="1">
      <c r="A165" s="680"/>
      <c r="B165" s="1200"/>
      <c r="C165" s="1120"/>
      <c r="D165" s="1120"/>
      <c r="E165" s="1015">
        <f t="shared" si="2"/>
        <v>0</v>
      </c>
      <c r="F165" s="1201"/>
      <c r="G165" s="1009"/>
    </row>
    <row r="166" spans="1:7" ht="15" customHeight="1">
      <c r="A166" s="680"/>
      <c r="B166" s="1200"/>
      <c r="C166" s="1120"/>
      <c r="D166" s="1120"/>
      <c r="E166" s="1015">
        <f t="shared" si="2"/>
        <v>0</v>
      </c>
      <c r="F166" s="1201"/>
      <c r="G166" s="1009"/>
    </row>
    <row r="167" spans="1:7" ht="15" customHeight="1">
      <c r="A167" s="680"/>
      <c r="B167" s="1200"/>
      <c r="C167" s="1120"/>
      <c r="D167" s="1120"/>
      <c r="E167" s="1015">
        <f t="shared" si="2"/>
        <v>0</v>
      </c>
      <c r="F167" s="1201"/>
      <c r="G167" s="1009"/>
    </row>
    <row r="168" spans="1:7" ht="15" customHeight="1">
      <c r="A168" s="680"/>
      <c r="B168" s="1200"/>
      <c r="C168" s="1120"/>
      <c r="D168" s="1120"/>
      <c r="E168" s="1015">
        <f t="shared" si="2"/>
        <v>0</v>
      </c>
      <c r="F168" s="1201"/>
      <c r="G168" s="1009"/>
    </row>
    <row r="169" spans="1:7" ht="15" customHeight="1">
      <c r="A169" s="680"/>
      <c r="B169" s="1200"/>
      <c r="C169" s="1120"/>
      <c r="D169" s="1120"/>
      <c r="E169" s="1015">
        <f t="shared" si="2"/>
        <v>0</v>
      </c>
      <c r="F169" s="1201"/>
      <c r="G169" s="1009"/>
    </row>
    <row r="170" spans="1:7" ht="15" customHeight="1">
      <c r="A170" s="680"/>
      <c r="B170" s="1200"/>
      <c r="C170" s="1120"/>
      <c r="D170" s="1120"/>
      <c r="E170" s="1015">
        <f t="shared" si="2"/>
        <v>0</v>
      </c>
      <c r="F170" s="1201"/>
      <c r="G170" s="1009"/>
    </row>
    <row r="171" spans="1:7" ht="15" customHeight="1">
      <c r="A171" s="680"/>
      <c r="B171" s="1200"/>
      <c r="C171" s="1120"/>
      <c r="D171" s="1120"/>
      <c r="E171" s="1015">
        <f t="shared" si="2"/>
        <v>0</v>
      </c>
      <c r="F171" s="1201"/>
      <c r="G171" s="1009"/>
    </row>
    <row r="172" spans="1:7" ht="15" customHeight="1">
      <c r="A172" s="680"/>
      <c r="B172" s="1200"/>
      <c r="C172" s="1120"/>
      <c r="D172" s="1120"/>
      <c r="E172" s="1015">
        <f t="shared" si="2"/>
        <v>0</v>
      </c>
      <c r="F172" s="1201"/>
      <c r="G172" s="1009"/>
    </row>
    <row r="173" spans="1:7" ht="15" customHeight="1">
      <c r="A173" s="680"/>
      <c r="B173" s="1200"/>
      <c r="C173" s="1120"/>
      <c r="D173" s="1120"/>
      <c r="E173" s="1015">
        <f t="shared" si="2"/>
        <v>0</v>
      </c>
      <c r="F173" s="1201"/>
      <c r="G173" s="1009"/>
    </row>
    <row r="174" spans="1:7" ht="15" customHeight="1">
      <c r="A174" s="680"/>
      <c r="B174" s="1200"/>
      <c r="C174" s="1120"/>
      <c r="D174" s="1120"/>
      <c r="E174" s="1015">
        <f t="shared" si="2"/>
        <v>0</v>
      </c>
      <c r="F174" s="1201"/>
      <c r="G174" s="1009"/>
    </row>
    <row r="175" spans="1:7" ht="15" customHeight="1">
      <c r="A175" s="680"/>
      <c r="B175" s="1200"/>
      <c r="C175" s="1120"/>
      <c r="D175" s="1120"/>
      <c r="E175" s="1015">
        <f t="shared" si="2"/>
        <v>0</v>
      </c>
      <c r="F175" s="1201"/>
      <c r="G175" s="1009"/>
    </row>
    <row r="176" spans="1:7" ht="15" customHeight="1">
      <c r="A176" s="680"/>
      <c r="B176" s="1200"/>
      <c r="C176" s="1120"/>
      <c r="D176" s="1120"/>
      <c r="E176" s="1015">
        <f t="shared" si="2"/>
        <v>0</v>
      </c>
      <c r="F176" s="1201"/>
      <c r="G176" s="1009"/>
    </row>
    <row r="177" spans="1:7" ht="15" customHeight="1">
      <c r="A177" s="680"/>
      <c r="B177" s="1200"/>
      <c r="C177" s="1120"/>
      <c r="D177" s="1120"/>
      <c r="E177" s="1015">
        <f t="shared" si="2"/>
        <v>0</v>
      </c>
      <c r="F177" s="1201"/>
      <c r="G177" s="1009"/>
    </row>
    <row r="178" spans="1:7" ht="15" customHeight="1">
      <c r="A178" s="680"/>
      <c r="B178" s="1200"/>
      <c r="C178" s="1120"/>
      <c r="D178" s="1120"/>
      <c r="E178" s="1015">
        <f t="shared" si="2"/>
        <v>0</v>
      </c>
      <c r="F178" s="1201"/>
      <c r="G178" s="1009"/>
    </row>
    <row r="179" spans="1:7" ht="15" customHeight="1">
      <c r="A179" s="680"/>
      <c r="B179" s="1200"/>
      <c r="C179" s="1120"/>
      <c r="D179" s="1120"/>
      <c r="E179" s="1015">
        <f t="shared" si="2"/>
        <v>0</v>
      </c>
      <c r="F179" s="1201"/>
      <c r="G179" s="1009"/>
    </row>
    <row r="180" spans="1:7" ht="15" customHeight="1">
      <c r="A180" s="680"/>
      <c r="B180" s="1200"/>
      <c r="C180" s="1120"/>
      <c r="D180" s="1120"/>
      <c r="E180" s="1015">
        <f t="shared" si="2"/>
        <v>0</v>
      </c>
      <c r="F180" s="1201"/>
      <c r="G180" s="1009"/>
    </row>
    <row r="181" spans="1:7" ht="15" customHeight="1">
      <c r="A181" s="680"/>
      <c r="B181" s="1200"/>
      <c r="C181" s="1120"/>
      <c r="D181" s="1120"/>
      <c r="E181" s="1015">
        <f t="shared" si="2"/>
        <v>0</v>
      </c>
      <c r="F181" s="1201"/>
      <c r="G181" s="1009"/>
    </row>
    <row r="182" spans="1:7" ht="15" customHeight="1">
      <c r="A182" s="680"/>
      <c r="B182" s="1200"/>
      <c r="C182" s="1120"/>
      <c r="D182" s="1120"/>
      <c r="E182" s="1015">
        <f t="shared" si="2"/>
        <v>0</v>
      </c>
      <c r="F182" s="1201"/>
      <c r="G182" s="1009"/>
    </row>
    <row r="183" spans="1:7" ht="15" customHeight="1">
      <c r="A183" s="680"/>
      <c r="B183" s="1200"/>
      <c r="C183" s="1120"/>
      <c r="D183" s="1120"/>
      <c r="E183" s="1015">
        <f t="shared" si="2"/>
        <v>0</v>
      </c>
      <c r="F183" s="1201"/>
      <c r="G183" s="1009"/>
    </row>
    <row r="184" spans="1:7" ht="15" customHeight="1">
      <c r="A184" s="680"/>
      <c r="B184" s="1200"/>
      <c r="C184" s="1120"/>
      <c r="D184" s="1120"/>
      <c r="E184" s="1015">
        <f t="shared" si="2"/>
        <v>0</v>
      </c>
      <c r="F184" s="1201"/>
      <c r="G184" s="1009"/>
    </row>
    <row r="185" spans="1:7" ht="15" customHeight="1">
      <c r="A185" s="680"/>
      <c r="B185" s="1200"/>
      <c r="C185" s="1120"/>
      <c r="D185" s="1120"/>
      <c r="E185" s="1015">
        <f t="shared" si="2"/>
        <v>0</v>
      </c>
      <c r="F185" s="1201"/>
      <c r="G185" s="1009"/>
    </row>
    <row r="186" spans="1:7" ht="15" customHeight="1">
      <c r="A186" s="680"/>
      <c r="B186" s="1200"/>
      <c r="C186" s="1120"/>
      <c r="D186" s="1120"/>
      <c r="E186" s="1015">
        <f t="shared" si="2"/>
        <v>0</v>
      </c>
      <c r="F186" s="1201"/>
      <c r="G186" s="1009"/>
    </row>
    <row r="187" spans="1:7" ht="15" customHeight="1">
      <c r="A187" s="680"/>
      <c r="B187" s="1200"/>
      <c r="C187" s="1120"/>
      <c r="D187" s="1120"/>
      <c r="E187" s="1015">
        <f t="shared" si="2"/>
        <v>0</v>
      </c>
      <c r="F187" s="1201"/>
      <c r="G187" s="1009"/>
    </row>
    <row r="188" spans="1:7" ht="15" customHeight="1">
      <c r="A188" s="680"/>
      <c r="B188" s="1200"/>
      <c r="C188" s="1120"/>
      <c r="D188" s="1120"/>
      <c r="E188" s="1015">
        <f t="shared" si="2"/>
        <v>0</v>
      </c>
      <c r="F188" s="1201"/>
      <c r="G188" s="1009"/>
    </row>
    <row r="189" spans="1:7" ht="15" customHeight="1">
      <c r="A189" s="680"/>
      <c r="B189" s="1200"/>
      <c r="C189" s="1120"/>
      <c r="D189" s="1120"/>
      <c r="E189" s="1015">
        <f t="shared" si="2"/>
        <v>0</v>
      </c>
      <c r="F189" s="1201"/>
      <c r="G189" s="1009"/>
    </row>
    <row r="190" spans="1:7" ht="15" customHeight="1">
      <c r="A190" s="680"/>
      <c r="B190" s="1200"/>
      <c r="C190" s="1120"/>
      <c r="D190" s="1120"/>
      <c r="E190" s="1015">
        <f t="shared" si="2"/>
        <v>0</v>
      </c>
      <c r="F190" s="1201"/>
      <c r="G190" s="1009"/>
    </row>
    <row r="191" spans="1:7" ht="15" customHeight="1">
      <c r="A191" s="680"/>
      <c r="B191" s="1200"/>
      <c r="C191" s="1120"/>
      <c r="D191" s="1120"/>
      <c r="E191" s="1015">
        <f t="shared" si="2"/>
        <v>0</v>
      </c>
      <c r="F191" s="1201"/>
      <c r="G191" s="1009"/>
    </row>
    <row r="192" spans="1:7" ht="15" customHeight="1">
      <c r="A192" s="680"/>
      <c r="B192" s="1200"/>
      <c r="C192" s="1120"/>
      <c r="D192" s="1120"/>
      <c r="E192" s="1015">
        <f t="shared" si="2"/>
        <v>0</v>
      </c>
      <c r="F192" s="1201"/>
      <c r="G192" s="1009"/>
    </row>
    <row r="193" spans="1:7" ht="15" customHeight="1">
      <c r="A193" s="680"/>
      <c r="B193" s="1200"/>
      <c r="C193" s="1120"/>
      <c r="D193" s="1120"/>
      <c r="E193" s="1015">
        <f t="shared" si="2"/>
        <v>0</v>
      </c>
      <c r="F193" s="1201"/>
      <c r="G193" s="1009"/>
    </row>
    <row r="194" spans="1:7" ht="15" customHeight="1">
      <c r="A194" s="680"/>
      <c r="B194" s="1200"/>
      <c r="C194" s="1120"/>
      <c r="D194" s="1120"/>
      <c r="E194" s="1015">
        <f t="shared" si="2"/>
        <v>0</v>
      </c>
      <c r="F194" s="1201"/>
      <c r="G194" s="1009"/>
    </row>
    <row r="195" spans="1:7" ht="15" customHeight="1">
      <c r="A195" s="680"/>
      <c r="B195" s="1200"/>
      <c r="C195" s="1120"/>
      <c r="D195" s="1120"/>
      <c r="E195" s="1015">
        <f t="shared" si="2"/>
        <v>0</v>
      </c>
      <c r="F195" s="1201"/>
      <c r="G195" s="1009"/>
    </row>
    <row r="196" spans="1:7" ht="15" customHeight="1">
      <c r="A196" s="680"/>
      <c r="B196" s="1200"/>
      <c r="C196" s="1120"/>
      <c r="D196" s="1120"/>
      <c r="E196" s="1015">
        <f t="shared" si="2"/>
        <v>0</v>
      </c>
      <c r="F196" s="1201"/>
      <c r="G196" s="1009"/>
    </row>
    <row r="197" spans="1:7" ht="15" customHeight="1">
      <c r="A197" s="680"/>
      <c r="B197" s="1200"/>
      <c r="C197" s="1120"/>
      <c r="D197" s="1120"/>
      <c r="E197" s="1015">
        <f t="shared" si="2"/>
        <v>0</v>
      </c>
      <c r="F197" s="1201"/>
      <c r="G197" s="1009"/>
    </row>
    <row r="198" spans="1:7" ht="15" customHeight="1">
      <c r="A198" s="680"/>
      <c r="B198" s="1200"/>
      <c r="C198" s="1120"/>
      <c r="D198" s="1120"/>
      <c r="E198" s="1015">
        <f t="shared" si="2"/>
        <v>0</v>
      </c>
      <c r="F198" s="1201"/>
      <c r="G198" s="1009"/>
    </row>
    <row r="199" spans="1:7" ht="15" customHeight="1">
      <c r="A199" s="680"/>
      <c r="B199" s="1200"/>
      <c r="C199" s="1120"/>
      <c r="D199" s="1120"/>
      <c r="E199" s="1015">
        <f t="shared" si="2"/>
        <v>0</v>
      </c>
      <c r="F199" s="1201"/>
      <c r="G199" s="1009"/>
    </row>
    <row r="200" spans="1:7" ht="15" customHeight="1">
      <c r="A200" s="680"/>
      <c r="B200" s="1200"/>
      <c r="C200" s="1120"/>
      <c r="D200" s="1120"/>
      <c r="E200" s="1015">
        <f t="shared" si="2"/>
        <v>0</v>
      </c>
      <c r="F200" s="1201"/>
      <c r="G200" s="1009"/>
    </row>
    <row r="201" spans="1:7" ht="15" customHeight="1">
      <c r="A201" s="680"/>
      <c r="B201" s="1200"/>
      <c r="C201" s="1120"/>
      <c r="D201" s="1120"/>
      <c r="E201" s="1015">
        <f t="shared" si="2"/>
        <v>0</v>
      </c>
      <c r="F201" s="1201"/>
      <c r="G201" s="1009"/>
    </row>
    <row r="202" spans="1:7" ht="15" customHeight="1">
      <c r="A202" s="680"/>
      <c r="B202" s="1200"/>
      <c r="C202" s="1120"/>
      <c r="D202" s="1120"/>
      <c r="E202" s="1015">
        <f t="shared" si="2"/>
        <v>0</v>
      </c>
      <c r="F202" s="1201"/>
      <c r="G202" s="1009"/>
    </row>
    <row r="203" spans="1:7" ht="15" customHeight="1">
      <c r="A203" s="680"/>
      <c r="B203" s="1200"/>
      <c r="C203" s="1120"/>
      <c r="D203" s="1120"/>
      <c r="E203" s="1015">
        <f t="shared" si="2"/>
        <v>0</v>
      </c>
      <c r="F203" s="1201"/>
      <c r="G203" s="1009"/>
    </row>
    <row r="204" spans="1:7" ht="15" customHeight="1">
      <c r="A204" s="680"/>
      <c r="B204" s="1200"/>
      <c r="C204" s="1120"/>
      <c r="D204" s="1120"/>
      <c r="E204" s="1015">
        <f t="shared" si="2"/>
        <v>0</v>
      </c>
      <c r="F204" s="1201"/>
      <c r="G204" s="1009"/>
    </row>
    <row r="205" spans="1:7" ht="15" customHeight="1">
      <c r="A205" s="680"/>
      <c r="B205" s="1200"/>
      <c r="C205" s="1120"/>
      <c r="D205" s="1120"/>
      <c r="E205" s="1015">
        <f t="shared" si="2"/>
        <v>0</v>
      </c>
      <c r="F205" s="1201"/>
      <c r="G205" s="1009"/>
    </row>
    <row r="206" spans="1:7" ht="15" customHeight="1">
      <c r="A206" s="680"/>
      <c r="B206" s="1200"/>
      <c r="C206" s="1120"/>
      <c r="D206" s="1120"/>
      <c r="E206" s="1015">
        <f t="shared" si="2"/>
        <v>0</v>
      </c>
      <c r="F206" s="1201"/>
      <c r="G206" s="1009"/>
    </row>
    <row r="207" spans="1:7" ht="15" customHeight="1">
      <c r="A207" s="680"/>
      <c r="B207" s="1200"/>
      <c r="C207" s="1120"/>
      <c r="D207" s="1120"/>
      <c r="E207" s="1015">
        <f t="shared" ref="E207:E270" si="3">C207-B207+D207</f>
        <v>0</v>
      </c>
      <c r="F207" s="1201"/>
      <c r="G207" s="1009"/>
    </row>
    <row r="208" spans="1:7" ht="15" customHeight="1">
      <c r="A208" s="680"/>
      <c r="B208" s="1200"/>
      <c r="C208" s="1120"/>
      <c r="D208" s="1120"/>
      <c r="E208" s="1015">
        <f t="shared" si="3"/>
        <v>0</v>
      </c>
      <c r="F208" s="1201"/>
      <c r="G208" s="1009"/>
    </row>
    <row r="209" spans="1:7" ht="15" customHeight="1">
      <c r="A209" s="680"/>
      <c r="B209" s="1200"/>
      <c r="C209" s="1120"/>
      <c r="D209" s="1120"/>
      <c r="E209" s="1015">
        <f t="shared" si="3"/>
        <v>0</v>
      </c>
      <c r="F209" s="1201"/>
      <c r="G209" s="1009"/>
    </row>
    <row r="210" spans="1:7" ht="15" customHeight="1">
      <c r="A210" s="680"/>
      <c r="B210" s="1200"/>
      <c r="C210" s="1120"/>
      <c r="D210" s="1120"/>
      <c r="E210" s="1015">
        <f t="shared" si="3"/>
        <v>0</v>
      </c>
      <c r="F210" s="1201"/>
      <c r="G210" s="1009"/>
    </row>
    <row r="211" spans="1:7" ht="15" customHeight="1">
      <c r="A211" s="680"/>
      <c r="B211" s="1200"/>
      <c r="C211" s="1120"/>
      <c r="D211" s="1120"/>
      <c r="E211" s="1015">
        <f t="shared" si="3"/>
        <v>0</v>
      </c>
      <c r="F211" s="1201"/>
      <c r="G211" s="1009"/>
    </row>
    <row r="212" spans="1:7" ht="15" customHeight="1">
      <c r="A212" s="680"/>
      <c r="B212" s="1200"/>
      <c r="C212" s="1120"/>
      <c r="D212" s="1120"/>
      <c r="E212" s="1015">
        <f t="shared" si="3"/>
        <v>0</v>
      </c>
      <c r="F212" s="1201"/>
      <c r="G212" s="1009"/>
    </row>
    <row r="213" spans="1:7" ht="15" customHeight="1">
      <c r="A213" s="680"/>
      <c r="B213" s="1200"/>
      <c r="C213" s="1120"/>
      <c r="D213" s="1120"/>
      <c r="E213" s="1015">
        <f t="shared" si="3"/>
        <v>0</v>
      </c>
      <c r="F213" s="1201"/>
      <c r="G213" s="1009"/>
    </row>
    <row r="214" spans="1:7" ht="15" customHeight="1">
      <c r="A214" s="680"/>
      <c r="B214" s="1200"/>
      <c r="C214" s="1120"/>
      <c r="D214" s="1120"/>
      <c r="E214" s="1015">
        <f t="shared" si="3"/>
        <v>0</v>
      </c>
      <c r="F214" s="1201"/>
      <c r="G214" s="1009"/>
    </row>
    <row r="215" spans="1:7" ht="15" customHeight="1">
      <c r="A215" s="680"/>
      <c r="B215" s="1200"/>
      <c r="C215" s="1120"/>
      <c r="D215" s="1120"/>
      <c r="E215" s="1015">
        <f t="shared" si="3"/>
        <v>0</v>
      </c>
      <c r="F215" s="1201"/>
      <c r="G215" s="1009"/>
    </row>
    <row r="216" spans="1:7" ht="15" customHeight="1">
      <c r="A216" s="680"/>
      <c r="B216" s="1200"/>
      <c r="C216" s="1120"/>
      <c r="D216" s="1120"/>
      <c r="E216" s="1015">
        <f t="shared" si="3"/>
        <v>0</v>
      </c>
      <c r="F216" s="1201"/>
      <c r="G216" s="1009"/>
    </row>
    <row r="217" spans="1:7" ht="15" customHeight="1">
      <c r="A217" s="680"/>
      <c r="B217" s="1200"/>
      <c r="C217" s="1120"/>
      <c r="D217" s="1120"/>
      <c r="E217" s="1015">
        <f t="shared" si="3"/>
        <v>0</v>
      </c>
      <c r="F217" s="1201"/>
      <c r="G217" s="1009"/>
    </row>
    <row r="218" spans="1:7" ht="15" customHeight="1">
      <c r="A218" s="680"/>
      <c r="B218" s="1200"/>
      <c r="C218" s="1120"/>
      <c r="D218" s="1120"/>
      <c r="E218" s="1015">
        <f t="shared" si="3"/>
        <v>0</v>
      </c>
      <c r="F218" s="1201"/>
      <c r="G218" s="1009"/>
    </row>
    <row r="219" spans="1:7" ht="15" customHeight="1">
      <c r="A219" s="680"/>
      <c r="B219" s="1200"/>
      <c r="C219" s="1120"/>
      <c r="D219" s="1120"/>
      <c r="E219" s="1015">
        <f t="shared" si="3"/>
        <v>0</v>
      </c>
      <c r="F219" s="1201"/>
      <c r="G219" s="1009"/>
    </row>
    <row r="220" spans="1:7" ht="15" customHeight="1">
      <c r="A220" s="680"/>
      <c r="B220" s="1200"/>
      <c r="C220" s="1120"/>
      <c r="D220" s="1120"/>
      <c r="E220" s="1015">
        <f t="shared" si="3"/>
        <v>0</v>
      </c>
      <c r="F220" s="1201"/>
      <c r="G220" s="1009"/>
    </row>
    <row r="221" spans="1:7" ht="15" customHeight="1">
      <c r="A221" s="680"/>
      <c r="B221" s="1200"/>
      <c r="C221" s="1120"/>
      <c r="D221" s="1120"/>
      <c r="E221" s="1015">
        <f t="shared" si="3"/>
        <v>0</v>
      </c>
      <c r="F221" s="1201"/>
      <c r="G221" s="1009"/>
    </row>
    <row r="222" spans="1:7" ht="15" customHeight="1">
      <c r="A222" s="680"/>
      <c r="B222" s="1200"/>
      <c r="C222" s="1120"/>
      <c r="D222" s="1120"/>
      <c r="E222" s="1015">
        <f t="shared" si="3"/>
        <v>0</v>
      </c>
      <c r="F222" s="1201"/>
      <c r="G222" s="1009"/>
    </row>
    <row r="223" spans="1:7" ht="15" customHeight="1">
      <c r="A223" s="680"/>
      <c r="B223" s="1200"/>
      <c r="C223" s="1120"/>
      <c r="D223" s="1120"/>
      <c r="E223" s="1015">
        <f t="shared" si="3"/>
        <v>0</v>
      </c>
      <c r="F223" s="1201"/>
      <c r="G223" s="1009"/>
    </row>
    <row r="224" spans="1:7" ht="15" customHeight="1">
      <c r="A224" s="680"/>
      <c r="B224" s="1200"/>
      <c r="C224" s="1120"/>
      <c r="D224" s="1120"/>
      <c r="E224" s="1015">
        <f t="shared" si="3"/>
        <v>0</v>
      </c>
      <c r="F224" s="1201"/>
      <c r="G224" s="1009"/>
    </row>
    <row r="225" spans="1:7" ht="15" customHeight="1">
      <c r="A225" s="680"/>
      <c r="B225" s="1200"/>
      <c r="C225" s="1120"/>
      <c r="D225" s="1120"/>
      <c r="E225" s="1015">
        <f t="shared" si="3"/>
        <v>0</v>
      </c>
      <c r="F225" s="1201"/>
      <c r="G225" s="1009"/>
    </row>
    <row r="226" spans="1:7" ht="15" customHeight="1">
      <c r="A226" s="680"/>
      <c r="B226" s="1200"/>
      <c r="C226" s="1120"/>
      <c r="D226" s="1120"/>
      <c r="E226" s="1015">
        <f t="shared" si="3"/>
        <v>0</v>
      </c>
      <c r="F226" s="1201"/>
      <c r="G226" s="1009"/>
    </row>
    <row r="227" spans="1:7" ht="15" customHeight="1">
      <c r="A227" s="680"/>
      <c r="B227" s="1200"/>
      <c r="C227" s="1120"/>
      <c r="D227" s="1120"/>
      <c r="E227" s="1015">
        <f t="shared" si="3"/>
        <v>0</v>
      </c>
      <c r="F227" s="1201"/>
      <c r="G227" s="1009"/>
    </row>
    <row r="228" spans="1:7" ht="15" customHeight="1">
      <c r="A228" s="680"/>
      <c r="B228" s="1200"/>
      <c r="C228" s="1120"/>
      <c r="D228" s="1120"/>
      <c r="E228" s="1015">
        <f t="shared" si="3"/>
        <v>0</v>
      </c>
      <c r="F228" s="1201"/>
      <c r="G228" s="1009"/>
    </row>
    <row r="229" spans="1:7" ht="15" customHeight="1">
      <c r="A229" s="680"/>
      <c r="B229" s="1200"/>
      <c r="C229" s="1120"/>
      <c r="D229" s="1120"/>
      <c r="E229" s="1015">
        <f t="shared" si="3"/>
        <v>0</v>
      </c>
      <c r="F229" s="1201"/>
      <c r="G229" s="1009"/>
    </row>
    <row r="230" spans="1:7" ht="15" customHeight="1">
      <c r="A230" s="680"/>
      <c r="B230" s="1200"/>
      <c r="C230" s="1120"/>
      <c r="D230" s="1120"/>
      <c r="E230" s="1015">
        <f t="shared" si="3"/>
        <v>0</v>
      </c>
      <c r="F230" s="1201"/>
      <c r="G230" s="1009"/>
    </row>
    <row r="231" spans="1:7" ht="15" customHeight="1">
      <c r="A231" s="680"/>
      <c r="B231" s="1200"/>
      <c r="C231" s="1120"/>
      <c r="D231" s="1120"/>
      <c r="E231" s="1015">
        <f t="shared" si="3"/>
        <v>0</v>
      </c>
      <c r="F231" s="1201"/>
      <c r="G231" s="1009"/>
    </row>
    <row r="232" spans="1:7" ht="15" customHeight="1">
      <c r="A232" s="680"/>
      <c r="B232" s="1200"/>
      <c r="C232" s="1120"/>
      <c r="D232" s="1120"/>
      <c r="E232" s="1015">
        <f t="shared" si="3"/>
        <v>0</v>
      </c>
      <c r="F232" s="1201"/>
      <c r="G232" s="1009"/>
    </row>
    <row r="233" spans="1:7" ht="15" customHeight="1">
      <c r="A233" s="680"/>
      <c r="B233" s="1200"/>
      <c r="C233" s="1120"/>
      <c r="D233" s="1120"/>
      <c r="E233" s="1015">
        <f t="shared" si="3"/>
        <v>0</v>
      </c>
      <c r="F233" s="1201"/>
      <c r="G233" s="1009"/>
    </row>
    <row r="234" spans="1:7" ht="15" customHeight="1">
      <c r="A234" s="680"/>
      <c r="B234" s="1200"/>
      <c r="C234" s="1120"/>
      <c r="D234" s="1120"/>
      <c r="E234" s="1015">
        <f t="shared" si="3"/>
        <v>0</v>
      </c>
      <c r="F234" s="1201"/>
      <c r="G234" s="1009"/>
    </row>
    <row r="235" spans="1:7" ht="15" customHeight="1">
      <c r="A235" s="680"/>
      <c r="B235" s="1200"/>
      <c r="C235" s="1120"/>
      <c r="D235" s="1120"/>
      <c r="E235" s="1015">
        <f t="shared" si="3"/>
        <v>0</v>
      </c>
      <c r="F235" s="1201"/>
      <c r="G235" s="1009"/>
    </row>
    <row r="236" spans="1:7" ht="15" customHeight="1">
      <c r="A236" s="680"/>
      <c r="B236" s="1200"/>
      <c r="C236" s="1120"/>
      <c r="D236" s="1120"/>
      <c r="E236" s="1015">
        <f t="shared" si="3"/>
        <v>0</v>
      </c>
      <c r="F236" s="1201"/>
      <c r="G236" s="1009"/>
    </row>
    <row r="237" spans="1:7" ht="15" customHeight="1">
      <c r="A237" s="680"/>
      <c r="B237" s="1200"/>
      <c r="C237" s="1120"/>
      <c r="D237" s="1120"/>
      <c r="E237" s="1015">
        <f t="shared" si="3"/>
        <v>0</v>
      </c>
      <c r="F237" s="1201"/>
      <c r="G237" s="1009"/>
    </row>
    <row r="238" spans="1:7" ht="15" customHeight="1">
      <c r="A238" s="680"/>
      <c r="B238" s="1200"/>
      <c r="C238" s="1120"/>
      <c r="D238" s="1120"/>
      <c r="E238" s="1015">
        <f t="shared" si="3"/>
        <v>0</v>
      </c>
      <c r="F238" s="1201"/>
      <c r="G238" s="1009"/>
    </row>
    <row r="239" spans="1:7" ht="15" customHeight="1">
      <c r="A239" s="680"/>
      <c r="B239" s="1200"/>
      <c r="C239" s="1120"/>
      <c r="D239" s="1120"/>
      <c r="E239" s="1015">
        <f t="shared" si="3"/>
        <v>0</v>
      </c>
      <c r="F239" s="1201"/>
      <c r="G239" s="1009"/>
    </row>
    <row r="240" spans="1:7" ht="15" customHeight="1">
      <c r="A240" s="680"/>
      <c r="B240" s="1200"/>
      <c r="C240" s="1120"/>
      <c r="D240" s="1120"/>
      <c r="E240" s="1015">
        <f t="shared" si="3"/>
        <v>0</v>
      </c>
      <c r="F240" s="1201"/>
      <c r="G240" s="1009"/>
    </row>
    <row r="241" spans="1:7" ht="15" customHeight="1">
      <c r="A241" s="680"/>
      <c r="B241" s="1200"/>
      <c r="C241" s="1120"/>
      <c r="D241" s="1120"/>
      <c r="E241" s="1015">
        <f t="shared" si="3"/>
        <v>0</v>
      </c>
      <c r="F241" s="1201"/>
      <c r="G241" s="1009"/>
    </row>
    <row r="242" spans="1:7" ht="15" customHeight="1">
      <c r="A242" s="680"/>
      <c r="B242" s="1200"/>
      <c r="C242" s="1120"/>
      <c r="D242" s="1120"/>
      <c r="E242" s="1015">
        <f t="shared" si="3"/>
        <v>0</v>
      </c>
      <c r="F242" s="1201"/>
      <c r="G242" s="1009"/>
    </row>
    <row r="243" spans="1:7" ht="15" customHeight="1">
      <c r="A243" s="680"/>
      <c r="B243" s="1200"/>
      <c r="C243" s="1120"/>
      <c r="D243" s="1120"/>
      <c r="E243" s="1015">
        <f t="shared" si="3"/>
        <v>0</v>
      </c>
      <c r="F243" s="1201"/>
      <c r="G243" s="1009"/>
    </row>
    <row r="244" spans="1:7" ht="15" customHeight="1">
      <c r="A244" s="680"/>
      <c r="B244" s="1200"/>
      <c r="C244" s="1120"/>
      <c r="D244" s="1120"/>
      <c r="E244" s="1015">
        <f t="shared" si="3"/>
        <v>0</v>
      </c>
      <c r="F244" s="1201"/>
      <c r="G244" s="1009"/>
    </row>
    <row r="245" spans="1:7" ht="15" customHeight="1">
      <c r="A245" s="680"/>
      <c r="B245" s="1200"/>
      <c r="C245" s="1120"/>
      <c r="D245" s="1120"/>
      <c r="E245" s="1015">
        <f t="shared" si="3"/>
        <v>0</v>
      </c>
      <c r="F245" s="1201"/>
      <c r="G245" s="1009"/>
    </row>
    <row r="246" spans="1:7" ht="15" customHeight="1">
      <c r="A246" s="680"/>
      <c r="B246" s="1200"/>
      <c r="C246" s="1120"/>
      <c r="D246" s="1120"/>
      <c r="E246" s="1015">
        <f t="shared" si="3"/>
        <v>0</v>
      </c>
      <c r="F246" s="1201"/>
      <c r="G246" s="1009"/>
    </row>
    <row r="247" spans="1:7" ht="15" customHeight="1">
      <c r="A247" s="680"/>
      <c r="B247" s="1200"/>
      <c r="C247" s="1120"/>
      <c r="D247" s="1120"/>
      <c r="E247" s="1015">
        <f t="shared" si="3"/>
        <v>0</v>
      </c>
      <c r="F247" s="1201"/>
      <c r="G247" s="1009"/>
    </row>
    <row r="248" spans="1:7" ht="15" customHeight="1">
      <c r="A248" s="680"/>
      <c r="B248" s="1200"/>
      <c r="C248" s="1120"/>
      <c r="D248" s="1120"/>
      <c r="E248" s="1015">
        <f t="shared" si="3"/>
        <v>0</v>
      </c>
      <c r="F248" s="1201"/>
      <c r="G248" s="1009"/>
    </row>
    <row r="249" spans="1:7" ht="15" customHeight="1">
      <c r="A249" s="680"/>
      <c r="B249" s="1200"/>
      <c r="C249" s="1120"/>
      <c r="D249" s="1120"/>
      <c r="E249" s="1015">
        <f t="shared" si="3"/>
        <v>0</v>
      </c>
      <c r="F249" s="1201"/>
      <c r="G249" s="1009"/>
    </row>
    <row r="250" spans="1:7" ht="15" customHeight="1">
      <c r="A250" s="680"/>
      <c r="B250" s="1200"/>
      <c r="C250" s="1120"/>
      <c r="D250" s="1120"/>
      <c r="E250" s="1015">
        <f t="shared" si="3"/>
        <v>0</v>
      </c>
      <c r="F250" s="1201"/>
      <c r="G250" s="1009"/>
    </row>
    <row r="251" spans="1:7" ht="15" customHeight="1">
      <c r="A251" s="680"/>
      <c r="B251" s="1200"/>
      <c r="C251" s="1120"/>
      <c r="D251" s="1120"/>
      <c r="E251" s="1015">
        <f t="shared" si="3"/>
        <v>0</v>
      </c>
      <c r="F251" s="1201"/>
      <c r="G251" s="1009"/>
    </row>
    <row r="252" spans="1:7" ht="15" customHeight="1">
      <c r="A252" s="680"/>
      <c r="B252" s="1200"/>
      <c r="C252" s="1120"/>
      <c r="D252" s="1120"/>
      <c r="E252" s="1015">
        <f t="shared" si="3"/>
        <v>0</v>
      </c>
      <c r="F252" s="1201"/>
      <c r="G252" s="1009"/>
    </row>
    <row r="253" spans="1:7" ht="15" customHeight="1">
      <c r="A253" s="680"/>
      <c r="B253" s="1200"/>
      <c r="C253" s="1120"/>
      <c r="D253" s="1120"/>
      <c r="E253" s="1015">
        <f t="shared" si="3"/>
        <v>0</v>
      </c>
      <c r="F253" s="1201"/>
      <c r="G253" s="1009"/>
    </row>
    <row r="254" spans="1:7" ht="15" customHeight="1">
      <c r="A254" s="680"/>
      <c r="B254" s="1200"/>
      <c r="C254" s="1120"/>
      <c r="D254" s="1120"/>
      <c r="E254" s="1015">
        <f t="shared" si="3"/>
        <v>0</v>
      </c>
      <c r="F254" s="1201"/>
      <c r="G254" s="1009"/>
    </row>
    <row r="255" spans="1:7" ht="15" customHeight="1">
      <c r="A255" s="680"/>
      <c r="B255" s="1200"/>
      <c r="C255" s="1120"/>
      <c r="D255" s="1120"/>
      <c r="E255" s="1015">
        <f t="shared" si="3"/>
        <v>0</v>
      </c>
      <c r="F255" s="1201"/>
      <c r="G255" s="1009"/>
    </row>
    <row r="256" spans="1:7" ht="15" customHeight="1">
      <c r="A256" s="680"/>
      <c r="B256" s="1200"/>
      <c r="C256" s="1120"/>
      <c r="D256" s="1120"/>
      <c r="E256" s="1015">
        <f t="shared" si="3"/>
        <v>0</v>
      </c>
      <c r="F256" s="1201"/>
      <c r="G256" s="1009"/>
    </row>
    <row r="257" spans="1:7" ht="15" customHeight="1">
      <c r="A257" s="680"/>
      <c r="B257" s="1200"/>
      <c r="C257" s="1120"/>
      <c r="D257" s="1120"/>
      <c r="E257" s="1015">
        <f t="shared" si="3"/>
        <v>0</v>
      </c>
      <c r="F257" s="1201"/>
      <c r="G257" s="1009"/>
    </row>
    <row r="258" spans="1:7" ht="15" customHeight="1">
      <c r="A258" s="680"/>
      <c r="B258" s="1200"/>
      <c r="C258" s="1120"/>
      <c r="D258" s="1120"/>
      <c r="E258" s="1015">
        <f t="shared" si="3"/>
        <v>0</v>
      </c>
      <c r="F258" s="1201"/>
      <c r="G258" s="1009"/>
    </row>
    <row r="259" spans="1:7" ht="15" customHeight="1">
      <c r="A259" s="680"/>
      <c r="B259" s="1200"/>
      <c r="C259" s="1120"/>
      <c r="D259" s="1120"/>
      <c r="E259" s="1015">
        <f t="shared" si="3"/>
        <v>0</v>
      </c>
      <c r="F259" s="1201"/>
      <c r="G259" s="1009"/>
    </row>
    <row r="260" spans="1:7" ht="15" customHeight="1">
      <c r="A260" s="680"/>
      <c r="B260" s="1200"/>
      <c r="C260" s="1120"/>
      <c r="D260" s="1120"/>
      <c r="E260" s="1015">
        <f t="shared" si="3"/>
        <v>0</v>
      </c>
      <c r="F260" s="1201"/>
      <c r="G260" s="1009"/>
    </row>
    <row r="261" spans="1:7" ht="15" customHeight="1">
      <c r="A261" s="680"/>
      <c r="B261" s="1200"/>
      <c r="C261" s="1120"/>
      <c r="D261" s="1120"/>
      <c r="E261" s="1015">
        <f t="shared" si="3"/>
        <v>0</v>
      </c>
      <c r="F261" s="1201"/>
      <c r="G261" s="1009"/>
    </row>
    <row r="262" spans="1:7" ht="15" customHeight="1">
      <c r="A262" s="680"/>
      <c r="B262" s="1200"/>
      <c r="C262" s="1120"/>
      <c r="D262" s="1120"/>
      <c r="E262" s="1015">
        <f t="shared" si="3"/>
        <v>0</v>
      </c>
      <c r="F262" s="1201"/>
      <c r="G262" s="1009"/>
    </row>
    <row r="263" spans="1:7" ht="15" customHeight="1">
      <c r="A263" s="680"/>
      <c r="B263" s="1200"/>
      <c r="C263" s="1120"/>
      <c r="D263" s="1120"/>
      <c r="E263" s="1015">
        <f t="shared" si="3"/>
        <v>0</v>
      </c>
      <c r="F263" s="1201"/>
      <c r="G263" s="1009"/>
    </row>
    <row r="264" spans="1:7" ht="15" customHeight="1">
      <c r="A264" s="680"/>
      <c r="B264" s="1200"/>
      <c r="C264" s="1120"/>
      <c r="D264" s="1120"/>
      <c r="E264" s="1015">
        <f t="shared" si="3"/>
        <v>0</v>
      </c>
      <c r="F264" s="1201"/>
      <c r="G264" s="1009"/>
    </row>
    <row r="265" spans="1:7" ht="15" customHeight="1">
      <c r="A265" s="680"/>
      <c r="B265" s="1200"/>
      <c r="C265" s="1120"/>
      <c r="D265" s="1120"/>
      <c r="E265" s="1015">
        <f t="shared" si="3"/>
        <v>0</v>
      </c>
      <c r="F265" s="1201"/>
      <c r="G265" s="1009"/>
    </row>
    <row r="266" spans="1:7" ht="15" customHeight="1">
      <c r="A266" s="680"/>
      <c r="B266" s="1200"/>
      <c r="C266" s="1120"/>
      <c r="D266" s="1120"/>
      <c r="E266" s="1015">
        <f t="shared" si="3"/>
        <v>0</v>
      </c>
      <c r="F266" s="1201"/>
      <c r="G266" s="1009"/>
    </row>
    <row r="267" spans="1:7" ht="15" customHeight="1">
      <c r="A267" s="680"/>
      <c r="B267" s="1200"/>
      <c r="C267" s="1120"/>
      <c r="D267" s="1120"/>
      <c r="E267" s="1015">
        <f t="shared" si="3"/>
        <v>0</v>
      </c>
      <c r="F267" s="1201"/>
      <c r="G267" s="1009"/>
    </row>
    <row r="268" spans="1:7" ht="15" customHeight="1">
      <c r="A268" s="680"/>
      <c r="B268" s="1200"/>
      <c r="C268" s="1120"/>
      <c r="D268" s="1120"/>
      <c r="E268" s="1015">
        <f t="shared" si="3"/>
        <v>0</v>
      </c>
      <c r="F268" s="1201"/>
      <c r="G268" s="1009"/>
    </row>
    <row r="269" spans="1:7" ht="15" customHeight="1">
      <c r="A269" s="680"/>
      <c r="B269" s="1200"/>
      <c r="C269" s="1120"/>
      <c r="D269" s="1120"/>
      <c r="E269" s="1015">
        <f t="shared" si="3"/>
        <v>0</v>
      </c>
      <c r="F269" s="1201"/>
      <c r="G269" s="1009"/>
    </row>
    <row r="270" spans="1:7" ht="15" customHeight="1">
      <c r="A270" s="680"/>
      <c r="B270" s="1200"/>
      <c r="C270" s="1120"/>
      <c r="D270" s="1120"/>
      <c r="E270" s="1015">
        <f t="shared" si="3"/>
        <v>0</v>
      </c>
      <c r="F270" s="1201"/>
      <c r="G270" s="1009"/>
    </row>
    <row r="271" spans="1:7" ht="15" customHeight="1">
      <c r="A271" s="680"/>
      <c r="B271" s="1200"/>
      <c r="C271" s="1120"/>
      <c r="D271" s="1120"/>
      <c r="E271" s="1015">
        <f t="shared" ref="E271:E302" si="4">C271-B271+D271</f>
        <v>0</v>
      </c>
      <c r="F271" s="1201"/>
      <c r="G271" s="1009"/>
    </row>
    <row r="272" spans="1:7" ht="15" customHeight="1">
      <c r="A272" s="680"/>
      <c r="B272" s="1200"/>
      <c r="C272" s="1120"/>
      <c r="D272" s="1120"/>
      <c r="E272" s="1015">
        <f t="shared" si="4"/>
        <v>0</v>
      </c>
      <c r="F272" s="1201"/>
      <c r="G272" s="1009"/>
    </row>
    <row r="273" spans="1:7" ht="15" customHeight="1">
      <c r="A273" s="680"/>
      <c r="B273" s="1200"/>
      <c r="C273" s="1120"/>
      <c r="D273" s="1120"/>
      <c r="E273" s="1015">
        <f t="shared" si="4"/>
        <v>0</v>
      </c>
      <c r="F273" s="1201"/>
      <c r="G273" s="1009"/>
    </row>
    <row r="274" spans="1:7" ht="15" customHeight="1">
      <c r="A274" s="680"/>
      <c r="B274" s="1200"/>
      <c r="C274" s="1120"/>
      <c r="D274" s="1120"/>
      <c r="E274" s="1015">
        <f t="shared" si="4"/>
        <v>0</v>
      </c>
      <c r="F274" s="1201"/>
      <c r="G274" s="1009"/>
    </row>
    <row r="275" spans="1:7" ht="15" customHeight="1">
      <c r="A275" s="680"/>
      <c r="B275" s="1200"/>
      <c r="C275" s="1120"/>
      <c r="D275" s="1120"/>
      <c r="E275" s="1015">
        <f t="shared" si="4"/>
        <v>0</v>
      </c>
      <c r="F275" s="1201"/>
      <c r="G275" s="1009"/>
    </row>
    <row r="276" spans="1:7" ht="15" customHeight="1">
      <c r="A276" s="680"/>
      <c r="B276" s="1200"/>
      <c r="C276" s="1120"/>
      <c r="D276" s="1120"/>
      <c r="E276" s="1015">
        <f t="shared" si="4"/>
        <v>0</v>
      </c>
      <c r="F276" s="1201"/>
      <c r="G276" s="1009"/>
    </row>
    <row r="277" spans="1:7" ht="15" customHeight="1">
      <c r="A277" s="680"/>
      <c r="B277" s="1200"/>
      <c r="C277" s="1120"/>
      <c r="D277" s="1120"/>
      <c r="E277" s="1015">
        <f t="shared" si="4"/>
        <v>0</v>
      </c>
      <c r="F277" s="1201"/>
      <c r="G277" s="1009"/>
    </row>
    <row r="278" spans="1:7" ht="15" customHeight="1">
      <c r="A278" s="680"/>
      <c r="B278" s="1200"/>
      <c r="C278" s="1120"/>
      <c r="D278" s="1120"/>
      <c r="E278" s="1015">
        <f t="shared" si="4"/>
        <v>0</v>
      </c>
      <c r="F278" s="1201"/>
      <c r="G278" s="1009"/>
    </row>
    <row r="279" spans="1:7" ht="15" customHeight="1">
      <c r="A279" s="680"/>
      <c r="B279" s="1200"/>
      <c r="C279" s="1120"/>
      <c r="D279" s="1120"/>
      <c r="E279" s="1015">
        <f t="shared" si="4"/>
        <v>0</v>
      </c>
      <c r="F279" s="1201"/>
      <c r="G279" s="1009"/>
    </row>
    <row r="280" spans="1:7" ht="15" customHeight="1">
      <c r="A280" s="680"/>
      <c r="B280" s="1200"/>
      <c r="C280" s="1120"/>
      <c r="D280" s="1120"/>
      <c r="E280" s="1015">
        <f t="shared" si="4"/>
        <v>0</v>
      </c>
      <c r="F280" s="1201"/>
      <c r="G280" s="1009"/>
    </row>
    <row r="281" spans="1:7" ht="15" customHeight="1">
      <c r="A281" s="680"/>
      <c r="B281" s="1200"/>
      <c r="C281" s="1120"/>
      <c r="D281" s="1120"/>
      <c r="E281" s="1015">
        <f t="shared" si="4"/>
        <v>0</v>
      </c>
      <c r="F281" s="1201"/>
      <c r="G281" s="1009"/>
    </row>
    <row r="282" spans="1:7" ht="15" customHeight="1">
      <c r="A282" s="680"/>
      <c r="B282" s="1200"/>
      <c r="C282" s="1120"/>
      <c r="D282" s="1120"/>
      <c r="E282" s="1015">
        <f t="shared" si="4"/>
        <v>0</v>
      </c>
      <c r="F282" s="1201"/>
      <c r="G282" s="1009"/>
    </row>
    <row r="283" spans="1:7" ht="15" customHeight="1">
      <c r="A283" s="680"/>
      <c r="B283" s="1200"/>
      <c r="C283" s="1120"/>
      <c r="D283" s="1120"/>
      <c r="E283" s="1015">
        <f t="shared" si="4"/>
        <v>0</v>
      </c>
      <c r="F283" s="1201"/>
      <c r="G283" s="1009"/>
    </row>
    <row r="284" spans="1:7" ht="15" customHeight="1">
      <c r="A284" s="680"/>
      <c r="B284" s="1200"/>
      <c r="C284" s="1120"/>
      <c r="D284" s="1120"/>
      <c r="E284" s="1015">
        <f t="shared" si="4"/>
        <v>0</v>
      </c>
      <c r="F284" s="1201"/>
      <c r="G284" s="1009"/>
    </row>
    <row r="285" spans="1:7" ht="15" customHeight="1">
      <c r="A285" s="680"/>
      <c r="B285" s="1200"/>
      <c r="C285" s="1120"/>
      <c r="D285" s="1120"/>
      <c r="E285" s="1015">
        <f t="shared" si="4"/>
        <v>0</v>
      </c>
      <c r="F285" s="1201"/>
      <c r="G285" s="1009"/>
    </row>
    <row r="286" spans="1:7" ht="15" customHeight="1">
      <c r="A286" s="680"/>
      <c r="B286" s="1200"/>
      <c r="C286" s="1120"/>
      <c r="D286" s="1120"/>
      <c r="E286" s="1015">
        <f t="shared" si="4"/>
        <v>0</v>
      </c>
      <c r="F286" s="1201"/>
      <c r="G286" s="1009"/>
    </row>
    <row r="287" spans="1:7" ht="15" customHeight="1">
      <c r="A287" s="680"/>
      <c r="B287" s="1200"/>
      <c r="C287" s="1120"/>
      <c r="D287" s="1120"/>
      <c r="E287" s="1015">
        <f t="shared" si="4"/>
        <v>0</v>
      </c>
      <c r="F287" s="1201"/>
      <c r="G287" s="1009"/>
    </row>
    <row r="288" spans="1:7" ht="15" customHeight="1">
      <c r="A288" s="680"/>
      <c r="B288" s="1200"/>
      <c r="C288" s="1120"/>
      <c r="D288" s="1120"/>
      <c r="E288" s="1015">
        <f t="shared" si="4"/>
        <v>0</v>
      </c>
      <c r="F288" s="1201"/>
      <c r="G288" s="1009"/>
    </row>
    <row r="289" spans="1:7" ht="15" customHeight="1">
      <c r="A289" s="680"/>
      <c r="B289" s="1200"/>
      <c r="C289" s="1120"/>
      <c r="D289" s="1120"/>
      <c r="E289" s="1015">
        <f t="shared" si="4"/>
        <v>0</v>
      </c>
      <c r="F289" s="1201"/>
      <c r="G289" s="1009"/>
    </row>
    <row r="290" spans="1:7" ht="15" customHeight="1">
      <c r="A290" s="680"/>
      <c r="B290" s="1200"/>
      <c r="C290" s="1120"/>
      <c r="D290" s="1120"/>
      <c r="E290" s="1015">
        <f t="shared" si="4"/>
        <v>0</v>
      </c>
      <c r="F290" s="1201"/>
      <c r="G290" s="1009"/>
    </row>
    <row r="291" spans="1:7" ht="15" customHeight="1">
      <c r="A291" s="680"/>
      <c r="B291" s="1200"/>
      <c r="C291" s="1120"/>
      <c r="D291" s="1120"/>
      <c r="E291" s="1015">
        <f t="shared" si="4"/>
        <v>0</v>
      </c>
      <c r="F291" s="1201"/>
      <c r="G291" s="1009"/>
    </row>
    <row r="292" spans="1:7" ht="15" customHeight="1">
      <c r="A292" s="680"/>
      <c r="B292" s="1200"/>
      <c r="C292" s="1120"/>
      <c r="D292" s="1120"/>
      <c r="E292" s="1015">
        <f t="shared" si="4"/>
        <v>0</v>
      </c>
      <c r="F292" s="1201"/>
      <c r="G292" s="1009"/>
    </row>
    <row r="293" spans="1:7" ht="15" customHeight="1">
      <c r="A293" s="680"/>
      <c r="B293" s="1200"/>
      <c r="C293" s="1120"/>
      <c r="D293" s="1120"/>
      <c r="E293" s="1015">
        <f t="shared" si="4"/>
        <v>0</v>
      </c>
      <c r="F293" s="1201"/>
      <c r="G293" s="1009"/>
    </row>
    <row r="294" spans="1:7" ht="15" customHeight="1">
      <c r="A294" s="680"/>
      <c r="B294" s="1200"/>
      <c r="C294" s="1120"/>
      <c r="D294" s="1120"/>
      <c r="E294" s="1015">
        <f t="shared" si="4"/>
        <v>0</v>
      </c>
      <c r="F294" s="1201"/>
      <c r="G294" s="1009"/>
    </row>
    <row r="295" spans="1:7" ht="15" customHeight="1">
      <c r="A295" s="680"/>
      <c r="B295" s="1200"/>
      <c r="C295" s="1120"/>
      <c r="D295" s="1120"/>
      <c r="E295" s="1015">
        <f t="shared" si="4"/>
        <v>0</v>
      </c>
      <c r="F295" s="1201"/>
      <c r="G295" s="1009"/>
    </row>
    <row r="296" spans="1:7" ht="15" customHeight="1">
      <c r="A296" s="680"/>
      <c r="B296" s="1200"/>
      <c r="C296" s="1120"/>
      <c r="D296" s="1120"/>
      <c r="E296" s="1015">
        <f t="shared" si="4"/>
        <v>0</v>
      </c>
      <c r="F296" s="1201"/>
      <c r="G296" s="1009"/>
    </row>
    <row r="297" spans="1:7" ht="15" customHeight="1">
      <c r="A297" s="680"/>
      <c r="B297" s="1200"/>
      <c r="C297" s="1120"/>
      <c r="D297" s="1120"/>
      <c r="E297" s="1015">
        <f t="shared" si="4"/>
        <v>0</v>
      </c>
      <c r="F297" s="1201"/>
      <c r="G297" s="1009"/>
    </row>
    <row r="298" spans="1:7" ht="15" customHeight="1">
      <c r="A298" s="680"/>
      <c r="B298" s="1200"/>
      <c r="C298" s="1120"/>
      <c r="D298" s="1120"/>
      <c r="E298" s="1015">
        <f t="shared" si="4"/>
        <v>0</v>
      </c>
      <c r="F298" s="1201"/>
      <c r="G298" s="1009"/>
    </row>
    <row r="299" spans="1:7" ht="15" customHeight="1">
      <c r="A299" s="680"/>
      <c r="B299" s="1200"/>
      <c r="C299" s="1120"/>
      <c r="D299" s="1120"/>
      <c r="E299" s="1015">
        <f t="shared" si="4"/>
        <v>0</v>
      </c>
      <c r="F299" s="1201"/>
      <c r="G299" s="1009"/>
    </row>
    <row r="300" spans="1:7" ht="15" customHeight="1">
      <c r="A300" s="680"/>
      <c r="B300" s="1200"/>
      <c r="C300" s="1120"/>
      <c r="D300" s="1120"/>
      <c r="E300" s="1015">
        <f t="shared" si="4"/>
        <v>0</v>
      </c>
      <c r="F300" s="1201"/>
      <c r="G300" s="1009"/>
    </row>
    <row r="301" spans="1:7" ht="15" customHeight="1">
      <c r="A301" s="680"/>
      <c r="B301" s="1200"/>
      <c r="C301" s="1120"/>
      <c r="D301" s="1120"/>
      <c r="E301" s="1015">
        <f t="shared" si="4"/>
        <v>0</v>
      </c>
      <c r="F301" s="1201"/>
      <c r="G301" s="1009"/>
    </row>
    <row r="302" spans="1:7" ht="15" customHeight="1">
      <c r="A302" s="682"/>
      <c r="B302" s="1202"/>
      <c r="C302" s="1125"/>
      <c r="D302" s="1125"/>
      <c r="E302" s="1020">
        <f t="shared" si="4"/>
        <v>0</v>
      </c>
      <c r="F302" s="1203"/>
      <c r="G302" s="1009"/>
    </row>
    <row r="303" spans="1:7" ht="15" customHeight="1">
      <c r="A303" s="554"/>
      <c r="B303" s="554"/>
      <c r="C303" s="554"/>
      <c r="D303" s="554"/>
      <c r="E303" s="554"/>
      <c r="F303" s="554"/>
    </row>
    <row r="304" spans="1:7" ht="15" customHeight="1">
      <c r="A304" s="554"/>
      <c r="B304" s="554"/>
      <c r="C304" s="554"/>
      <c r="D304" s="554"/>
      <c r="E304" s="554"/>
      <c r="F304" s="554"/>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sheetData>
  <sheetProtection selectLockedCells="1" selectUnlockedCells="1"/>
  <mergeCells count="12">
    <mergeCell ref="G13:G14"/>
    <mergeCell ref="A5:F5"/>
    <mergeCell ref="B6:F6"/>
    <mergeCell ref="A7:A8"/>
    <mergeCell ref="B7:D7"/>
    <mergeCell ref="E7:F7"/>
    <mergeCell ref="B8:F8"/>
    <mergeCell ref="A1:F1"/>
    <mergeCell ref="A2:B3"/>
    <mergeCell ref="F3:F4"/>
    <mergeCell ref="A4:B4"/>
    <mergeCell ref="B9:F9"/>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Q42"/>
  <sheetViews>
    <sheetView topLeftCell="A13" zoomScaleNormal="100" workbookViewId="0">
      <selection activeCell="H26" sqref="H26:K26"/>
    </sheetView>
  </sheetViews>
  <sheetFormatPr defaultRowHeight="15.6"/>
  <cols>
    <col min="1" max="1" width="4.69921875" style="130" customWidth="1"/>
    <col min="2" max="2" width="5.69921875" style="130" customWidth="1"/>
    <col min="3" max="3" width="24.3984375" style="130" customWidth="1"/>
    <col min="4" max="4" width="12.59765625" style="130" customWidth="1"/>
    <col min="5" max="5" width="8.59765625" style="130" customWidth="1"/>
    <col min="6" max="11" width="12.59765625" style="130" customWidth="1"/>
    <col min="12" max="12" width="24.3984375" customWidth="1"/>
  </cols>
  <sheetData>
    <row r="1" spans="1:12" ht="26.25" customHeight="1">
      <c r="A1" s="3696" t="s">
        <v>10121</v>
      </c>
      <c r="B1" s="3696"/>
      <c r="C1" s="3696"/>
      <c r="D1" s="3696"/>
      <c r="E1" s="3696"/>
      <c r="F1" s="3696"/>
      <c r="G1" s="3696"/>
      <c r="H1" s="3696"/>
      <c r="I1" s="3696"/>
      <c r="J1" s="3696"/>
      <c r="K1" s="3696"/>
    </row>
    <row r="2" spans="1:12" ht="21.75" customHeight="1">
      <c r="A2" s="3305" t="s">
        <v>447</v>
      </c>
      <c r="B2" s="3305"/>
      <c r="C2" s="3306">
        <f>基本情况!B2</f>
        <v>0</v>
      </c>
      <c r="D2" s="3306"/>
      <c r="E2" s="3700" t="s">
        <v>450</v>
      </c>
      <c r="F2" s="3701"/>
      <c r="G2" s="1033">
        <f>基本情况!B12</f>
        <v>0</v>
      </c>
      <c r="H2" s="1032" t="s">
        <v>882</v>
      </c>
      <c r="I2" s="1034" t="str">
        <f>TEXT(基本情况!B21,"yyyy-mm-dd")</f>
        <v>2017-03-16</v>
      </c>
      <c r="J2" s="3307" t="s">
        <v>283</v>
      </c>
      <c r="K2" s="3307"/>
    </row>
    <row r="3" spans="1:12" ht="21.75" customHeight="1">
      <c r="A3" s="3286" t="s">
        <v>451</v>
      </c>
      <c r="B3" s="3286"/>
      <c r="C3" s="3308" t="str">
        <f>基本情况!B7</f>
        <v>2016年01月01日至2016年12月31日</v>
      </c>
      <c r="D3" s="3308"/>
      <c r="E3" s="3702" t="s">
        <v>452</v>
      </c>
      <c r="F3" s="3703"/>
      <c r="G3" s="1036">
        <f>基本情况!B11</f>
        <v>0</v>
      </c>
      <c r="H3" s="2643" t="s">
        <v>882</v>
      </c>
      <c r="I3" s="1036" t="str">
        <f>TEXT(基本情况!B22,"yyyy-mm-dd")</f>
        <v>2017-05-04</v>
      </c>
      <c r="J3" s="3698"/>
      <c r="K3" s="3698"/>
    </row>
    <row r="4" spans="1:12" ht="7.5" customHeight="1">
      <c r="A4" s="3303"/>
      <c r="B4" s="3303"/>
      <c r="C4" s="3303"/>
      <c r="D4" s="3303"/>
      <c r="E4" s="3303"/>
      <c r="F4" s="3303"/>
      <c r="G4" s="3303"/>
      <c r="H4" s="3303"/>
      <c r="I4" s="3303"/>
      <c r="J4" s="3303"/>
      <c r="K4" s="3303"/>
    </row>
    <row r="5" spans="1:12" ht="21.75" customHeight="1">
      <c r="A5" s="2644" t="s">
        <v>665</v>
      </c>
      <c r="B5" s="1038" t="s">
        <v>453</v>
      </c>
      <c r="C5" s="1038" t="s">
        <v>10124</v>
      </c>
      <c r="D5" s="1038" t="s">
        <v>10125</v>
      </c>
      <c r="E5" s="1038" t="s">
        <v>10132</v>
      </c>
      <c r="F5" s="1038" t="s">
        <v>10126</v>
      </c>
      <c r="G5" s="1038" t="s">
        <v>10127</v>
      </c>
      <c r="H5" s="1038" t="s">
        <v>10128</v>
      </c>
      <c r="I5" s="1038" t="s">
        <v>10131</v>
      </c>
      <c r="J5" s="1038" t="s">
        <v>10129</v>
      </c>
      <c r="K5" s="1039" t="s">
        <v>10130</v>
      </c>
    </row>
    <row r="6" spans="1:12" ht="21.75" customHeight="1">
      <c r="A6" s="3298" t="s">
        <v>10122</v>
      </c>
      <c r="B6" s="1032">
        <v>1</v>
      </c>
      <c r="C6" s="1040"/>
      <c r="D6" s="1206"/>
      <c r="E6" s="1206"/>
      <c r="F6" s="2665"/>
      <c r="G6" s="2660"/>
      <c r="H6" s="2660"/>
      <c r="I6" s="2649"/>
      <c r="J6" s="1206"/>
      <c r="K6" s="1208">
        <f>I6-J6</f>
        <v>0</v>
      </c>
      <c r="L6" s="565"/>
    </row>
    <row r="7" spans="1:12" ht="21.75" customHeight="1">
      <c r="A7" s="3298"/>
      <c r="B7" s="2640">
        <v>2</v>
      </c>
      <c r="C7" s="1041"/>
      <c r="D7" s="1209"/>
      <c r="E7" s="2653"/>
      <c r="F7" s="2666"/>
      <c r="G7" s="2661"/>
      <c r="H7" s="2661"/>
      <c r="I7" s="2650"/>
      <c r="J7" s="1209"/>
      <c r="K7" s="1211">
        <f t="shared" ref="K7:K25" si="0">I7-J7</f>
        <v>0</v>
      </c>
      <c r="L7" t="s">
        <v>395</v>
      </c>
    </row>
    <row r="8" spans="1:12" ht="21.75" customHeight="1">
      <c r="A8" s="3298"/>
      <c r="B8" s="2640">
        <v>3</v>
      </c>
      <c r="C8" s="1041"/>
      <c r="D8" s="1209"/>
      <c r="E8" s="2653"/>
      <c r="F8" s="2666"/>
      <c r="G8" s="2661"/>
      <c r="H8" s="2661"/>
      <c r="I8" s="2650"/>
      <c r="J8" s="1209"/>
      <c r="K8" s="1211">
        <f t="shared" si="0"/>
        <v>0</v>
      </c>
      <c r="L8" s="1042" t="s">
        <v>1288</v>
      </c>
    </row>
    <row r="9" spans="1:12" ht="21.75" customHeight="1">
      <c r="A9" s="3298"/>
      <c r="B9" s="2640">
        <v>4</v>
      </c>
      <c r="C9" s="1041"/>
      <c r="D9" s="1209"/>
      <c r="E9" s="2653"/>
      <c r="F9" s="2666"/>
      <c r="G9" s="2661"/>
      <c r="H9" s="2661"/>
      <c r="I9" s="2650"/>
      <c r="J9" s="1209"/>
      <c r="K9" s="1211">
        <f t="shared" si="0"/>
        <v>0</v>
      </c>
    </row>
    <row r="10" spans="1:12" ht="21.75" customHeight="1">
      <c r="A10" s="3298"/>
      <c r="B10" s="2640">
        <v>5</v>
      </c>
      <c r="C10" s="1041"/>
      <c r="D10" s="1209"/>
      <c r="E10" s="2653"/>
      <c r="F10" s="2666"/>
      <c r="G10" s="2661"/>
      <c r="H10" s="2661"/>
      <c r="I10" s="2650"/>
      <c r="J10" s="1209"/>
      <c r="K10" s="1211">
        <f t="shared" si="0"/>
        <v>0</v>
      </c>
    </row>
    <row r="11" spans="1:12" ht="21.75" customHeight="1">
      <c r="A11" s="3298"/>
      <c r="B11" s="2640">
        <v>6</v>
      </c>
      <c r="C11" s="1041"/>
      <c r="D11" s="1209"/>
      <c r="E11" s="2653"/>
      <c r="F11" s="2666"/>
      <c r="G11" s="2661"/>
      <c r="H11" s="2661"/>
      <c r="I11" s="2650"/>
      <c r="J11" s="1209"/>
      <c r="K11" s="1211">
        <f t="shared" si="0"/>
        <v>0</v>
      </c>
    </row>
    <row r="12" spans="1:12" ht="21.75" customHeight="1">
      <c r="A12" s="3298"/>
      <c r="B12" s="2640">
        <v>7</v>
      </c>
      <c r="C12" s="2646"/>
      <c r="D12" s="2647"/>
      <c r="E12" s="2647"/>
      <c r="F12" s="2667"/>
      <c r="G12" s="2662"/>
      <c r="H12" s="2662"/>
      <c r="I12" s="2650"/>
      <c r="J12" s="2647"/>
      <c r="K12" s="1211">
        <f t="shared" si="0"/>
        <v>0</v>
      </c>
    </row>
    <row r="13" spans="1:12" ht="21.75" customHeight="1">
      <c r="A13" s="3298"/>
      <c r="B13" s="2640">
        <v>8</v>
      </c>
      <c r="C13" s="2646"/>
      <c r="D13" s="2647"/>
      <c r="E13" s="2647"/>
      <c r="F13" s="2667"/>
      <c r="G13" s="2662"/>
      <c r="H13" s="2662"/>
      <c r="I13" s="2650"/>
      <c r="J13" s="2647"/>
      <c r="K13" s="1211">
        <f t="shared" si="0"/>
        <v>0</v>
      </c>
    </row>
    <row r="14" spans="1:12" ht="21.75" customHeight="1">
      <c r="A14" s="3298"/>
      <c r="B14" s="2640">
        <v>9</v>
      </c>
      <c r="C14" s="2646"/>
      <c r="D14" s="2647"/>
      <c r="E14" s="2647"/>
      <c r="F14" s="2667"/>
      <c r="G14" s="2662"/>
      <c r="H14" s="2662"/>
      <c r="I14" s="2650"/>
      <c r="J14" s="2647"/>
      <c r="K14" s="1211">
        <f t="shared" si="0"/>
        <v>0</v>
      </c>
    </row>
    <row r="15" spans="1:12" ht="21.75" customHeight="1">
      <c r="A15" s="3298"/>
      <c r="B15" s="3692" t="s">
        <v>702</v>
      </c>
      <c r="C15" s="3692"/>
      <c r="D15" s="1212">
        <f>SUMIF(E6:E14,"是",D6:D14)</f>
        <v>0</v>
      </c>
      <c r="E15" s="2654"/>
      <c r="F15" s="2668"/>
      <c r="G15" s="1212"/>
      <c r="H15" s="1212"/>
      <c r="I15" s="1212">
        <f t="shared" ref="I15:J15" si="1">SUM(I6:I14)</f>
        <v>0</v>
      </c>
      <c r="J15" s="1212">
        <f t="shared" si="1"/>
        <v>0</v>
      </c>
      <c r="K15" s="1213">
        <f t="shared" si="0"/>
        <v>0</v>
      </c>
    </row>
    <row r="16" spans="1:12" ht="21.75" customHeight="1">
      <c r="A16" s="3693" t="s">
        <v>10123</v>
      </c>
      <c r="B16" s="1043">
        <v>1</v>
      </c>
      <c r="C16" s="1044"/>
      <c r="D16" s="1214"/>
      <c r="E16" s="1214"/>
      <c r="F16" s="2669"/>
      <c r="G16" s="2663"/>
      <c r="H16" s="2663"/>
      <c r="I16" s="2651"/>
      <c r="J16" s="1216"/>
      <c r="K16" s="1217">
        <f t="shared" si="0"/>
        <v>0</v>
      </c>
    </row>
    <row r="17" spans="1:17" ht="21.75" customHeight="1">
      <c r="A17" s="3693"/>
      <c r="B17" s="2640">
        <v>2</v>
      </c>
      <c r="C17" s="1041"/>
      <c r="D17" s="2648"/>
      <c r="E17" s="2655"/>
      <c r="F17" s="2666"/>
      <c r="G17" s="2664"/>
      <c r="H17" s="2664"/>
      <c r="I17" s="2652"/>
      <c r="J17" s="1209"/>
      <c r="K17" s="1211">
        <f t="shared" si="0"/>
        <v>0</v>
      </c>
    </row>
    <row r="18" spans="1:17" ht="21.75" customHeight="1">
      <c r="A18" s="3693"/>
      <c r="B18" s="2640">
        <v>3</v>
      </c>
      <c r="C18" s="1041"/>
      <c r="D18" s="2648"/>
      <c r="E18" s="2655"/>
      <c r="F18" s="2666"/>
      <c r="G18" s="2664"/>
      <c r="H18" s="2664"/>
      <c r="I18" s="2652"/>
      <c r="J18" s="1209"/>
      <c r="K18" s="1211">
        <f t="shared" si="0"/>
        <v>0</v>
      </c>
    </row>
    <row r="19" spans="1:17" ht="21.75" customHeight="1">
      <c r="A19" s="3693"/>
      <c r="B19" s="2640">
        <v>4</v>
      </c>
      <c r="C19" s="1041"/>
      <c r="D19" s="2648"/>
      <c r="E19" s="2655"/>
      <c r="F19" s="2666"/>
      <c r="G19" s="2664"/>
      <c r="H19" s="2664"/>
      <c r="I19" s="2652"/>
      <c r="J19" s="1209"/>
      <c r="K19" s="1211">
        <f t="shared" si="0"/>
        <v>0</v>
      </c>
      <c r="L19" s="2641"/>
      <c r="M19" s="673"/>
      <c r="N19" s="673"/>
      <c r="O19" s="673"/>
      <c r="P19" s="673"/>
      <c r="Q19" s="673"/>
    </row>
    <row r="20" spans="1:17" ht="21.75" customHeight="1">
      <c r="A20" s="3693"/>
      <c r="B20" s="2640">
        <v>5</v>
      </c>
      <c r="C20" s="1041"/>
      <c r="D20" s="2648"/>
      <c r="E20" s="2655"/>
      <c r="F20" s="2666"/>
      <c r="G20" s="2664"/>
      <c r="H20" s="2664"/>
      <c r="I20" s="2652"/>
      <c r="J20" s="1209"/>
      <c r="K20" s="1211">
        <f t="shared" si="0"/>
        <v>0</v>
      </c>
    </row>
    <row r="21" spans="1:17" ht="21.75" customHeight="1">
      <c r="A21" s="3693"/>
      <c r="B21" s="2640">
        <v>6</v>
      </c>
      <c r="C21" s="1041"/>
      <c r="D21" s="1209"/>
      <c r="E21" s="2653"/>
      <c r="F21" s="2666"/>
      <c r="G21" s="2661"/>
      <c r="H21" s="2661"/>
      <c r="I21" s="2652"/>
      <c r="J21" s="1209"/>
      <c r="K21" s="1211">
        <f t="shared" si="0"/>
        <v>0</v>
      </c>
    </row>
    <row r="22" spans="1:17" ht="21.75" customHeight="1">
      <c r="A22" s="3693"/>
      <c r="B22" s="2640">
        <v>7</v>
      </c>
      <c r="C22" s="2646"/>
      <c r="D22" s="2647"/>
      <c r="E22" s="2647"/>
      <c r="F22" s="2667"/>
      <c r="G22" s="2662"/>
      <c r="H22" s="2662"/>
      <c r="I22" s="2652"/>
      <c r="J22" s="2647"/>
      <c r="K22" s="1211">
        <f t="shared" si="0"/>
        <v>0</v>
      </c>
    </row>
    <row r="23" spans="1:17" ht="21.75" customHeight="1">
      <c r="A23" s="3693"/>
      <c r="B23" s="2640">
        <v>8</v>
      </c>
      <c r="C23" s="2646"/>
      <c r="D23" s="2647"/>
      <c r="E23" s="2647"/>
      <c r="F23" s="2667"/>
      <c r="G23" s="2662"/>
      <c r="H23" s="2662"/>
      <c r="I23" s="2652"/>
      <c r="J23" s="2647"/>
      <c r="K23" s="1211">
        <f t="shared" si="0"/>
        <v>0</v>
      </c>
    </row>
    <row r="24" spans="1:17" ht="21.75" customHeight="1">
      <c r="A24" s="3693"/>
      <c r="B24" s="2640">
        <v>9</v>
      </c>
      <c r="C24" s="2646"/>
      <c r="D24" s="2647"/>
      <c r="E24" s="2647"/>
      <c r="F24" s="2667"/>
      <c r="G24" s="2662"/>
      <c r="H24" s="2662"/>
      <c r="I24" s="2652"/>
      <c r="J24" s="2647"/>
      <c r="K24" s="1211">
        <f t="shared" si="0"/>
        <v>0</v>
      </c>
    </row>
    <row r="25" spans="1:17" ht="21.75" customHeight="1">
      <c r="A25" s="3693"/>
      <c r="B25" s="3692" t="s">
        <v>702</v>
      </c>
      <c r="C25" s="3692"/>
      <c r="D25" s="1212">
        <f>SUMIF(E16:E24,"是",D16:D24)</f>
        <v>0</v>
      </c>
      <c r="E25" s="2654"/>
      <c r="F25" s="2668"/>
      <c r="G25" s="1212"/>
      <c r="H25" s="1212"/>
      <c r="I25" s="1212">
        <f t="shared" ref="I25:J25" si="2">SUM(I16:I24)</f>
        <v>0</v>
      </c>
      <c r="J25" s="1212">
        <f t="shared" si="2"/>
        <v>0</v>
      </c>
      <c r="K25" s="1213">
        <f t="shared" si="0"/>
        <v>0</v>
      </c>
    </row>
    <row r="26" spans="1:17" ht="21" customHeight="1">
      <c r="A26" s="3276" t="s">
        <v>641</v>
      </c>
      <c r="B26" s="3276"/>
      <c r="C26" s="3694" t="str">
        <f>IF($D$15&lt;&gt;资产负债!$H$5,"短期借款账载数与报表数相差"&amp;DOLLAR($D$15-资产负债!$H$5,2)&amp;"元！","短期借款账载数与报表数相符！")</f>
        <v>短期借款账载数与报表数相符！</v>
      </c>
      <c r="D26" s="3694"/>
      <c r="E26" s="3694"/>
      <c r="F26" s="3694"/>
      <c r="G26" s="3694"/>
      <c r="H26" s="3695" t="str">
        <f>IF($D$25&lt;&gt;资产负债!$H$21,"长期借款账载数与报表数相差"&amp;DOLLAR($D$25-资产负债!$H$21,2)&amp;"元！","长期借款账载数与报表数相符！")</f>
        <v>长期借款账载数与报表数相符！</v>
      </c>
      <c r="I26" s="3695"/>
      <c r="J26" s="3695"/>
      <c r="K26" s="3695"/>
    </row>
    <row r="27" spans="1:17" ht="15" customHeight="1">
      <c r="A27" s="3295" t="s">
        <v>1323</v>
      </c>
      <c r="B27" s="3295"/>
      <c r="C27" s="1045" t="s">
        <v>1407</v>
      </c>
      <c r="D27" s="3690" t="str">
        <f>IF(OR(I15&lt;&gt;资产负债!H5,I25&lt;&gt;资产负债!H21),"、E","")</f>
        <v/>
      </c>
      <c r="E27" s="3690"/>
      <c r="F27" s="3690"/>
      <c r="G27" s="3690"/>
      <c r="H27" s="3690"/>
      <c r="I27" s="3690"/>
      <c r="J27" s="3690"/>
      <c r="K27" s="3690"/>
      <c r="L27" s="2641"/>
      <c r="M27" s="2642"/>
      <c r="N27" s="2642"/>
      <c r="O27" s="2642"/>
      <c r="P27" s="2642"/>
      <c r="Q27" s="2642"/>
    </row>
    <row r="28" spans="1:17" ht="46.5" customHeight="1">
      <c r="A28" s="3295"/>
      <c r="B28" s="3295"/>
      <c r="C28" s="3691"/>
      <c r="D28" s="3691"/>
      <c r="E28" s="3691"/>
      <c r="F28" s="3691"/>
      <c r="G28" s="3691"/>
      <c r="H28" s="3691"/>
      <c r="I28" s="3691"/>
      <c r="J28" s="3691"/>
      <c r="K28" s="3691"/>
    </row>
    <row r="29" spans="1:17" ht="21" customHeight="1">
      <c r="A29" s="3688" t="s">
        <v>574</v>
      </c>
      <c r="B29" s="3688"/>
      <c r="C29" s="3689"/>
      <c r="D29" s="3689"/>
      <c r="E29" s="3704"/>
      <c r="F29" s="3689"/>
      <c r="G29" s="3689"/>
      <c r="H29" s="3689"/>
      <c r="I29" s="3689"/>
      <c r="J29" s="3689"/>
      <c r="K29" s="3689"/>
    </row>
    <row r="30" spans="1:17" ht="13.5" customHeight="1"/>
    <row r="31" spans="1:17" ht="21" customHeight="1"/>
    <row r="32" spans="1:17" ht="21" customHeight="1"/>
    <row r="33" spans="12:17" ht="21" customHeight="1"/>
    <row r="34" spans="12:17" ht="21" customHeight="1"/>
    <row r="35" spans="12:17" ht="21" customHeight="1"/>
    <row r="36" spans="12:17" ht="21" customHeight="1"/>
    <row r="37" spans="12:17" ht="21" customHeight="1"/>
    <row r="38" spans="12:17" ht="21" customHeight="1"/>
    <row r="39" spans="12:17" s="130" customFormat="1" ht="21" customHeight="1">
      <c r="L39"/>
      <c r="M39"/>
      <c r="N39"/>
      <c r="O39"/>
      <c r="P39"/>
      <c r="Q39"/>
    </row>
    <row r="40" spans="12:17" s="130" customFormat="1" ht="21" customHeight="1">
      <c r="L40"/>
      <c r="M40"/>
      <c r="N40"/>
      <c r="O40"/>
      <c r="P40"/>
      <c r="Q40"/>
    </row>
    <row r="41" spans="12:17" s="130" customFormat="1" ht="21" customHeight="1">
      <c r="L41"/>
      <c r="M41"/>
      <c r="N41"/>
      <c r="O41"/>
      <c r="P41"/>
      <c r="Q41"/>
    </row>
    <row r="42" spans="12:17" s="130" customFormat="1" ht="21" customHeight="1">
      <c r="L42"/>
      <c r="M42"/>
      <c r="N42"/>
      <c r="O42"/>
      <c r="P42"/>
      <c r="Q42"/>
    </row>
  </sheetData>
  <sheetProtection selectLockedCells="1" selectUnlockedCells="1"/>
  <mergeCells count="22">
    <mergeCell ref="A29:B29"/>
    <mergeCell ref="C29:K29"/>
    <mergeCell ref="A4:K4"/>
    <mergeCell ref="A6:A15"/>
    <mergeCell ref="B15:C15"/>
    <mergeCell ref="A27:B28"/>
    <mergeCell ref="D27:K27"/>
    <mergeCell ref="C28:K28"/>
    <mergeCell ref="A16:A25"/>
    <mergeCell ref="B25:C25"/>
    <mergeCell ref="A26:B26"/>
    <mergeCell ref="C26:G26"/>
    <mergeCell ref="H26:K26"/>
    <mergeCell ref="A1:K1"/>
    <mergeCell ref="A2:B2"/>
    <mergeCell ref="C2:D2"/>
    <mergeCell ref="J2:K2"/>
    <mergeCell ref="A3:B3"/>
    <mergeCell ref="C3:D3"/>
    <mergeCell ref="J3:K3"/>
    <mergeCell ref="E2:F2"/>
    <mergeCell ref="E3:F3"/>
  </mergeCells>
  <phoneticPr fontId="51" type="noConversion"/>
  <dataValidations count="2">
    <dataValidation allowBlank="1" showErrorMessage="1" promptTitle="存在调整事项时" prompt="_x000a_选择 “E”" sqref="D27:K27">
      <formula1>0</formula1>
      <formula2>0</formula2>
    </dataValidation>
    <dataValidation type="list" allowBlank="1" showInputMessage="1" showErrorMessage="1" sqref="E6:E14 E16:E24">
      <formula1>"是,否"</formula1>
    </dataValidation>
  </dataValidations>
  <hyperlinks>
    <hyperlink ref="L8" location="资产负债!A1" display="资产负债表"/>
  </hyperlinks>
  <pageMargins left="0.78740157480314965" right="0.35433070866141736" top="0.51181102362204722" bottom="0.11811023622047245" header="0.51181102362204722" footer="0.51181102362204722"/>
  <pageSetup paperSize="9" scale="91" firstPageNumber="0" orientation="landscape" blackAndWhite="1"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P31"/>
  <sheetViews>
    <sheetView workbookViewId="0">
      <selection activeCell="H22" sqref="H22"/>
    </sheetView>
  </sheetViews>
  <sheetFormatPr defaultColWidth="9" defaultRowHeight="15.6"/>
  <cols>
    <col min="1" max="1" width="3" style="554" customWidth="1"/>
    <col min="2" max="2" width="17.5" style="130" customWidth="1"/>
    <col min="3" max="8" width="11" style="130" customWidth="1"/>
    <col min="9" max="9" width="52.69921875" style="554" customWidth="1"/>
    <col min="10" max="16384" width="9" style="554"/>
  </cols>
  <sheetData>
    <row r="1" spans="1:68" ht="30" customHeight="1">
      <c r="A1" s="1009"/>
      <c r="B1" s="2729" t="s">
        <v>374</v>
      </c>
      <c r="C1" s="2729"/>
      <c r="D1" s="2729"/>
      <c r="E1" s="2729"/>
      <c r="F1" s="2729"/>
      <c r="G1" s="2729"/>
      <c r="H1" s="2729"/>
      <c r="I1" s="90"/>
      <c r="J1" s="90"/>
    </row>
    <row r="2" spans="1:68" s="649" customFormat="1" ht="20.100000000000001" customHeight="1">
      <c r="A2" s="3191" t="str">
        <f>"委托单位："&amp;基本情况!B2</f>
        <v>委托单位：0</v>
      </c>
      <c r="B2" s="3191"/>
      <c r="C2" s="3191"/>
      <c r="D2" s="3191"/>
      <c r="E2" s="136"/>
      <c r="F2" s="136" t="s">
        <v>1282</v>
      </c>
      <c r="G2" s="136" t="s">
        <v>1053</v>
      </c>
      <c r="H2" s="485" t="s">
        <v>283</v>
      </c>
      <c r="I2" s="1053"/>
      <c r="J2" s="648"/>
    </row>
    <row r="3" spans="1:68" s="649" customFormat="1" ht="20.100000000000001" customHeight="1">
      <c r="A3" s="3191"/>
      <c r="B3" s="3191"/>
      <c r="C3" s="3191"/>
      <c r="D3" s="3191"/>
      <c r="E3" s="158" t="s">
        <v>450</v>
      </c>
      <c r="F3" s="510">
        <f>基本情况!B12</f>
        <v>0</v>
      </c>
      <c r="G3" s="559" t="str">
        <f>TEXT(基本情况!B21,"yyyy-mm-dd")</f>
        <v>2017-03-16</v>
      </c>
      <c r="H3" s="3138" t="str">
        <f>档案索引!D43</f>
        <v>4-10</v>
      </c>
      <c r="I3" s="557"/>
      <c r="J3" s="648"/>
    </row>
    <row r="4" spans="1:68" s="649" customFormat="1" ht="20.100000000000001" customHeight="1">
      <c r="A4" s="3189" t="str">
        <f>"会计期间："&amp;基本情况!B7</f>
        <v>会计期间：2016年01月01日至2016年12月31日</v>
      </c>
      <c r="B4" s="3189"/>
      <c r="C4" s="3189"/>
      <c r="D4" s="3189"/>
      <c r="E4" s="140" t="s">
        <v>452</v>
      </c>
      <c r="F4" s="513">
        <f>基本情况!B11</f>
        <v>0</v>
      </c>
      <c r="G4" s="513" t="str">
        <f>TEXT(基本情况!B22,"yyyy-mm-dd")</f>
        <v>2017-05-04</v>
      </c>
      <c r="H4" s="3138"/>
      <c r="I4" s="557"/>
      <c r="J4" s="648"/>
    </row>
    <row r="5" spans="1:68" s="1055" customFormat="1" ht="6" customHeight="1">
      <c r="A5" s="2926"/>
      <c r="B5" s="2926"/>
      <c r="C5" s="2926"/>
      <c r="D5" s="2926"/>
      <c r="E5" s="2926"/>
      <c r="F5" s="2926"/>
      <c r="G5" s="2926"/>
      <c r="H5" s="2926"/>
      <c r="I5" s="543"/>
      <c r="J5" s="1054"/>
    </row>
    <row r="6" spans="1:68" s="558" customFormat="1" ht="24" customHeight="1">
      <c r="A6" s="3051" t="s">
        <v>665</v>
      </c>
      <c r="B6" s="3051"/>
      <c r="C6" s="582" t="s">
        <v>1251</v>
      </c>
      <c r="D6" s="582" t="s">
        <v>1252</v>
      </c>
      <c r="E6" s="582" t="s">
        <v>1253</v>
      </c>
      <c r="F6" s="582" t="s">
        <v>837</v>
      </c>
      <c r="G6" s="582" t="s">
        <v>842</v>
      </c>
      <c r="H6" s="772" t="s">
        <v>243</v>
      </c>
      <c r="I6" s="536" t="s">
        <v>395</v>
      </c>
      <c r="J6" s="606"/>
      <c r="K6" s="649"/>
      <c r="L6" s="649"/>
      <c r="M6" s="649"/>
      <c r="N6" s="649"/>
      <c r="O6" s="649"/>
      <c r="P6" s="649"/>
      <c r="Q6" s="649"/>
      <c r="R6" s="649"/>
      <c r="S6" s="649"/>
      <c r="T6" s="649"/>
      <c r="U6" s="649"/>
      <c r="V6" s="649"/>
      <c r="W6" s="649"/>
      <c r="X6" s="649"/>
      <c r="Y6" s="649"/>
      <c r="Z6" s="649"/>
      <c r="AA6" s="649"/>
      <c r="AB6" s="649"/>
      <c r="AC6" s="649"/>
      <c r="AD6" s="649"/>
      <c r="AE6" s="649"/>
      <c r="AF6" s="649"/>
      <c r="AG6" s="649"/>
      <c r="AH6" s="649"/>
      <c r="AI6" s="649"/>
      <c r="AJ6" s="649"/>
      <c r="AK6" s="649"/>
      <c r="AL6" s="649"/>
      <c r="AM6" s="649"/>
      <c r="AN6" s="649"/>
      <c r="AO6" s="649"/>
      <c r="AP6" s="649"/>
      <c r="AQ6" s="649"/>
      <c r="AR6" s="649"/>
      <c r="AS6" s="649"/>
      <c r="AT6" s="649"/>
      <c r="AU6" s="649"/>
      <c r="AV6" s="649"/>
      <c r="AW6" s="649"/>
      <c r="AX6" s="649"/>
      <c r="AY6" s="649"/>
      <c r="AZ6" s="649"/>
      <c r="BA6" s="649"/>
      <c r="BB6" s="649"/>
      <c r="BC6" s="649"/>
      <c r="BD6" s="649"/>
      <c r="BE6" s="649"/>
      <c r="BF6" s="649"/>
      <c r="BG6" s="649"/>
      <c r="BH6" s="649"/>
      <c r="BI6" s="649"/>
      <c r="BJ6" s="649"/>
      <c r="BK6" s="649"/>
      <c r="BL6" s="649"/>
      <c r="BM6" s="649"/>
      <c r="BN6" s="649"/>
      <c r="BO6" s="649"/>
      <c r="BP6" s="649"/>
    </row>
    <row r="7" spans="1:68" s="558" customFormat="1" ht="24" customHeight="1">
      <c r="A7" s="3595" t="s">
        <v>439</v>
      </c>
      <c r="B7" s="1056"/>
      <c r="C7" s="1130"/>
      <c r="D7" s="1130"/>
      <c r="E7" s="1130"/>
      <c r="F7" s="659">
        <f>C7+D7-E7</f>
        <v>0</v>
      </c>
      <c r="G7" s="1130"/>
      <c r="H7" s="662">
        <f t="shared" ref="H7:H12" si="0">F7+G7</f>
        <v>0</v>
      </c>
      <c r="I7" s="493" t="s">
        <v>1288</v>
      </c>
      <c r="J7" s="606"/>
      <c r="K7" s="649"/>
      <c r="L7" s="649"/>
      <c r="M7" s="649"/>
      <c r="N7" s="649"/>
      <c r="O7" s="649"/>
      <c r="P7" s="649"/>
      <c r="Q7" s="649"/>
      <c r="R7" s="649"/>
      <c r="S7" s="649"/>
      <c r="T7" s="649"/>
      <c r="U7" s="649"/>
      <c r="V7" s="649"/>
      <c r="W7" s="649"/>
      <c r="X7" s="649"/>
      <c r="Y7" s="649"/>
      <c r="Z7" s="649"/>
      <c r="AA7" s="649"/>
      <c r="AB7" s="649"/>
      <c r="AC7" s="649"/>
      <c r="AD7" s="649"/>
      <c r="AE7" s="649"/>
      <c r="AF7" s="649"/>
      <c r="AG7" s="649"/>
      <c r="AH7" s="649"/>
      <c r="AI7" s="649"/>
      <c r="AJ7" s="649"/>
      <c r="AK7" s="649"/>
      <c r="AL7" s="649"/>
      <c r="AM7" s="649"/>
      <c r="AN7" s="649"/>
      <c r="AO7" s="649"/>
      <c r="AP7" s="649"/>
      <c r="AQ7" s="649"/>
      <c r="AR7" s="649"/>
      <c r="AS7" s="649"/>
      <c r="AT7" s="649"/>
      <c r="AU7" s="649"/>
      <c r="AV7" s="649"/>
      <c r="AW7" s="649"/>
      <c r="AX7" s="649"/>
      <c r="AY7" s="649"/>
      <c r="AZ7" s="649"/>
      <c r="BA7" s="649"/>
      <c r="BB7" s="649"/>
      <c r="BC7" s="649"/>
      <c r="BD7" s="649"/>
      <c r="BE7" s="649"/>
      <c r="BF7" s="649"/>
      <c r="BG7" s="649"/>
      <c r="BH7" s="649"/>
      <c r="BI7" s="649"/>
      <c r="BJ7" s="649"/>
      <c r="BK7" s="649"/>
      <c r="BL7" s="649"/>
      <c r="BM7" s="649"/>
      <c r="BN7" s="649"/>
      <c r="BO7" s="649"/>
      <c r="BP7" s="649"/>
    </row>
    <row r="8" spans="1:68" s="558" customFormat="1" ht="24" customHeight="1">
      <c r="A8" s="3595"/>
      <c r="B8" s="968"/>
      <c r="C8" s="1131"/>
      <c r="D8" s="1131"/>
      <c r="E8" s="1131"/>
      <c r="F8" s="666">
        <f t="shared" ref="F8:F23" si="1">C8+D8-E8</f>
        <v>0</v>
      </c>
      <c r="G8" s="1131"/>
      <c r="H8" s="531">
        <f t="shared" si="0"/>
        <v>0</v>
      </c>
      <c r="I8" s="493" t="s">
        <v>642</v>
      </c>
      <c r="J8" s="606"/>
      <c r="K8" s="649"/>
      <c r="L8" s="649"/>
      <c r="M8" s="649"/>
      <c r="N8" s="649"/>
      <c r="O8" s="649"/>
      <c r="P8" s="649"/>
      <c r="Q8" s="649"/>
      <c r="R8" s="649"/>
      <c r="S8" s="649"/>
      <c r="T8" s="649"/>
      <c r="U8" s="649"/>
      <c r="V8" s="649"/>
      <c r="W8" s="649"/>
      <c r="X8" s="649"/>
      <c r="Y8" s="649"/>
      <c r="Z8" s="649"/>
      <c r="AA8" s="649"/>
      <c r="AB8" s="649"/>
      <c r="AC8" s="649"/>
      <c r="AD8" s="649"/>
      <c r="AE8" s="649"/>
      <c r="AF8" s="649"/>
      <c r="AG8" s="649"/>
      <c r="AH8" s="649"/>
      <c r="AI8" s="649"/>
      <c r="AJ8" s="649"/>
      <c r="AK8" s="649"/>
      <c r="AL8" s="649"/>
      <c r="AM8" s="649"/>
      <c r="AN8" s="649"/>
      <c r="AO8" s="649"/>
      <c r="AP8" s="649"/>
      <c r="AQ8" s="649"/>
      <c r="AR8" s="649"/>
      <c r="AS8" s="649"/>
      <c r="AT8" s="649"/>
      <c r="AU8" s="649"/>
      <c r="AV8" s="649"/>
      <c r="AW8" s="649"/>
      <c r="AX8" s="649"/>
      <c r="AY8" s="649"/>
      <c r="AZ8" s="649"/>
      <c r="BA8" s="649"/>
      <c r="BB8" s="649"/>
      <c r="BC8" s="649"/>
      <c r="BD8" s="649"/>
      <c r="BE8" s="649"/>
      <c r="BF8" s="649"/>
      <c r="BG8" s="649"/>
      <c r="BH8" s="649"/>
      <c r="BI8" s="649"/>
      <c r="BJ8" s="649"/>
      <c r="BK8" s="649"/>
      <c r="BL8" s="649"/>
      <c r="BM8" s="649"/>
      <c r="BN8" s="649"/>
      <c r="BO8" s="649"/>
      <c r="BP8" s="649"/>
    </row>
    <row r="9" spans="1:68" s="558" customFormat="1" ht="24" customHeight="1">
      <c r="A9" s="3595"/>
      <c r="B9" s="968"/>
      <c r="C9" s="1131"/>
      <c r="D9" s="1131"/>
      <c r="E9" s="1131"/>
      <c r="F9" s="666">
        <f t="shared" si="1"/>
        <v>0</v>
      </c>
      <c r="G9" s="1131"/>
      <c r="H9" s="531">
        <f t="shared" si="0"/>
        <v>0</v>
      </c>
      <c r="I9" s="232" t="s">
        <v>368</v>
      </c>
      <c r="J9" s="606"/>
      <c r="K9" s="649"/>
      <c r="L9" s="649"/>
      <c r="M9" s="649"/>
      <c r="N9" s="649"/>
      <c r="O9" s="649"/>
      <c r="P9" s="649"/>
      <c r="Q9" s="649"/>
      <c r="R9" s="649"/>
      <c r="S9" s="649"/>
      <c r="T9" s="649"/>
      <c r="U9" s="649"/>
      <c r="V9" s="649"/>
      <c r="W9" s="649"/>
      <c r="X9" s="649"/>
      <c r="Y9" s="649"/>
      <c r="Z9" s="649"/>
      <c r="AA9" s="649"/>
      <c r="AB9" s="649"/>
      <c r="AC9" s="649"/>
      <c r="AD9" s="649"/>
      <c r="AE9" s="649"/>
      <c r="AF9" s="649"/>
      <c r="AG9" s="649"/>
      <c r="AH9" s="649"/>
      <c r="AI9" s="649"/>
      <c r="AJ9" s="649"/>
      <c r="AK9" s="649"/>
      <c r="AL9" s="649"/>
      <c r="AM9" s="649"/>
      <c r="AN9" s="649"/>
      <c r="AO9" s="649"/>
      <c r="AP9" s="649"/>
      <c r="AQ9" s="649"/>
      <c r="AR9" s="649"/>
      <c r="AS9" s="649"/>
      <c r="AT9" s="649"/>
      <c r="AU9" s="649"/>
      <c r="AV9" s="649"/>
      <c r="AW9" s="649"/>
      <c r="AX9" s="649"/>
      <c r="AY9" s="649"/>
      <c r="AZ9" s="649"/>
      <c r="BA9" s="649"/>
      <c r="BB9" s="649"/>
      <c r="BC9" s="649"/>
      <c r="BD9" s="649"/>
      <c r="BE9" s="649"/>
      <c r="BF9" s="649"/>
      <c r="BG9" s="649"/>
      <c r="BH9" s="649"/>
      <c r="BI9" s="649"/>
      <c r="BJ9" s="649"/>
      <c r="BK9" s="649"/>
      <c r="BL9" s="649"/>
      <c r="BM9" s="649"/>
      <c r="BN9" s="649"/>
      <c r="BO9" s="649"/>
      <c r="BP9" s="649"/>
    </row>
    <row r="10" spans="1:68" s="558" customFormat="1" ht="24" customHeight="1">
      <c r="A10" s="3595"/>
      <c r="B10" s="968"/>
      <c r="C10" s="1131"/>
      <c r="D10" s="1131"/>
      <c r="E10" s="1131"/>
      <c r="F10" s="666">
        <f t="shared" si="1"/>
        <v>0</v>
      </c>
      <c r="G10" s="1131"/>
      <c r="H10" s="531">
        <f t="shared" si="0"/>
        <v>0</v>
      </c>
      <c r="I10" s="232" t="s">
        <v>328</v>
      </c>
      <c r="J10" s="557"/>
    </row>
    <row r="11" spans="1:68" s="558" customFormat="1" ht="24" customHeight="1">
      <c r="A11" s="3595"/>
      <c r="B11" s="968"/>
      <c r="C11" s="1131"/>
      <c r="D11" s="1131"/>
      <c r="E11" s="1131"/>
      <c r="F11" s="666">
        <f t="shared" si="1"/>
        <v>0</v>
      </c>
      <c r="G11" s="1131"/>
      <c r="H11" s="531">
        <f t="shared" si="0"/>
        <v>0</v>
      </c>
      <c r="I11" s="232" t="s">
        <v>324</v>
      </c>
      <c r="J11" s="557"/>
    </row>
    <row r="12" spans="1:68" s="558" customFormat="1" ht="24" customHeight="1">
      <c r="A12" s="3595"/>
      <c r="B12" s="2450"/>
      <c r="C12" s="1132"/>
      <c r="D12" s="1132"/>
      <c r="E12" s="1132"/>
      <c r="F12" s="666">
        <f t="shared" si="1"/>
        <v>0</v>
      </c>
      <c r="G12" s="1132"/>
      <c r="H12" s="2445">
        <f t="shared" si="0"/>
        <v>0</v>
      </c>
      <c r="I12" s="2446"/>
      <c r="J12" s="557"/>
    </row>
    <row r="13" spans="1:68" s="558" customFormat="1" ht="24" customHeight="1">
      <c r="A13" s="3595"/>
      <c r="B13" s="140" t="s">
        <v>1413</v>
      </c>
      <c r="C13" s="684">
        <f t="shared" ref="C13:E13" si="2">SUM(C7:C12)</f>
        <v>0</v>
      </c>
      <c r="D13" s="684">
        <f t="shared" si="2"/>
        <v>0</v>
      </c>
      <c r="E13" s="684">
        <f t="shared" si="2"/>
        <v>0</v>
      </c>
      <c r="F13" s="684">
        <f>SUM(F7:F12)</f>
        <v>0</v>
      </c>
      <c r="G13" s="684">
        <f t="shared" ref="G13:H13" si="3">SUM(G7:G12)</f>
        <v>0</v>
      </c>
      <c r="H13" s="1057">
        <f t="shared" si="3"/>
        <v>0</v>
      </c>
      <c r="I13" s="557"/>
      <c r="J13" s="557"/>
    </row>
    <row r="14" spans="1:68" s="558" customFormat="1" ht="24" customHeight="1">
      <c r="A14" s="3163" t="s">
        <v>843</v>
      </c>
      <c r="B14" s="1058" t="s">
        <v>844</v>
      </c>
      <c r="C14" s="1221"/>
      <c r="D14" s="1221"/>
      <c r="E14" s="1221"/>
      <c r="F14" s="653">
        <f t="shared" si="1"/>
        <v>0</v>
      </c>
      <c r="G14" s="1221"/>
      <c r="H14" s="655">
        <f>F14+G14</f>
        <v>0</v>
      </c>
      <c r="I14" s="3107" t="s">
        <v>845</v>
      </c>
      <c r="J14" s="3107"/>
    </row>
    <row r="15" spans="1:68" s="558" customFormat="1" ht="24" customHeight="1">
      <c r="A15" s="3163"/>
      <c r="B15" s="968" t="s">
        <v>846</v>
      </c>
      <c r="C15" s="1131"/>
      <c r="D15" s="1131"/>
      <c r="E15" s="1131"/>
      <c r="F15" s="666">
        <f t="shared" si="1"/>
        <v>0</v>
      </c>
      <c r="G15" s="1131"/>
      <c r="H15" s="531">
        <f t="shared" ref="H15:H23" si="4">F15+G15</f>
        <v>0</v>
      </c>
      <c r="I15" s="3107"/>
      <c r="J15" s="3107"/>
    </row>
    <row r="16" spans="1:68" s="558" customFormat="1" ht="24" customHeight="1">
      <c r="A16" s="3163"/>
      <c r="B16" s="968" t="s">
        <v>1131</v>
      </c>
      <c r="C16" s="1131"/>
      <c r="D16" s="1131"/>
      <c r="E16" s="1131"/>
      <c r="F16" s="666">
        <f t="shared" si="1"/>
        <v>0</v>
      </c>
      <c r="G16" s="1131"/>
      <c r="H16" s="531">
        <f t="shared" si="4"/>
        <v>0</v>
      </c>
      <c r="I16" s="3107"/>
      <c r="J16" s="3107"/>
    </row>
    <row r="17" spans="1:10" s="558" customFormat="1" ht="24" customHeight="1">
      <c r="A17" s="3163"/>
      <c r="B17" s="968"/>
      <c r="C17" s="1131"/>
      <c r="D17" s="1131"/>
      <c r="E17" s="1131"/>
      <c r="F17" s="666">
        <f t="shared" si="1"/>
        <v>0</v>
      </c>
      <c r="G17" s="1131"/>
      <c r="H17" s="531">
        <f t="shared" si="4"/>
        <v>0</v>
      </c>
      <c r="I17" s="3107"/>
      <c r="J17" s="3107"/>
    </row>
    <row r="18" spans="1:10" s="558" customFormat="1" ht="24.75" customHeight="1">
      <c r="A18" s="3163"/>
      <c r="B18" s="140" t="s">
        <v>1413</v>
      </c>
      <c r="C18" s="684">
        <f t="shared" ref="C18:H18" si="5">SUM(C14:C17)</f>
        <v>0</v>
      </c>
      <c r="D18" s="684">
        <f t="shared" si="5"/>
        <v>0</v>
      </c>
      <c r="E18" s="684">
        <f t="shared" si="5"/>
        <v>0</v>
      </c>
      <c r="F18" s="684">
        <f t="shared" si="5"/>
        <v>0</v>
      </c>
      <c r="G18" s="684">
        <f t="shared" si="5"/>
        <v>0</v>
      </c>
      <c r="H18" s="1057">
        <f t="shared" si="5"/>
        <v>0</v>
      </c>
      <c r="I18" s="3107"/>
      <c r="J18" s="3107"/>
    </row>
    <row r="19" spans="1:10" s="558" customFormat="1" ht="24.75" customHeight="1">
      <c r="A19" s="3595" t="s">
        <v>1132</v>
      </c>
      <c r="B19" s="1056"/>
      <c r="C19" s="1130"/>
      <c r="D19" s="1130"/>
      <c r="E19" s="1130"/>
      <c r="F19" s="659">
        <f t="shared" si="1"/>
        <v>0</v>
      </c>
      <c r="G19" s="1130"/>
      <c r="H19" s="662">
        <f t="shared" si="4"/>
        <v>0</v>
      </c>
      <c r="I19" s="523"/>
      <c r="J19" s="557"/>
    </row>
    <row r="20" spans="1:10" s="558" customFormat="1" ht="24.75" customHeight="1">
      <c r="A20" s="3595"/>
      <c r="B20" s="968"/>
      <c r="C20" s="1131"/>
      <c r="D20" s="1131"/>
      <c r="E20" s="1131"/>
      <c r="F20" s="666">
        <f t="shared" si="1"/>
        <v>0</v>
      </c>
      <c r="G20" s="1131"/>
      <c r="H20" s="531">
        <f t="shared" si="4"/>
        <v>0</v>
      </c>
      <c r="I20" s="523"/>
      <c r="J20" s="557"/>
    </row>
    <row r="21" spans="1:10" s="558" customFormat="1" ht="24.75" customHeight="1">
      <c r="A21" s="3595"/>
      <c r="B21" s="968"/>
      <c r="C21" s="1131"/>
      <c r="D21" s="1131"/>
      <c r="E21" s="1131"/>
      <c r="F21" s="666">
        <f t="shared" si="1"/>
        <v>0</v>
      </c>
      <c r="G21" s="1131"/>
      <c r="H21" s="531">
        <f t="shared" si="4"/>
        <v>0</v>
      </c>
      <c r="I21" s="543"/>
      <c r="J21" s="557"/>
    </row>
    <row r="22" spans="1:10" s="558" customFormat="1" ht="24.75" customHeight="1">
      <c r="A22" s="3595"/>
      <c r="B22" s="968"/>
      <c r="C22" s="1131"/>
      <c r="D22" s="1131"/>
      <c r="E22" s="1131"/>
      <c r="F22" s="666">
        <f t="shared" si="1"/>
        <v>0</v>
      </c>
      <c r="G22" s="1131"/>
      <c r="H22" s="531">
        <f t="shared" si="4"/>
        <v>0</v>
      </c>
      <c r="I22" s="543"/>
      <c r="J22" s="557"/>
    </row>
    <row r="23" spans="1:10" s="558" customFormat="1" ht="24.75" customHeight="1">
      <c r="A23" s="3595"/>
      <c r="B23" s="968"/>
      <c r="C23" s="1131"/>
      <c r="D23" s="1131"/>
      <c r="E23" s="1131"/>
      <c r="F23" s="666">
        <f t="shared" si="1"/>
        <v>0</v>
      </c>
      <c r="G23" s="1131"/>
      <c r="H23" s="531">
        <f t="shared" si="4"/>
        <v>0</v>
      </c>
      <c r="I23" s="543"/>
      <c r="J23" s="557"/>
    </row>
    <row r="24" spans="1:10" s="558" customFormat="1" ht="24.75" customHeight="1">
      <c r="A24" s="3595"/>
      <c r="B24" s="140" t="s">
        <v>1413</v>
      </c>
      <c r="C24" s="684">
        <f t="shared" ref="C24:H24" si="6">SUM(C19:C23)</f>
        <v>0</v>
      </c>
      <c r="D24" s="684">
        <f t="shared" si="6"/>
        <v>0</v>
      </c>
      <c r="E24" s="684">
        <f t="shared" si="6"/>
        <v>0</v>
      </c>
      <c r="F24" s="684">
        <f t="shared" si="6"/>
        <v>0</v>
      </c>
      <c r="G24" s="684">
        <f t="shared" si="6"/>
        <v>0</v>
      </c>
      <c r="H24" s="1057">
        <f t="shared" si="6"/>
        <v>0</v>
      </c>
      <c r="I24" s="543"/>
      <c r="J24" s="557"/>
    </row>
    <row r="25" spans="1:10" s="558" customFormat="1" ht="27.75" customHeight="1">
      <c r="A25" s="3147" t="s">
        <v>1133</v>
      </c>
      <c r="B25" s="3147"/>
      <c r="C25" s="1059" t="s">
        <v>1077</v>
      </c>
      <c r="D25" s="3708" t="s">
        <v>1134</v>
      </c>
      <c r="E25" s="3708"/>
      <c r="F25" s="1222"/>
      <c r="G25" s="956">
        <v>5.0000000000000001E-4</v>
      </c>
      <c r="H25" s="655">
        <f>ROUND(F25*G25,2)</f>
        <v>0</v>
      </c>
      <c r="I25" s="543"/>
      <c r="J25" s="557"/>
    </row>
    <row r="26" spans="1:10" s="558" customFormat="1" ht="19.5" customHeight="1">
      <c r="A26" s="2922" t="s">
        <v>641</v>
      </c>
      <c r="B26" s="2922"/>
      <c r="C26" s="3707" t="str">
        <f>IF(F13&lt;&gt;资产负债!H30,"实收资本账载数与报表数相差"&amp;DOLLAR(F13-资产负债!H30,2)&amp;"元！","实收资本账载数与报表数相符！")</f>
        <v>实收资本账载数与报表数相符！</v>
      </c>
      <c r="D26" s="3707"/>
      <c r="E26" s="3707"/>
      <c r="F26" s="3707"/>
      <c r="G26" s="3707"/>
      <c r="H26" s="3707"/>
      <c r="I26" s="543"/>
      <c r="J26" s="557"/>
    </row>
    <row r="27" spans="1:10" s="558" customFormat="1" ht="19.5" customHeight="1">
      <c r="A27" s="2922"/>
      <c r="B27" s="2922"/>
      <c r="C27" s="3707" t="str">
        <f>IF(F18&lt;&gt;资产负债!H31,"资本公积账载数与报表数相差"&amp;DOLLAR(F18-资产负债!H31,2)&amp;"元！","资本公积账载数与报表数相符！")</f>
        <v>资本公积账载数与报表数相符！</v>
      </c>
      <c r="D27" s="3707"/>
      <c r="E27" s="3707"/>
      <c r="F27" s="3707"/>
      <c r="G27" s="3707"/>
      <c r="H27" s="3707"/>
      <c r="I27" s="543"/>
      <c r="J27" s="557"/>
    </row>
    <row r="28" spans="1:10" s="558" customFormat="1" ht="19.5" customHeight="1">
      <c r="A28" s="2922"/>
      <c r="B28" s="2922"/>
      <c r="C28" s="3200" t="str">
        <f>IF(F24&lt;&gt;资产负债!H32,"盈余公积账载数与报表数相差"&amp;DOLLAR(F24-资产负债!H32,2)&amp;"元！","盈余公积账载数与报表数相符！")</f>
        <v>盈余公积账载数与报表数相符！</v>
      </c>
      <c r="D28" s="3200"/>
      <c r="E28" s="3200"/>
      <c r="F28" s="3200"/>
      <c r="G28" s="3200"/>
      <c r="H28" s="3200"/>
      <c r="I28" s="543"/>
      <c r="J28" s="557"/>
    </row>
    <row r="29" spans="1:10" s="558" customFormat="1" ht="15" customHeight="1">
      <c r="A29" s="3065" t="s">
        <v>1323</v>
      </c>
      <c r="B29" s="3065"/>
      <c r="C29" s="3205" t="s">
        <v>1407</v>
      </c>
      <c r="D29" s="3205"/>
      <c r="E29" s="3198" t="str">
        <f>IF(OR(F13&lt;&gt;资产负债!H30,F18&lt;&gt;资产负债!H31,F24&lt;&gt;资产负债!H32),"、E","")</f>
        <v/>
      </c>
      <c r="F29" s="3198"/>
      <c r="G29" s="3198"/>
      <c r="H29" s="3198"/>
      <c r="I29" s="543"/>
      <c r="J29" s="557"/>
    </row>
    <row r="30" spans="1:10" s="558" customFormat="1" ht="39" customHeight="1">
      <c r="A30" s="3065"/>
      <c r="B30" s="3065"/>
      <c r="C30" s="3705"/>
      <c r="D30" s="3706"/>
      <c r="E30" s="3706"/>
      <c r="F30" s="3706"/>
      <c r="G30" s="3706"/>
      <c r="H30" s="3706"/>
      <c r="I30" s="543"/>
      <c r="J30" s="557"/>
    </row>
    <row r="31" spans="1:10" s="558" customFormat="1" ht="27.75" customHeight="1">
      <c r="A31" s="3172" t="s">
        <v>574</v>
      </c>
      <c r="B31" s="3172"/>
      <c r="C31" s="3200" t="str">
        <f>IF(OR(G13&lt;&gt;0,G18&lt;&gt;0,G24&lt;&gt;0),"调整后认可！","不存在调整事项，认可！")</f>
        <v>不存在调整事项，认可！</v>
      </c>
      <c r="D31" s="3200"/>
      <c r="E31" s="3200"/>
      <c r="F31" s="3200"/>
      <c r="G31" s="3200"/>
      <c r="H31" s="3200"/>
      <c r="I31" s="543"/>
      <c r="J31" s="557"/>
    </row>
  </sheetData>
  <sheetProtection selectLockedCells="1" selectUnlockedCells="1"/>
  <mergeCells count="22">
    <mergeCell ref="I14:J18"/>
    <mergeCell ref="A19:A24"/>
    <mergeCell ref="A5:H5"/>
    <mergeCell ref="A6:B6"/>
    <mergeCell ref="A7:A13"/>
    <mergeCell ref="A14:A18"/>
    <mergeCell ref="A31:B31"/>
    <mergeCell ref="C31:H31"/>
    <mergeCell ref="B1:H1"/>
    <mergeCell ref="A2:D3"/>
    <mergeCell ref="H3:H4"/>
    <mergeCell ref="A4:D4"/>
    <mergeCell ref="A29:B30"/>
    <mergeCell ref="C29:D29"/>
    <mergeCell ref="E29:H29"/>
    <mergeCell ref="C30:H30"/>
    <mergeCell ref="A26:B28"/>
    <mergeCell ref="C26:H26"/>
    <mergeCell ref="A25:B25"/>
    <mergeCell ref="D25:E25"/>
    <mergeCell ref="C27:H27"/>
    <mergeCell ref="C28:H28"/>
  </mergeCells>
  <phoneticPr fontId="51" type="noConversion"/>
  <dataValidations count="3">
    <dataValidation allowBlank="1" showErrorMessage="1" sqref="F3">
      <formula1>0</formula1>
      <formula2>0</formula2>
    </dataValidation>
    <dataValidation allowBlank="1" showErrorMessage="1" promptTitle="存在调整事项时" prompt="_x000a_选择 “E”" sqref="E29:H29">
      <formula1>0</formula1>
      <formula2>0</formula2>
    </dataValidation>
    <dataValidation type="list" allowBlank="1" showErrorMessage="1" sqref="C25">
      <formula1>"是,否"</formula1>
      <formula2>0</formula2>
    </dataValidation>
  </dataValidations>
  <hyperlinks>
    <hyperlink ref="I7" location="资产负债!A1" display="资产负债表"/>
    <hyperlink ref="I8" location="利润!A1" display="利润及利润分配表"/>
    <hyperlink ref="I9" location="利息!A1" display="利息支出审核表"/>
    <hyperlink ref="I10" location="财务费用!A1" display="财务费用审核表"/>
    <hyperlink ref="I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74"/>
  <sheetViews>
    <sheetView workbookViewId="0">
      <selection sqref="A1:G1"/>
    </sheetView>
  </sheetViews>
  <sheetFormatPr defaultColWidth="9" defaultRowHeight="21.9" customHeight="1"/>
  <cols>
    <col min="1" max="1" width="6.69921875" style="649" customWidth="1"/>
    <col min="2" max="2" width="14.59765625" style="649" customWidth="1"/>
    <col min="3" max="5" width="14" style="649" customWidth="1"/>
    <col min="6" max="6" width="12.5" style="649" customWidth="1"/>
    <col min="7" max="7" width="6.3984375" style="649" customWidth="1"/>
    <col min="8" max="8" width="52.5" style="607" customWidth="1"/>
    <col min="9" max="16384" width="9" style="607"/>
  </cols>
  <sheetData>
    <row r="1" spans="1:9" ht="33.75" customHeight="1">
      <c r="A1" s="2729" t="s">
        <v>378</v>
      </c>
      <c r="B1" s="2729"/>
      <c r="C1" s="2729"/>
      <c r="D1" s="2729"/>
      <c r="E1" s="2729"/>
      <c r="F1" s="2729"/>
      <c r="G1" s="2729"/>
      <c r="H1" s="606"/>
    </row>
    <row r="2" spans="1:9" s="744" customFormat="1" ht="12.75" customHeight="1">
      <c r="A2" s="3712"/>
      <c r="B2" s="3712"/>
      <c r="C2" s="3712"/>
      <c r="D2" s="3712"/>
      <c r="E2" s="3712"/>
      <c r="F2" s="3712"/>
      <c r="G2" s="3712"/>
      <c r="H2" s="743"/>
    </row>
    <row r="3" spans="1:9" s="649" customFormat="1" ht="24.75" customHeight="1">
      <c r="A3" s="3137" t="str">
        <f>"委托单位："&amp;基本情况!B2</f>
        <v>委托单位：0</v>
      </c>
      <c r="B3" s="3137"/>
      <c r="C3" s="3137"/>
      <c r="D3" s="136"/>
      <c r="E3" s="136" t="s">
        <v>1282</v>
      </c>
      <c r="F3" s="136" t="s">
        <v>1053</v>
      </c>
      <c r="G3" s="485" t="s">
        <v>283</v>
      </c>
      <c r="H3" s="648"/>
    </row>
    <row r="4" spans="1:9" s="649" customFormat="1" ht="24.75" customHeight="1">
      <c r="A4" s="3137"/>
      <c r="B4" s="3137"/>
      <c r="C4" s="3137"/>
      <c r="D4" s="158" t="s">
        <v>450</v>
      </c>
      <c r="E4" s="510">
        <f>基本情况!B12</f>
        <v>0</v>
      </c>
      <c r="F4" s="559" t="str">
        <f>TEXT(基本情况!B21,"yyyy-mm-dd")</f>
        <v>2017-03-16</v>
      </c>
      <c r="G4" s="3138" t="str">
        <f>档案索引!D44</f>
        <v>4-11</v>
      </c>
      <c r="H4" s="648"/>
    </row>
    <row r="5" spans="1:9" s="649" customFormat="1" ht="24.75" customHeight="1">
      <c r="A5" s="3139" t="str">
        <f>"会计期间："&amp;基本情况!B7</f>
        <v>会计期间：2016年01月01日至2016年12月31日</v>
      </c>
      <c r="B5" s="3139"/>
      <c r="C5" s="3139"/>
      <c r="D5" s="140" t="s">
        <v>452</v>
      </c>
      <c r="E5" s="513">
        <f>基本情况!B11</f>
        <v>0</v>
      </c>
      <c r="F5" s="513" t="str">
        <f>TEXT(基本情况!B22,"yyyy-mm-dd")</f>
        <v>2017-05-04</v>
      </c>
      <c r="G5" s="3138"/>
      <c r="H5" s="648"/>
    </row>
    <row r="6" spans="1:9" s="649" customFormat="1" ht="7.5" customHeight="1">
      <c r="A6" s="2926"/>
      <c r="B6" s="2926"/>
      <c r="C6" s="2926"/>
      <c r="D6" s="2926"/>
      <c r="E6" s="2926"/>
      <c r="F6" s="2926"/>
      <c r="G6" s="2926"/>
      <c r="H6" s="648"/>
    </row>
    <row r="7" spans="1:9" s="649" customFormat="1" ht="24.75" customHeight="1">
      <c r="A7" s="3051" t="s">
        <v>1135</v>
      </c>
      <c r="B7" s="3051"/>
      <c r="C7" s="582" t="s">
        <v>1181</v>
      </c>
      <c r="D7" s="582" t="s">
        <v>980</v>
      </c>
      <c r="E7" s="582" t="s">
        <v>243</v>
      </c>
      <c r="F7" s="2995" t="s">
        <v>537</v>
      </c>
      <c r="G7" s="2995"/>
      <c r="H7" s="536" t="s">
        <v>395</v>
      </c>
      <c r="I7" s="607"/>
    </row>
    <row r="8" spans="1:9" s="649" customFormat="1" ht="24.75" customHeight="1">
      <c r="A8" s="3711" t="s">
        <v>1136</v>
      </c>
      <c r="B8" s="3711"/>
      <c r="C8" s="901">
        <f>利润!C39</f>
        <v>0</v>
      </c>
      <c r="D8" s="1118"/>
      <c r="E8" s="903">
        <f>C8+D8</f>
        <v>0</v>
      </c>
      <c r="F8" s="3559"/>
      <c r="G8" s="3559"/>
      <c r="H8" s="232" t="s">
        <v>1288</v>
      </c>
      <c r="I8" s="607"/>
    </row>
    <row r="9" spans="1:9" s="649" customFormat="1" ht="24.75" customHeight="1">
      <c r="A9" s="3572" t="s">
        <v>1137</v>
      </c>
      <c r="B9" s="3572"/>
      <c r="C9" s="518">
        <f>利润!G7</f>
        <v>0</v>
      </c>
      <c r="D9" s="1120"/>
      <c r="E9" s="525">
        <f t="shared" ref="E9:E24" si="0">C9+D9</f>
        <v>0</v>
      </c>
      <c r="F9" s="3710"/>
      <c r="G9" s="3710"/>
      <c r="H9" s="232" t="s">
        <v>642</v>
      </c>
      <c r="I9" s="607"/>
    </row>
    <row r="10" spans="1:9" s="649" customFormat="1" ht="24.75" customHeight="1">
      <c r="A10" s="3572" t="s">
        <v>1138</v>
      </c>
      <c r="B10" s="3572"/>
      <c r="C10" s="1120"/>
      <c r="D10" s="1120"/>
      <c r="E10" s="525">
        <f t="shared" si="0"/>
        <v>0</v>
      </c>
      <c r="F10" s="3710"/>
      <c r="G10" s="3710"/>
      <c r="H10" s="648"/>
      <c r="I10" s="607"/>
    </row>
    <row r="11" spans="1:9" s="649" customFormat="1" ht="24.75" customHeight="1">
      <c r="A11" s="3572" t="s">
        <v>1139</v>
      </c>
      <c r="B11" s="3572"/>
      <c r="C11" s="1120"/>
      <c r="D11" s="1120"/>
      <c r="E11" s="525">
        <f t="shared" si="0"/>
        <v>0</v>
      </c>
      <c r="F11" s="3710"/>
      <c r="G11" s="3710"/>
      <c r="H11" s="648"/>
    </row>
    <row r="12" spans="1:9" s="649" customFormat="1" ht="24.75" customHeight="1">
      <c r="A12" s="3572"/>
      <c r="B12" s="3572"/>
      <c r="C12" s="1120"/>
      <c r="D12" s="1120"/>
      <c r="E12" s="525">
        <f t="shared" si="0"/>
        <v>0</v>
      </c>
      <c r="F12" s="3710"/>
      <c r="G12" s="3710"/>
      <c r="H12" s="648"/>
    </row>
    <row r="13" spans="1:9" s="649" customFormat="1" ht="24.75" customHeight="1">
      <c r="A13" s="3572" t="s">
        <v>1140</v>
      </c>
      <c r="B13" s="3572"/>
      <c r="C13" s="525">
        <f>C8+SUM(C9:C12)</f>
        <v>0</v>
      </c>
      <c r="D13" s="525">
        <f>D8+SUM(D9:D12)</f>
        <v>0</v>
      </c>
      <c r="E13" s="525">
        <f t="shared" si="0"/>
        <v>0</v>
      </c>
      <c r="F13" s="3710"/>
      <c r="G13" s="3710"/>
      <c r="H13" s="648"/>
    </row>
    <row r="14" spans="1:9" s="649" customFormat="1" ht="24.75" customHeight="1">
      <c r="A14" s="3572" t="s">
        <v>1141</v>
      </c>
      <c r="B14" s="3572"/>
      <c r="C14" s="1120"/>
      <c r="D14" s="1120"/>
      <c r="E14" s="525">
        <f t="shared" si="0"/>
        <v>0</v>
      </c>
      <c r="F14" s="3710"/>
      <c r="G14" s="3710"/>
      <c r="H14" s="648"/>
    </row>
    <row r="15" spans="1:9" s="649" customFormat="1" ht="24.75" customHeight="1">
      <c r="A15" s="3572" t="s">
        <v>1142</v>
      </c>
      <c r="B15" s="3572"/>
      <c r="C15" s="1120"/>
      <c r="D15" s="1120"/>
      <c r="E15" s="525">
        <f t="shared" si="0"/>
        <v>0</v>
      </c>
      <c r="F15" s="3710"/>
      <c r="G15" s="3710"/>
      <c r="H15" s="648"/>
    </row>
    <row r="16" spans="1:9" s="649" customFormat="1" ht="24.75" customHeight="1">
      <c r="A16" s="3572"/>
      <c r="B16" s="3572"/>
      <c r="C16" s="1120"/>
      <c r="D16" s="1120"/>
      <c r="E16" s="525">
        <f t="shared" si="0"/>
        <v>0</v>
      </c>
      <c r="F16" s="3710"/>
      <c r="G16" s="3710"/>
      <c r="H16" s="648"/>
    </row>
    <row r="17" spans="1:8" s="649" customFormat="1" ht="24.75" customHeight="1">
      <c r="A17" s="3572"/>
      <c r="B17" s="3572"/>
      <c r="C17" s="1120"/>
      <c r="D17" s="1120"/>
      <c r="E17" s="525">
        <f t="shared" si="0"/>
        <v>0</v>
      </c>
      <c r="F17" s="3710"/>
      <c r="G17" s="3710"/>
      <c r="H17" s="648"/>
    </row>
    <row r="18" spans="1:8" s="649" customFormat="1" ht="24.75" customHeight="1">
      <c r="A18" s="3572"/>
      <c r="B18" s="3572"/>
      <c r="C18" s="1120"/>
      <c r="D18" s="1120"/>
      <c r="E18" s="525">
        <f t="shared" si="0"/>
        <v>0</v>
      </c>
      <c r="F18" s="3710"/>
      <c r="G18" s="3710"/>
      <c r="H18" s="648"/>
    </row>
    <row r="19" spans="1:8" s="649" customFormat="1" ht="24.75" customHeight="1">
      <c r="A19" s="3572" t="s">
        <v>1143</v>
      </c>
      <c r="B19" s="3572"/>
      <c r="C19" s="525">
        <f>C13-SUM(C14:C18)</f>
        <v>0</v>
      </c>
      <c r="D19" s="525">
        <f>D13-SUM(D14:D18)</f>
        <v>0</v>
      </c>
      <c r="E19" s="525">
        <f t="shared" si="0"/>
        <v>0</v>
      </c>
      <c r="F19" s="3710"/>
      <c r="G19" s="3710"/>
      <c r="H19" s="648"/>
    </row>
    <row r="20" spans="1:8" s="649" customFormat="1" ht="24.75" customHeight="1">
      <c r="A20" s="3572" t="s">
        <v>1144</v>
      </c>
      <c r="B20" s="3572"/>
      <c r="C20" s="1120"/>
      <c r="D20" s="1120"/>
      <c r="E20" s="525">
        <f t="shared" si="0"/>
        <v>0</v>
      </c>
      <c r="F20" s="3710"/>
      <c r="G20" s="3710"/>
      <c r="H20" s="648"/>
    </row>
    <row r="21" spans="1:8" s="649" customFormat="1" ht="24.75" customHeight="1">
      <c r="A21" s="3572" t="s">
        <v>1145</v>
      </c>
      <c r="B21" s="3572"/>
      <c r="C21" s="1120"/>
      <c r="D21" s="1120"/>
      <c r="E21" s="525">
        <f t="shared" si="0"/>
        <v>0</v>
      </c>
      <c r="F21" s="3710"/>
      <c r="G21" s="3710"/>
      <c r="H21" s="648"/>
    </row>
    <row r="22" spans="1:8" s="649" customFormat="1" ht="24.75" customHeight="1">
      <c r="A22" s="3572"/>
      <c r="B22" s="3572"/>
      <c r="C22" s="1120"/>
      <c r="D22" s="1120"/>
      <c r="E22" s="525">
        <f t="shared" si="0"/>
        <v>0</v>
      </c>
      <c r="F22" s="3710"/>
      <c r="G22" s="3710"/>
      <c r="H22" s="648"/>
    </row>
    <row r="23" spans="1:8" s="649" customFormat="1" ht="24.75" customHeight="1">
      <c r="A23" s="3572"/>
      <c r="B23" s="3572"/>
      <c r="C23" s="1120"/>
      <c r="D23" s="1120"/>
      <c r="E23" s="525">
        <f t="shared" si="0"/>
        <v>0</v>
      </c>
      <c r="F23" s="3710"/>
      <c r="G23" s="3710"/>
      <c r="H23" s="648"/>
    </row>
    <row r="24" spans="1:8" s="649" customFormat="1" ht="24.75" customHeight="1">
      <c r="A24" s="3572" t="s">
        <v>1146</v>
      </c>
      <c r="B24" s="3572"/>
      <c r="C24" s="823">
        <f>C19-SUM(C20:C23)</f>
        <v>0</v>
      </c>
      <c r="D24" s="823">
        <f>D19-SUM(D20:D23)</f>
        <v>0</v>
      </c>
      <c r="E24" s="823">
        <f t="shared" si="0"/>
        <v>0</v>
      </c>
      <c r="F24" s="3709"/>
      <c r="G24" s="3709"/>
      <c r="H24" s="648"/>
    </row>
    <row r="25" spans="1:8" s="744" customFormat="1" ht="24.75" customHeight="1">
      <c r="A25" s="3051" t="s">
        <v>641</v>
      </c>
      <c r="B25" s="3051"/>
      <c r="C25" s="3270" t="str">
        <f>IF(C24&lt;&gt;资产负债!H33,"期末未分配利润账载数与报表数相差"&amp;DOLLAR(C24-资产负债!H33,2)&amp;"元！","账载数与报表数相符！")</f>
        <v>账载数与报表数相符！</v>
      </c>
      <c r="D25" s="3270"/>
      <c r="E25" s="3270"/>
      <c r="F25" s="3270"/>
      <c r="G25" s="3270"/>
      <c r="H25" s="743"/>
    </row>
    <row r="26" spans="1:8" s="744" customFormat="1" ht="15" customHeight="1">
      <c r="A26" s="3065" t="s">
        <v>1323</v>
      </c>
      <c r="B26" s="3065"/>
      <c r="C26" s="3148" t="s">
        <v>1407</v>
      </c>
      <c r="D26" s="3148"/>
      <c r="E26" s="3102" t="str">
        <f>IF(OR(D13&lt;&gt;0,D19&lt;&gt;0,D24&lt;&gt;0),"、E","")</f>
        <v/>
      </c>
      <c r="F26" s="3102"/>
      <c r="G26" s="3102"/>
      <c r="H26" s="743"/>
    </row>
    <row r="27" spans="1:8" s="744" customFormat="1" ht="65.25" customHeight="1">
      <c r="A27" s="3065"/>
      <c r="B27" s="3065"/>
      <c r="C27" s="3649"/>
      <c r="D27" s="3649"/>
      <c r="E27" s="3649"/>
      <c r="F27" s="3649"/>
      <c r="G27" s="3649"/>
      <c r="H27" s="743"/>
    </row>
    <row r="28" spans="1:8" s="744" customFormat="1" ht="24.75" customHeight="1">
      <c r="A28" s="3172" t="s">
        <v>574</v>
      </c>
      <c r="B28" s="3172"/>
      <c r="C28" s="3141" t="str">
        <f>IF(OR(D13=0,D19=0,D24=0),"不存在调整事项，认可！","调整后认可！")</f>
        <v>不存在调整事项，认可！</v>
      </c>
      <c r="D28" s="3141"/>
      <c r="E28" s="3141"/>
      <c r="F28" s="3141"/>
      <c r="G28" s="3141"/>
      <c r="H28" s="743"/>
    </row>
    <row r="29" spans="1:8" s="744" customFormat="1" ht="20.100000000000001" customHeight="1"/>
    <row r="30" spans="1:8" s="744" customFormat="1" ht="20.100000000000001" customHeight="1"/>
    <row r="31" spans="1:8" s="744" customFormat="1" ht="20.100000000000001" customHeight="1"/>
    <row r="32" spans="1:8" s="744" customFormat="1" ht="20.100000000000001" customHeight="1"/>
    <row r="33" s="744" customFormat="1" ht="20.100000000000001" customHeight="1"/>
    <row r="34" s="744" customFormat="1" ht="20.100000000000001" customHeight="1"/>
    <row r="35" s="744" customFormat="1" ht="20.100000000000001" customHeight="1"/>
    <row r="36" s="744" customFormat="1" ht="20.100000000000001" customHeight="1"/>
    <row r="37" s="744" customFormat="1" ht="20.100000000000001" customHeight="1"/>
    <row r="38" s="744" customFormat="1" ht="20.100000000000001" customHeight="1"/>
    <row r="39" s="744" customFormat="1" ht="20.100000000000001" customHeight="1"/>
    <row r="40" s="744" customFormat="1" ht="20.100000000000001" customHeight="1"/>
    <row r="41" s="744" customFormat="1" ht="20.100000000000001" customHeight="1"/>
    <row r="42" s="744" customFormat="1" ht="20.100000000000001" customHeight="1"/>
    <row r="43" s="744" customFormat="1" ht="20.100000000000001" customHeight="1"/>
    <row r="44" s="744" customFormat="1" ht="20.100000000000001" customHeight="1"/>
    <row r="45" s="744" customFormat="1" ht="20.100000000000001" customHeight="1"/>
    <row r="46" s="744" customFormat="1" ht="20.100000000000001" customHeight="1"/>
    <row r="47" s="744" customFormat="1" ht="20.100000000000001" customHeight="1"/>
    <row r="48" s="744" customFormat="1" ht="20.100000000000001" customHeight="1"/>
    <row r="49" s="744" customFormat="1" ht="20.100000000000001" customHeight="1"/>
    <row r="50" s="744" customFormat="1" ht="20.100000000000001" customHeight="1"/>
    <row r="51" s="744" customFormat="1" ht="20.100000000000001" customHeight="1"/>
    <row r="52" s="744" customFormat="1" ht="20.100000000000001" customHeight="1"/>
    <row r="53" s="744" customFormat="1" ht="20.100000000000001" customHeight="1"/>
    <row r="54" s="744" customFormat="1" ht="20.100000000000001" customHeight="1"/>
    <row r="55" s="744" customFormat="1" ht="20.100000000000001" customHeight="1"/>
    <row r="56" s="744" customFormat="1" ht="20.100000000000001" customHeight="1"/>
    <row r="57" s="744" customFormat="1" ht="20.100000000000001" customHeight="1"/>
    <row r="58" s="744" customFormat="1" ht="20.100000000000001" customHeight="1"/>
    <row r="59" s="744" customFormat="1" ht="20.100000000000001" customHeight="1"/>
    <row r="60" s="744" customFormat="1" ht="20.100000000000001" customHeight="1"/>
    <row r="61" s="744" customFormat="1" ht="20.100000000000001" customHeight="1"/>
    <row r="62" s="744" customFormat="1" ht="20.100000000000001" customHeight="1"/>
    <row r="63" s="744" customFormat="1" ht="20.100000000000001" customHeight="1"/>
    <row r="64" s="744" customFormat="1" ht="20.100000000000001" customHeight="1"/>
    <row r="65" spans="1:4" s="744" customFormat="1" ht="20.100000000000001" customHeight="1"/>
    <row r="66" spans="1:4" s="744" customFormat="1" ht="20.100000000000001" customHeight="1"/>
    <row r="67" spans="1:4" s="744" customFormat="1" ht="20.100000000000001" customHeight="1"/>
    <row r="68" spans="1:4" s="744" customFormat="1" ht="20.100000000000001" customHeight="1"/>
    <row r="69" spans="1:4" s="744" customFormat="1" ht="20.100000000000001" customHeight="1"/>
    <row r="70" spans="1:4" s="744" customFormat="1" ht="20.100000000000001" customHeight="1"/>
    <row r="71" spans="1:4" s="744" customFormat="1" ht="20.100000000000001" customHeight="1"/>
    <row r="72" spans="1:4" s="744" customFormat="1" ht="20.100000000000001" customHeight="1"/>
    <row r="73" spans="1:4" s="744" customFormat="1" ht="20.100000000000001" customHeight="1"/>
    <row r="74" spans="1:4" ht="21.9" customHeight="1">
      <c r="A74" s="744"/>
      <c r="B74" s="744"/>
      <c r="C74" s="744"/>
      <c r="D74" s="744"/>
    </row>
  </sheetData>
  <sheetProtection selectLockedCells="1" selectUnlockedCells="1"/>
  <mergeCells count="50">
    <mergeCell ref="A12:B12"/>
    <mergeCell ref="F12:G12"/>
    <mergeCell ref="A10:B10"/>
    <mergeCell ref="F10:G10"/>
    <mergeCell ref="A11:B11"/>
    <mergeCell ref="F11:G11"/>
    <mergeCell ref="A6:G6"/>
    <mergeCell ref="A1:G1"/>
    <mergeCell ref="A2:G2"/>
    <mergeCell ref="A3:C4"/>
    <mergeCell ref="G4:G5"/>
    <mergeCell ref="A5:C5"/>
    <mergeCell ref="A7:B7"/>
    <mergeCell ref="F7:G7"/>
    <mergeCell ref="A9:B9"/>
    <mergeCell ref="F9:G9"/>
    <mergeCell ref="A8:B8"/>
    <mergeCell ref="F8:G8"/>
    <mergeCell ref="A16:B16"/>
    <mergeCell ref="F16:G16"/>
    <mergeCell ref="A15:B15"/>
    <mergeCell ref="F15:G15"/>
    <mergeCell ref="A13:B13"/>
    <mergeCell ref="F13:G13"/>
    <mergeCell ref="A14:B14"/>
    <mergeCell ref="F14:G14"/>
    <mergeCell ref="A24:B24"/>
    <mergeCell ref="F24:G24"/>
    <mergeCell ref="A17:B17"/>
    <mergeCell ref="F17:G17"/>
    <mergeCell ref="A18:B18"/>
    <mergeCell ref="F18:G18"/>
    <mergeCell ref="A19:B19"/>
    <mergeCell ref="F19:G19"/>
    <mergeCell ref="A22:B22"/>
    <mergeCell ref="F22:G22"/>
    <mergeCell ref="A23:B23"/>
    <mergeCell ref="F23:G23"/>
    <mergeCell ref="A20:B20"/>
    <mergeCell ref="F20:G20"/>
    <mergeCell ref="A21:B21"/>
    <mergeCell ref="F21:G21"/>
    <mergeCell ref="A28:B28"/>
    <mergeCell ref="C28:G28"/>
    <mergeCell ref="A25:B25"/>
    <mergeCell ref="C25:G25"/>
    <mergeCell ref="A26:B27"/>
    <mergeCell ref="C26:D26"/>
    <mergeCell ref="E26:G26"/>
    <mergeCell ref="C27:G27"/>
  </mergeCells>
  <phoneticPr fontId="51" type="noConversion"/>
  <dataValidations count="2">
    <dataValidation allowBlank="1" showErrorMessage="1" sqref="E4">
      <formula1>0</formula1>
      <formula2>0</formula2>
    </dataValidation>
    <dataValidation allowBlank="1" showErrorMessage="1" promptTitle="存在调整事项时" prompt="_x000a_选择 “E”" sqref="E26:G26">
      <formula1>0</formula1>
      <formula2>0</formula2>
    </dataValidation>
  </dataValidations>
  <hyperlinks>
    <hyperlink ref="H8" location="资产负债!H30" display="资产负债表"/>
    <hyperlink ref="H9" location="利润!F2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N28"/>
  <sheetViews>
    <sheetView zoomScaleNormal="100" workbookViewId="0">
      <selection activeCell="M2" sqref="M2"/>
    </sheetView>
  </sheetViews>
  <sheetFormatPr defaultColWidth="9" defaultRowHeight="15.6"/>
  <cols>
    <col min="1" max="1" width="12.19921875" style="2318" customWidth="1"/>
    <col min="2" max="2" width="6.69921875" style="2318" customWidth="1"/>
    <col min="3" max="4" width="9" style="2318"/>
    <col min="5" max="5" width="4" style="2318" customWidth="1"/>
    <col min="6" max="6" width="10.19921875" style="2318" customWidth="1"/>
    <col min="7" max="7" width="9" style="2318"/>
    <col min="8" max="8" width="16.8984375" style="2318" customWidth="1"/>
    <col min="9" max="9" width="4.19921875" style="2318" customWidth="1"/>
    <col min="10" max="16384" width="9" style="2318"/>
  </cols>
  <sheetData>
    <row r="1" spans="1:14" ht="42.75" customHeight="1">
      <c r="A1" s="2317"/>
      <c r="B1" s="2317"/>
      <c r="C1" s="2317"/>
      <c r="D1" s="2317"/>
      <c r="E1" s="2317"/>
      <c r="F1" s="2317"/>
      <c r="G1" s="2317"/>
      <c r="H1" s="2317"/>
      <c r="I1" s="2317"/>
      <c r="J1" s="2317"/>
      <c r="K1" s="2317"/>
      <c r="L1" s="2317"/>
      <c r="M1" s="2317"/>
      <c r="N1" s="2317"/>
    </row>
    <row r="2" spans="1:14" ht="69.75" customHeight="1">
      <c r="A2" s="3713">
        <f>基本情况!B2</f>
        <v>0</v>
      </c>
      <c r="B2" s="3713"/>
      <c r="C2" s="3713"/>
      <c r="D2" s="3713"/>
      <c r="E2" s="3713"/>
      <c r="F2" s="3713"/>
      <c r="G2" s="3713"/>
      <c r="H2" s="3713"/>
      <c r="I2" s="3713"/>
      <c r="J2" s="2317"/>
      <c r="K2" s="2317"/>
      <c r="L2" s="2317"/>
      <c r="M2" s="2317"/>
      <c r="N2" s="2317"/>
    </row>
    <row r="3" spans="1:14" ht="20.399999999999999">
      <c r="A3" s="2319"/>
      <c r="B3" s="2319"/>
      <c r="C3" s="2319"/>
      <c r="D3" s="2319"/>
      <c r="E3" s="2319"/>
      <c r="F3" s="2319"/>
      <c r="G3" s="2319"/>
      <c r="H3" s="2319"/>
      <c r="I3" s="2319"/>
      <c r="J3" s="2317"/>
      <c r="K3" s="2317"/>
      <c r="L3" s="2317"/>
      <c r="M3" s="2317"/>
      <c r="N3" s="2317"/>
    </row>
    <row r="4" spans="1:14" ht="22.2">
      <c r="A4" s="2797" t="str">
        <f>基本情况!B4&amp;"年度 企业所得税汇算清缴 审核报告"</f>
        <v>2016年度 企业所得税汇算清缴 审核报告</v>
      </c>
      <c r="B4" s="2797"/>
      <c r="C4" s="2797"/>
      <c r="D4" s="2797"/>
      <c r="E4" s="2797"/>
      <c r="F4" s="2797"/>
      <c r="G4" s="2797"/>
      <c r="H4" s="2797"/>
      <c r="I4" s="2797"/>
      <c r="J4" s="2317"/>
      <c r="K4" s="2317"/>
      <c r="L4" s="2317"/>
      <c r="M4" s="2317"/>
      <c r="N4" s="2317"/>
    </row>
    <row r="5" spans="1:14" ht="22.2">
      <c r="A5" s="2320"/>
      <c r="B5" s="2320"/>
      <c r="C5" s="2320"/>
      <c r="D5" s="2320"/>
      <c r="E5" s="2320"/>
      <c r="F5" s="2320"/>
      <c r="G5" s="2320"/>
      <c r="H5" s="2320"/>
      <c r="I5" s="2320"/>
      <c r="J5" s="2317"/>
      <c r="K5" s="2317"/>
      <c r="L5" s="2317"/>
      <c r="M5" s="2317"/>
      <c r="N5" s="2317"/>
    </row>
    <row r="6" spans="1:14" ht="37.950000000000003" customHeight="1">
      <c r="A6" s="2321"/>
      <c r="B6" s="2321"/>
      <c r="C6" s="2317"/>
      <c r="D6" s="2317"/>
      <c r="E6" s="2317"/>
      <c r="F6" s="2317"/>
      <c r="G6" s="2317"/>
      <c r="H6" s="2317"/>
      <c r="I6" s="2317"/>
      <c r="J6" s="2317"/>
      <c r="K6" s="2317"/>
      <c r="L6" s="2317"/>
      <c r="M6" s="2317"/>
      <c r="N6" s="2317"/>
    </row>
    <row r="7" spans="1:14" ht="28.2">
      <c r="A7" s="2321"/>
      <c r="B7" s="2321"/>
      <c r="C7" s="3715" t="s">
        <v>10048</v>
      </c>
      <c r="D7" s="3715"/>
      <c r="E7" s="2620"/>
      <c r="F7" s="2317">
        <f>基本情况!B18</f>
        <v>0</v>
      </c>
      <c r="G7" s="2317"/>
      <c r="H7" s="2317"/>
      <c r="I7" s="2317"/>
      <c r="J7" s="2317"/>
      <c r="K7" s="2317"/>
      <c r="L7" s="2317"/>
      <c r="M7" s="2317"/>
      <c r="N7" s="2317"/>
    </row>
    <row r="8" spans="1:14">
      <c r="A8"/>
      <c r="B8"/>
      <c r="C8"/>
      <c r="D8"/>
      <c r="E8"/>
      <c r="F8"/>
      <c r="G8"/>
      <c r="H8"/>
      <c r="I8"/>
      <c r="J8" s="2317"/>
      <c r="K8" s="2317"/>
      <c r="L8" s="2317"/>
      <c r="M8" s="2317"/>
      <c r="N8" s="2317"/>
    </row>
    <row r="9" spans="1:14" ht="23.4" customHeight="1">
      <c r="A9"/>
      <c r="B9"/>
      <c r="C9"/>
      <c r="D9"/>
      <c r="E9"/>
      <c r="F9"/>
      <c r="G9"/>
      <c r="H9"/>
      <c r="I9"/>
      <c r="J9" s="2317"/>
      <c r="K9" s="2317"/>
      <c r="L9" s="2317"/>
      <c r="M9" s="2317"/>
      <c r="N9" s="2317"/>
    </row>
    <row r="10" spans="1:14" ht="30.6" customHeight="1">
      <c r="A10"/>
      <c r="B10"/>
      <c r="C10" s="3714" t="s">
        <v>10056</v>
      </c>
      <c r="D10" s="3714"/>
      <c r="E10" s="2621"/>
      <c r="F10" s="2613">
        <f>基本情况!B2</f>
        <v>0</v>
      </c>
      <c r="G10"/>
      <c r="H10"/>
      <c r="I10"/>
      <c r="J10" s="2317"/>
      <c r="K10" s="2317"/>
      <c r="L10" s="2317"/>
      <c r="M10" s="2317"/>
      <c r="N10" s="2317"/>
    </row>
    <row r="11" spans="1:14" ht="30.6" customHeight="1">
      <c r="A11"/>
      <c r="B11"/>
      <c r="C11" s="3714" t="s">
        <v>10049</v>
      </c>
      <c r="D11" s="3714"/>
      <c r="E11" s="2621"/>
      <c r="F11" s="2614" t="str">
        <f>基本情况!B48</f>
        <v>0</v>
      </c>
      <c r="G11"/>
      <c r="H11"/>
      <c r="I11"/>
      <c r="J11" s="2317"/>
      <c r="K11" s="2317"/>
      <c r="L11" s="2317"/>
      <c r="M11" s="2317"/>
      <c r="N11" s="2317"/>
    </row>
    <row r="12" spans="1:14" ht="30.6" customHeight="1">
      <c r="A12"/>
      <c r="B12"/>
      <c r="C12" s="3714" t="s">
        <v>10050</v>
      </c>
      <c r="D12" s="3714"/>
      <c r="E12" s="2621"/>
      <c r="F12" s="2615" t="str">
        <f>基本情况!B8</f>
        <v>中汇百邦（厦门）税务师事务所有限公司</v>
      </c>
      <c r="G12"/>
      <c r="H12"/>
      <c r="I12"/>
      <c r="J12" s="2317"/>
      <c r="K12" s="2317"/>
      <c r="L12" s="2317"/>
      <c r="M12" s="2317"/>
      <c r="N12" s="2317"/>
    </row>
    <row r="13" spans="1:14" ht="38.4" customHeight="1">
      <c r="A13"/>
      <c r="B13"/>
      <c r="C13"/>
      <c r="D13"/>
      <c r="E13"/>
      <c r="F13"/>
      <c r="G13"/>
      <c r="H13"/>
      <c r="I13"/>
      <c r="J13" s="2317"/>
      <c r="K13" s="2317"/>
      <c r="L13" s="2317"/>
      <c r="M13" s="2317"/>
      <c r="N13" s="2317"/>
    </row>
    <row r="14" spans="1:14" ht="30" customHeight="1">
      <c r="A14"/>
      <c r="B14"/>
      <c r="C14" s="3715" t="s">
        <v>10057</v>
      </c>
      <c r="D14" s="3715"/>
      <c r="E14" s="2620"/>
      <c r="F14" t="str">
        <f>INDEX(首页!$B:$B,MATCH($F$12,首页!$B:$B,0)+10)</f>
        <v>16023</v>
      </c>
      <c r="G14"/>
      <c r="H14"/>
      <c r="I14"/>
      <c r="J14" s="2317"/>
      <c r="K14" s="2317"/>
      <c r="L14" s="2317"/>
      <c r="M14" s="2317"/>
      <c r="N14" s="2317"/>
    </row>
    <row r="15" spans="1:14" ht="30" customHeight="1">
      <c r="A15"/>
      <c r="B15"/>
      <c r="C15" s="3715" t="s">
        <v>10058</v>
      </c>
      <c r="D15" s="3715"/>
      <c r="E15" s="2620"/>
      <c r="F15">
        <f>基本情况!B11</f>
        <v>0</v>
      </c>
      <c r="G15"/>
      <c r="H15"/>
      <c r="I15"/>
      <c r="J15" s="2317"/>
      <c r="K15" s="2317"/>
      <c r="L15" s="2317"/>
      <c r="M15" s="2317"/>
      <c r="N15" s="2317"/>
    </row>
    <row r="16" spans="1:14" ht="30" customHeight="1">
      <c r="A16"/>
      <c r="B16"/>
      <c r="C16" s="3715" t="s">
        <v>10051</v>
      </c>
      <c r="D16" s="3715"/>
      <c r="E16" s="2620"/>
      <c r="F16" s="1316" t="str">
        <f>基本情况!B20</f>
        <v>2017年5月4日</v>
      </c>
      <c r="G16"/>
      <c r="H16"/>
      <c r="I16"/>
      <c r="J16" s="2317"/>
      <c r="K16" s="2317"/>
      <c r="L16" s="2317"/>
      <c r="M16" s="2317"/>
      <c r="N16" s="2317"/>
    </row>
    <row r="17" spans="1:14" ht="34.950000000000003" customHeight="1">
      <c r="A17"/>
      <c r="B17"/>
      <c r="C17"/>
      <c r="D17"/>
      <c r="E17"/>
      <c r="F17"/>
      <c r="G17"/>
      <c r="H17"/>
      <c r="I17"/>
      <c r="J17" s="2317"/>
      <c r="K17" s="2317"/>
      <c r="L17" s="2317"/>
      <c r="M17" s="2317"/>
      <c r="N17" s="2317"/>
    </row>
    <row r="18" spans="1:14" ht="32.4" customHeight="1">
      <c r="A18" s="2322"/>
      <c r="B18" s="2322"/>
      <c r="C18" s="2323"/>
      <c r="D18" s="2323"/>
      <c r="E18" s="2323"/>
      <c r="F18" s="2323"/>
      <c r="G18" s="2323"/>
      <c r="H18" s="2323"/>
      <c r="I18" s="2323"/>
      <c r="J18" s="2317"/>
      <c r="K18" s="2317"/>
      <c r="L18" s="2317"/>
      <c r="M18" s="2317"/>
      <c r="N18" s="2317"/>
    </row>
    <row r="19" spans="1:14" ht="30.6" customHeight="1">
      <c r="A19" s="2322"/>
      <c r="B19" s="3716" t="s">
        <v>10052</v>
      </c>
      <c r="C19" s="3716"/>
      <c r="D19" s="2618" t="str">
        <f>INDEX(首页!$B:$B,MATCH($F$12,首页!$B:$B,0)+16)</f>
        <v>0592-5881050</v>
      </c>
      <c r="E19" s="2618"/>
      <c r="F19" s="2619"/>
      <c r="G19" s="2619" t="s">
        <v>10078</v>
      </c>
      <c r="H19" s="2619" t="str">
        <f>INDEX(首页!$B:$B,MATCH($F$12,首页!$B:$B,0)+15)</f>
        <v>0592-5881033</v>
      </c>
      <c r="I19" s="2323"/>
      <c r="J19" s="2317"/>
      <c r="K19" s="2317"/>
      <c r="L19" s="2317"/>
      <c r="M19" s="2317"/>
      <c r="N19" s="2317"/>
    </row>
    <row r="20" spans="1:14" ht="30.6" customHeight="1">
      <c r="A20" s="2322"/>
      <c r="B20" s="3716" t="s">
        <v>10053</v>
      </c>
      <c r="C20" s="3716"/>
      <c r="D20" s="2618" t="str">
        <f>INDEX(首页!$B:$B,MATCH($F$12,首页!$B:$B,0)+17)</f>
        <v>厦门市思明区湖滨南路388号国贸大厦41楼B、C单元</v>
      </c>
      <c r="E20" s="2618"/>
      <c r="F20" s="2619"/>
      <c r="G20" s="2619"/>
      <c r="H20" s="2619"/>
      <c r="I20" s="2323"/>
      <c r="J20" s="2317"/>
      <c r="K20" s="2317"/>
      <c r="L20" s="2317"/>
      <c r="M20" s="2317"/>
      <c r="N20" s="2317"/>
    </row>
    <row r="21" spans="1:14" ht="30.6" customHeight="1">
      <c r="A21" s="2322"/>
      <c r="B21" s="3716" t="s">
        <v>10054</v>
      </c>
      <c r="C21" s="3716"/>
      <c r="D21" s="2618" t="str">
        <f>INDEX(首页!$B:$B,MATCH($F$12,首页!$B:$B,0)+13)</f>
        <v>xm-baibang@163.com</v>
      </c>
      <c r="E21" s="2618"/>
      <c r="F21" s="2619"/>
      <c r="G21" s="2619"/>
      <c r="H21" s="2619"/>
      <c r="I21" s="2323"/>
      <c r="J21" s="2317"/>
      <c r="K21" s="2317"/>
      <c r="L21" s="2317"/>
      <c r="M21" s="2317"/>
      <c r="N21" s="2317"/>
    </row>
    <row r="22" spans="1:14" ht="30.6" customHeight="1">
      <c r="A22" s="2322"/>
      <c r="B22" s="3716" t="s">
        <v>10055</v>
      </c>
      <c r="C22" s="3716"/>
      <c r="D22" s="2618" t="str">
        <f>INDEX(首页!$B:$B,MATCH($F$12,首页!$B:$B,0)+14)</f>
        <v>www.baibangcpa.com</v>
      </c>
      <c r="E22" s="2618"/>
      <c r="F22" s="2619"/>
      <c r="G22" s="2619"/>
      <c r="H22" s="2619"/>
      <c r="I22" s="2323"/>
      <c r="J22" s="2317"/>
      <c r="K22" s="2317"/>
      <c r="L22" s="2317"/>
      <c r="M22" s="2317"/>
      <c r="N22" s="2317"/>
    </row>
    <row r="23" spans="1:14">
      <c r="A23"/>
      <c r="B23"/>
      <c r="C23"/>
      <c r="D23"/>
      <c r="E23"/>
      <c r="F23"/>
      <c r="G23"/>
      <c r="H23"/>
      <c r="I23"/>
      <c r="J23" s="2317"/>
      <c r="K23" s="2317"/>
      <c r="L23" s="2317"/>
      <c r="M23" s="2317"/>
      <c r="N23" s="2317"/>
    </row>
    <row r="24" spans="1:14" ht="18" customHeight="1">
      <c r="A24"/>
      <c r="B24"/>
      <c r="C24"/>
      <c r="D24"/>
      <c r="E24"/>
      <c r="F24"/>
      <c r="G24"/>
      <c r="H24"/>
      <c r="I24"/>
      <c r="J24" s="2317"/>
      <c r="K24" s="2317"/>
      <c r="L24" s="2317"/>
      <c r="M24" s="2317"/>
      <c r="N24" s="2317"/>
    </row>
    <row r="25" spans="1:14" ht="18" customHeight="1">
      <c r="A25"/>
      <c r="B25"/>
      <c r="C25"/>
      <c r="D25"/>
      <c r="E25"/>
      <c r="F25"/>
      <c r="G25"/>
      <c r="H25"/>
      <c r="I25"/>
      <c r="J25" s="2317"/>
      <c r="K25" s="2317"/>
      <c r="L25" s="2317"/>
      <c r="M25" s="2317"/>
      <c r="N25" s="2317"/>
    </row>
    <row r="26" spans="1:14" ht="18" customHeight="1">
      <c r="A26"/>
      <c r="B26"/>
      <c r="C26"/>
      <c r="D26"/>
      <c r="E26"/>
      <c r="F26"/>
      <c r="G26"/>
      <c r="H26"/>
      <c r="I26"/>
      <c r="J26" s="2317"/>
      <c r="K26" s="2317"/>
      <c r="L26" s="2317"/>
      <c r="M26" s="2317"/>
      <c r="N26" s="2317"/>
    </row>
    <row r="27" spans="1:14" ht="18" customHeight="1">
      <c r="A27"/>
      <c r="B27"/>
      <c r="C27"/>
      <c r="D27"/>
      <c r="E27"/>
      <c r="F27"/>
      <c r="G27"/>
      <c r="H27"/>
      <c r="I27"/>
      <c r="J27" s="2317"/>
      <c r="K27" s="2317"/>
      <c r="L27" s="2317"/>
      <c r="M27" s="2317"/>
      <c r="N27" s="2317"/>
    </row>
    <row r="28" spans="1:14">
      <c r="A28"/>
      <c r="B28"/>
      <c r="C28"/>
      <c r="D28"/>
      <c r="E28"/>
      <c r="F28"/>
      <c r="G28"/>
      <c r="H28"/>
      <c r="I28"/>
      <c r="J28" s="2317"/>
      <c r="K28" s="2317"/>
      <c r="L28" s="2317"/>
      <c r="M28" s="2317"/>
      <c r="N28" s="2317"/>
    </row>
  </sheetData>
  <sheetProtection selectLockedCells="1" selectUnlockedCells="1"/>
  <mergeCells count="13">
    <mergeCell ref="B21:C21"/>
    <mergeCell ref="B22:C22"/>
    <mergeCell ref="C14:D14"/>
    <mergeCell ref="C15:D15"/>
    <mergeCell ref="C16:D16"/>
    <mergeCell ref="B19:C19"/>
    <mergeCell ref="B20:C20"/>
    <mergeCell ref="A2:I2"/>
    <mergeCell ref="A4:I4"/>
    <mergeCell ref="C10:D10"/>
    <mergeCell ref="C11:D11"/>
    <mergeCell ref="C12:D12"/>
    <mergeCell ref="C7:D7"/>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pageSetUpPr fitToPage="1"/>
  </sheetPr>
  <dimension ref="A1:K126"/>
  <sheetViews>
    <sheetView topLeftCell="A13" zoomScaleNormal="100" workbookViewId="0">
      <selection activeCell="M14" sqref="M14"/>
    </sheetView>
  </sheetViews>
  <sheetFormatPr defaultColWidth="9" defaultRowHeight="15.6"/>
  <cols>
    <col min="1" max="1" width="6.19921875" style="2325" customWidth="1"/>
    <col min="2" max="2" width="12.3984375" style="2325" customWidth="1"/>
    <col min="3" max="3" width="12.19921875" style="2325" customWidth="1"/>
    <col min="4" max="4" width="6.19921875" style="2325" customWidth="1"/>
    <col min="5" max="5" width="4.3984375" style="2325" customWidth="1"/>
    <col min="6" max="6" width="10.19921875" style="2325" customWidth="1"/>
    <col min="7" max="7" width="13" style="2325" customWidth="1"/>
    <col min="8" max="8" width="4.3984375" style="2325" customWidth="1"/>
    <col min="9" max="9" width="9.19921875" style="2325" customWidth="1"/>
    <col min="10" max="10" width="7.3984375" style="2325" customWidth="1"/>
    <col min="11" max="11" width="24" style="2325" customWidth="1"/>
    <col min="12" max="16384" width="9" style="2325"/>
  </cols>
  <sheetData>
    <row r="1" spans="1:11" ht="18" hidden="1" customHeight="1">
      <c r="A1" s="2324"/>
      <c r="B1" s="2324"/>
      <c r="C1" s="2324"/>
      <c r="D1" s="2324"/>
      <c r="E1" s="2324"/>
      <c r="F1" s="2324"/>
      <c r="G1" s="2324"/>
      <c r="H1" s="2324"/>
      <c r="I1" s="2324"/>
      <c r="J1" s="2324"/>
      <c r="K1" s="2324"/>
    </row>
    <row r="2" spans="1:11" hidden="1">
      <c r="A2" s="2324"/>
      <c r="B2" s="2324"/>
      <c r="C2" s="2324"/>
      <c r="D2" s="2324"/>
      <c r="E2" s="2324"/>
      <c r="F2" s="2577" t="str">
        <f>基本情况!B8</f>
        <v>中汇百邦（厦门）税务师事务所有限公司</v>
      </c>
      <c r="G2" s="2324"/>
      <c r="H2" s="2324"/>
      <c r="I2" s="2324"/>
      <c r="J2" s="2324"/>
      <c r="K2" s="2324"/>
    </row>
    <row r="3" spans="1:11" ht="12" hidden="1" customHeight="1">
      <c r="A3" s="2324"/>
      <c r="B3" s="2324"/>
      <c r="C3" s="2324"/>
      <c r="D3" s="2324"/>
      <c r="E3" s="2324"/>
      <c r="F3" s="2575" t="str">
        <f>INDEX(首页!$B:$B,MATCH(报告正文!$F$2,首页!$B:$B,0)+1)</f>
        <v>地址：廈門市湖滨南路388號国贸大廈41层</v>
      </c>
      <c r="G3" s="2324"/>
      <c r="H3" s="2324"/>
      <c r="I3" s="2324"/>
      <c r="J3" s="2324"/>
      <c r="K3" s="2324"/>
    </row>
    <row r="4" spans="1:11" ht="12" hidden="1" customHeight="1">
      <c r="A4" s="2324"/>
      <c r="B4" s="2324"/>
      <c r="C4" s="2324"/>
      <c r="D4" s="2324"/>
      <c r="E4" s="2324"/>
      <c r="F4" s="2575" t="str">
        <f>INDEX(首页!$B:$B,MATCH(报告正文!$F$2,首页!$B:$B,0)+2)</f>
        <v>邮编：361004</v>
      </c>
      <c r="G4" s="2324"/>
      <c r="H4" s="2324"/>
      <c r="I4" s="2324"/>
      <c r="J4" s="2324"/>
      <c r="K4" s="2324"/>
    </row>
    <row r="5" spans="1:11" ht="12" hidden="1" customHeight="1">
      <c r="A5" s="2324"/>
      <c r="B5" s="2324"/>
      <c r="C5" s="2324"/>
      <c r="D5" s="2324"/>
      <c r="E5" s="2324"/>
      <c r="F5" s="2575" t="str">
        <f>INDEX(首页!$B:$B,MATCH(报告正文!$F$2,首页!$B:$B,0)+3)</f>
        <v>電話：（0592）5881050 5166881</v>
      </c>
      <c r="G5" s="2324"/>
      <c r="H5" s="2324"/>
      <c r="I5" s="2324"/>
      <c r="J5" s="2324"/>
      <c r="K5" s="2324"/>
    </row>
    <row r="6" spans="1:11" ht="12" hidden="1" customHeight="1">
      <c r="A6" s="2324"/>
      <c r="B6" s="2324"/>
      <c r="C6" s="2324"/>
      <c r="D6" s="2324"/>
      <c r="E6" s="2324"/>
      <c r="F6" s="2575" t="str">
        <f>INDEX(首页!$B:$B,MATCH(报告正文!$F$2,首页!$B:$B,0)+4)</f>
        <v>傳真：（0592）5881033 5882033</v>
      </c>
      <c r="G6" s="2324"/>
      <c r="H6" s="2324"/>
      <c r="I6" s="2324"/>
      <c r="J6" s="2324"/>
      <c r="K6" s="2324"/>
    </row>
    <row r="7" spans="1:11" ht="18" hidden="1" customHeight="1">
      <c r="A7" s="2324"/>
      <c r="B7" s="2324"/>
      <c r="C7" s="2324"/>
      <c r="D7" s="2324"/>
      <c r="E7" s="2576" t="str">
        <f>INDEX(首页!$B:$B,MATCH(报告正文!$F$2,首页!$B:$B,0)+5)</f>
        <v>ZhongHui BaiBang （XiaMen）Certified Tax Agents Co.,LTD.</v>
      </c>
      <c r="F7" s="2324"/>
      <c r="G7" s="2324"/>
      <c r="H7" s="2324"/>
      <c r="I7" s="2324"/>
      <c r="J7" s="2324"/>
      <c r="K7" s="2324"/>
    </row>
    <row r="8" spans="1:11" ht="10.95" hidden="1" customHeight="1">
      <c r="A8" s="2324"/>
      <c r="B8" s="2324"/>
      <c r="C8" s="2324"/>
      <c r="D8" s="2324"/>
      <c r="E8" s="2576" t="str">
        <f>INDEX(首页!$B:$B,MATCH(报告正文!$F$2,首页!$B:$B,0)+6)</f>
        <v>Guomao Building 41floor, South Hubin Road No.388,Xiamen,</v>
      </c>
      <c r="F8" s="2324"/>
      <c r="G8" s="2324"/>
      <c r="H8" s="2324"/>
      <c r="I8" s="2324"/>
      <c r="J8" s="2324"/>
      <c r="K8" s="2324"/>
    </row>
    <row r="9" spans="1:11" ht="10.95" hidden="1" customHeight="1">
      <c r="A9" s="2324"/>
      <c r="B9" s="2324"/>
      <c r="C9" s="2324"/>
      <c r="D9" s="2324"/>
      <c r="E9" s="2576" t="str">
        <f>INDEX(首页!$B:$B,MATCH(报告正文!$F$2,首页!$B:$B,0)+7)</f>
        <v xml:space="preserve">P.C：361004  </v>
      </c>
      <c r="F9" s="2324"/>
      <c r="G9" s="2324"/>
      <c r="H9" s="2324"/>
      <c r="I9" s="2324"/>
      <c r="J9" s="2324"/>
      <c r="K9" s="2324"/>
    </row>
    <row r="10" spans="1:11" ht="11.4" hidden="1" customHeight="1">
      <c r="A10" s="2324"/>
      <c r="B10" s="2324"/>
      <c r="C10" s="2324"/>
      <c r="D10" s="2324"/>
      <c r="E10" s="2576" t="str">
        <f>INDEX(首页!$B:$B,MATCH(报告正文!$F$2,首页!$B:$B,0)+8)</f>
        <v>Tel：（0592）5881050 5166881</v>
      </c>
      <c r="F10" s="2324"/>
      <c r="G10" s="2324"/>
      <c r="H10" s="2324"/>
      <c r="I10" s="2324"/>
      <c r="J10" s="2324"/>
      <c r="K10" s="2324"/>
    </row>
    <row r="11" spans="1:11" ht="10.95" hidden="1" customHeight="1">
      <c r="A11" s="2324"/>
      <c r="B11" s="2324"/>
      <c r="C11" s="2324"/>
      <c r="D11" s="2324"/>
      <c r="E11" s="2576" t="str">
        <f>INDEX(首页!$B:$B,MATCH(报告正文!$F$2,首页!$B:$B,0)+9)</f>
        <v>Fax：（0592）5881033 5882033</v>
      </c>
      <c r="F11" s="2324"/>
      <c r="G11" s="2324"/>
      <c r="H11" s="2324"/>
      <c r="I11" s="2324"/>
      <c r="J11" s="2324"/>
      <c r="K11" s="2324"/>
    </row>
    <row r="12" spans="1:11" hidden="1">
      <c r="A12" s="2324"/>
      <c r="B12" s="2324"/>
      <c r="C12" s="2324"/>
      <c r="D12" s="2324"/>
      <c r="E12" s="2324"/>
      <c r="F12" s="2324"/>
      <c r="G12" s="2324"/>
      <c r="H12" s="2324"/>
      <c r="I12" s="2324"/>
      <c r="J12" s="2324"/>
      <c r="K12" s="2324"/>
    </row>
    <row r="13" spans="1:11" ht="85.2" customHeight="1">
      <c r="A13" s="3719" t="s">
        <v>10043</v>
      </c>
      <c r="B13" s="3719"/>
      <c r="C13" s="3719"/>
      <c r="D13" s="3719"/>
      <c r="E13" s="3719"/>
      <c r="F13" s="3719"/>
      <c r="G13" s="3719"/>
      <c r="H13" s="3719"/>
      <c r="I13" s="3719"/>
      <c r="J13" s="3719"/>
      <c r="K13" s="2324"/>
    </row>
    <row r="14" spans="1:11" ht="18" customHeight="1">
      <c r="A14" s="3720">
        <f>基本情况!B18</f>
        <v>0</v>
      </c>
      <c r="B14" s="3720"/>
      <c r="C14" s="3720"/>
      <c r="D14" s="3720"/>
      <c r="E14" s="3720"/>
      <c r="F14" s="3720"/>
      <c r="G14" s="3720"/>
      <c r="H14" s="3720"/>
      <c r="I14" s="3720"/>
      <c r="J14" s="3720"/>
      <c r="K14" s="1060" t="s">
        <v>395</v>
      </c>
    </row>
    <row r="15" spans="1:11" ht="7.5" customHeight="1">
      <c r="A15" s="2326"/>
      <c r="B15" s="2327"/>
      <c r="C15" s="2327"/>
      <c r="D15" s="2327"/>
      <c r="E15" s="2327"/>
      <c r="F15" s="2327"/>
      <c r="G15" s="2327"/>
      <c r="H15" s="2327"/>
      <c r="I15" s="2327"/>
      <c r="J15" s="2327"/>
      <c r="K15" s="2328"/>
    </row>
    <row r="16" spans="1:11" s="2330" customFormat="1" ht="29.25" customHeight="1">
      <c r="A16" s="3721" t="str">
        <f>基本情况!B2&amp;"："</f>
        <v>0：</v>
      </c>
      <c r="B16" s="3721"/>
      <c r="C16" s="3721"/>
      <c r="D16" s="3721"/>
      <c r="E16" s="3721"/>
      <c r="F16" s="3721"/>
      <c r="G16" s="3721"/>
      <c r="H16" s="3721"/>
      <c r="I16" s="3721"/>
      <c r="J16" s="3721"/>
      <c r="K16" s="2329"/>
    </row>
    <row r="17" spans="1:11" s="2609" customFormat="1" ht="106.2" customHeight="1">
      <c r="A17" s="3722" t="str">
        <f>"　　我们接受委托，对贵单位"&amp;基本情况!B4&amp;"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f>
        <v>　　我们接受委托，对贵单位2016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v>
      </c>
      <c r="B17" s="3722"/>
      <c r="C17" s="3722"/>
      <c r="D17" s="3722"/>
      <c r="E17" s="3722"/>
      <c r="F17" s="3722"/>
      <c r="G17" s="3722"/>
      <c r="H17" s="3722"/>
      <c r="I17" s="3722"/>
      <c r="J17" s="3722"/>
      <c r="K17" s="2608"/>
    </row>
    <row r="18" spans="1:11" s="2609" customFormat="1" ht="4.5" customHeight="1">
      <c r="A18" s="2610"/>
      <c r="B18" s="2610"/>
      <c r="C18" s="2610"/>
      <c r="D18" s="2610"/>
      <c r="E18" s="2610"/>
      <c r="F18" s="2610"/>
      <c r="G18" s="2610"/>
      <c r="H18" s="2610"/>
      <c r="I18" s="2610"/>
      <c r="J18" s="2610"/>
      <c r="K18" s="2608"/>
    </row>
    <row r="19" spans="1:11" s="2330" customFormat="1" ht="110.4" customHeight="1">
      <c r="A19" s="3723" t="s">
        <v>10044</v>
      </c>
      <c r="B19" s="3723"/>
      <c r="C19" s="3723"/>
      <c r="D19" s="3723"/>
      <c r="E19" s="3723"/>
      <c r="F19" s="3723"/>
      <c r="G19" s="3723"/>
      <c r="H19" s="3723"/>
      <c r="I19" s="3723"/>
      <c r="J19" s="3723"/>
      <c r="K19" s="2329"/>
    </row>
    <row r="20" spans="1:11" s="2609" customFormat="1" ht="4.5" customHeight="1">
      <c r="A20" s="2610"/>
      <c r="B20" s="2610"/>
      <c r="C20" s="2610"/>
      <c r="D20" s="2610"/>
      <c r="E20" s="2610"/>
      <c r="F20" s="2610"/>
      <c r="G20" s="2610"/>
      <c r="H20" s="2610"/>
      <c r="I20" s="2610"/>
      <c r="J20" s="2610"/>
      <c r="K20" s="2608"/>
    </row>
    <row r="21" spans="1:11" s="2330" customFormat="1" ht="44.4" customHeight="1">
      <c r="A21" s="3723" t="s">
        <v>9999</v>
      </c>
      <c r="B21" s="3723"/>
      <c r="C21" s="3723"/>
      <c r="D21" s="3723"/>
      <c r="E21" s="3723"/>
      <c r="F21" s="3723"/>
      <c r="G21" s="3723"/>
      <c r="H21" s="3723"/>
      <c r="I21" s="3723"/>
      <c r="J21" s="3723"/>
      <c r="K21" s="2329"/>
    </row>
    <row r="22" spans="1:11" s="2330" customFormat="1" ht="33" customHeight="1">
      <c r="A22" s="3727" t="s">
        <v>10045</v>
      </c>
      <c r="B22" s="3727"/>
      <c r="C22" s="3728"/>
      <c r="D22" s="3728"/>
      <c r="E22" s="3728"/>
      <c r="F22" s="3728"/>
      <c r="G22" s="3728"/>
      <c r="H22" s="3727"/>
      <c r="I22" s="3727"/>
      <c r="J22" s="3728"/>
      <c r="K22" s="2329"/>
    </row>
    <row r="23" spans="1:11" s="2330" customFormat="1" ht="24.75" customHeight="1">
      <c r="A23" s="3727" t="s">
        <v>10000</v>
      </c>
      <c r="B23" s="3727"/>
      <c r="C23" s="3728"/>
      <c r="D23" s="3728"/>
      <c r="E23" s="3728"/>
      <c r="F23" s="3728"/>
      <c r="G23" s="3728"/>
      <c r="H23" s="3727"/>
      <c r="I23" s="3727"/>
      <c r="J23" s="3728"/>
      <c r="K23" s="2329"/>
    </row>
    <row r="24" spans="1:11" s="2330" customFormat="1" ht="115.2" customHeight="1">
      <c r="A24" s="3724" t="str">
        <f>"     贵单位已按《会计法》和《"&amp;基本情况!B38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B24" s="3724"/>
      <c r="C24" s="3724"/>
      <c r="D24" s="3724"/>
      <c r="E24" s="3724"/>
      <c r="F24" s="3724"/>
      <c r="G24" s="3724"/>
      <c r="H24" s="3724"/>
      <c r="I24" s="3724"/>
      <c r="J24" s="3724"/>
      <c r="K24" s="2329"/>
    </row>
    <row r="25" spans="1:11" s="2609" customFormat="1" ht="4.5" customHeight="1">
      <c r="A25" s="2610"/>
      <c r="B25" s="2610"/>
      <c r="C25" s="2610"/>
      <c r="D25" s="2610"/>
      <c r="E25" s="2610"/>
      <c r="F25" s="2610"/>
      <c r="G25" s="2610"/>
      <c r="H25" s="2610"/>
      <c r="I25" s="2610"/>
      <c r="J25" s="2610"/>
      <c r="K25" s="2608"/>
    </row>
    <row r="26" spans="1:11" s="2330" customFormat="1" ht="24.75" customHeight="1">
      <c r="A26" s="3725" t="s">
        <v>10001</v>
      </c>
      <c r="B26" s="3725"/>
      <c r="C26" s="3725"/>
      <c r="D26" s="3725"/>
      <c r="E26" s="3725"/>
      <c r="F26" s="3725"/>
      <c r="G26" s="3725"/>
      <c r="H26" s="3725"/>
      <c r="I26" s="3725"/>
      <c r="J26" s="3725"/>
      <c r="K26" s="2329"/>
    </row>
    <row r="27" spans="1:11" s="2330" customFormat="1" ht="68.400000000000006" customHeight="1">
      <c r="A27" s="3724" t="s">
        <v>10046</v>
      </c>
      <c r="B27" s="3724"/>
      <c r="C27" s="3724"/>
      <c r="D27" s="3724"/>
      <c r="E27" s="3724"/>
      <c r="F27" s="3724"/>
      <c r="G27" s="3724"/>
      <c r="H27" s="3724"/>
      <c r="I27" s="3724"/>
      <c r="J27" s="3724"/>
      <c r="K27" s="2329"/>
    </row>
    <row r="28" spans="1:11" s="2609" customFormat="1" ht="4.5" customHeight="1">
      <c r="A28" s="2610"/>
      <c r="B28" s="2610"/>
      <c r="C28" s="2610"/>
      <c r="D28" s="2610"/>
      <c r="E28" s="2610"/>
      <c r="F28" s="2610"/>
      <c r="G28" s="2610"/>
      <c r="H28" s="2610"/>
      <c r="I28" s="2610"/>
      <c r="J28" s="2610"/>
      <c r="K28" s="2608"/>
    </row>
    <row r="29" spans="1:11" s="2330" customFormat="1" ht="24.75" customHeight="1">
      <c r="A29" s="3726" t="s">
        <v>10002</v>
      </c>
      <c r="B29" s="3726"/>
      <c r="C29" s="3726"/>
      <c r="D29" s="3726"/>
      <c r="E29" s="3726"/>
      <c r="F29" s="3726"/>
      <c r="G29" s="3726"/>
      <c r="H29" s="3726"/>
      <c r="I29" s="3726"/>
      <c r="J29" s="3726"/>
      <c r="K29" s="2329"/>
    </row>
    <row r="30" spans="1:11" s="2330" customFormat="1" ht="66" customHeight="1">
      <c r="A30" s="3717" t="s">
        <v>10003</v>
      </c>
      <c r="B30" s="3717"/>
      <c r="C30" s="3717"/>
      <c r="D30" s="3717"/>
      <c r="E30" s="3717"/>
      <c r="F30" s="3717"/>
      <c r="G30" s="3717"/>
      <c r="H30" s="3717"/>
      <c r="I30" s="3717"/>
      <c r="J30" s="3717"/>
      <c r="K30" s="2329"/>
    </row>
    <row r="31" spans="1:11" s="2609" customFormat="1" ht="4.5" customHeight="1">
      <c r="A31" s="2610"/>
      <c r="B31" s="2610"/>
      <c r="C31" s="2610"/>
      <c r="D31" s="2610"/>
      <c r="E31" s="2610"/>
      <c r="F31" s="2610"/>
      <c r="G31" s="2610"/>
      <c r="H31" s="2610"/>
      <c r="I31" s="2610"/>
      <c r="J31" s="2610"/>
      <c r="K31" s="2608"/>
    </row>
    <row r="32" spans="1:11" s="2330" customFormat="1" ht="22.2" customHeight="1">
      <c r="A32" s="3718" t="str">
        <f>"    经对贵单位"&amp;基本情况!B4&amp;"年度企业所得税汇算清缴纳税申报进行审核，我们确认："</f>
        <v xml:space="preserve">    经对贵单位2016年度企业所得税汇算清缴纳税申报进行审核，我们确认：</v>
      </c>
      <c r="B32" s="3718"/>
      <c r="C32" s="3718"/>
      <c r="D32" s="3718"/>
      <c r="E32" s="3718"/>
      <c r="F32" s="3718"/>
      <c r="G32" s="3718"/>
      <c r="H32" s="3718"/>
      <c r="I32" s="3718"/>
      <c r="J32" s="3718"/>
      <c r="K32" s="2329"/>
    </row>
    <row r="33" spans="1:11" s="2332" customFormat="1" ht="16.95" hidden="1" customHeight="1">
      <c r="A33" s="2333"/>
      <c r="B33" s="2333"/>
      <c r="C33" s="2333"/>
      <c r="D33" s="2333"/>
      <c r="E33" s="2333"/>
      <c r="F33" s="2333"/>
      <c r="G33" s="2333"/>
      <c r="H33" s="2333"/>
      <c r="I33" s="2333"/>
      <c r="J33" s="2333"/>
      <c r="K33" s="2331"/>
    </row>
    <row r="34" spans="1:11" s="2332" customFormat="1" ht="11.4" customHeight="1">
      <c r="A34" s="2578"/>
      <c r="B34" s="3730"/>
      <c r="C34" s="3730"/>
      <c r="D34" s="3730"/>
      <c r="E34" s="3730"/>
      <c r="F34" s="3730"/>
      <c r="G34" s="3730"/>
      <c r="H34" s="3730"/>
      <c r="I34" s="3730"/>
      <c r="J34" s="3730"/>
      <c r="K34" s="2331"/>
    </row>
    <row r="35" spans="1:11" s="2332" customFormat="1" ht="18" customHeight="1">
      <c r="A35" s="2578"/>
      <c r="B35" s="3729" t="s">
        <v>10004</v>
      </c>
      <c r="C35" s="3729"/>
      <c r="D35" s="3729"/>
      <c r="E35" s="3729"/>
      <c r="F35" s="3729"/>
      <c r="G35" s="3731">
        <f>'A100000中华人民共和国企业所得税年度纳税申报表（A类）'!D16</f>
        <v>0</v>
      </c>
      <c r="H35" s="3731"/>
      <c r="I35" s="2582" t="s">
        <v>10030</v>
      </c>
      <c r="J35" s="2583"/>
      <c r="K35" s="2316" t="s">
        <v>648</v>
      </c>
    </row>
    <row r="36" spans="1:11" s="2332" customFormat="1" ht="18" customHeight="1">
      <c r="A36" s="2578"/>
      <c r="B36" s="3729" t="s">
        <v>10005</v>
      </c>
      <c r="C36" s="3729"/>
      <c r="D36" s="3729"/>
      <c r="E36" s="3729"/>
      <c r="F36" s="3729"/>
      <c r="G36" s="3731">
        <f>'A100000中华人民共和国企业所得税年度纳税申报表（A类）'!D17</f>
        <v>0</v>
      </c>
      <c r="H36" s="3731"/>
      <c r="I36" s="2582" t="s">
        <v>10030</v>
      </c>
      <c r="J36" s="2583"/>
      <c r="K36" s="2331"/>
    </row>
    <row r="37" spans="1:11" s="2332" customFormat="1" ht="18" customHeight="1">
      <c r="A37" s="2578"/>
      <c r="B37" s="3729" t="s">
        <v>10006</v>
      </c>
      <c r="C37" s="3729"/>
      <c r="D37" s="3729"/>
      <c r="E37" s="3729"/>
      <c r="F37" s="3729"/>
      <c r="G37" s="3731">
        <f ca="1">'A100000中华人民共和国企业所得税年度纳税申报表（A类）'!D18</f>
        <v>0</v>
      </c>
      <c r="H37" s="3731"/>
      <c r="I37" s="2582" t="s">
        <v>10030</v>
      </c>
      <c r="J37" s="2583"/>
      <c r="K37" s="2316" t="s">
        <v>642</v>
      </c>
    </row>
    <row r="38" spans="1:11" s="2332" customFormat="1" ht="18" customHeight="1">
      <c r="A38" s="2578"/>
      <c r="B38" s="3729" t="s">
        <v>10007</v>
      </c>
      <c r="C38" s="3729"/>
      <c r="D38" s="3729"/>
      <c r="E38" s="3729"/>
      <c r="F38" s="3729"/>
      <c r="G38" s="3731">
        <f ca="1">'A100000中华人民共和国企业所得税年度纳税申报表（A类）'!D19</f>
        <v>0</v>
      </c>
      <c r="H38" s="3731"/>
      <c r="I38" s="2582" t="s">
        <v>10030</v>
      </c>
      <c r="J38" s="2583"/>
      <c r="K38" s="2331"/>
    </row>
    <row r="39" spans="1:11" s="2332" customFormat="1" ht="18" customHeight="1">
      <c r="A39" s="2578"/>
      <c r="B39" s="3729" t="s">
        <v>10008</v>
      </c>
      <c r="C39" s="3729"/>
      <c r="D39" s="3729"/>
      <c r="E39" s="3729"/>
      <c r="F39" s="3729"/>
      <c r="G39" s="3731">
        <f>'A100000中华人民共和国企业所得税年度纳税申报表（A类）'!D20</f>
        <v>0</v>
      </c>
      <c r="H39" s="3731"/>
      <c r="I39" s="2582" t="s">
        <v>10030</v>
      </c>
      <c r="J39" s="2583"/>
      <c r="K39" s="493" t="s">
        <v>1291</v>
      </c>
    </row>
    <row r="40" spans="1:11" s="2332" customFormat="1" ht="18" customHeight="1">
      <c r="A40" s="2578"/>
      <c r="B40" s="3729" t="s">
        <v>10009</v>
      </c>
      <c r="C40" s="3729"/>
      <c r="D40" s="3729"/>
      <c r="E40" s="3729"/>
      <c r="F40" s="3729"/>
      <c r="G40" s="3731">
        <f ca="1">'A100000中华人民共和国企业所得税年度纳税申报表（A类）'!D21</f>
        <v>0</v>
      </c>
      <c r="H40" s="3731"/>
      <c r="I40" s="2582" t="s">
        <v>10030</v>
      </c>
      <c r="J40" s="2583"/>
      <c r="K40" s="2331"/>
    </row>
    <row r="41" spans="1:11" s="2332" customFormat="1" ht="18" customHeight="1">
      <c r="A41" s="2578"/>
      <c r="B41" s="3729" t="s">
        <v>10010</v>
      </c>
      <c r="C41" s="3729"/>
      <c r="D41" s="3729"/>
      <c r="E41" s="3729"/>
      <c r="F41" s="3729"/>
      <c r="G41" s="3731">
        <f ca="1">'A100000中华人民共和国企业所得税年度纳税申报表（A类）'!D22</f>
        <v>0</v>
      </c>
      <c r="H41" s="3731"/>
      <c r="I41" s="2582" t="s">
        <v>10030</v>
      </c>
      <c r="J41" s="2583"/>
      <c r="K41" s="2331"/>
    </row>
    <row r="42" spans="1:11" s="2332" customFormat="1" ht="18" customHeight="1">
      <c r="A42" s="2578"/>
      <c r="B42" s="3729" t="s">
        <v>10011</v>
      </c>
      <c r="C42" s="3729"/>
      <c r="D42" s="3729"/>
      <c r="E42" s="3729"/>
      <c r="F42" s="3729"/>
      <c r="G42" s="3731">
        <f ca="1">'A100000中华人民共和国企业所得税年度纳税申报表（A类）'!D23</f>
        <v>0</v>
      </c>
      <c r="H42" s="3731"/>
      <c r="I42" s="2582" t="s">
        <v>10030</v>
      </c>
      <c r="J42" s="2583"/>
      <c r="K42" s="2331"/>
    </row>
    <row r="43" spans="1:11" s="2332" customFormat="1" ht="18" customHeight="1">
      <c r="A43" s="2578"/>
      <c r="B43" s="3729" t="s">
        <v>10012</v>
      </c>
      <c r="C43" s="3729"/>
      <c r="D43" s="3729"/>
      <c r="E43" s="3729"/>
      <c r="F43" s="3729"/>
      <c r="G43" s="3731">
        <f ca="1">'A100000中华人民共和国企业所得税年度纳税申报表（A类）'!D24</f>
        <v>0</v>
      </c>
      <c r="H43" s="3731"/>
      <c r="I43" s="2582" t="s">
        <v>10030</v>
      </c>
      <c r="J43" s="2583"/>
      <c r="K43" s="2331"/>
    </row>
    <row r="44" spans="1:11" s="2332" customFormat="1" ht="18" customHeight="1">
      <c r="A44" s="2578"/>
      <c r="B44" s="3729" t="s">
        <v>10013</v>
      </c>
      <c r="C44" s="3729"/>
      <c r="D44" s="3729"/>
      <c r="E44" s="3729"/>
      <c r="F44" s="3729"/>
      <c r="G44" s="3731">
        <f ca="1">'A100000中华人民共和国企业所得税年度纳税申报表（A类）'!D25</f>
        <v>0</v>
      </c>
      <c r="H44" s="3731"/>
      <c r="I44" s="2582" t="s">
        <v>10030</v>
      </c>
      <c r="J44" s="2583"/>
      <c r="K44" s="2331"/>
    </row>
    <row r="45" spans="1:11" s="2332" customFormat="1" ht="18" customHeight="1">
      <c r="A45" s="2578"/>
      <c r="B45" s="3729" t="s">
        <v>10014</v>
      </c>
      <c r="C45" s="3729"/>
      <c r="D45" s="3729"/>
      <c r="E45" s="3729"/>
      <c r="F45" s="3729"/>
      <c r="G45" s="3731">
        <f ca="1">'A100000中华人民共和国企业所得税年度纳税申报表（A类）'!D26</f>
        <v>0</v>
      </c>
      <c r="H45" s="3731"/>
      <c r="I45" s="2582" t="s">
        <v>10030</v>
      </c>
      <c r="J45" s="2583"/>
      <c r="K45" s="2331"/>
    </row>
    <row r="46" spans="1:11" s="2332" customFormat="1" ht="18" customHeight="1">
      <c r="A46" s="2578"/>
      <c r="B46" s="3729" t="s">
        <v>10015</v>
      </c>
      <c r="C46" s="3729"/>
      <c r="D46" s="3729"/>
      <c r="E46" s="3729"/>
      <c r="F46" s="3729"/>
      <c r="G46" s="3740">
        <f>'A100000中华人民共和国企业所得税年度纳税申报表（A类）'!D27</f>
        <v>0.25</v>
      </c>
      <c r="H46" s="3740"/>
      <c r="I46" s="2582"/>
      <c r="J46" s="2584"/>
      <c r="K46" s="2331"/>
    </row>
    <row r="47" spans="1:11" s="2332" customFormat="1" ht="18" customHeight="1">
      <c r="A47" s="2578"/>
      <c r="B47" s="3729" t="s">
        <v>10016</v>
      </c>
      <c r="C47" s="3729"/>
      <c r="D47" s="3729"/>
      <c r="E47" s="3729"/>
      <c r="F47" s="3729"/>
      <c r="G47" s="3731">
        <f ca="1">'A100000中华人民共和国企业所得税年度纳税申报表（A类）'!D28</f>
        <v>0</v>
      </c>
      <c r="H47" s="3731"/>
      <c r="I47" s="2582" t="s">
        <v>10030</v>
      </c>
      <c r="J47" s="2583"/>
      <c r="K47" s="2331"/>
    </row>
    <row r="48" spans="1:11" s="2332" customFormat="1" ht="18" customHeight="1">
      <c r="A48" s="2578"/>
      <c r="B48" s="3729" t="s">
        <v>10017</v>
      </c>
      <c r="C48" s="3729"/>
      <c r="D48" s="3729"/>
      <c r="E48" s="3729"/>
      <c r="F48" s="3729"/>
      <c r="G48" s="3731">
        <f ca="1">'A100000中华人民共和国企业所得税年度纳税申报表（A类）'!D29</f>
        <v>0</v>
      </c>
      <c r="H48" s="3731"/>
      <c r="I48" s="2582" t="s">
        <v>10030</v>
      </c>
      <c r="J48" s="2583"/>
      <c r="K48" s="2334"/>
    </row>
    <row r="49" spans="1:10" s="2332" customFormat="1" ht="18" customHeight="1">
      <c r="A49" s="2578"/>
      <c r="B49" s="3729" t="s">
        <v>10018</v>
      </c>
      <c r="C49" s="3729"/>
      <c r="D49" s="3729"/>
      <c r="E49" s="3729"/>
      <c r="F49" s="3729"/>
      <c r="G49" s="3731">
        <f ca="1">'A100000中华人民共和国企业所得税年度纳税申报表（A类）'!D30</f>
        <v>0</v>
      </c>
      <c r="H49" s="3731"/>
      <c r="I49" s="2582" t="s">
        <v>10030</v>
      </c>
      <c r="J49" s="2583"/>
    </row>
    <row r="50" spans="1:10" s="2332" customFormat="1" ht="18" customHeight="1">
      <c r="A50" s="2578"/>
      <c r="B50" s="3729" t="s">
        <v>10019</v>
      </c>
      <c r="C50" s="3729"/>
      <c r="D50" s="3729"/>
      <c r="E50" s="3729"/>
      <c r="F50" s="3729"/>
      <c r="G50" s="3731">
        <f ca="1">'A100000中华人民共和国企业所得税年度纳税申报表（A类）'!D31</f>
        <v>0</v>
      </c>
      <c r="H50" s="3731"/>
      <c r="I50" s="2582" t="s">
        <v>10030</v>
      </c>
      <c r="J50" s="2583"/>
    </row>
    <row r="51" spans="1:10" s="2332" customFormat="1" ht="18" customHeight="1">
      <c r="A51" s="2578"/>
      <c r="B51" s="3729" t="s">
        <v>10020</v>
      </c>
      <c r="C51" s="3729"/>
      <c r="D51" s="3729"/>
      <c r="E51" s="3729"/>
      <c r="F51" s="3729"/>
      <c r="G51" s="3731">
        <f>'A100000中华人民共和国企业所得税年度纳税申报表（A类）'!D32</f>
        <v>0</v>
      </c>
      <c r="H51" s="3731"/>
      <c r="I51" s="2582" t="s">
        <v>10030</v>
      </c>
      <c r="J51" s="2583"/>
    </row>
    <row r="52" spans="1:10" s="2332" customFormat="1" ht="18" customHeight="1">
      <c r="A52" s="2578"/>
      <c r="B52" s="3729" t="s">
        <v>10021</v>
      </c>
      <c r="C52" s="3729"/>
      <c r="D52" s="3729"/>
      <c r="E52" s="3729"/>
      <c r="F52" s="3729"/>
      <c r="G52" s="3731">
        <f>'A100000中华人民共和国企业所得税年度纳税申报表（A类）'!D33</f>
        <v>0</v>
      </c>
      <c r="H52" s="3731"/>
      <c r="I52" s="2582" t="s">
        <v>10030</v>
      </c>
      <c r="J52" s="2583"/>
    </row>
    <row r="53" spans="1:10" s="2332" customFormat="1" ht="18" customHeight="1">
      <c r="A53" s="2578"/>
      <c r="B53" s="3729" t="s">
        <v>10022</v>
      </c>
      <c r="C53" s="3729"/>
      <c r="D53" s="3729"/>
      <c r="E53" s="3729"/>
      <c r="F53" s="3729"/>
      <c r="G53" s="3731">
        <f ca="1">'A100000中华人民共和国企业所得税年度纳税申报表（A类）'!D34</f>
        <v>0</v>
      </c>
      <c r="H53" s="3731"/>
      <c r="I53" s="2582" t="s">
        <v>10030</v>
      </c>
      <c r="J53" s="2583"/>
    </row>
    <row r="54" spans="1:10" s="2332" customFormat="1" ht="18" customHeight="1">
      <c r="A54" s="2578"/>
      <c r="B54" s="3729" t="s">
        <v>10023</v>
      </c>
      <c r="C54" s="3729"/>
      <c r="D54" s="3729"/>
      <c r="E54" s="3729"/>
      <c r="F54" s="3729"/>
      <c r="G54" s="3731">
        <f>'A100000中华人民共和国企业所得税年度纳税申报表（A类）'!D35</f>
        <v>0</v>
      </c>
      <c r="H54" s="3731"/>
      <c r="I54" s="2582" t="s">
        <v>10030</v>
      </c>
      <c r="J54" s="2583"/>
    </row>
    <row r="55" spans="1:10" s="2332" customFormat="1" ht="18" customHeight="1">
      <c r="A55" s="2578"/>
      <c r="B55" s="3729" t="s">
        <v>10024</v>
      </c>
      <c r="C55" s="3729"/>
      <c r="D55" s="3729"/>
      <c r="E55" s="3729"/>
      <c r="F55" s="3729"/>
      <c r="G55" s="3731">
        <f ca="1">'A100000中华人民共和国企业所得税年度纳税申报表（A类）'!D36</f>
        <v>0</v>
      </c>
      <c r="H55" s="3731"/>
      <c r="I55" s="2582" t="s">
        <v>10030</v>
      </c>
      <c r="J55" s="2583"/>
    </row>
    <row r="56" spans="1:10" s="2332" customFormat="1" ht="18" customHeight="1">
      <c r="A56" s="2578"/>
      <c r="B56" s="3729" t="s">
        <v>10025</v>
      </c>
      <c r="C56" s="3729"/>
      <c r="D56" s="3729"/>
      <c r="E56" s="3729"/>
      <c r="F56" s="3729"/>
      <c r="G56" s="3731">
        <f>'A100000中华人民共和国企业所得税年度纳税申报表（A类）'!D37</f>
        <v>0</v>
      </c>
      <c r="H56" s="3731"/>
      <c r="I56" s="2582" t="s">
        <v>10030</v>
      </c>
      <c r="J56" s="2585"/>
    </row>
    <row r="57" spans="1:10" s="2332" customFormat="1" ht="18" customHeight="1">
      <c r="A57" s="2578"/>
      <c r="B57" s="3729" t="s">
        <v>10026</v>
      </c>
      <c r="C57" s="3729"/>
      <c r="D57" s="3729"/>
      <c r="E57" s="3729"/>
      <c r="F57" s="3729"/>
      <c r="G57" s="3731">
        <f>'A100000中华人民共和国企业所得税年度纳税申报表（A类）'!D38</f>
        <v>0</v>
      </c>
      <c r="H57" s="3731"/>
      <c r="I57" s="2582" t="s">
        <v>10030</v>
      </c>
      <c r="J57" s="2585"/>
    </row>
    <row r="58" spans="1:10" s="2332" customFormat="1" ht="18" customHeight="1">
      <c r="A58" s="2578"/>
      <c r="B58" s="3729" t="s">
        <v>10027</v>
      </c>
      <c r="C58" s="3729"/>
      <c r="D58" s="3729"/>
      <c r="E58" s="3729"/>
      <c r="F58" s="3729"/>
      <c r="G58" s="3731">
        <f>'A100000中华人民共和国企业所得税年度纳税申报表（A类）'!D39</f>
        <v>0</v>
      </c>
      <c r="H58" s="3731"/>
      <c r="I58" s="2582" t="s">
        <v>10030</v>
      </c>
      <c r="J58" s="2585"/>
    </row>
    <row r="59" spans="1:10" s="2332" customFormat="1" ht="18" customHeight="1">
      <c r="A59" s="2578"/>
      <c r="B59" s="3729" t="s">
        <v>10028</v>
      </c>
      <c r="C59" s="3729"/>
      <c r="D59" s="3729"/>
      <c r="E59" s="3729"/>
      <c r="F59" s="3729"/>
      <c r="G59" s="3731">
        <f>'A100000中华人民共和国企业所得税年度纳税申报表（A类）'!D40</f>
        <v>0</v>
      </c>
      <c r="H59" s="3731"/>
      <c r="I59" s="2582" t="s">
        <v>10030</v>
      </c>
      <c r="J59" s="2585"/>
    </row>
    <row r="60" spans="1:10" s="2332" customFormat="1" ht="18" customHeight="1">
      <c r="A60" s="2578"/>
      <c r="B60" s="3729" t="s">
        <v>10029</v>
      </c>
      <c r="C60" s="3729"/>
      <c r="D60" s="3729"/>
      <c r="E60" s="3729"/>
      <c r="F60" s="3729"/>
      <c r="G60" s="3731">
        <f>'A100000中华人民共和国企业所得税年度纳税申报表（A类）'!D41</f>
        <v>0</v>
      </c>
      <c r="H60" s="3731"/>
      <c r="I60" s="2582" t="s">
        <v>10030</v>
      </c>
      <c r="J60" s="2585"/>
    </row>
    <row r="61" spans="1:10" s="2332" customFormat="1" ht="10.95" customHeight="1">
      <c r="A61" s="3744"/>
      <c r="B61" s="3744"/>
      <c r="C61" s="3744"/>
      <c r="D61" s="3744"/>
      <c r="E61" s="3744"/>
      <c r="F61" s="3744"/>
      <c r="G61" s="3744"/>
      <c r="H61" s="3744"/>
      <c r="I61" s="3744"/>
      <c r="J61" s="3744"/>
    </row>
    <row r="62" spans="1:10" s="2332" customFormat="1" ht="25.95" customHeight="1">
      <c r="A62" s="3737" t="s">
        <v>10031</v>
      </c>
      <c r="B62" s="3737"/>
      <c r="C62" s="3737"/>
      <c r="D62" s="3737"/>
      <c r="E62" s="3737"/>
      <c r="F62" s="3737"/>
      <c r="G62" s="3737"/>
      <c r="H62" s="3737"/>
      <c r="I62" s="3737"/>
      <c r="J62" s="3737"/>
    </row>
    <row r="63" spans="1:10" ht="10.95" customHeight="1">
      <c r="A63" s="3738"/>
      <c r="B63" s="3738"/>
      <c r="C63" s="3738"/>
      <c r="D63" s="3738"/>
      <c r="E63" s="3738"/>
      <c r="F63" s="3738"/>
      <c r="G63" s="3738"/>
      <c r="H63" s="3738"/>
      <c r="I63" s="3738"/>
      <c r="J63" s="3738"/>
    </row>
    <row r="64" spans="1:10" ht="29.4" customHeight="1">
      <c r="A64" s="2586"/>
      <c r="B64" s="3734" t="s">
        <v>10032</v>
      </c>
      <c r="C64" s="3735"/>
      <c r="D64" s="3735"/>
      <c r="E64" s="2587"/>
      <c r="F64" s="2612" t="str">
        <f>IF(基本情况!B8="中汇百邦（厦门）税务师事务所有限公司","陈元庆","陈金盾")</f>
        <v>陈元庆</v>
      </c>
      <c r="G64" s="2588"/>
      <c r="H64" s="2589"/>
      <c r="I64" s="2589"/>
      <c r="J64" s="2589"/>
    </row>
    <row r="65" spans="1:10" ht="20.399999999999999" customHeight="1">
      <c r="A65" s="2590"/>
      <c r="B65" s="2590"/>
      <c r="C65" s="2590"/>
      <c r="D65" s="2591"/>
      <c r="E65" s="2591"/>
      <c r="F65" s="2592"/>
      <c r="G65" s="2593"/>
      <c r="H65" s="2594"/>
      <c r="I65" s="2594"/>
      <c r="J65" s="2594"/>
    </row>
    <row r="66" spans="1:10" ht="17.399999999999999">
      <c r="A66" s="2592"/>
      <c r="B66" s="3736" t="s">
        <v>10042</v>
      </c>
      <c r="C66" s="3735"/>
      <c r="D66" s="3735"/>
      <c r="E66" s="2595"/>
      <c r="F66" s="2592">
        <f>基本情况!B11</f>
        <v>0</v>
      </c>
      <c r="G66" s="2596"/>
      <c r="H66" s="2597"/>
      <c r="I66" s="2597"/>
      <c r="J66" s="2597"/>
    </row>
    <row r="67" spans="1:10" ht="22.2" customHeight="1">
      <c r="A67" s="2598"/>
      <c r="B67" s="2598"/>
      <c r="C67" s="2598"/>
      <c r="D67" s="2591"/>
      <c r="E67" s="2591"/>
      <c r="F67" s="2591"/>
      <c r="G67" s="2599"/>
      <c r="H67" s="2600"/>
      <c r="I67" s="2600"/>
      <c r="J67" s="2600"/>
    </row>
    <row r="68" spans="1:10" ht="19.95" customHeight="1">
      <c r="A68" s="2598"/>
      <c r="B68" s="2595" t="s">
        <v>7742</v>
      </c>
      <c r="C68" s="2595"/>
      <c r="D68" s="2601"/>
      <c r="E68" s="3741" t="s">
        <v>10047</v>
      </c>
      <c r="F68" s="3741"/>
      <c r="G68" s="3741"/>
      <c r="H68" s="2600"/>
      <c r="I68" s="2600"/>
      <c r="J68" s="2600"/>
    </row>
    <row r="69" spans="1:10" ht="22.95" customHeight="1">
      <c r="A69" s="3742" t="s">
        <v>10033</v>
      </c>
      <c r="B69" s="3743"/>
      <c r="C69" s="3743"/>
      <c r="D69" s="2591"/>
      <c r="E69" s="3742" t="s">
        <v>10034</v>
      </c>
      <c r="F69" s="3743"/>
      <c r="G69" s="3743"/>
      <c r="H69" s="2600"/>
      <c r="I69" s="2600"/>
      <c r="J69" s="2600"/>
    </row>
    <row r="70" spans="1:10" ht="13.2" customHeight="1">
      <c r="A70" s="2598"/>
      <c r="B70" s="2598"/>
      <c r="C70" s="2598"/>
      <c r="D70" s="2591"/>
      <c r="E70" s="2591"/>
      <c r="G70" s="2599"/>
      <c r="H70" s="2602"/>
      <c r="I70" s="2602"/>
      <c r="J70" s="2602"/>
    </row>
    <row r="71" spans="1:10" ht="17.399999999999999">
      <c r="A71" s="2598"/>
      <c r="B71" s="2598"/>
      <c r="C71" s="2598"/>
      <c r="D71" s="2591"/>
      <c r="E71" s="2591"/>
      <c r="F71" s="2603"/>
      <c r="G71" s="2611" t="str">
        <f>基本情况!B20</f>
        <v>2017年5月4日</v>
      </c>
      <c r="H71" s="2602"/>
      <c r="I71" s="2602"/>
      <c r="J71" s="2602"/>
    </row>
    <row r="72" spans="1:10" ht="18.600000000000001" customHeight="1">
      <c r="A72" s="3739" t="s">
        <v>10035</v>
      </c>
      <c r="B72" s="3732"/>
      <c r="C72" s="3732"/>
      <c r="D72" s="3732"/>
      <c r="E72" s="3732"/>
      <c r="F72" s="3732"/>
      <c r="G72" s="3732"/>
      <c r="H72" s="2604"/>
      <c r="I72" s="2604"/>
      <c r="J72" s="2335"/>
    </row>
    <row r="73" spans="1:10" ht="18.600000000000001" customHeight="1">
      <c r="A73" s="3739" t="s">
        <v>10036</v>
      </c>
      <c r="B73" s="3732"/>
      <c r="C73" s="3732"/>
      <c r="D73" s="3732"/>
      <c r="E73" s="3732"/>
      <c r="F73" s="3732"/>
      <c r="G73" s="3732"/>
      <c r="H73" s="2604"/>
      <c r="I73" s="2604"/>
      <c r="J73" s="2335"/>
    </row>
    <row r="74" spans="1:10" ht="18.600000000000001" customHeight="1">
      <c r="A74" s="3739" t="s">
        <v>10037</v>
      </c>
      <c r="B74" s="3732"/>
      <c r="C74" s="3732"/>
      <c r="D74" s="3732"/>
      <c r="E74" s="3732"/>
      <c r="F74" s="3732"/>
      <c r="G74" s="3732"/>
      <c r="H74" s="2605"/>
      <c r="I74" s="2605"/>
      <c r="J74" s="2579"/>
    </row>
    <row r="75" spans="1:10" ht="18.600000000000001" customHeight="1">
      <c r="A75" s="3732" t="s">
        <v>10038</v>
      </c>
      <c r="B75" s="3733"/>
      <c r="C75" s="3732"/>
      <c r="D75" s="3732"/>
      <c r="E75" s="3732"/>
      <c r="F75" s="3732"/>
      <c r="G75" s="3732"/>
      <c r="H75" s="2605"/>
      <c r="I75" s="2605"/>
      <c r="J75" s="2579"/>
    </row>
    <row r="76" spans="1:10" ht="18.600000000000001" customHeight="1">
      <c r="A76" s="3732" t="s">
        <v>10039</v>
      </c>
      <c r="B76" s="3733"/>
      <c r="C76" s="3732"/>
      <c r="D76" s="3732"/>
      <c r="E76" s="3732"/>
      <c r="F76" s="3732"/>
      <c r="G76" s="3732"/>
      <c r="H76" s="2605"/>
      <c r="I76" s="2605"/>
      <c r="J76" s="2579"/>
    </row>
    <row r="77" spans="1:10" ht="18.600000000000001" customHeight="1">
      <c r="A77" s="3732" t="s">
        <v>10040</v>
      </c>
      <c r="B77" s="3733"/>
      <c r="C77" s="3732"/>
      <c r="D77" s="3732"/>
      <c r="E77" s="3732"/>
      <c r="F77" s="3732"/>
      <c r="G77" s="3732"/>
      <c r="H77" s="2606"/>
      <c r="I77" s="2606"/>
      <c r="J77" s="2580"/>
    </row>
    <row r="78" spans="1:10" ht="18.600000000000001" customHeight="1">
      <c r="A78" s="3732" t="s">
        <v>10041</v>
      </c>
      <c r="B78" s="3733"/>
      <c r="C78" s="3732"/>
      <c r="D78" s="3732"/>
      <c r="E78" s="3732"/>
      <c r="F78" s="3732"/>
      <c r="G78" s="3732"/>
      <c r="H78" s="2607"/>
      <c r="I78" s="2607"/>
      <c r="J78" s="2581"/>
    </row>
    <row r="79" spans="1:10">
      <c r="A79" s="2335"/>
      <c r="B79" s="2335"/>
      <c r="C79" s="2335"/>
      <c r="D79" s="2335"/>
      <c r="E79" s="2335"/>
      <c r="F79" s="2335"/>
      <c r="G79" s="2335"/>
      <c r="H79" s="2335"/>
      <c r="I79" s="2335"/>
      <c r="J79" s="2335"/>
    </row>
    <row r="80" spans="1:10">
      <c r="A80" s="2335"/>
      <c r="B80" s="2335"/>
      <c r="C80" s="2335"/>
      <c r="D80" s="2335"/>
      <c r="E80" s="2335"/>
      <c r="F80" s="2335"/>
      <c r="G80" s="2335"/>
      <c r="H80" s="2335"/>
      <c r="I80" s="2335"/>
      <c r="J80" s="2335"/>
    </row>
    <row r="81" spans="1:10">
      <c r="A81" s="2335"/>
      <c r="B81" s="2335"/>
      <c r="C81" s="2335"/>
      <c r="D81" s="2335"/>
      <c r="E81" s="2335"/>
      <c r="F81" s="2335"/>
      <c r="G81" s="2335"/>
      <c r="H81" s="2335"/>
      <c r="I81" s="2335"/>
      <c r="J81" s="2335"/>
    </row>
    <row r="82" spans="1:10">
      <c r="A82" s="2335"/>
      <c r="B82" s="2335"/>
      <c r="C82" s="2335"/>
      <c r="D82" s="2335"/>
      <c r="E82" s="2335"/>
      <c r="F82" s="2335"/>
      <c r="G82" s="2335"/>
      <c r="H82" s="2335"/>
      <c r="I82" s="2335"/>
      <c r="J82" s="2335"/>
    </row>
    <row r="83" spans="1:10">
      <c r="A83" s="2335"/>
      <c r="B83" s="2335"/>
      <c r="C83" s="2335"/>
      <c r="D83" s="2335"/>
      <c r="E83" s="2335"/>
      <c r="F83" s="2335"/>
      <c r="G83" s="2335"/>
      <c r="H83" s="2335"/>
      <c r="I83" s="2335"/>
      <c r="J83" s="2335"/>
    </row>
    <row r="84" spans="1:10">
      <c r="A84" s="2335"/>
      <c r="B84" s="2335"/>
      <c r="C84" s="2335"/>
      <c r="D84" s="2335"/>
      <c r="E84" s="2335"/>
      <c r="F84" s="2335"/>
      <c r="G84" s="2335"/>
      <c r="H84" s="2335"/>
      <c r="I84" s="2335"/>
      <c r="J84" s="2335"/>
    </row>
    <row r="85" spans="1:10">
      <c r="A85" s="2335"/>
      <c r="B85" s="2335"/>
      <c r="C85" s="2335"/>
      <c r="D85" s="2335"/>
      <c r="E85" s="2335"/>
      <c r="F85" s="2335"/>
      <c r="G85" s="2335"/>
      <c r="H85" s="2335"/>
      <c r="I85" s="2335"/>
      <c r="J85" s="2335"/>
    </row>
    <row r="86" spans="1:10">
      <c r="A86" s="2335"/>
      <c r="B86" s="2335"/>
      <c r="C86" s="2335"/>
      <c r="D86" s="2335"/>
      <c r="E86" s="2335"/>
      <c r="F86" s="2335"/>
      <c r="G86" s="2335"/>
      <c r="H86" s="2335"/>
      <c r="I86" s="2335"/>
      <c r="J86" s="2335"/>
    </row>
    <row r="87" spans="1:10">
      <c r="A87" s="2335"/>
      <c r="B87" s="2335"/>
      <c r="C87" s="2335"/>
      <c r="D87" s="2335"/>
      <c r="E87" s="2335"/>
      <c r="F87" s="2335"/>
      <c r="G87" s="2335"/>
      <c r="H87" s="2335"/>
      <c r="I87" s="2335"/>
      <c r="J87" s="2335"/>
    </row>
    <row r="88" spans="1:10">
      <c r="A88" s="2335"/>
      <c r="B88" s="2335"/>
      <c r="C88" s="2335"/>
      <c r="D88" s="2335"/>
      <c r="E88" s="2335"/>
      <c r="F88" s="2335"/>
      <c r="G88" s="2335"/>
      <c r="H88" s="2335"/>
      <c r="I88" s="2335"/>
      <c r="J88" s="2335"/>
    </row>
    <row r="89" spans="1:10">
      <c r="A89" s="2335"/>
      <c r="B89" s="2335"/>
      <c r="C89" s="2335"/>
      <c r="D89" s="2335"/>
      <c r="E89" s="2335"/>
      <c r="F89" s="2335"/>
      <c r="G89" s="2335"/>
      <c r="H89" s="2335"/>
      <c r="I89" s="2335"/>
      <c r="J89" s="2335"/>
    </row>
    <row r="90" spans="1:10">
      <c r="A90" s="2335"/>
      <c r="B90" s="2335"/>
      <c r="C90" s="2335"/>
      <c r="D90" s="2335"/>
      <c r="E90" s="2335"/>
      <c r="F90" s="2335"/>
      <c r="G90" s="2335"/>
      <c r="H90" s="2335"/>
      <c r="I90" s="2335"/>
      <c r="J90" s="2335"/>
    </row>
    <row r="91" spans="1:10">
      <c r="A91" s="2335"/>
      <c r="B91" s="2335"/>
      <c r="C91" s="2335"/>
      <c r="D91" s="2335"/>
      <c r="E91" s="2335"/>
      <c r="F91" s="2335"/>
      <c r="G91" s="2335"/>
      <c r="H91" s="2335"/>
      <c r="I91" s="2335"/>
      <c r="J91" s="2335"/>
    </row>
    <row r="92" spans="1:10">
      <c r="A92" s="2335"/>
      <c r="B92" s="2335"/>
      <c r="C92" s="2335"/>
      <c r="D92" s="2335"/>
      <c r="E92" s="2335"/>
      <c r="F92" s="2335"/>
      <c r="G92" s="2335"/>
      <c r="H92" s="2335"/>
      <c r="I92" s="2335"/>
      <c r="J92" s="2335"/>
    </row>
    <row r="93" spans="1:10">
      <c r="A93" s="2335"/>
      <c r="B93" s="2335"/>
      <c r="C93" s="2335"/>
      <c r="D93" s="2335"/>
      <c r="E93" s="2335"/>
      <c r="F93" s="2335"/>
      <c r="G93" s="2335"/>
      <c r="H93" s="2335"/>
      <c r="I93" s="2335"/>
      <c r="J93" s="2335"/>
    </row>
    <row r="94" spans="1:10">
      <c r="A94" s="2335"/>
      <c r="B94" s="2335"/>
      <c r="C94" s="2335"/>
      <c r="D94" s="2335"/>
      <c r="E94" s="2335"/>
      <c r="F94" s="2335"/>
      <c r="G94" s="2335"/>
      <c r="H94" s="2335"/>
      <c r="I94" s="2335"/>
      <c r="J94" s="2335"/>
    </row>
    <row r="95" spans="1:10">
      <c r="A95" s="2335"/>
      <c r="B95" s="2335"/>
      <c r="C95" s="2335"/>
      <c r="D95" s="2335"/>
      <c r="E95" s="2335"/>
      <c r="F95" s="2335"/>
      <c r="G95" s="2335"/>
      <c r="H95" s="2335"/>
      <c r="I95" s="2335"/>
      <c r="J95" s="2335"/>
    </row>
    <row r="96" spans="1:10">
      <c r="A96" s="2335"/>
      <c r="B96" s="2335"/>
      <c r="C96" s="2335"/>
      <c r="D96" s="2335"/>
      <c r="E96" s="2335"/>
      <c r="F96" s="2335"/>
      <c r="G96" s="2335"/>
      <c r="H96" s="2335"/>
      <c r="I96" s="2335"/>
      <c r="J96" s="2335"/>
    </row>
    <row r="97" spans="1:10">
      <c r="A97" s="2335"/>
      <c r="B97" s="2335"/>
      <c r="C97" s="2335"/>
      <c r="D97" s="2335"/>
      <c r="E97" s="2335"/>
      <c r="F97" s="2335"/>
      <c r="G97" s="2335"/>
      <c r="H97" s="2335"/>
      <c r="I97" s="2335"/>
      <c r="J97" s="2335"/>
    </row>
    <row r="98" spans="1:10">
      <c r="A98" s="2335"/>
      <c r="B98" s="2335"/>
      <c r="C98" s="2335"/>
      <c r="D98" s="2335"/>
      <c r="E98" s="2335"/>
      <c r="F98" s="2335"/>
      <c r="G98" s="2335"/>
      <c r="H98" s="2335"/>
      <c r="I98" s="2335"/>
      <c r="J98" s="2335"/>
    </row>
    <row r="99" spans="1:10">
      <c r="A99" s="2335"/>
      <c r="B99" s="2335"/>
      <c r="C99" s="2335"/>
      <c r="D99" s="2335"/>
      <c r="E99" s="2335"/>
      <c r="F99" s="2335"/>
      <c r="G99" s="2335"/>
      <c r="H99" s="2335"/>
      <c r="I99" s="2335"/>
      <c r="J99" s="2335"/>
    </row>
    <row r="100" spans="1:10">
      <c r="A100" s="2335"/>
      <c r="B100" s="2335"/>
      <c r="C100" s="2335"/>
      <c r="D100" s="2335"/>
      <c r="E100" s="2335"/>
      <c r="F100" s="2335"/>
      <c r="G100" s="2335"/>
      <c r="H100" s="2335"/>
      <c r="I100" s="2335"/>
      <c r="J100" s="2335"/>
    </row>
    <row r="101" spans="1:10">
      <c r="A101" s="2335"/>
      <c r="B101" s="2335"/>
      <c r="C101" s="2335"/>
      <c r="D101" s="2335"/>
      <c r="E101" s="2335"/>
      <c r="F101" s="2335"/>
      <c r="G101" s="2335"/>
      <c r="H101" s="2335"/>
      <c r="I101" s="2335"/>
      <c r="J101" s="2335"/>
    </row>
    <row r="102" spans="1:10">
      <c r="A102" s="2335"/>
      <c r="B102" s="2335"/>
      <c r="C102" s="2335"/>
      <c r="D102" s="2335"/>
      <c r="E102" s="2335"/>
      <c r="F102" s="2335"/>
      <c r="G102" s="2335"/>
      <c r="H102" s="2335"/>
      <c r="I102" s="2335"/>
      <c r="J102" s="2335"/>
    </row>
    <row r="103" spans="1:10">
      <c r="A103" s="2335"/>
      <c r="B103" s="2335"/>
      <c r="C103" s="2335"/>
      <c r="D103" s="2335"/>
      <c r="E103" s="2335"/>
      <c r="F103" s="2335"/>
      <c r="G103" s="2335"/>
      <c r="H103" s="2335"/>
      <c r="I103" s="2335"/>
      <c r="J103" s="2335"/>
    </row>
    <row r="104" spans="1:10">
      <c r="A104" s="2335"/>
      <c r="B104" s="2335"/>
      <c r="C104" s="2335"/>
      <c r="D104" s="2335"/>
      <c r="E104" s="2335"/>
      <c r="F104" s="2335"/>
      <c r="G104" s="2335"/>
      <c r="H104" s="2335"/>
      <c r="I104" s="2335"/>
      <c r="J104" s="2335"/>
    </row>
    <row r="105" spans="1:10">
      <c r="A105" s="2335"/>
      <c r="B105" s="2335"/>
      <c r="C105" s="2335"/>
      <c r="D105" s="2335"/>
      <c r="E105" s="2335"/>
      <c r="F105" s="2335"/>
      <c r="G105" s="2335"/>
      <c r="H105" s="2335"/>
      <c r="I105" s="2335"/>
      <c r="J105" s="2335"/>
    </row>
    <row r="106" spans="1:10">
      <c r="A106" s="2335"/>
      <c r="B106" s="2335"/>
      <c r="C106" s="2335"/>
      <c r="D106" s="2335"/>
      <c r="E106" s="2335"/>
      <c r="F106" s="2335"/>
      <c r="G106" s="2335"/>
      <c r="H106" s="2335"/>
      <c r="I106" s="2335"/>
      <c r="J106" s="2335"/>
    </row>
    <row r="107" spans="1:10">
      <c r="A107" s="2335"/>
      <c r="B107" s="2335"/>
      <c r="C107" s="2335"/>
      <c r="D107" s="2335"/>
      <c r="E107" s="2335"/>
      <c r="F107" s="2335"/>
      <c r="G107" s="2335"/>
      <c r="H107" s="2335"/>
      <c r="I107" s="2335"/>
      <c r="J107" s="2335"/>
    </row>
    <row r="108" spans="1:10">
      <c r="A108" s="2335"/>
      <c r="B108" s="2335"/>
      <c r="C108" s="2335"/>
      <c r="D108" s="2335"/>
      <c r="E108" s="2335"/>
      <c r="F108" s="2335"/>
      <c r="G108" s="2335"/>
      <c r="H108" s="2335"/>
      <c r="I108" s="2335"/>
      <c r="J108" s="2335"/>
    </row>
    <row r="109" spans="1:10">
      <c r="A109" s="2335"/>
      <c r="B109" s="2335"/>
      <c r="C109" s="2335"/>
      <c r="D109" s="2335"/>
      <c r="E109" s="2335"/>
      <c r="F109" s="2335"/>
      <c r="G109" s="2335"/>
      <c r="H109" s="2335"/>
      <c r="I109" s="2335"/>
      <c r="J109" s="2335"/>
    </row>
    <row r="110" spans="1:10">
      <c r="A110" s="2335"/>
      <c r="B110" s="2335"/>
      <c r="C110" s="2335"/>
      <c r="D110" s="2335"/>
      <c r="E110" s="2335"/>
      <c r="F110" s="2335"/>
      <c r="G110" s="2335"/>
      <c r="H110" s="2335"/>
      <c r="I110" s="2335"/>
      <c r="J110" s="2335"/>
    </row>
    <row r="111" spans="1:10">
      <c r="A111" s="2335"/>
      <c r="B111" s="2335"/>
      <c r="C111" s="2335"/>
      <c r="D111" s="2335"/>
      <c r="E111" s="2335"/>
      <c r="F111" s="2335"/>
      <c r="G111" s="2335"/>
      <c r="H111" s="2335"/>
      <c r="I111" s="2335"/>
      <c r="J111" s="2335"/>
    </row>
    <row r="112" spans="1:10">
      <c r="A112" s="2335"/>
      <c r="B112" s="2335"/>
      <c r="C112" s="2335"/>
      <c r="D112" s="2335"/>
      <c r="E112" s="2335"/>
      <c r="F112" s="2335"/>
      <c r="G112" s="2335"/>
      <c r="H112" s="2335"/>
      <c r="I112" s="2335"/>
      <c r="J112" s="2335"/>
    </row>
    <row r="113" spans="1:10">
      <c r="A113" s="2335"/>
      <c r="B113" s="2335"/>
      <c r="C113" s="2335"/>
      <c r="D113" s="2335"/>
      <c r="E113" s="2335"/>
      <c r="F113" s="2335"/>
      <c r="G113" s="2335"/>
      <c r="H113" s="2335"/>
      <c r="I113" s="2335"/>
      <c r="J113" s="2335"/>
    </row>
    <row r="114" spans="1:10">
      <c r="A114" s="2335"/>
      <c r="B114" s="2335"/>
      <c r="C114" s="2335"/>
      <c r="D114" s="2335"/>
      <c r="E114" s="2335"/>
      <c r="F114" s="2335"/>
      <c r="G114" s="2335"/>
      <c r="H114" s="2335"/>
      <c r="I114" s="2335"/>
      <c r="J114" s="2335"/>
    </row>
    <row r="115" spans="1:10">
      <c r="A115" s="2335"/>
      <c r="B115" s="2335"/>
      <c r="C115" s="2335"/>
      <c r="D115" s="2335"/>
      <c r="E115" s="2335"/>
      <c r="F115" s="2335"/>
      <c r="G115" s="2335"/>
      <c r="H115" s="2335"/>
      <c r="I115" s="2335"/>
      <c r="J115" s="2335"/>
    </row>
    <row r="116" spans="1:10">
      <c r="A116" s="2335"/>
      <c r="B116" s="2335"/>
      <c r="C116" s="2335"/>
      <c r="D116" s="2335"/>
      <c r="E116" s="2335"/>
      <c r="F116" s="2335"/>
      <c r="G116" s="2335"/>
      <c r="H116" s="2335"/>
      <c r="I116" s="2335"/>
      <c r="J116" s="2335"/>
    </row>
    <row r="117" spans="1:10">
      <c r="A117" s="2335"/>
      <c r="B117" s="2335"/>
      <c r="C117" s="2335"/>
      <c r="D117" s="2335"/>
      <c r="E117" s="2335"/>
      <c r="F117" s="2335"/>
      <c r="G117" s="2335"/>
      <c r="H117" s="2335"/>
      <c r="I117" s="2335"/>
      <c r="J117" s="2335"/>
    </row>
    <row r="118" spans="1:10">
      <c r="A118" s="2335"/>
      <c r="B118" s="2335"/>
      <c r="C118" s="2335"/>
      <c r="D118" s="2335"/>
      <c r="E118" s="2335"/>
      <c r="F118" s="2335"/>
      <c r="G118" s="2335"/>
      <c r="H118" s="2335"/>
      <c r="I118" s="2335"/>
      <c r="J118" s="2335"/>
    </row>
    <row r="119" spans="1:10">
      <c r="A119" s="2335"/>
      <c r="B119" s="2335"/>
      <c r="C119" s="2335"/>
      <c r="D119" s="2335"/>
      <c r="E119" s="2335"/>
      <c r="F119" s="2335"/>
      <c r="G119" s="2335"/>
      <c r="H119" s="2335"/>
      <c r="I119" s="2335"/>
      <c r="J119" s="2335"/>
    </row>
    <row r="120" spans="1:10">
      <c r="A120" s="2335"/>
      <c r="B120" s="2335"/>
      <c r="C120" s="2335"/>
      <c r="D120" s="2335"/>
      <c r="E120" s="2335"/>
      <c r="F120" s="2335"/>
      <c r="G120" s="2335"/>
      <c r="H120" s="2335"/>
      <c r="I120" s="2335"/>
      <c r="J120" s="2335"/>
    </row>
    <row r="121" spans="1:10">
      <c r="A121" s="2335"/>
      <c r="B121" s="2335"/>
      <c r="C121" s="2335"/>
      <c r="D121" s="2335"/>
      <c r="E121" s="2335"/>
      <c r="F121" s="2335"/>
      <c r="G121" s="2335"/>
      <c r="H121" s="2335"/>
      <c r="I121" s="2335"/>
      <c r="J121" s="2335"/>
    </row>
    <row r="122" spans="1:10">
      <c r="A122" s="2335"/>
      <c r="B122" s="2335"/>
      <c r="C122" s="2335"/>
      <c r="D122" s="2335"/>
      <c r="E122" s="2335"/>
      <c r="F122" s="2335"/>
      <c r="G122" s="2335"/>
      <c r="H122" s="2335"/>
      <c r="I122" s="2335"/>
      <c r="J122" s="2335"/>
    </row>
    <row r="123" spans="1:10">
      <c r="A123" s="2335"/>
      <c r="B123" s="2335"/>
      <c r="C123" s="2335"/>
      <c r="D123" s="2335"/>
      <c r="E123" s="2335"/>
      <c r="F123" s="2335"/>
      <c r="G123" s="2335"/>
      <c r="H123" s="2335"/>
      <c r="I123" s="2335"/>
      <c r="J123" s="2335"/>
    </row>
    <row r="124" spans="1:10">
      <c r="A124" s="2335"/>
      <c r="B124" s="2335"/>
      <c r="C124" s="2335"/>
      <c r="D124" s="2335"/>
      <c r="E124" s="2335"/>
      <c r="F124" s="2335"/>
      <c r="G124" s="2335"/>
      <c r="H124" s="2335"/>
      <c r="I124" s="2335"/>
      <c r="J124" s="2335"/>
    </row>
    <row r="125" spans="1:10">
      <c r="A125" s="2335"/>
      <c r="B125" s="2335"/>
      <c r="C125" s="2335"/>
      <c r="D125" s="2335"/>
      <c r="E125" s="2335"/>
      <c r="F125" s="2335"/>
      <c r="G125" s="2335"/>
      <c r="H125" s="2335"/>
      <c r="I125" s="2335"/>
      <c r="J125" s="2335"/>
    </row>
    <row r="126" spans="1:10">
      <c r="A126" s="2335"/>
      <c r="B126" s="2335"/>
      <c r="C126" s="2335"/>
      <c r="D126" s="2335"/>
      <c r="E126" s="2335"/>
      <c r="F126" s="2335"/>
      <c r="G126" s="2335"/>
      <c r="H126" s="2335"/>
      <c r="I126" s="2335"/>
      <c r="J126" s="2335"/>
    </row>
  </sheetData>
  <sheetProtection selectLockedCells="1" selectUnlockedCells="1"/>
  <mergeCells count="85">
    <mergeCell ref="B59:F59"/>
    <mergeCell ref="B60:F60"/>
    <mergeCell ref="G56:H56"/>
    <mergeCell ref="G57:H57"/>
    <mergeCell ref="G58:H58"/>
    <mergeCell ref="G39:H39"/>
    <mergeCell ref="G40:H40"/>
    <mergeCell ref="G41:H41"/>
    <mergeCell ref="G42:H42"/>
    <mergeCell ref="G59:H59"/>
    <mergeCell ref="G53:H53"/>
    <mergeCell ref="G54:H54"/>
    <mergeCell ref="G55:H55"/>
    <mergeCell ref="G48:H48"/>
    <mergeCell ref="G49:H49"/>
    <mergeCell ref="G50:H50"/>
    <mergeCell ref="G51:H51"/>
    <mergeCell ref="G52:H52"/>
    <mergeCell ref="G43:H43"/>
    <mergeCell ref="G44:H44"/>
    <mergeCell ref="G45:H45"/>
    <mergeCell ref="G46:H46"/>
    <mergeCell ref="G47:H47"/>
    <mergeCell ref="E68:G68"/>
    <mergeCell ref="A69:C69"/>
    <mergeCell ref="E69:G69"/>
    <mergeCell ref="A61:J61"/>
    <mergeCell ref="B53:F53"/>
    <mergeCell ref="B54:F54"/>
    <mergeCell ref="B55:F55"/>
    <mergeCell ref="B50:F50"/>
    <mergeCell ref="B51:F51"/>
    <mergeCell ref="B52:F52"/>
    <mergeCell ref="G60:H60"/>
    <mergeCell ref="B56:F56"/>
    <mergeCell ref="B57:F57"/>
    <mergeCell ref="B58:F58"/>
    <mergeCell ref="A77:G77"/>
    <mergeCell ref="A78:G78"/>
    <mergeCell ref="B64:D64"/>
    <mergeCell ref="B66:D66"/>
    <mergeCell ref="A62:J62"/>
    <mergeCell ref="A63:J63"/>
    <mergeCell ref="A72:G72"/>
    <mergeCell ref="A73:G73"/>
    <mergeCell ref="A74:G74"/>
    <mergeCell ref="A75:G75"/>
    <mergeCell ref="A76:G76"/>
    <mergeCell ref="B45:F45"/>
    <mergeCell ref="B46:F46"/>
    <mergeCell ref="B47:F47"/>
    <mergeCell ref="B48:F48"/>
    <mergeCell ref="B49:F49"/>
    <mergeCell ref="B42:F42"/>
    <mergeCell ref="B43:F43"/>
    <mergeCell ref="B44:F44"/>
    <mergeCell ref="B39:F39"/>
    <mergeCell ref="B40:F40"/>
    <mergeCell ref="B41:F41"/>
    <mergeCell ref="B36:F36"/>
    <mergeCell ref="B37:F37"/>
    <mergeCell ref="B38:F38"/>
    <mergeCell ref="B34:F34"/>
    <mergeCell ref="G34:J34"/>
    <mergeCell ref="B35:F35"/>
    <mergeCell ref="G38:H38"/>
    <mergeCell ref="G35:H35"/>
    <mergeCell ref="G36:H36"/>
    <mergeCell ref="G37:H37"/>
    <mergeCell ref="A30:J30"/>
    <mergeCell ref="A32:J32"/>
    <mergeCell ref="A13:J13"/>
    <mergeCell ref="A14:J14"/>
    <mergeCell ref="A16:J16"/>
    <mergeCell ref="A17:J17"/>
    <mergeCell ref="A19:J19"/>
    <mergeCell ref="A21:J21"/>
    <mergeCell ref="A24:J24"/>
    <mergeCell ref="A26:J26"/>
    <mergeCell ref="A27:J27"/>
    <mergeCell ref="A29:J29"/>
    <mergeCell ref="A23:G23"/>
    <mergeCell ref="H23:J23"/>
    <mergeCell ref="A22:G22"/>
    <mergeCell ref="H22:J22"/>
  </mergeCells>
  <phoneticPr fontId="51" type="noConversion"/>
  <hyperlinks>
    <hyperlink ref="K35" location="申报主表!A1" display="申报主表"/>
    <hyperlink ref="K37" location="利润!A1" display="利润及利润分配表"/>
    <hyperlink ref="K39" location="纳税调整明细表!A1" display="纳税调整明细表"/>
  </hyperlinks>
  <pageMargins left="0.72" right="0.35433070866141703" top="0.511811023622047" bottom="0.55000000000000004" header="0.511811023622047" footer="0.511811023622047"/>
  <pageSetup paperSize="9" firstPageNumber="0" fitToHeight="0" orientation="portrait" blackAndWhite="1" r:id="rId1"/>
  <headerFooter alignWithMargins="0"/>
  <drawing r:id="rId2"/>
  <legacyDrawing r:id="rId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pageSetUpPr fitToPage="1"/>
  </sheetPr>
  <dimension ref="A1:L30"/>
  <sheetViews>
    <sheetView workbookViewId="0">
      <selection activeCell="C12" sqref="C12:K12"/>
    </sheetView>
  </sheetViews>
  <sheetFormatPr defaultColWidth="9" defaultRowHeight="15.6"/>
  <cols>
    <col min="1" max="1" width="6.8984375" style="48" customWidth="1"/>
    <col min="2" max="2" width="5.19921875" style="48" customWidth="1"/>
    <col min="3" max="3" width="9.09765625" style="48" customWidth="1"/>
    <col min="4" max="4" width="4.8984375" style="48" customWidth="1"/>
    <col min="5" max="5" width="13.59765625" style="48" customWidth="1"/>
    <col min="6" max="6" width="8.5" style="48" customWidth="1"/>
    <col min="7" max="7" width="2" style="48" customWidth="1"/>
    <col min="8" max="8" width="10.69921875" style="48" customWidth="1"/>
    <col min="9" max="9" width="3" style="48" customWidth="1"/>
    <col min="10" max="10" width="11.5" style="48" customWidth="1"/>
    <col min="11" max="11" width="11.19921875" style="48" customWidth="1"/>
    <col min="12" max="12" width="49.8984375" style="2338" customWidth="1"/>
    <col min="13" max="16384" width="9" style="2338"/>
  </cols>
  <sheetData>
    <row r="1" spans="1:12" ht="25.5" customHeight="1">
      <c r="A1" s="3745" t="s">
        <v>6977</v>
      </c>
      <c r="B1" s="3745"/>
      <c r="C1" s="2336"/>
      <c r="D1" s="2336"/>
      <c r="E1" s="2336"/>
      <c r="F1" s="2336"/>
      <c r="G1" s="2336"/>
      <c r="H1" s="2336"/>
      <c r="I1" s="2336"/>
      <c r="J1" s="2336"/>
      <c r="K1" s="2336"/>
      <c r="L1" s="2337"/>
    </row>
    <row r="2" spans="1:12" ht="41.25" customHeight="1">
      <c r="A2" s="2729" t="s">
        <v>6978</v>
      </c>
      <c r="B2" s="2729"/>
      <c r="C2" s="2729"/>
      <c r="D2" s="2729"/>
      <c r="E2" s="2729"/>
      <c r="F2" s="2729"/>
      <c r="G2" s="2729"/>
      <c r="H2" s="2729"/>
      <c r="I2" s="2729"/>
      <c r="J2" s="2729"/>
      <c r="K2" s="2729"/>
      <c r="L2" s="2337"/>
    </row>
    <row r="3" spans="1:12" ht="21" customHeight="1">
      <c r="A3" s="3077" t="str">
        <f>"报告文号："&amp;基本情况!B18</f>
        <v>报告文号：</v>
      </c>
      <c r="B3" s="3077"/>
      <c r="C3" s="3077"/>
      <c r="D3" s="3077"/>
      <c r="E3" s="3077"/>
      <c r="F3" s="3077"/>
      <c r="G3" s="3746" t="str">
        <f>"索引号："&amp;档案索引!A24</f>
        <v>索引号：2A-4</v>
      </c>
      <c r="H3" s="3746"/>
      <c r="I3" s="3746"/>
      <c r="J3" s="3747" t="s">
        <v>6979</v>
      </c>
      <c r="K3" s="3747"/>
      <c r="L3" s="2337"/>
    </row>
    <row r="4" spans="1:12" s="2340" customFormat="1" ht="24" customHeight="1">
      <c r="A4" s="3752" t="s">
        <v>6980</v>
      </c>
      <c r="B4" s="3752"/>
      <c r="C4" s="3753">
        <f>基本情况!B2</f>
        <v>0</v>
      </c>
      <c r="D4" s="3753"/>
      <c r="E4" s="3753"/>
      <c r="F4" s="3753"/>
      <c r="G4" s="2955" t="s">
        <v>427</v>
      </c>
      <c r="H4" s="2955"/>
      <c r="I4" s="2955"/>
      <c r="J4" s="3748">
        <f>基本情况!B41</f>
        <v>0</v>
      </c>
      <c r="K4" s="3748"/>
      <c r="L4" s="2339" t="s">
        <v>395</v>
      </c>
    </row>
    <row r="5" spans="1:12" s="2340" customFormat="1" ht="24" customHeight="1">
      <c r="A5" s="3752"/>
      <c r="B5" s="3752"/>
      <c r="C5" s="3753"/>
      <c r="D5" s="3753"/>
      <c r="E5" s="3753"/>
      <c r="F5" s="3753"/>
      <c r="G5" s="2955" t="s">
        <v>428</v>
      </c>
      <c r="H5" s="2955"/>
      <c r="I5" s="2955"/>
      <c r="J5" s="3748">
        <f>基本情况!B42</f>
        <v>0</v>
      </c>
      <c r="K5" s="3748"/>
      <c r="L5" s="2316" t="s">
        <v>62</v>
      </c>
    </row>
    <row r="6" spans="1:12" s="2340" customFormat="1" ht="24" customHeight="1">
      <c r="A6" s="3749" t="s">
        <v>6981</v>
      </c>
      <c r="B6" s="3749"/>
      <c r="C6" s="3750">
        <f>基本情况!B31</f>
        <v>0</v>
      </c>
      <c r="D6" s="3750"/>
      <c r="E6" s="3750"/>
      <c r="F6" s="3750"/>
      <c r="G6" s="2955" t="s">
        <v>408</v>
      </c>
      <c r="H6" s="2955"/>
      <c r="I6" s="2955"/>
      <c r="J6" s="3751">
        <f>IF(基本情况!B34="","",基本情况!B34)</f>
        <v>0</v>
      </c>
      <c r="K6" s="3751"/>
      <c r="L6" s="2341"/>
    </row>
    <row r="7" spans="1:12" s="2340" customFormat="1" ht="24" customHeight="1">
      <c r="A7" s="3749"/>
      <c r="B7" s="3749"/>
      <c r="C7" s="3750"/>
      <c r="D7" s="3750"/>
      <c r="E7" s="3750"/>
      <c r="F7" s="3750"/>
      <c r="G7" s="2955" t="s">
        <v>407</v>
      </c>
      <c r="H7" s="2955"/>
      <c r="I7" s="2955"/>
      <c r="J7" s="3751">
        <f>IF(基本情况!B33="","",基本情况!B33)</f>
        <v>0</v>
      </c>
      <c r="K7" s="3751"/>
      <c r="L7" s="2341"/>
    </row>
    <row r="8" spans="1:12" s="2340" customFormat="1" ht="24" customHeight="1">
      <c r="A8" s="2955" t="s">
        <v>424</v>
      </c>
      <c r="B8" s="2955"/>
      <c r="C8" s="3751" t="e">
        <f>IF(基本情况!B39="","",基本情况!B39)</f>
        <v>#N/A</v>
      </c>
      <c r="D8" s="3751"/>
      <c r="E8" s="3751"/>
      <c r="F8" s="3751"/>
      <c r="G8" s="2955" t="s">
        <v>432</v>
      </c>
      <c r="H8" s="2955"/>
      <c r="I8" s="2955"/>
      <c r="J8" s="3751">
        <f>基本情况!B47</f>
        <v>0</v>
      </c>
      <c r="K8" s="3751"/>
      <c r="L8" s="2341"/>
    </row>
    <row r="9" spans="1:12" s="2340" customFormat="1" ht="24" customHeight="1">
      <c r="A9" s="3754" t="s">
        <v>426</v>
      </c>
      <c r="B9" s="3754"/>
      <c r="C9" s="3751" t="e">
        <f>IF(基本情况!B40="","",基本情况!B40)</f>
        <v>#N/A</v>
      </c>
      <c r="D9" s="3751"/>
      <c r="E9" s="3751"/>
      <c r="F9" s="3751"/>
      <c r="G9" s="2955"/>
      <c r="H9" s="2955"/>
      <c r="I9" s="2955"/>
      <c r="J9" s="3751"/>
      <c r="K9" s="3751"/>
      <c r="L9" s="2341"/>
    </row>
    <row r="10" spans="1:12" s="2340" customFormat="1" ht="24" customHeight="1">
      <c r="A10" s="2955" t="s">
        <v>6982</v>
      </c>
      <c r="B10" s="2955"/>
      <c r="C10" s="3755" t="s">
        <v>6983</v>
      </c>
      <c r="D10" s="3755"/>
      <c r="E10" s="2342">
        <f>IF(基本情况!B45="","",基本情况!B45)</f>
        <v>0</v>
      </c>
      <c r="F10" s="2955" t="s">
        <v>1624</v>
      </c>
      <c r="G10" s="2955"/>
      <c r="H10" s="2955"/>
      <c r="I10" s="2955"/>
      <c r="J10" s="3751" t="str">
        <f>IF(基本情况!B48="","",基本情况!B48)</f>
        <v>0</v>
      </c>
      <c r="K10" s="3751"/>
      <c r="L10" s="2341"/>
    </row>
    <row r="11" spans="1:12" s="2340" customFormat="1" ht="24" customHeight="1">
      <c r="A11" s="2955"/>
      <c r="B11" s="2955"/>
      <c r="C11" s="3755" t="s">
        <v>6984</v>
      </c>
      <c r="D11" s="3755"/>
      <c r="E11" s="2343">
        <f>IF(基本情况!B44="","",基本情况!B44)</f>
        <v>0</v>
      </c>
      <c r="F11" s="2955" t="s">
        <v>6985</v>
      </c>
      <c r="G11" s="2955"/>
      <c r="H11" s="2955"/>
      <c r="I11" s="2955"/>
      <c r="J11" s="3751">
        <f>基本情况!B43</f>
        <v>0</v>
      </c>
      <c r="K11" s="3751"/>
      <c r="L11" s="2341"/>
    </row>
    <row r="12" spans="1:12" s="2340" customFormat="1" ht="75.75" customHeight="1">
      <c r="A12" s="2955" t="s">
        <v>431</v>
      </c>
      <c r="B12" s="2955"/>
      <c r="C12" s="3756">
        <f>基本情况!B46</f>
        <v>0</v>
      </c>
      <c r="D12" s="3756"/>
      <c r="E12" s="3756"/>
      <c r="F12" s="3756"/>
      <c r="G12" s="3756"/>
      <c r="H12" s="3756"/>
      <c r="I12" s="3756"/>
      <c r="J12" s="3756"/>
      <c r="K12" s="3756"/>
      <c r="L12" s="2341"/>
    </row>
    <row r="13" spans="1:12" s="2340" customFormat="1" ht="21" customHeight="1">
      <c r="A13" s="2955" t="s">
        <v>418</v>
      </c>
      <c r="B13" s="2955"/>
      <c r="C13" s="3748">
        <f>基本情况!B35</f>
        <v>0</v>
      </c>
      <c r="D13" s="3748"/>
      <c r="E13" s="3748"/>
      <c r="F13" s="3749" t="s">
        <v>419</v>
      </c>
      <c r="G13" s="3749"/>
      <c r="H13" s="3748">
        <f>基本情况!B36</f>
        <v>0</v>
      </c>
      <c r="I13" s="3748"/>
      <c r="J13" s="3748"/>
      <c r="K13" s="3748"/>
      <c r="L13" s="2341"/>
    </row>
    <row r="14" spans="1:12" s="2340" customFormat="1" ht="21" customHeight="1">
      <c r="A14" s="2955" t="s">
        <v>6986</v>
      </c>
      <c r="B14" s="2955"/>
      <c r="C14" s="2955"/>
      <c r="D14" s="2955"/>
      <c r="E14" s="2955" t="s">
        <v>6987</v>
      </c>
      <c r="F14" s="2955" t="s">
        <v>6988</v>
      </c>
      <c r="G14" s="2955"/>
      <c r="H14" s="2955" t="s">
        <v>6989</v>
      </c>
      <c r="I14" s="2955" t="s">
        <v>6990</v>
      </c>
      <c r="J14" s="2955"/>
      <c r="K14" s="2955" t="s">
        <v>6991</v>
      </c>
      <c r="L14" s="2341"/>
    </row>
    <row r="15" spans="1:12" s="2340" customFormat="1" ht="21" customHeight="1">
      <c r="A15" s="2955"/>
      <c r="B15" s="2955"/>
      <c r="C15" s="2955"/>
      <c r="D15" s="2955"/>
      <c r="E15" s="2955"/>
      <c r="F15" s="2955"/>
      <c r="G15" s="2955"/>
      <c r="H15" s="2955"/>
      <c r="I15" s="2955"/>
      <c r="J15" s="2955"/>
      <c r="K15" s="2955"/>
      <c r="L15" s="2341"/>
    </row>
    <row r="16" spans="1:12" s="2340" customFormat="1" ht="24" customHeight="1">
      <c r="A16" s="3757" t="str">
        <f>IF(基本情况!A52="","",基本情况!A52)</f>
        <v/>
      </c>
      <c r="B16" s="3757"/>
      <c r="C16" s="3757"/>
      <c r="D16" s="3757"/>
      <c r="E16" s="2344"/>
      <c r="F16" s="3757" t="str">
        <f>IF(基本情况!B52="","",基本情况!B52/10000)</f>
        <v/>
      </c>
      <c r="G16" s="3757"/>
      <c r="H16" s="2345" t="str">
        <f>IF(A16="","",基本情况!C52)</f>
        <v/>
      </c>
      <c r="I16" s="3757" t="str">
        <f>IF(基本情况!D52="","",基本情况!D52/10000)</f>
        <v/>
      </c>
      <c r="J16" s="3757"/>
      <c r="K16" s="2345" t="str">
        <f>IF(A16="","",基本情况!E52)</f>
        <v/>
      </c>
      <c r="L16" s="2341"/>
    </row>
    <row r="17" spans="1:12" s="2340" customFormat="1" ht="24" customHeight="1">
      <c r="A17" s="3757" t="str">
        <f>IF(基本情况!A53="","",基本情况!A53)</f>
        <v/>
      </c>
      <c r="B17" s="3757"/>
      <c r="C17" s="3757"/>
      <c r="D17" s="3757"/>
      <c r="E17" s="2344"/>
      <c r="F17" s="3757" t="str">
        <f>IF(基本情况!B53="","",基本情况!B53/10000)</f>
        <v/>
      </c>
      <c r="G17" s="3757"/>
      <c r="H17" s="2345" t="str">
        <f>IF(A17="","",基本情况!C53)</f>
        <v/>
      </c>
      <c r="I17" s="3757" t="str">
        <f>IF(基本情况!D53="","",基本情况!D53/10000)</f>
        <v/>
      </c>
      <c r="J17" s="3757"/>
      <c r="K17" s="2345" t="str">
        <f>IF(A17="","",基本情况!E53)</f>
        <v/>
      </c>
      <c r="L17" s="2341"/>
    </row>
    <row r="18" spans="1:12" s="2340" customFormat="1" ht="24" customHeight="1">
      <c r="A18" s="3757" t="str">
        <f>IF(基本情况!A54="","",基本情况!A54)</f>
        <v/>
      </c>
      <c r="B18" s="3757"/>
      <c r="C18" s="3757"/>
      <c r="D18" s="3757"/>
      <c r="E18" s="2344"/>
      <c r="F18" s="3757" t="str">
        <f>IF(基本情况!B54="","",基本情况!B54/10000)</f>
        <v/>
      </c>
      <c r="G18" s="3757"/>
      <c r="H18" s="2345" t="str">
        <f>IF(A18="","",基本情况!C54)</f>
        <v/>
      </c>
      <c r="I18" s="3757" t="str">
        <f>IF(基本情况!D54="","",基本情况!D54/10000)</f>
        <v/>
      </c>
      <c r="J18" s="3757"/>
      <c r="K18" s="2345" t="str">
        <f>IF(A18="","",基本情况!E54)</f>
        <v/>
      </c>
      <c r="L18" s="2341"/>
    </row>
    <row r="19" spans="1:12" s="2340" customFormat="1" ht="24" customHeight="1">
      <c r="A19" s="3757" t="str">
        <f>IF(基本情况!A55="","",基本情况!A55)</f>
        <v/>
      </c>
      <c r="B19" s="3757"/>
      <c r="C19" s="3757"/>
      <c r="D19" s="3757"/>
      <c r="E19" s="2344"/>
      <c r="F19" s="3757" t="str">
        <f>IF(基本情况!B55="","",基本情况!B55/10000)</f>
        <v/>
      </c>
      <c r="G19" s="3757"/>
      <c r="H19" s="2345" t="str">
        <f>IF(A19="","",基本情况!C55)</f>
        <v/>
      </c>
      <c r="I19" s="3757" t="str">
        <f>IF(基本情况!D55="","",基本情况!D55/10000)</f>
        <v/>
      </c>
      <c r="J19" s="3757"/>
      <c r="K19" s="2345" t="str">
        <f>IF(A19="","",基本情况!E55)</f>
        <v/>
      </c>
      <c r="L19" s="2341"/>
    </row>
    <row r="20" spans="1:12" s="2340" customFormat="1" ht="24" customHeight="1">
      <c r="A20" s="3757" t="str">
        <f>IF(基本情况!A56="","",基本情况!A56)</f>
        <v/>
      </c>
      <c r="B20" s="3757"/>
      <c r="C20" s="3757"/>
      <c r="D20" s="3757"/>
      <c r="E20" s="2344"/>
      <c r="F20" s="3757" t="str">
        <f>IF(基本情况!B56="","",基本情况!B56/10000)</f>
        <v/>
      </c>
      <c r="G20" s="3757"/>
      <c r="H20" s="2345" t="str">
        <f>IF(A20="","",基本情况!C56)</f>
        <v/>
      </c>
      <c r="I20" s="3757" t="str">
        <f>IF(基本情况!D56="","",基本情况!D56/10000)</f>
        <v/>
      </c>
      <c r="J20" s="3757"/>
      <c r="K20" s="2345" t="str">
        <f>IF(A20="","",基本情况!E56)</f>
        <v/>
      </c>
      <c r="L20" s="2341"/>
    </row>
    <row r="21" spans="1:12" s="2340" customFormat="1" ht="21" customHeight="1">
      <c r="A21" s="2955" t="s">
        <v>6992</v>
      </c>
      <c r="B21" s="2955"/>
      <c r="C21" s="2955"/>
      <c r="D21" s="2955"/>
      <c r="E21" s="2346">
        <f>SUM(E16:E20)</f>
        <v>0</v>
      </c>
      <c r="F21" s="3759">
        <f>SUM(F16:G20)</f>
        <v>0</v>
      </c>
      <c r="G21" s="3759">
        <f>SUM(G16:G18)</f>
        <v>0</v>
      </c>
      <c r="H21" s="2347">
        <f>SUM(H16:H20)</f>
        <v>0</v>
      </c>
      <c r="I21" s="3760">
        <f>SUM(I16:J20)</f>
        <v>0</v>
      </c>
      <c r="J21" s="3760"/>
      <c r="K21" s="2347">
        <f>SUM(K16:K20)</f>
        <v>0</v>
      </c>
      <c r="L21" s="2341"/>
    </row>
    <row r="22" spans="1:12" s="2340" customFormat="1" ht="21" customHeight="1">
      <c r="A22" s="3762" t="s">
        <v>6993</v>
      </c>
      <c r="B22" s="2955" t="s">
        <v>6994</v>
      </c>
      <c r="C22" s="2955"/>
      <c r="D22" s="2955"/>
      <c r="E22" s="2348" t="s">
        <v>1625</v>
      </c>
      <c r="F22" s="2955" t="s">
        <v>1626</v>
      </c>
      <c r="G22" s="2955"/>
      <c r="H22" s="2955" t="s">
        <v>6994</v>
      </c>
      <c r="I22" s="2955"/>
      <c r="J22" s="2348" t="s">
        <v>1625</v>
      </c>
      <c r="K22" s="2348" t="s">
        <v>1626</v>
      </c>
      <c r="L22" s="2341"/>
    </row>
    <row r="23" spans="1:12" s="2340" customFormat="1" ht="21" customHeight="1">
      <c r="A23" s="3762"/>
      <c r="B23" s="3758"/>
      <c r="C23" s="3758"/>
      <c r="D23" s="3758"/>
      <c r="E23" s="2349"/>
      <c r="F23" s="3758"/>
      <c r="G23" s="3758"/>
      <c r="H23" s="3758"/>
      <c r="I23" s="3758"/>
      <c r="J23" s="2349"/>
      <c r="K23" s="2349"/>
      <c r="L23" s="2341"/>
    </row>
    <row r="24" spans="1:12" s="2340" customFormat="1" ht="21" customHeight="1">
      <c r="A24" s="3762"/>
      <c r="B24" s="3758"/>
      <c r="C24" s="3758"/>
      <c r="D24" s="3758"/>
      <c r="E24" s="2349"/>
      <c r="F24" s="3758"/>
      <c r="G24" s="3758"/>
      <c r="H24" s="3758"/>
      <c r="I24" s="3758"/>
      <c r="J24" s="2349"/>
      <c r="K24" s="2349"/>
      <c r="L24" s="2341"/>
    </row>
    <row r="25" spans="1:12" s="2340" customFormat="1" ht="21" customHeight="1">
      <c r="A25" s="3762"/>
      <c r="B25" s="3758"/>
      <c r="C25" s="3758"/>
      <c r="D25" s="3758"/>
      <c r="E25" s="2349"/>
      <c r="F25" s="3758"/>
      <c r="G25" s="3758"/>
      <c r="H25" s="3758"/>
      <c r="I25" s="3758"/>
      <c r="J25" s="2349"/>
      <c r="K25" s="2349"/>
      <c r="L25" s="2341"/>
    </row>
    <row r="26" spans="1:12" s="2340" customFormat="1" ht="21" customHeight="1">
      <c r="A26" s="3762"/>
      <c r="B26" s="3758"/>
      <c r="C26" s="3758"/>
      <c r="D26" s="3758"/>
      <c r="E26" s="2349"/>
      <c r="F26" s="3758"/>
      <c r="G26" s="3758"/>
      <c r="H26" s="3758"/>
      <c r="I26" s="3758"/>
      <c r="J26" s="2349"/>
      <c r="K26" s="2349"/>
      <c r="L26" s="2341"/>
    </row>
    <row r="27" spans="1:12" s="2340" customFormat="1" ht="21" customHeight="1">
      <c r="A27" s="3762"/>
      <c r="B27" s="3758"/>
      <c r="C27" s="3758"/>
      <c r="D27" s="3758"/>
      <c r="E27" s="2349"/>
      <c r="F27" s="3758"/>
      <c r="G27" s="3758"/>
      <c r="H27" s="3758"/>
      <c r="I27" s="3758"/>
      <c r="J27" s="2349"/>
      <c r="K27" s="2349"/>
      <c r="L27" s="2341"/>
    </row>
    <row r="28" spans="1:12" s="2340" customFormat="1" ht="21" customHeight="1">
      <c r="A28" s="3762"/>
      <c r="B28" s="3758"/>
      <c r="C28" s="3758"/>
      <c r="D28" s="3758"/>
      <c r="E28" s="2349"/>
      <c r="F28" s="3758"/>
      <c r="G28" s="3758"/>
      <c r="H28" s="3758"/>
      <c r="I28" s="3758"/>
      <c r="J28" s="2349"/>
      <c r="K28" s="2349"/>
      <c r="L28" s="2341"/>
    </row>
    <row r="29" spans="1:12" s="2340" customFormat="1" ht="21" customHeight="1">
      <c r="A29" s="2955" t="s">
        <v>443</v>
      </c>
      <c r="B29" s="2955"/>
      <c r="C29" s="2955"/>
      <c r="D29" s="3761">
        <f>基本情况!B65</f>
        <v>0</v>
      </c>
      <c r="E29" s="3761"/>
      <c r="F29" s="2955" t="s">
        <v>6995</v>
      </c>
      <c r="G29" s="2955"/>
      <c r="H29" s="2955"/>
      <c r="I29" s="3761">
        <f>基本情况!B66</f>
        <v>0</v>
      </c>
      <c r="J29" s="3761"/>
      <c r="K29" s="3761"/>
      <c r="L29" s="2341"/>
    </row>
    <row r="30" spans="1:12" s="2340" customFormat="1" ht="26.25" customHeight="1">
      <c r="A30" s="2955"/>
      <c r="B30" s="2955"/>
      <c r="C30" s="2955"/>
      <c r="D30" s="3761"/>
      <c r="E30" s="3761"/>
      <c r="F30" s="2955"/>
      <c r="G30" s="2955"/>
      <c r="H30" s="2955"/>
      <c r="I30" s="3761"/>
      <c r="J30" s="3761"/>
      <c r="K30" s="3761"/>
      <c r="L30" s="2341"/>
    </row>
  </sheetData>
  <sheetProtection selectLockedCells="1" selectUnlockedCells="1"/>
  <mergeCells count="86">
    <mergeCell ref="A29:C30"/>
    <mergeCell ref="D29:E30"/>
    <mergeCell ref="F29:H30"/>
    <mergeCell ref="I29:K30"/>
    <mergeCell ref="B27:D27"/>
    <mergeCell ref="F27:G27"/>
    <mergeCell ref="H27:I27"/>
    <mergeCell ref="B28:D28"/>
    <mergeCell ref="F28:G28"/>
    <mergeCell ref="H28:I28"/>
    <mergeCell ref="A22:A28"/>
    <mergeCell ref="B22:D22"/>
    <mergeCell ref="F22:G22"/>
    <mergeCell ref="H22:I22"/>
    <mergeCell ref="B23:D23"/>
    <mergeCell ref="F23:G23"/>
    <mergeCell ref="B25:D25"/>
    <mergeCell ref="F25:G25"/>
    <mergeCell ref="H25:I25"/>
    <mergeCell ref="B26:D26"/>
    <mergeCell ref="F26:G26"/>
    <mergeCell ref="H26:I26"/>
    <mergeCell ref="H23:I23"/>
    <mergeCell ref="B24:D24"/>
    <mergeCell ref="F24:G24"/>
    <mergeCell ref="H24:I24"/>
    <mergeCell ref="A20:D20"/>
    <mergeCell ref="F20:G20"/>
    <mergeCell ref="I20:J20"/>
    <mergeCell ref="A21:D21"/>
    <mergeCell ref="F21:G21"/>
    <mergeCell ref="I21:J21"/>
    <mergeCell ref="A18:D18"/>
    <mergeCell ref="F18:G18"/>
    <mergeCell ref="I18:J18"/>
    <mergeCell ref="A19:D19"/>
    <mergeCell ref="F19:G19"/>
    <mergeCell ref="I19:J19"/>
    <mergeCell ref="A16:D16"/>
    <mergeCell ref="F16:G16"/>
    <mergeCell ref="I16:J16"/>
    <mergeCell ref="A17:D17"/>
    <mergeCell ref="F17:G17"/>
    <mergeCell ref="I17:J17"/>
    <mergeCell ref="K14:K15"/>
    <mergeCell ref="A12:B12"/>
    <mergeCell ref="C12:K12"/>
    <mergeCell ref="A13:B13"/>
    <mergeCell ref="C13:E13"/>
    <mergeCell ref="F13:G13"/>
    <mergeCell ref="H13:K13"/>
    <mergeCell ref="A14:D15"/>
    <mergeCell ref="E14:E15"/>
    <mergeCell ref="F14:G15"/>
    <mergeCell ref="H14:H15"/>
    <mergeCell ref="I14:J15"/>
    <mergeCell ref="A10:B11"/>
    <mergeCell ref="C10:D10"/>
    <mergeCell ref="F10:I10"/>
    <mergeCell ref="J10:K10"/>
    <mergeCell ref="C11:D11"/>
    <mergeCell ref="F11:I11"/>
    <mergeCell ref="J11:K11"/>
    <mergeCell ref="A8:B8"/>
    <mergeCell ref="C8:F8"/>
    <mergeCell ref="G8:I9"/>
    <mergeCell ref="J8:K9"/>
    <mergeCell ref="A9:B9"/>
    <mergeCell ref="C9:F9"/>
    <mergeCell ref="J5:K5"/>
    <mergeCell ref="A6:B7"/>
    <mergeCell ref="C6:F7"/>
    <mergeCell ref="G6:I6"/>
    <mergeCell ref="J6:K6"/>
    <mergeCell ref="G7:I7"/>
    <mergeCell ref="J7:K7"/>
    <mergeCell ref="A4:B5"/>
    <mergeCell ref="C4:F5"/>
    <mergeCell ref="G4:I4"/>
    <mergeCell ref="J4:K4"/>
    <mergeCell ref="G5:I5"/>
    <mergeCell ref="A1:B1"/>
    <mergeCell ref="A2:K2"/>
    <mergeCell ref="A3:F3"/>
    <mergeCell ref="G3:I3"/>
    <mergeCell ref="J3:K3"/>
  </mergeCells>
  <phoneticPr fontId="51" type="noConversion"/>
  <hyperlinks>
    <hyperlink ref="L5" location="基本情况!A1" display="基本情况表"/>
  </hyperlinks>
  <pageMargins left="0.78740157480314998" right="0.35433070866141703" top="0.511811023622047" bottom="0.11811023622047198" header="0.511811023622047" footer="0.511811023622047"/>
  <pageSetup paperSize="9" scale="98" firstPageNumber="0" orientation="portrait" blackAndWhite="1"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K216"/>
  <sheetViews>
    <sheetView workbookViewId="0">
      <selection activeCell="D27" sqref="D27:E27"/>
    </sheetView>
  </sheetViews>
  <sheetFormatPr defaultColWidth="9" defaultRowHeight="15.6"/>
  <cols>
    <col min="1" max="1" width="1.19921875" style="2420" customWidth="1"/>
    <col min="2" max="2" width="22.5" style="2420" customWidth="1"/>
    <col min="3" max="3" width="12.8984375" style="2420" customWidth="1"/>
    <col min="4" max="6" width="12.3984375" style="2420" customWidth="1"/>
    <col min="7" max="7" width="9.59765625" style="2420" customWidth="1"/>
    <col min="8" max="8" width="29.3984375" style="2420" customWidth="1"/>
    <col min="9" max="9" width="18.19921875" style="2420" customWidth="1"/>
    <col min="10" max="16384" width="9" style="2420"/>
  </cols>
  <sheetData>
    <row r="1" spans="1:11" s="2351" customFormat="1" ht="29.25" customHeight="1">
      <c r="A1" s="3763">
        <f>基本情况!B2</f>
        <v>0</v>
      </c>
      <c r="B1" s="3763"/>
      <c r="C1" s="3763"/>
      <c r="D1" s="3763"/>
      <c r="E1" s="3763"/>
      <c r="F1" s="3763"/>
      <c r="G1" s="3763"/>
      <c r="H1" s="2350"/>
      <c r="I1" s="2350"/>
      <c r="J1" s="2350"/>
      <c r="K1" s="2350"/>
    </row>
    <row r="2" spans="1:11" s="2351" customFormat="1" ht="22.5" customHeight="1">
      <c r="A2" s="3764" t="s">
        <v>10079</v>
      </c>
      <c r="B2" s="3764"/>
      <c r="C2" s="3764"/>
      <c r="D2" s="3764"/>
      <c r="E2" s="3764"/>
      <c r="F2" s="3764"/>
      <c r="G2" s="3764"/>
      <c r="H2" s="2350"/>
      <c r="I2" s="2350"/>
      <c r="J2" s="2350"/>
      <c r="K2" s="2350"/>
    </row>
    <row r="3" spans="1:11" s="2351" customFormat="1" ht="14.25" customHeight="1">
      <c r="A3" s="3764"/>
      <c r="B3" s="3764"/>
      <c r="C3" s="3764"/>
      <c r="D3" s="3764"/>
      <c r="E3" s="3764"/>
      <c r="F3" s="3764"/>
      <c r="G3" s="3764"/>
      <c r="H3" s="2350"/>
      <c r="I3" s="2350"/>
      <c r="J3" s="2350"/>
      <c r="K3" s="2350"/>
    </row>
    <row r="4" spans="1:11" s="2351" customFormat="1" ht="36" customHeight="1">
      <c r="A4" s="3765" t="str">
        <f>"    我们接受委托，对贵单位"&amp;IF(OR(基本情况!B6&lt;&gt;"12月31日",基本情况!F5&lt;&gt;"01",基本情况!G5&lt;&gt;"01"),基本情况!B7,基本情况!B4&amp;"年度")&amp;"的企业所得税年度纳税申报事项进行了审核，现将审核情况说明如下："</f>
        <v xml:space="preserve">    我们接受委托，对贵单位2016年度的企业所得税年度纳税申报事项进行了审核，现将审核情况说明如下：</v>
      </c>
      <c r="B4" s="3765"/>
      <c r="C4" s="3765"/>
      <c r="D4" s="3765"/>
      <c r="E4" s="3765"/>
      <c r="F4" s="3765"/>
      <c r="G4" s="3765"/>
      <c r="H4" s="2352"/>
      <c r="I4" s="2353"/>
      <c r="J4" s="2353"/>
      <c r="K4" s="2350"/>
    </row>
    <row r="5" spans="1:11" s="2351" customFormat="1" ht="17.25" customHeight="1">
      <c r="A5" s="3766" t="s">
        <v>6996</v>
      </c>
      <c r="B5" s="3766"/>
      <c r="C5" s="3766"/>
      <c r="D5" s="3766"/>
      <c r="E5" s="3766"/>
      <c r="F5" s="3766"/>
      <c r="G5" s="3766"/>
      <c r="H5" s="2350"/>
      <c r="I5" s="2350"/>
      <c r="J5" s="2350"/>
      <c r="K5" s="2350"/>
    </row>
    <row r="6" spans="1:11" s="2351" customFormat="1" ht="18" customHeight="1">
      <c r="A6" s="3767" t="str">
        <f>"      1、执行《"&amp;基本情况!B38&amp;"》及有关规定；"</f>
        <v xml:space="preserve">      1、执行《小企业会计准则》及有关规定；</v>
      </c>
      <c r="B6" s="3767"/>
      <c r="C6" s="3767"/>
      <c r="D6" s="3767"/>
      <c r="E6" s="3767"/>
      <c r="F6" s="3767"/>
      <c r="G6" s="3767"/>
      <c r="H6" s="1060" t="s">
        <v>395</v>
      </c>
      <c r="I6" s="2350"/>
      <c r="J6" s="2350"/>
      <c r="K6" s="2350"/>
    </row>
    <row r="7" spans="1:11" s="2351" customFormat="1" ht="18" customHeight="1">
      <c r="A7" s="3767" t="str">
        <f>"      2、会计年度自"&amp;基本情况!B7&amp;"；"</f>
        <v xml:space="preserve">      2、会计年度自2016年01月01日至2016年12月31日；</v>
      </c>
      <c r="B7" s="3767"/>
      <c r="C7" s="3767"/>
      <c r="D7" s="3767"/>
      <c r="E7" s="3767"/>
      <c r="F7" s="3767"/>
      <c r="G7" s="3767"/>
      <c r="H7" s="2350"/>
      <c r="I7" s="2350"/>
      <c r="J7" s="2350"/>
      <c r="K7" s="2350"/>
    </row>
    <row r="8" spans="1:11" s="2351" customFormat="1" ht="18" customHeight="1">
      <c r="A8" s="3774" t="s">
        <v>6997</v>
      </c>
      <c r="B8" s="3774"/>
      <c r="C8" s="3774"/>
      <c r="D8" s="3774"/>
      <c r="E8" s="3774"/>
      <c r="F8" s="3774"/>
      <c r="G8" s="3774"/>
      <c r="H8" s="2350"/>
      <c r="I8" s="2350"/>
      <c r="J8" s="2350"/>
      <c r="K8" s="2350"/>
    </row>
    <row r="9" spans="1:11" s="2351" customFormat="1" ht="18" customHeight="1">
      <c r="A9" s="3774" t="s">
        <v>6998</v>
      </c>
      <c r="B9" s="3774"/>
      <c r="C9" s="3774"/>
      <c r="D9" s="3774"/>
      <c r="E9" s="3774"/>
      <c r="F9" s="3774"/>
      <c r="G9" s="3774"/>
      <c r="H9" s="2350"/>
      <c r="I9" s="2350"/>
      <c r="J9" s="2350"/>
      <c r="K9" s="2350"/>
    </row>
    <row r="10" spans="1:11" s="2351" customFormat="1" ht="18" customHeight="1">
      <c r="A10" s="3774" t="s">
        <v>6999</v>
      </c>
      <c r="B10" s="3774"/>
      <c r="C10" s="3774"/>
      <c r="D10" s="3774"/>
      <c r="E10" s="3774"/>
      <c r="F10" s="3774"/>
      <c r="G10" s="3774"/>
      <c r="H10" s="2350"/>
      <c r="I10" s="2350"/>
      <c r="J10" s="2350"/>
      <c r="K10" s="2350"/>
    </row>
    <row r="11" spans="1:11" s="2351" customFormat="1" ht="18" customHeight="1">
      <c r="A11" s="3774" t="s">
        <v>7000</v>
      </c>
      <c r="B11" s="3774"/>
      <c r="C11" s="3774"/>
      <c r="D11" s="3774"/>
      <c r="E11" s="3774"/>
      <c r="F11" s="3774"/>
      <c r="G11" s="3774"/>
      <c r="H11" s="2350"/>
      <c r="I11" s="2350"/>
      <c r="J11" s="2350"/>
      <c r="K11" s="2350"/>
    </row>
    <row r="12" spans="1:11" s="2351" customFormat="1" ht="18" customHeight="1">
      <c r="A12" s="3774" t="s">
        <v>7001</v>
      </c>
      <c r="B12" s="3774"/>
      <c r="C12" s="3774"/>
      <c r="D12" s="3774"/>
      <c r="E12" s="3774"/>
      <c r="F12" s="3774"/>
      <c r="G12" s="3774"/>
      <c r="H12" s="2350"/>
      <c r="I12" s="2350"/>
      <c r="J12" s="2350"/>
      <c r="K12" s="2350"/>
    </row>
    <row r="13" spans="1:11" s="2351" customFormat="1" ht="18" customHeight="1">
      <c r="A13" s="3766" t="s">
        <v>7002</v>
      </c>
      <c r="B13" s="3766"/>
      <c r="C13" s="3766"/>
      <c r="D13" s="3766"/>
      <c r="E13" s="3766"/>
      <c r="F13" s="3766"/>
      <c r="G13" s="3766"/>
      <c r="H13" s="2350"/>
      <c r="I13" s="2350"/>
      <c r="J13" s="2350"/>
      <c r="K13" s="2350"/>
    </row>
    <row r="14" spans="1:11" s="2355" customFormat="1" ht="22.5" customHeight="1">
      <c r="A14" s="3766" t="s">
        <v>7003</v>
      </c>
      <c r="B14" s="3766"/>
      <c r="C14" s="3766"/>
      <c r="D14" s="3766"/>
      <c r="E14" s="3766"/>
      <c r="F14" s="3766"/>
      <c r="G14" s="3766"/>
      <c r="H14" s="2354"/>
      <c r="I14" s="2354"/>
      <c r="J14" s="2354"/>
      <c r="K14" s="2354"/>
    </row>
    <row r="15" spans="1:11" s="2351" customFormat="1" ht="36" customHeight="1">
      <c r="A15" s="3765" t="str">
        <f>"    贵单位" &amp; IF(OR(基本情况!B6&lt;&gt;"12月31日",基本情况!F5&lt;&gt;"01",基本情况!G5&lt;&gt;"01"),基本情况!B7,基本情况!B4&amp;"年度") &amp; "账面销售（营业）收入" &amp; DOLLAR(主营收支!H20+其他业务!C18+其他事项!E10,2) &amp; "元，利润总额" &amp; DOLLAR(利润!C37,2) &amp; "元，经审核调整如下："</f>
        <v xml:space="preserve">    贵单位2016年度账面销售（营业）收入¥0.00元，利润总额¥0.00元，经审核调整如下：</v>
      </c>
      <c r="B15" s="3765"/>
      <c r="C15" s="3765"/>
      <c r="D15" s="3765"/>
      <c r="E15" s="3765"/>
      <c r="F15" s="3765"/>
      <c r="G15" s="3765"/>
      <c r="H15" s="2316" t="s">
        <v>642</v>
      </c>
      <c r="I15" s="2356"/>
      <c r="J15" s="2350"/>
      <c r="K15" s="2350"/>
    </row>
    <row r="16" spans="1:11" s="2351" customFormat="1" ht="22.5" customHeight="1">
      <c r="A16" s="2357" t="s">
        <v>1403</v>
      </c>
      <c r="B16" s="2358" t="s">
        <v>7004</v>
      </c>
      <c r="C16" s="2359">
        <f>D21</f>
        <v>0</v>
      </c>
      <c r="D16" s="2358" t="s">
        <v>7005</v>
      </c>
      <c r="E16" s="2358"/>
      <c r="F16" s="2358"/>
      <c r="G16" s="2358"/>
      <c r="H16" s="2350"/>
      <c r="I16" s="2356"/>
      <c r="J16" s="2350"/>
      <c r="K16" s="2350"/>
    </row>
    <row r="17" spans="1:11" s="2351" customFormat="1" ht="21.9" hidden="1" customHeight="1">
      <c r="A17" s="2357"/>
      <c r="B17" s="3768" t="s">
        <v>7006</v>
      </c>
      <c r="C17" s="3769"/>
      <c r="D17" s="2360" t="s">
        <v>7007</v>
      </c>
      <c r="E17" s="3768" t="s">
        <v>7008</v>
      </c>
      <c r="F17" s="3769"/>
      <c r="G17" s="2361" t="s">
        <v>7009</v>
      </c>
      <c r="H17" s="2350"/>
      <c r="I17" s="2356"/>
      <c r="J17" s="2350"/>
      <c r="K17" s="2350"/>
    </row>
    <row r="18" spans="1:11" s="2351" customFormat="1" ht="21.9" hidden="1" customHeight="1">
      <c r="A18" s="2357"/>
      <c r="B18" s="3770" t="s">
        <v>7010</v>
      </c>
      <c r="C18" s="3771"/>
      <c r="D18" s="2362">
        <v>0</v>
      </c>
      <c r="E18" s="3772" t="s">
        <v>7011</v>
      </c>
      <c r="F18" s="3773"/>
      <c r="G18" s="2363"/>
      <c r="H18" s="493" t="s">
        <v>673</v>
      </c>
      <c r="I18" s="2350"/>
      <c r="J18" s="2356"/>
      <c r="K18" s="2350"/>
    </row>
    <row r="19" spans="1:11" s="2351" customFormat="1" ht="21.9" hidden="1" customHeight="1">
      <c r="A19" s="2357"/>
      <c r="B19" s="3780"/>
      <c r="C19" s="3781"/>
      <c r="D19" s="2364"/>
      <c r="E19" s="3779"/>
      <c r="F19" s="3782"/>
      <c r="G19" s="2365"/>
      <c r="H19" s="2350"/>
      <c r="I19" s="2350"/>
      <c r="J19" s="2350"/>
      <c r="K19" s="2350"/>
    </row>
    <row r="20" spans="1:11" s="2351" customFormat="1" ht="21.9" hidden="1" customHeight="1">
      <c r="A20" s="2357"/>
      <c r="B20" s="3780"/>
      <c r="C20" s="3781"/>
      <c r="D20" s="2364"/>
      <c r="E20" s="3772"/>
      <c r="F20" s="3773"/>
      <c r="G20" s="2363"/>
      <c r="H20" s="493" t="s">
        <v>7012</v>
      </c>
      <c r="I20" s="2350"/>
      <c r="J20" s="2350"/>
      <c r="K20" s="2350"/>
    </row>
    <row r="21" spans="1:11" s="2370" customFormat="1" ht="21.9" hidden="1" customHeight="1">
      <c r="A21" s="2366"/>
      <c r="B21" s="3768" t="s">
        <v>7013</v>
      </c>
      <c r="C21" s="3769"/>
      <c r="D21" s="2367">
        <f>SUM(D18:D20)</f>
        <v>0</v>
      </c>
      <c r="E21" s="3783"/>
      <c r="F21" s="3784"/>
      <c r="G21" s="2368"/>
      <c r="H21" s="2369"/>
      <c r="I21" s="2369"/>
      <c r="J21" s="2369"/>
      <c r="K21" s="2369"/>
    </row>
    <row r="22" spans="1:11" s="2351" customFormat="1" ht="22.5" customHeight="1">
      <c r="A22" s="2357" t="s">
        <v>1403</v>
      </c>
      <c r="B22" s="2358" t="s">
        <v>7014</v>
      </c>
      <c r="C22" s="2371">
        <f>D26</f>
        <v>0</v>
      </c>
      <c r="D22" s="2358" t="s">
        <v>7005</v>
      </c>
      <c r="E22" s="2358"/>
      <c r="F22" s="2358"/>
      <c r="G22" s="2358"/>
      <c r="H22" s="2350"/>
      <c r="I22" s="2350"/>
      <c r="J22" s="2350"/>
      <c r="K22" s="2350"/>
    </row>
    <row r="23" spans="1:11" s="2351" customFormat="1" ht="21.75" hidden="1" customHeight="1">
      <c r="A23" s="2357"/>
      <c r="B23" s="3775" t="s">
        <v>7006</v>
      </c>
      <c r="C23" s="3775"/>
      <c r="D23" s="2360" t="s">
        <v>7007</v>
      </c>
      <c r="E23" s="3775" t="s">
        <v>7008</v>
      </c>
      <c r="F23" s="3775"/>
      <c r="G23" s="2361" t="s">
        <v>7009</v>
      </c>
      <c r="H23" s="2350"/>
      <c r="I23" s="2350"/>
      <c r="J23" s="2350"/>
      <c r="K23" s="2350"/>
    </row>
    <row r="24" spans="1:11" s="2351" customFormat="1" ht="21.75" hidden="1" customHeight="1">
      <c r="A24" s="2357"/>
      <c r="B24" s="3776" t="s">
        <v>7015</v>
      </c>
      <c r="C24" s="3776"/>
      <c r="D24" s="2362">
        <v>0</v>
      </c>
      <c r="E24" s="3777" t="s">
        <v>7016</v>
      </c>
      <c r="F24" s="3777"/>
      <c r="G24" s="2372"/>
      <c r="H24" s="493" t="s">
        <v>673</v>
      </c>
      <c r="I24" s="2350"/>
      <c r="J24" s="2350"/>
      <c r="K24" s="2350"/>
    </row>
    <row r="25" spans="1:11" s="2351" customFormat="1" ht="21.75" hidden="1" customHeight="1">
      <c r="A25" s="2357"/>
      <c r="B25" s="3778"/>
      <c r="C25" s="3778"/>
      <c r="D25" s="2364"/>
      <c r="E25" s="3779"/>
      <c r="F25" s="3779"/>
      <c r="G25" s="2365"/>
      <c r="H25" s="493" t="s">
        <v>7012</v>
      </c>
      <c r="I25" s="2350"/>
      <c r="J25" s="2350"/>
      <c r="K25" s="2350"/>
    </row>
    <row r="26" spans="1:11" s="2370" customFormat="1" ht="21.75" hidden="1" customHeight="1">
      <c r="A26" s="2366"/>
      <c r="B26" s="3775" t="s">
        <v>7013</v>
      </c>
      <c r="C26" s="3775"/>
      <c r="D26" s="2373">
        <f>SUM(D24:D25)</f>
        <v>0</v>
      </c>
      <c r="E26" s="3790"/>
      <c r="F26" s="3791"/>
      <c r="G26" s="2374"/>
      <c r="H26" s="2369"/>
      <c r="I26" s="2369"/>
      <c r="J26" s="2369"/>
      <c r="K26" s="2369"/>
    </row>
    <row r="27" spans="1:11" s="2370" customFormat="1" ht="22.5" customHeight="1">
      <c r="A27" s="2366"/>
      <c r="B27" s="2375" t="s">
        <v>7017</v>
      </c>
      <c r="C27" s="2376"/>
      <c r="D27" s="3792">
        <f>利润!C37+C16-C22</f>
        <v>0</v>
      </c>
      <c r="E27" s="3792"/>
      <c r="F27" s="2377" t="s">
        <v>7005</v>
      </c>
      <c r="G27" s="2377"/>
      <c r="H27" s="2378" t="s">
        <v>648</v>
      </c>
      <c r="I27" s="2379">
        <f>'A100000中华人民共和国企业所得税年度纳税申报表（A类）'!D16</f>
        <v>0</v>
      </c>
      <c r="J27" s="2369"/>
      <c r="K27" s="2369"/>
    </row>
    <row r="28" spans="1:11" s="2370" customFormat="1" ht="22.5" customHeight="1">
      <c r="A28" s="3766" t="s">
        <v>7018</v>
      </c>
      <c r="B28" s="3766"/>
      <c r="C28" s="3766"/>
      <c r="D28" s="3766"/>
      <c r="E28" s="3766"/>
      <c r="F28" s="3766"/>
      <c r="G28" s="2380"/>
      <c r="H28" s="2316" t="s">
        <v>7019</v>
      </c>
      <c r="I28" s="2381"/>
      <c r="J28" s="2369"/>
      <c r="K28" s="2369"/>
    </row>
    <row r="29" spans="1:11" s="2350" customFormat="1" ht="22.5" customHeight="1">
      <c r="A29" s="2358" t="s">
        <v>1403</v>
      </c>
      <c r="B29" s="2382" t="s">
        <v>7020</v>
      </c>
      <c r="C29" s="2383">
        <f ca="1">F82</f>
        <v>0</v>
      </c>
      <c r="D29" s="2384" t="s">
        <v>7005</v>
      </c>
      <c r="E29" s="2382"/>
      <c r="F29" s="2382"/>
      <c r="G29" s="2375"/>
      <c r="H29" s="493" t="s">
        <v>1291</v>
      </c>
    </row>
    <row r="30" spans="1:11" s="2350" customFormat="1" ht="21.75" customHeight="1">
      <c r="A30" s="2357"/>
      <c r="B30" s="3775" t="s">
        <v>1627</v>
      </c>
      <c r="C30" s="3775"/>
      <c r="D30" s="2360" t="s">
        <v>1628</v>
      </c>
      <c r="E30" s="2360" t="s">
        <v>1300</v>
      </c>
      <c r="F30" s="2360" t="s">
        <v>1462</v>
      </c>
      <c r="G30" s="2385" t="s">
        <v>7009</v>
      </c>
      <c r="H30" s="2386" t="s">
        <v>7021</v>
      </c>
    </row>
    <row r="31" spans="1:11" s="2350" customFormat="1" ht="18" customHeight="1">
      <c r="A31" s="2357"/>
      <c r="B31" s="3785" t="str">
        <f>MID(A105000纳税调整项目明细表!B6,7,FIND("（",A105000纳税调整项目明细表!B6,5)-7)</f>
        <v>视同销售收入</v>
      </c>
      <c r="C31" s="3786"/>
      <c r="D31" s="2387">
        <f>N(A105000纳税调整项目明细表!C6)</f>
        <v>0</v>
      </c>
      <c r="E31" s="2387">
        <f>A105000纳税调整项目明细表!D6</f>
        <v>0</v>
      </c>
      <c r="F31" s="2387">
        <f>A105000纳税调整项目明细表!E6</f>
        <v>0</v>
      </c>
      <c r="G31" s="2388"/>
    </row>
    <row r="32" spans="1:11" s="2350" customFormat="1" ht="18" customHeight="1">
      <c r="A32" s="2357"/>
      <c r="B32" s="3785" t="str">
        <f>MID(A105000纳税调整项目明细表!B7,7,FIND("（",A105000纳税调整项目明细表!B7,5)-7)</f>
        <v>未按权责发生制原则确认的收入</v>
      </c>
      <c r="C32" s="3786"/>
      <c r="D32" s="2387">
        <f>N(A105000纳税调整项目明细表!C7)</f>
        <v>0</v>
      </c>
      <c r="E32" s="2387">
        <f>A105000纳税调整项目明细表!D7</f>
        <v>0</v>
      </c>
      <c r="F32" s="2387">
        <f>A105000纳税调整项目明细表!E7</f>
        <v>0</v>
      </c>
      <c r="G32" s="2388"/>
    </row>
    <row r="33" spans="1:9" s="2350" customFormat="1" ht="18" customHeight="1">
      <c r="A33" s="2357"/>
      <c r="B33" s="3785" t="str">
        <f>MID(A105000纳税调整项目明细表!B8,8,FIND("（",A105000纳税调整项目明细表!B8,5)-1)</f>
        <v>投资收益</v>
      </c>
      <c r="C33" s="3786"/>
      <c r="D33" s="2387">
        <f>N(A105000纳税调整项目明细表!C8)</f>
        <v>0</v>
      </c>
      <c r="E33" s="2387">
        <f>A105000纳税调整项目明细表!D8</f>
        <v>0</v>
      </c>
      <c r="F33" s="2387">
        <f>A105000纳税调整项目明细表!E8</f>
        <v>0</v>
      </c>
      <c r="G33" s="2388"/>
    </row>
    <row r="34" spans="1:9" s="2350" customFormat="1" ht="18" customHeight="1">
      <c r="A34" s="2357"/>
      <c r="B34" s="3787" t="str">
        <f>其他事项!B12</f>
        <v>交易性金融资产初始投资调整</v>
      </c>
      <c r="C34" s="3788"/>
      <c r="D34" s="2387">
        <f>N(其他事项!D12)</f>
        <v>0</v>
      </c>
      <c r="E34" s="2387">
        <f>N(其他事项!E12)</f>
        <v>0</v>
      </c>
      <c r="F34" s="2387">
        <f>N(其他事项!F12)</f>
        <v>0</v>
      </c>
      <c r="G34" s="2389"/>
    </row>
    <row r="35" spans="1:9" s="2350" customFormat="1" ht="18" customHeight="1">
      <c r="A35" s="2357"/>
      <c r="B35" s="3785" t="str">
        <f>MID(A105000纳税调整项目明细表!B11,7,LEN(A105000纳税调整项目明细表!B11))</f>
        <v>公允价值变动净损益</v>
      </c>
      <c r="C35" s="3786"/>
      <c r="D35" s="2390">
        <f>A105000纳税调整项目明细表!C11</f>
        <v>0</v>
      </c>
      <c r="E35" s="2390">
        <f>N(A105000纳税调整项目明细表!D11)</f>
        <v>0</v>
      </c>
      <c r="F35" s="2390">
        <f>A105000纳税调整项目明细表!E11</f>
        <v>0</v>
      </c>
      <c r="G35" s="2388"/>
    </row>
    <row r="36" spans="1:9" s="2350" customFormat="1" ht="18" customHeight="1">
      <c r="A36" s="2357"/>
      <c r="B36" s="3785" t="str">
        <f>LEFT(其他事项!B8,5)</f>
        <v>不征税收入</v>
      </c>
      <c r="C36" s="3786"/>
      <c r="D36" s="2391">
        <f>其他事项!D8+A105040专项用途财政性资金纳税调整表!F13</f>
        <v>0</v>
      </c>
      <c r="E36" s="2391">
        <f>其他事项!E8+A105040专项用途财政性资金纳税调整表!P13</f>
        <v>0</v>
      </c>
      <c r="F36" s="2392">
        <f>MAX(0,E36-D36)</f>
        <v>0</v>
      </c>
      <c r="G36" s="2388"/>
      <c r="H36" s="2316" t="s">
        <v>1629</v>
      </c>
    </row>
    <row r="37" spans="1:9" s="2350" customFormat="1" ht="18" customHeight="1">
      <c r="A37" s="2357"/>
      <c r="B37" s="3789" t="str">
        <f>MID(A105000纳税调整项目明细表!B14,8,LEN(A105000纳税调整项目明细表!B14))</f>
        <v>销售折扣、折让和退回</v>
      </c>
      <c r="C37" s="3789"/>
      <c r="D37" s="2391">
        <f>A105000纳税调整项目明细表!C14</f>
        <v>0</v>
      </c>
      <c r="E37" s="2391">
        <f>A105000纳税调整项目明细表!D14</f>
        <v>0</v>
      </c>
      <c r="F37" s="2391">
        <f>A105000纳税调整项目明细表!E14</f>
        <v>0</v>
      </c>
      <c r="G37" s="2388"/>
    </row>
    <row r="38" spans="1:9" s="2350" customFormat="1" ht="18" customHeight="1">
      <c r="A38" s="2358"/>
      <c r="B38" s="3793" t="str">
        <f>其他事项!B9</f>
        <v>账面计入非损益类科目的政府补贴收入</v>
      </c>
      <c r="C38" s="3793"/>
      <c r="D38" s="2393">
        <f>N(其他事项!D9)</f>
        <v>0</v>
      </c>
      <c r="E38" s="2393">
        <f>N(其他事项!E9)</f>
        <v>0</v>
      </c>
      <c r="F38" s="2393">
        <f>N(其他事项!F9)</f>
        <v>0</v>
      </c>
      <c r="G38" s="2389"/>
      <c r="H38" s="2394"/>
    </row>
    <row r="39" spans="1:9" s="2350" customFormat="1" ht="18" customHeight="1">
      <c r="A39" s="2357"/>
      <c r="B39" s="3789" t="str">
        <f>其他事项!A7&amp;"-"&amp;其他事项!B7</f>
        <v>收入类-其他</v>
      </c>
      <c r="C39" s="3789"/>
      <c r="D39" s="2391">
        <f>A105000纳税调整项目明细表!C15</f>
        <v>0</v>
      </c>
      <c r="E39" s="2391">
        <f>A105000纳税调整项目明细表!D15</f>
        <v>0</v>
      </c>
      <c r="F39" s="2391">
        <f>A105000纳税调整项目明细表!E15</f>
        <v>0</v>
      </c>
      <c r="G39" s="2388"/>
    </row>
    <row r="40" spans="1:9" s="2350" customFormat="1" ht="18" customHeight="1">
      <c r="A40" s="2357"/>
      <c r="B40" s="3789" t="str">
        <f>MID(A105000纳税调整项目明细表!B18,7,FIND("（",A105000纳税调整项目明细表!B18,5)-7)</f>
        <v>职工薪酬</v>
      </c>
      <c r="C40" s="3789"/>
      <c r="D40" s="2390">
        <f>A105000纳税调整项目明细表!C18</f>
        <v>0</v>
      </c>
      <c r="E40" s="2390">
        <f>A105000纳税调整项目明细表!D18</f>
        <v>0</v>
      </c>
      <c r="F40" s="2390">
        <f>A105000纳税调整项目明细表!E18</f>
        <v>0</v>
      </c>
      <c r="G40" s="2388"/>
    </row>
    <row r="41" spans="1:9" s="2350" customFormat="1" ht="18" customHeight="1">
      <c r="A41" s="2357"/>
      <c r="B41" s="3789" t="str">
        <f>MID(A105000纳税调整项目明细表!B19,7,LEN(A105000纳税调整项目明细表!B19))</f>
        <v>业务招待费支出</v>
      </c>
      <c r="C41" s="3789"/>
      <c r="D41" s="2390">
        <f>N(A105000纳税调整项目明细表!C19)</f>
        <v>0</v>
      </c>
      <c r="E41" s="2390">
        <f>N(A105000纳税调整项目明细表!D19)</f>
        <v>0</v>
      </c>
      <c r="F41" s="2390">
        <f>N(A105000纳税调整项目明细表!E19)</f>
        <v>0</v>
      </c>
      <c r="G41" s="2388"/>
    </row>
    <row r="42" spans="1:9" s="2350" customFormat="1" ht="18" customHeight="1">
      <c r="A42" s="2357"/>
      <c r="B42" s="3789" t="str">
        <f>MID(A105000纳税调整项目明细表!B20,7,FIND("（",A105000纳税调整项目明细表!B20,5)-7)</f>
        <v>广告费和业务宣传费支出</v>
      </c>
      <c r="C42" s="3789"/>
      <c r="D42" s="2390">
        <f>N(A105000纳税调整项目明细表!C20)</f>
        <v>0</v>
      </c>
      <c r="E42" s="2390">
        <f>N(A105000纳税调整项目明细表!D20)</f>
        <v>0</v>
      </c>
      <c r="F42" s="2390">
        <f>N(A105000纳税调整项目明细表!E20)</f>
        <v>0</v>
      </c>
      <c r="G42" s="2388"/>
      <c r="H42" s="2316" t="s">
        <v>7022</v>
      </c>
      <c r="I42" s="2395" t="s">
        <v>7023</v>
      </c>
    </row>
    <row r="43" spans="1:9" s="2350" customFormat="1" ht="18" customHeight="1">
      <c r="A43" s="2357"/>
      <c r="B43" s="3789" t="str">
        <f>MID(A105000纳税调整项目明细表!B21,7,FIND("（",A105000纳税调整项目明细表!B21,5)-7)</f>
        <v>捐赠支出</v>
      </c>
      <c r="C43" s="3789"/>
      <c r="D43" s="2390">
        <f>N(A105000纳税调整项目明细表!C21)</f>
        <v>0</v>
      </c>
      <c r="E43" s="2390">
        <f>N(A105000纳税调整项目明细表!D21)</f>
        <v>0</v>
      </c>
      <c r="F43" s="2390">
        <f>N(A105000纳税调整项目明细表!E21)</f>
        <v>0</v>
      </c>
      <c r="G43" s="2388"/>
    </row>
    <row r="44" spans="1:9" s="2350" customFormat="1" ht="18" customHeight="1">
      <c r="A44" s="2357"/>
      <c r="B44" s="3789" t="str">
        <f>MID(A105000纳税调整项目明细表!B22,7,LEN(A105000纳税调整项目明细表!B22))</f>
        <v>利息支出</v>
      </c>
      <c r="C44" s="3789"/>
      <c r="D44" s="2390">
        <f>N(A105000纳税调整项目明细表!C22)</f>
        <v>0</v>
      </c>
      <c r="E44" s="2390">
        <f>N(A105000纳税调整项目明细表!D22)</f>
        <v>0</v>
      </c>
      <c r="F44" s="2390">
        <f>N(A105000纳税调整项目明细表!E22)</f>
        <v>0</v>
      </c>
      <c r="G44" s="2388"/>
    </row>
    <row r="45" spans="1:9" s="2350" customFormat="1" ht="18" customHeight="1">
      <c r="A45" s="2357"/>
      <c r="B45" s="3789" t="str">
        <f>MID(A105000纳税调整项目明细表!B23,7,LEN(A105000纳税调整项目明细表!B23))</f>
        <v>罚金、罚款和被没收财物的损失</v>
      </c>
      <c r="C45" s="3789"/>
      <c r="D45" s="2390">
        <f>N(A105000纳税调整项目明细表!C23)</f>
        <v>0</v>
      </c>
      <c r="E45" s="2390">
        <f>N(A105000纳税调整项目明细表!D23)</f>
        <v>0</v>
      </c>
      <c r="F45" s="2390">
        <f>N(A105000纳税调整项目明细表!E23)</f>
        <v>0</v>
      </c>
      <c r="G45" s="2388"/>
    </row>
    <row r="46" spans="1:9" s="2350" customFormat="1" ht="18" customHeight="1">
      <c r="A46" s="2357"/>
      <c r="B46" s="3789" t="str">
        <f>MID(A105000纳税调整项目明细表!B24,7,LEN(A105000纳税调整项目明细表!B24))</f>
        <v>税收滞纳金、加收利息</v>
      </c>
      <c r="C46" s="3789"/>
      <c r="D46" s="2390">
        <f>N(A105000纳税调整项目明细表!C24)</f>
        <v>0</v>
      </c>
      <c r="E46" s="2390">
        <f>N(A105000纳税调整项目明细表!D24)</f>
        <v>0</v>
      </c>
      <c r="F46" s="2390">
        <f>N(A105000纳税调整项目明细表!E24)</f>
        <v>0</v>
      </c>
      <c r="G46" s="2388"/>
    </row>
    <row r="47" spans="1:9" s="2350" customFormat="1" ht="18" customHeight="1">
      <c r="A47" s="2357"/>
      <c r="B47" s="3789" t="str">
        <f>MID(A105000纳税调整项目明细表!B25,7,LEN(A105000纳税调整项目明细表!B25))</f>
        <v>赞助支出</v>
      </c>
      <c r="C47" s="3789"/>
      <c r="D47" s="2390">
        <f>N(A105000纳税调整项目明细表!C25)</f>
        <v>0</v>
      </c>
      <c r="E47" s="2390">
        <f>N(A105000纳税调整项目明细表!D25)</f>
        <v>0</v>
      </c>
      <c r="F47" s="2390">
        <f>N(A105000纳税调整项目明细表!E25)</f>
        <v>0</v>
      </c>
      <c r="G47" s="2388"/>
    </row>
    <row r="48" spans="1:9" s="2350" customFormat="1" ht="18" customHeight="1">
      <c r="A48" s="2357"/>
      <c r="B48" s="3789" t="str">
        <f>MID(A105000纳税调整项目明细表!B26,7,LEN(A105000纳税调整项目明细表!B26))</f>
        <v>与未实现融资收益相关在当期确认的财务费用</v>
      </c>
      <c r="C48" s="3789"/>
      <c r="D48" s="2390">
        <f>N(A105000纳税调整项目明细表!C26)</f>
        <v>0</v>
      </c>
      <c r="E48" s="2390">
        <f>N(A105000纳税调整项目明细表!D26)</f>
        <v>0</v>
      </c>
      <c r="F48" s="2390">
        <f>N(A105000纳税调整项目明细表!E26)</f>
        <v>0</v>
      </c>
      <c r="G48" s="2388"/>
    </row>
    <row r="49" spans="1:9" s="2350" customFormat="1" ht="18" customHeight="1">
      <c r="A49" s="2357"/>
      <c r="B49" s="3789" t="str">
        <f>MID(A105000纳税调整项目明细表!B27,9,LEN(A105000纳税调整项目明细表!B27))</f>
        <v>佣金和手续费支出</v>
      </c>
      <c r="C49" s="3789"/>
      <c r="D49" s="2390">
        <f>N(A105000纳税调整项目明细表!C27)</f>
        <v>0</v>
      </c>
      <c r="E49" s="2390">
        <f>N(A105000纳税调整项目明细表!D27)</f>
        <v>0</v>
      </c>
      <c r="F49" s="2390">
        <f>N(A105000纳税调整项目明细表!E27)</f>
        <v>0</v>
      </c>
      <c r="G49" s="2388"/>
    </row>
    <row r="50" spans="1:9" s="2350" customFormat="1" ht="18" customHeight="1">
      <c r="A50" s="2357"/>
      <c r="B50" s="3789" t="str">
        <f>LEFT(其他事项!B21,14)</f>
        <v>不征税收入用于支出形成的费用</v>
      </c>
      <c r="C50" s="3789"/>
      <c r="D50" s="2390">
        <f>其他事项!D21+A105040专项用途财政性资金纳税调整表!M13</f>
        <v>0</v>
      </c>
      <c r="E50" s="2390">
        <f>N(其他事项!E21)</f>
        <v>0</v>
      </c>
      <c r="F50" s="2390">
        <f>N(其他事项!F21)</f>
        <v>0</v>
      </c>
      <c r="G50" s="2388"/>
    </row>
    <row r="51" spans="1:9" s="2350" customFormat="1" ht="18" customHeight="1">
      <c r="A51" s="2357"/>
      <c r="B51" s="3789" t="str">
        <f>MID(A105000纳税调整项目明细表!B30,9,LEN(A105000纳税调整项目明细表!B30))</f>
        <v>跨期扣除项目</v>
      </c>
      <c r="C51" s="3789"/>
      <c r="D51" s="2390">
        <f>N(A105000纳税调整项目明细表!C30)</f>
        <v>0</v>
      </c>
      <c r="E51" s="2390">
        <f>N(A105000纳税调整项目明细表!D30)</f>
        <v>0</v>
      </c>
      <c r="F51" s="2390">
        <f>N(A105000纳税调整项目明细表!E30)</f>
        <v>0</v>
      </c>
      <c r="G51" s="2388"/>
    </row>
    <row r="52" spans="1:9" s="2350" customFormat="1" ht="18" customHeight="1">
      <c r="A52" s="2357"/>
      <c r="B52" s="3789" t="str">
        <f>MID(A105000纳税调整项目明细表!B31,8,LEN(A105000纳税调整项目明细表!B31))</f>
        <v>与取得收入无关的支出</v>
      </c>
      <c r="C52" s="3789"/>
      <c r="D52" s="2390">
        <f>N(A105000纳税调整项目明细表!C31)</f>
        <v>0</v>
      </c>
      <c r="E52" s="2390">
        <f>N(A105000纳税调整项目明细表!D31)</f>
        <v>0</v>
      </c>
      <c r="F52" s="2390">
        <f>N(A105000纳税调整项目明细表!E31)</f>
        <v>0</v>
      </c>
      <c r="G52" s="2388"/>
    </row>
    <row r="53" spans="1:9" s="2350" customFormat="1" ht="18" customHeight="1">
      <c r="A53" s="2357"/>
      <c r="B53" s="3789" t="str">
        <f>MID(A105000纳税调整项目明细表!B32,9,LEN(A105000纳税调整项目明细表!B32))</f>
        <v>境外所得分摊的共同支出</v>
      </c>
      <c r="C53" s="3789"/>
      <c r="D53" s="2390">
        <f>A108010境外所得纳税调整后所得明细表!Q15+A108010境外所得纳税调整后所得明细表!R15</f>
        <v>0</v>
      </c>
      <c r="E53" s="2390">
        <f>N(A105000纳税调整项目明细表!D32)</f>
        <v>0</v>
      </c>
      <c r="F53" s="2390">
        <f>N(A105000纳税调整项目明细表!E32)</f>
        <v>0</v>
      </c>
      <c r="G53" s="2388"/>
      <c r="H53" s="575" t="s">
        <v>7024</v>
      </c>
    </row>
    <row r="54" spans="1:9" s="2350" customFormat="1" ht="18" customHeight="1">
      <c r="A54" s="2357"/>
      <c r="B54" s="3789" t="str">
        <f>其他事项!B22</f>
        <v>未取得合法有效票据的支出</v>
      </c>
      <c r="C54" s="3789"/>
      <c r="D54" s="2390">
        <f>N(其他事项!D22)</f>
        <v>0</v>
      </c>
      <c r="E54" s="2390">
        <f>N(其他事项!E22)</f>
        <v>0</v>
      </c>
      <c r="F54" s="2390">
        <f>N(其他事项!F22)</f>
        <v>0</v>
      </c>
      <c r="G54" s="2388"/>
    </row>
    <row r="55" spans="1:9" s="2350" customFormat="1" ht="18" customHeight="1">
      <c r="A55" s="2358"/>
      <c r="B55" s="3789" t="str">
        <f>其他事项!B23</f>
        <v>非本公司费用</v>
      </c>
      <c r="C55" s="3789"/>
      <c r="D55" s="2390">
        <f>N(其他事项!D23)</f>
        <v>0</v>
      </c>
      <c r="E55" s="2390">
        <f>N(其他事项!E23)</f>
        <v>0</v>
      </c>
      <c r="F55" s="2390">
        <f>N(其他事项!F23)</f>
        <v>0</v>
      </c>
      <c r="G55" s="2388"/>
      <c r="H55" s="2394"/>
    </row>
    <row r="56" spans="1:9" s="2350" customFormat="1" ht="18" customHeight="1">
      <c r="A56" s="2358"/>
      <c r="B56" s="3789" t="str">
        <f>其他事项!B25</f>
        <v>跨期费用</v>
      </c>
      <c r="C56" s="3789"/>
      <c r="D56" s="2390">
        <f>N(其他事项!D25)</f>
        <v>0</v>
      </c>
      <c r="E56" s="2390">
        <f>N(其他事项!E25)</f>
        <v>0</v>
      </c>
      <c r="F56" s="2390">
        <f>N(其他事项!F25)</f>
        <v>0</v>
      </c>
      <c r="G56" s="2388"/>
      <c r="H56" s="2394"/>
    </row>
    <row r="57" spans="1:9" s="2350" customFormat="1" ht="18" customHeight="1">
      <c r="A57" s="2358"/>
      <c r="B57" s="3789" t="str">
        <f>其他事项!B26</f>
        <v>大额购物未附清单</v>
      </c>
      <c r="C57" s="3789"/>
      <c r="D57" s="2390">
        <f>N(其他事项!D26)</f>
        <v>0</v>
      </c>
      <c r="E57" s="2390">
        <f>N(其他事项!E26)</f>
        <v>0</v>
      </c>
      <c r="F57" s="2390">
        <f>N(其他事项!F26)</f>
        <v>0</v>
      </c>
      <c r="G57" s="2389"/>
      <c r="H57" s="2316" t="s">
        <v>1298</v>
      </c>
      <c r="I57" s="14"/>
    </row>
    <row r="58" spans="1:9" s="2350" customFormat="1" ht="18" customHeight="1">
      <c r="A58" s="2358"/>
      <c r="B58" s="3789" t="str">
        <f>其他事项!B28</f>
        <v>按权责发生制原则应在以后年度确认的支出</v>
      </c>
      <c r="C58" s="3789"/>
      <c r="D58" s="2390">
        <f>N(其他事项!D28)</f>
        <v>0</v>
      </c>
      <c r="E58" s="2390">
        <f>N(其他事项!E28)</f>
        <v>0</v>
      </c>
      <c r="F58" s="2390">
        <f>N(其他事项!F28)</f>
        <v>0</v>
      </c>
      <c r="G58" s="2388"/>
      <c r="H58" s="2394"/>
      <c r="I58" s="14"/>
    </row>
    <row r="59" spans="1:9" s="2350" customFormat="1" ht="18" customHeight="1">
      <c r="A59" s="2358"/>
      <c r="B59" s="3789" t="str">
        <f>其他事项!B31</f>
        <v>应并入业务招待费的费用</v>
      </c>
      <c r="C59" s="3789"/>
      <c r="D59" s="2390">
        <f>N(其他事项!D31)</f>
        <v>0</v>
      </c>
      <c r="E59" s="2390">
        <f>N(其他事项!E31)</f>
        <v>0</v>
      </c>
      <c r="F59" s="2390">
        <f>N(其他事项!F31)</f>
        <v>0</v>
      </c>
      <c r="G59" s="2388"/>
      <c r="H59" s="2394"/>
      <c r="I59" s="14"/>
    </row>
    <row r="60" spans="1:9" s="2350" customFormat="1" ht="18" customHeight="1">
      <c r="A60" s="2358"/>
      <c r="B60" s="3789" t="str">
        <f>其他事项!B32</f>
        <v>灾害事故损失获得赔偿部分</v>
      </c>
      <c r="C60" s="3789"/>
      <c r="D60" s="2390">
        <f>N(其他事项!D32)</f>
        <v>0</v>
      </c>
      <c r="E60" s="2390">
        <f>N(其他事项!E32)</f>
        <v>0</v>
      </c>
      <c r="F60" s="2390">
        <f>N(其他事项!F32)</f>
        <v>0</v>
      </c>
      <c r="G60" s="2388"/>
      <c r="H60" s="2394"/>
      <c r="I60" s="14"/>
    </row>
    <row r="61" spans="1:9" s="2350" customFormat="1" ht="18" customHeight="1">
      <c r="A61" s="2358"/>
      <c r="B61" s="3789" t="str">
        <f>其他事项!B34</f>
        <v>为其他企业贷款担保的支出项目</v>
      </c>
      <c r="C61" s="3789"/>
      <c r="D61" s="2390">
        <f>N(其他事项!D34)</f>
        <v>0</v>
      </c>
      <c r="E61" s="2390">
        <f>N(其他事项!E34)</f>
        <v>0</v>
      </c>
      <c r="F61" s="2390">
        <f>N(其他事项!F34)</f>
        <v>0</v>
      </c>
      <c r="G61" s="2388"/>
      <c r="H61" s="2394"/>
      <c r="I61" s="14"/>
    </row>
    <row r="62" spans="1:9" s="2350" customFormat="1" ht="18" customHeight="1">
      <c r="A62" s="2358"/>
      <c r="B62" s="3789" t="str">
        <f>其他事项!B35</f>
        <v>在福利费中列支的社会保障性缴款单位负担部分</v>
      </c>
      <c r="C62" s="3789"/>
      <c r="D62" s="2390">
        <f>N(其他事项!D35)</f>
        <v>0</v>
      </c>
      <c r="E62" s="2390">
        <f>N(其他事项!E35)</f>
        <v>0</v>
      </c>
      <c r="F62" s="2390">
        <f>N(其他事项!F35)</f>
        <v>0</v>
      </c>
      <c r="G62" s="2388"/>
      <c r="H62" s="2394"/>
      <c r="I62" s="14"/>
    </row>
    <row r="63" spans="1:9" s="2350" customFormat="1" ht="18" customHeight="1">
      <c r="A63" s="2358"/>
      <c r="B63" s="3789" t="str">
        <f>其他事项!B37</f>
        <v>不属于应付福利费开支范围的支出</v>
      </c>
      <c r="C63" s="3789"/>
      <c r="D63" s="2390">
        <f>N(其他事项!D37)</f>
        <v>0</v>
      </c>
      <c r="E63" s="2390">
        <f>N(其他事项!E37)</f>
        <v>0</v>
      </c>
      <c r="F63" s="2390">
        <f>N(其他事项!F37)</f>
        <v>0</v>
      </c>
      <c r="G63" s="2388"/>
      <c r="I63" s="14"/>
    </row>
    <row r="64" spans="1:9" s="2350" customFormat="1" ht="18" customHeight="1">
      <c r="A64" s="2358"/>
      <c r="B64" s="3789" t="str">
        <f>其他事项!B38</f>
        <v>产权不属于公司的汽车费用</v>
      </c>
      <c r="C64" s="3789"/>
      <c r="D64" s="2390">
        <f>N(其他事项!D38)</f>
        <v>0</v>
      </c>
      <c r="E64" s="2390">
        <f>N(其他事项!E38)</f>
        <v>0</v>
      </c>
      <c r="F64" s="2390">
        <f>N(其他事项!F38)</f>
        <v>0</v>
      </c>
      <c r="G64" s="2388"/>
      <c r="H64" s="2394"/>
      <c r="I64" s="2396"/>
    </row>
    <row r="65" spans="1:9" s="2350" customFormat="1" ht="18" customHeight="1">
      <c r="A65" s="2358"/>
      <c r="B65" s="3785">
        <f>其他事项!B41</f>
        <v>0</v>
      </c>
      <c r="C65" s="3786"/>
      <c r="D65" s="2390">
        <f>其他事项!D41</f>
        <v>0</v>
      </c>
      <c r="E65" s="2390">
        <f>其他事项!E41</f>
        <v>0</v>
      </c>
      <c r="F65" s="2390">
        <f>其他事项!F41</f>
        <v>0</v>
      </c>
      <c r="G65" s="2388"/>
      <c r="H65" s="2394"/>
      <c r="I65" s="2396"/>
    </row>
    <row r="66" spans="1:9" s="2350" customFormat="1" ht="18" customHeight="1">
      <c r="A66" s="2358"/>
      <c r="B66" s="3789" t="s">
        <v>7025</v>
      </c>
      <c r="C66" s="3789"/>
      <c r="D66" s="2390">
        <f>租金!D11+租金!D17</f>
        <v>0</v>
      </c>
      <c r="E66" s="2390">
        <f>租金!D13+租金!D17-租金!D18</f>
        <v>0</v>
      </c>
      <c r="F66" s="2390">
        <f>租金!D14+租金!D18</f>
        <v>0</v>
      </c>
      <c r="G66" s="2388"/>
      <c r="H66" s="2394"/>
      <c r="I66" s="2396"/>
    </row>
    <row r="67" spans="1:9" s="2350" customFormat="1" ht="18" customHeight="1">
      <c r="A67" s="2358"/>
      <c r="B67" s="3789" t="str">
        <f>MID(A105000纳税调整项目明细表!B35,8,FIND("（",A105000纳税调整项目明细表!B35,5)+2)</f>
        <v>资产折旧、摊销</v>
      </c>
      <c r="C67" s="3789"/>
      <c r="D67" s="2390">
        <f>A105000纳税调整项目明细表!C35</f>
        <v>0</v>
      </c>
      <c r="E67" s="2390">
        <f ca="1">A105000纳税调整项目明细表!D35</f>
        <v>0</v>
      </c>
      <c r="F67" s="2390">
        <f ca="1">A105000纳税调整项目明细表!E35</f>
        <v>0</v>
      </c>
      <c r="G67" s="2388"/>
      <c r="H67" s="2397"/>
      <c r="I67" s="2396"/>
    </row>
    <row r="68" spans="1:9" s="2350" customFormat="1" ht="18" customHeight="1">
      <c r="A68" s="2358"/>
      <c r="B68" s="3789" t="str">
        <f>MID(A105000纳税调整项目明细表!B36,8,FIND("（",A105000纳税调整项目明细表!B36,5)+2)</f>
        <v>资产减值准备金</v>
      </c>
      <c r="C68" s="3789"/>
      <c r="D68" s="2390">
        <f>A105000纳税调整项目明细表!C36</f>
        <v>0</v>
      </c>
      <c r="E68" s="2390">
        <f>N(A105000纳税调整项目明细表!D36)</f>
        <v>0</v>
      </c>
      <c r="F68" s="2390">
        <f>A105000纳税调整项目明细表!E36</f>
        <v>0</v>
      </c>
      <c r="G68" s="2398"/>
      <c r="H68" s="2394"/>
    </row>
    <row r="69" spans="1:9" s="2350" customFormat="1" ht="18" customHeight="1">
      <c r="A69" s="2358"/>
      <c r="B69" s="3789" t="str">
        <f>MID(A105000纳税调整项目明细表!B37,7,FIND("（",A105000纳税调整项目明细表!B37,5)-7)</f>
        <v>资产损失</v>
      </c>
      <c r="C69" s="3789"/>
      <c r="D69" s="2390">
        <f>A105000纳税调整项目明细表!C37</f>
        <v>0</v>
      </c>
      <c r="E69" s="2390">
        <f>N(A105000纳税调整项目明细表!D37)</f>
        <v>0</v>
      </c>
      <c r="F69" s="2390">
        <f>A105000纳税调整项目明细表!E37</f>
        <v>0</v>
      </c>
      <c r="G69" s="2389"/>
      <c r="H69" s="2394"/>
    </row>
    <row r="70" spans="1:9" s="2350" customFormat="1" ht="18" customHeight="1">
      <c r="A70" s="2358"/>
      <c r="B70" s="3793" t="str">
        <f>其他事项!B13</f>
        <v>应予资本化的固定资产支出</v>
      </c>
      <c r="C70" s="3793"/>
      <c r="D70" s="2390">
        <f>其他事项!D13</f>
        <v>0</v>
      </c>
      <c r="E70" s="2390">
        <f>其他事项!E13</f>
        <v>0</v>
      </c>
      <c r="F70" s="2390">
        <f>其他事项!F13</f>
        <v>0</v>
      </c>
      <c r="G70" s="2389"/>
      <c r="H70" s="2394"/>
    </row>
    <row r="71" spans="1:9" s="2350" customFormat="1" ht="18" customHeight="1">
      <c r="A71" s="2358"/>
      <c r="B71" s="3793" t="str">
        <f>其他事项!B14</f>
        <v>应予资本化的无形资产支出</v>
      </c>
      <c r="C71" s="3793"/>
      <c r="D71" s="2390">
        <f>其他事项!D14</f>
        <v>0</v>
      </c>
      <c r="E71" s="2390">
        <f>其他事项!E14</f>
        <v>0</v>
      </c>
      <c r="F71" s="2390">
        <f>其他事项!F14</f>
        <v>0</v>
      </c>
      <c r="G71" s="2389"/>
      <c r="H71" s="2394"/>
    </row>
    <row r="72" spans="1:9" s="2350" customFormat="1" ht="18" customHeight="1">
      <c r="A72" s="2358"/>
      <c r="B72" s="3793" t="str">
        <f>其他事项!A13&amp;"-"&amp;其他事项!B15</f>
        <v>资产类-其他</v>
      </c>
      <c r="C72" s="3793"/>
      <c r="D72" s="2390">
        <f>其他事项!D15</f>
        <v>0</v>
      </c>
      <c r="E72" s="2390">
        <f>其他事项!E15</f>
        <v>0</v>
      </c>
      <c r="F72" s="2390">
        <f>MAX(其他事项!F15,0)</f>
        <v>0</v>
      </c>
      <c r="G72" s="2389"/>
      <c r="H72" s="2394"/>
    </row>
    <row r="73" spans="1:9" s="2350" customFormat="1" ht="18" customHeight="1">
      <c r="A73" s="2358"/>
      <c r="B73" s="3793" t="str">
        <f>MID(A105000纳税调整项目明细表!B40,7,FIND("（",A105000纳税调整项目明细表!B40,5)-7)</f>
        <v>企业重组</v>
      </c>
      <c r="C73" s="3793"/>
      <c r="D73" s="2393">
        <f>A105000纳税调整项目明细表!C40</f>
        <v>0</v>
      </c>
      <c r="E73" s="2393">
        <f>A105000纳税调整项目明细表!D40</f>
        <v>0</v>
      </c>
      <c r="F73" s="2393">
        <f>A105000纳税调整项目明细表!E40</f>
        <v>0</v>
      </c>
      <c r="G73" s="2389"/>
      <c r="H73" s="2394"/>
    </row>
    <row r="74" spans="1:9" s="2350" customFormat="1" ht="18" customHeight="1">
      <c r="A74" s="2358"/>
      <c r="B74" s="3793" t="str">
        <f>MID(A105000纳税调整项目明细表!B41,8,FIND("（",A105000纳税调整项目明细表!B41,5))</f>
        <v>政策性搬迁</v>
      </c>
      <c r="C74" s="3793"/>
      <c r="D74" s="2393">
        <f>A105110政策性搬迁纳税调整明细表!C25+A105110政策性搬迁纳税调整明细表!C26</f>
        <v>0</v>
      </c>
      <c r="E74" s="2393">
        <f>A105110政策性搬迁纳税调整明细表!C21</f>
        <v>0</v>
      </c>
      <c r="F74" s="2393">
        <f>A105000纳税调整项目明细表!E41</f>
        <v>0</v>
      </c>
      <c r="G74" s="2389"/>
      <c r="H74" s="2394"/>
    </row>
    <row r="75" spans="1:9" s="2350" customFormat="1" ht="18" customHeight="1">
      <c r="A75" s="2358"/>
      <c r="B75" s="3793" t="str">
        <f>MID(A105000纳税调整项目明细表!B42,8,FIND("（",A105000纳税调整项目明细表!B42,5)+2)</f>
        <v>特殊行业准备金</v>
      </c>
      <c r="C75" s="3793"/>
      <c r="D75" s="2393">
        <f>N(A105000纳税调整项目明细表!C42)</f>
        <v>0</v>
      </c>
      <c r="E75" s="2393">
        <f>N(A105000纳税调整项目明细表!D42)</f>
        <v>0</v>
      </c>
      <c r="F75" s="2393">
        <f>N(A105000纳税调整项目明细表!E42)</f>
        <v>0</v>
      </c>
      <c r="G75" s="2389"/>
      <c r="H75" s="2394"/>
    </row>
    <row r="76" spans="1:9" s="2350" customFormat="1" ht="18" customHeight="1">
      <c r="A76" s="2358"/>
      <c r="B76" s="3793" t="str">
        <f>MID(A105000纳税调整项目明细表!B43,8,FIND("（",A105000纳税调整项目明细表!B43,5)+14)</f>
        <v>房地产开发企业特定业务计算的纳税调整额</v>
      </c>
      <c r="C76" s="3793"/>
      <c r="D76" s="2393">
        <f>N(A105000纳税调整项目明细表!C43)</f>
        <v>0</v>
      </c>
      <c r="E76" s="2393">
        <f>N(A105000纳税调整项目明细表!D43)</f>
        <v>0</v>
      </c>
      <c r="F76" s="2393">
        <f>N(A105000纳税调整项目明细表!E43)</f>
        <v>0</v>
      </c>
      <c r="G76" s="2389"/>
      <c r="H76" s="2394"/>
    </row>
    <row r="77" spans="1:9" s="2350" customFormat="1" ht="18" customHeight="1">
      <c r="A77" s="2358"/>
      <c r="B77" s="3793" t="str">
        <f>其他事项!A17&amp;"调整项目-"&amp;其他事项!B17</f>
        <v>特殊事项调整项目-其他</v>
      </c>
      <c r="C77" s="3793"/>
      <c r="D77" s="2393">
        <f>其他事项!D17</f>
        <v>0</v>
      </c>
      <c r="E77" s="2393">
        <f>其他事项!E17</f>
        <v>0</v>
      </c>
      <c r="F77" s="2393">
        <f>A105000纳税调整项目明细表!E44</f>
        <v>0</v>
      </c>
      <c r="G77" s="2389"/>
      <c r="H77" s="2394"/>
    </row>
    <row r="78" spans="1:9" s="2350" customFormat="1" ht="18" customHeight="1">
      <c r="A78" s="2358"/>
      <c r="B78" s="3793" t="str">
        <f>其他事项!A18&amp;"应税所得"</f>
        <v>特别纳税调整应税所得</v>
      </c>
      <c r="C78" s="3793"/>
      <c r="D78" s="2393">
        <f>其他事项!D18</f>
        <v>0</v>
      </c>
      <c r="E78" s="2393">
        <f>其他事项!E18</f>
        <v>0</v>
      </c>
      <c r="F78" s="2393">
        <f>A105000纳税调整项目明细表!E45</f>
        <v>0</v>
      </c>
      <c r="G78" s="2389"/>
      <c r="H78" s="2394"/>
    </row>
    <row r="79" spans="1:9" s="2350" customFormat="1" ht="18" customHeight="1">
      <c r="A79" s="2358"/>
      <c r="B79" s="3793" t="str">
        <f>"纳税调整项目-"&amp;其他事项!A19</f>
        <v>纳税调整项目-其他</v>
      </c>
      <c r="C79" s="3793"/>
      <c r="D79" s="2393">
        <f>其他事项!D19</f>
        <v>0</v>
      </c>
      <c r="E79" s="2393">
        <f>其他事项!E19</f>
        <v>0</v>
      </c>
      <c r="F79" s="2393">
        <f>A105000纳税调整项目明细表!E46</f>
        <v>0</v>
      </c>
      <c r="G79" s="2389"/>
      <c r="H79" s="2394"/>
    </row>
    <row r="80" spans="1:9" s="2350" customFormat="1" ht="18" customHeight="1">
      <c r="A80" s="2358"/>
      <c r="B80" s="3794"/>
      <c r="C80" s="3795"/>
      <c r="D80" s="2399"/>
      <c r="E80" s="2400"/>
      <c r="F80" s="2399"/>
      <c r="G80" s="2389"/>
      <c r="H80" s="2394"/>
    </row>
    <row r="81" spans="1:8" s="2350" customFormat="1" ht="18" customHeight="1">
      <c r="A81" s="2358"/>
      <c r="B81" s="3796"/>
      <c r="C81" s="3796"/>
      <c r="D81" s="2399"/>
      <c r="E81" s="2400"/>
      <c r="F81" s="2399"/>
      <c r="G81" s="2389"/>
      <c r="H81" s="2394"/>
    </row>
    <row r="82" spans="1:8" s="2350" customFormat="1" ht="18" customHeight="1">
      <c r="A82" s="2358"/>
      <c r="B82" s="3797" t="s">
        <v>7026</v>
      </c>
      <c r="C82" s="3797"/>
      <c r="D82" s="2401">
        <v>0</v>
      </c>
      <c r="E82" s="2401">
        <v>0</v>
      </c>
      <c r="F82" s="2402">
        <f ca="1">SUM(F31:F81)</f>
        <v>0</v>
      </c>
      <c r="G82" s="2403"/>
      <c r="H82" s="2404" t="str">
        <f ca="1">"与A105000纳税调整项目明细表相差"&amp;DOLLAR(F82-A105000纳税调整项目明细表!E47,2)</f>
        <v>与A105000纳税调整项目明细表相差¥0.00</v>
      </c>
    </row>
    <row r="83" spans="1:8" s="2350" customFormat="1" ht="22.5" customHeight="1">
      <c r="A83" s="2358"/>
      <c r="B83" s="2375" t="s">
        <v>7027</v>
      </c>
      <c r="C83" s="2405">
        <f ca="1">F118</f>
        <v>0</v>
      </c>
      <c r="D83" s="2406" t="s">
        <v>7005</v>
      </c>
      <c r="E83" s="2406"/>
      <c r="F83" s="2406"/>
      <c r="G83" s="2406"/>
      <c r="H83" s="2394"/>
    </row>
    <row r="84" spans="1:8" s="2350" customFormat="1" ht="21.75" customHeight="1">
      <c r="A84" s="2358"/>
      <c r="B84" s="3797" t="s">
        <v>1627</v>
      </c>
      <c r="C84" s="3797"/>
      <c r="D84" s="2407" t="s">
        <v>1628</v>
      </c>
      <c r="E84" s="2407" t="s">
        <v>1300</v>
      </c>
      <c r="F84" s="2407" t="s">
        <v>1463</v>
      </c>
      <c r="G84" s="2361" t="s">
        <v>7009</v>
      </c>
      <c r="H84" s="2408" t="s">
        <v>7028</v>
      </c>
    </row>
    <row r="85" spans="1:8" s="2350" customFormat="1" ht="18" customHeight="1">
      <c r="A85" s="2358"/>
      <c r="B85" s="3789" t="str">
        <f>MID(A105000纳税调整项目明细表!B7,7,FIND("（",A105000纳税调整项目明细表!B7,5)-7)</f>
        <v>未按权责发生制原则确认的收入</v>
      </c>
      <c r="C85" s="3789"/>
      <c r="D85" s="2390">
        <f>A105000纳税调整项目明细表!C7</f>
        <v>0</v>
      </c>
      <c r="E85" s="2390">
        <f>A105000纳税调整项目明细表!D7</f>
        <v>0</v>
      </c>
      <c r="F85" s="2390">
        <f>A105000纳税调整项目明细表!F7</f>
        <v>0</v>
      </c>
      <c r="G85" s="2388"/>
      <c r="H85" s="2394"/>
    </row>
    <row r="86" spans="1:8" s="2350" customFormat="1" ht="18" customHeight="1">
      <c r="A86" s="2358"/>
      <c r="B86" s="3789" t="str">
        <f>MID(A105000纳税调整项目明细表!B8,8,FIND("（",A105000纳税调整项目明细表!B8,5)-1)</f>
        <v>投资收益</v>
      </c>
      <c r="C86" s="3789"/>
      <c r="D86" s="2390">
        <f>A105000纳税调整项目明细表!C8</f>
        <v>0</v>
      </c>
      <c r="E86" s="2390">
        <f>A105000纳税调整项目明细表!D8</f>
        <v>0</v>
      </c>
      <c r="F86" s="2390">
        <f>A105000纳税调整项目明细表!F8</f>
        <v>0</v>
      </c>
      <c r="G86" s="2388"/>
      <c r="H86" s="2394"/>
    </row>
    <row r="87" spans="1:8" s="2350" customFormat="1" ht="33.75" customHeight="1">
      <c r="A87" s="2358"/>
      <c r="B87" s="3787" t="str">
        <f>其他事项!B11</f>
        <v>按权益法核算长期股权投资对初始投资成本调整确认收益</v>
      </c>
      <c r="C87" s="3788"/>
      <c r="D87" s="2390">
        <f>其他事项!D11</f>
        <v>0</v>
      </c>
      <c r="E87" s="2390">
        <f>N(其他事项!E11)</f>
        <v>0</v>
      </c>
      <c r="F87" s="2390">
        <f>-其他事项!F11</f>
        <v>0</v>
      </c>
      <c r="G87" s="2388"/>
      <c r="H87" s="2394"/>
    </row>
    <row r="88" spans="1:8" s="2350" customFormat="1" ht="18" customHeight="1">
      <c r="A88" s="2358"/>
      <c r="B88" s="3789" t="str">
        <f>MID(A105000纳税调整项目明细表!B11,7,LEN(A105000纳税调整项目明细表!B11))</f>
        <v>公允价值变动净损益</v>
      </c>
      <c r="C88" s="3789"/>
      <c r="D88" s="2390">
        <f>A105000纳税调整项目明细表!C11</f>
        <v>0</v>
      </c>
      <c r="E88" s="2390">
        <f>N(A105000纳税调整项目明细表!D11)</f>
        <v>0</v>
      </c>
      <c r="F88" s="2390">
        <f>A105000纳税调整项目明细表!F11</f>
        <v>0</v>
      </c>
      <c r="G88" s="2388"/>
      <c r="H88" s="2394"/>
    </row>
    <row r="89" spans="1:8" s="2350" customFormat="1" ht="18" customHeight="1">
      <c r="A89" s="2358"/>
      <c r="B89" s="3789" t="str">
        <f>LEFT(其他事项!B8,5)</f>
        <v>不征税收入</v>
      </c>
      <c r="C89" s="3789"/>
      <c r="D89" s="2390">
        <f>其他事项!D8+A105040专项用途财政性资金纳税调整表!F13</f>
        <v>0</v>
      </c>
      <c r="E89" s="2390">
        <f>其他事项!E8+A105040专项用途财政性资金纳税调整表!P13</f>
        <v>0</v>
      </c>
      <c r="F89" s="2390">
        <f>-MIN(0,E36-D36)</f>
        <v>0</v>
      </c>
      <c r="G89" s="2388"/>
      <c r="H89" s="2394"/>
    </row>
    <row r="90" spans="1:8" s="2350" customFormat="1" ht="18" customHeight="1">
      <c r="A90" s="2358"/>
      <c r="B90" s="3789" t="str">
        <f>MID(A105000纳税调整项目明细表!B14,8,LEN(A105000纳税调整项目明细表!B14))</f>
        <v>销售折扣、折让和退回</v>
      </c>
      <c r="C90" s="3789"/>
      <c r="D90" s="2390">
        <f>A105000纳税调整项目明细表!C14</f>
        <v>0</v>
      </c>
      <c r="E90" s="2390">
        <f>A105000纳税调整项目明细表!D14</f>
        <v>0</v>
      </c>
      <c r="F90" s="2390">
        <f>A105000纳税调整项目明细表!F14</f>
        <v>0</v>
      </c>
      <c r="G90" s="2388"/>
      <c r="H90" s="2394"/>
    </row>
    <row r="91" spans="1:8" s="2350" customFormat="1" ht="18" customHeight="1">
      <c r="A91" s="2358"/>
      <c r="B91" s="3789" t="str">
        <f>其他事项!A7&amp;"-"&amp;其他事项!B7</f>
        <v>收入类-其他</v>
      </c>
      <c r="C91" s="3789"/>
      <c r="D91" s="2390">
        <f>其他事项!D7</f>
        <v>0</v>
      </c>
      <c r="E91" s="2390">
        <f>其他事项!E7</f>
        <v>0</v>
      </c>
      <c r="F91" s="2390">
        <f>A105000纳税调整项目明细表!F15</f>
        <v>0</v>
      </c>
      <c r="G91" s="2388"/>
      <c r="H91" s="2394"/>
    </row>
    <row r="92" spans="1:8" s="2350" customFormat="1" ht="18" customHeight="1">
      <c r="A92" s="2358"/>
      <c r="B92" s="3789" t="str">
        <f>MID(A105000纳税调整项目明细表!B17,7,FIND("（",A105000纳税调整项目明细表!B17,5)-7)</f>
        <v>视同销售成本</v>
      </c>
      <c r="C92" s="3789"/>
      <c r="D92" s="2390">
        <f>N(A105000纳税调整项目明细表!C17)</f>
        <v>0</v>
      </c>
      <c r="E92" s="2390">
        <f>A105000纳税调整项目明细表!D17</f>
        <v>0</v>
      </c>
      <c r="F92" s="2390">
        <f>A105000纳税调整项目明细表!F17</f>
        <v>0</v>
      </c>
      <c r="G92" s="2388"/>
      <c r="H92" s="2394"/>
    </row>
    <row r="93" spans="1:8" s="2350" customFormat="1" ht="18" customHeight="1">
      <c r="A93" s="2358"/>
      <c r="B93" s="3789" t="str">
        <f>MID(A105000纳税调整项目明细表!B18,7,FIND("（",A105000纳税调整项目明细表!B18,5)-7)</f>
        <v>职工薪酬</v>
      </c>
      <c r="C93" s="3789"/>
      <c r="D93" s="2390">
        <f>A105000纳税调整项目明细表!C18</f>
        <v>0</v>
      </c>
      <c r="E93" s="2390">
        <f>A105000纳税调整项目明细表!D18</f>
        <v>0</v>
      </c>
      <c r="F93" s="2390">
        <f>A105000纳税调整项目明细表!F18</f>
        <v>0</v>
      </c>
      <c r="G93" s="2388"/>
      <c r="H93" s="2394"/>
    </row>
    <row r="94" spans="1:8" s="2350" customFormat="1" ht="18" customHeight="1">
      <c r="A94" s="2358"/>
      <c r="B94" s="3789" t="str">
        <f>MID(A105000纳税调整项目明细表!B20,7,FIND("（",A105000纳税调整项目明细表!B20,5)-7)</f>
        <v>广告费和业务宣传费支出</v>
      </c>
      <c r="C94" s="3789"/>
      <c r="D94" s="2390">
        <f>N(A105000纳税调整项目明细表!C20)</f>
        <v>0</v>
      </c>
      <c r="E94" s="2390">
        <f>N(A105000纳税调整项目明细表!D20)</f>
        <v>0</v>
      </c>
      <c r="F94" s="2390">
        <f>A105000纳税调整项目明细表!F20</f>
        <v>0</v>
      </c>
      <c r="G94" s="2388"/>
      <c r="H94" s="2394"/>
    </row>
    <row r="95" spans="1:8" s="2350" customFormat="1" ht="18" customHeight="1">
      <c r="A95" s="2358"/>
      <c r="B95" s="3798" t="str">
        <f>MID(A105000纳税调整项目明细表!B22,7,LEN(A105000纳税调整项目明细表!B22))</f>
        <v>利息支出</v>
      </c>
      <c r="C95" s="3799"/>
      <c r="D95" s="2390">
        <f>A105000纳税调整项目明细表!C22</f>
        <v>0</v>
      </c>
      <c r="E95" s="2390">
        <f>A105000纳税调整项目明细表!D22</f>
        <v>0</v>
      </c>
      <c r="F95" s="2390">
        <f>A105000纳税调整项目明细表!F22</f>
        <v>0</v>
      </c>
      <c r="G95" s="2389"/>
      <c r="H95" s="2394"/>
    </row>
    <row r="96" spans="1:8" s="2350" customFormat="1" ht="18" customHeight="1">
      <c r="A96" s="2358"/>
      <c r="B96" s="3798" t="str">
        <f>MID(A105000纳税调整项目明细表!B26,7,LEN(A105000纳税调整项目明细表!B26))</f>
        <v>与未实现融资收益相关在当期确认的财务费用</v>
      </c>
      <c r="C96" s="3799"/>
      <c r="D96" s="2390">
        <f>A105000纳税调整项目明细表!C26</f>
        <v>0</v>
      </c>
      <c r="E96" s="2390">
        <f>A105000纳税调整项目明细表!D26</f>
        <v>0</v>
      </c>
      <c r="F96" s="2390">
        <f>A105000纳税调整项目明细表!F26</f>
        <v>0</v>
      </c>
      <c r="G96" s="2389"/>
      <c r="H96" s="2394"/>
    </row>
    <row r="97" spans="1:8" s="2350" customFormat="1" ht="18" customHeight="1">
      <c r="A97" s="2358"/>
      <c r="B97" s="3798" t="str">
        <f>MID(A105000纳税调整项目明细表!B30,9,LEN(A105000纳税调整项目明细表!B30))</f>
        <v>跨期扣除项目</v>
      </c>
      <c r="C97" s="3799"/>
      <c r="D97" s="2390">
        <f>A105000纳税调整项目明细表!C30</f>
        <v>0</v>
      </c>
      <c r="E97" s="2390">
        <f>A105000纳税调整项目明细表!D30</f>
        <v>0</v>
      </c>
      <c r="F97" s="2390">
        <f>A105000纳税调整项目明细表!F30</f>
        <v>0</v>
      </c>
      <c r="G97" s="2389"/>
      <c r="H97" s="2394"/>
    </row>
    <row r="98" spans="1:8" s="2350" customFormat="1" ht="18" customHeight="1">
      <c r="A98" s="2358"/>
      <c r="B98" s="3798" t="str">
        <f>其他事项!B27</f>
        <v>以前年度应计未计费用</v>
      </c>
      <c r="C98" s="3799"/>
      <c r="D98" s="2390">
        <f>N(其他事项!D27)</f>
        <v>0</v>
      </c>
      <c r="E98" s="2390">
        <f>其他事项!E27</f>
        <v>0</v>
      </c>
      <c r="F98" s="2390">
        <f>-其他事项!F27</f>
        <v>0</v>
      </c>
      <c r="G98" s="2389"/>
      <c r="H98" s="2394"/>
    </row>
    <row r="99" spans="1:8" s="2350" customFormat="1" ht="18" customHeight="1">
      <c r="A99" s="2358"/>
      <c r="B99" s="3798" t="str">
        <f>其他事项!B33</f>
        <v>房地产企业因预收款产生的招待费、广宣费调整差异</v>
      </c>
      <c r="C99" s="3799"/>
      <c r="D99" s="2390">
        <f>N(其他事项!D33)</f>
        <v>0</v>
      </c>
      <c r="E99" s="2390">
        <f>N(其他事项!E33)</f>
        <v>0</v>
      </c>
      <c r="F99" s="2390">
        <f>-其他事项!F33</f>
        <v>0</v>
      </c>
      <c r="G99" s="2389"/>
      <c r="H99" s="2394"/>
    </row>
    <row r="100" spans="1:8" s="2350" customFormat="1" ht="18" customHeight="1">
      <c r="A100" s="2358"/>
      <c r="B100" s="3798" t="str">
        <f>其他事项!B35</f>
        <v>在福利费中列支的社会保障性缴款单位负担部分</v>
      </c>
      <c r="C100" s="3799"/>
      <c r="D100" s="2390">
        <f>其他事项!D35</f>
        <v>0</v>
      </c>
      <c r="E100" s="2390">
        <f>其他事项!E35</f>
        <v>0</v>
      </c>
      <c r="F100" s="2390">
        <f>-其他事项!F35</f>
        <v>0</v>
      </c>
      <c r="G100" s="2389"/>
      <c r="H100" s="2394"/>
    </row>
    <row r="101" spans="1:8" s="2350" customFormat="1" ht="18" customHeight="1">
      <c r="A101" s="2358"/>
      <c r="B101" s="3798" t="str">
        <f>其他事项!B36</f>
        <v>以前年度调增长期待摊费用本年可摊销部分</v>
      </c>
      <c r="C101" s="3799"/>
      <c r="D101" s="2390">
        <f>N(其他事项!D36)</f>
        <v>0</v>
      </c>
      <c r="E101" s="2390">
        <f>其他事项!E36</f>
        <v>0</v>
      </c>
      <c r="F101" s="2390">
        <f>-其他事项!F36</f>
        <v>0</v>
      </c>
      <c r="G101" s="2389"/>
      <c r="H101" s="2394"/>
    </row>
    <row r="102" spans="1:8" s="2350" customFormat="1" ht="18" customHeight="1">
      <c r="A102" s="2358"/>
      <c r="B102" s="3798" t="str">
        <f>MID(A105000纳税调整项目明细表!B35,8,FIND("（",A105000纳税调整项目明细表!B35,5)+2)</f>
        <v>资产折旧、摊销</v>
      </c>
      <c r="C102" s="3799"/>
      <c r="D102" s="2390">
        <f>A105000纳税调整项目明细表!C35</f>
        <v>0</v>
      </c>
      <c r="E102" s="2390">
        <f ca="1">A105000纳税调整项目明细表!D35</f>
        <v>0</v>
      </c>
      <c r="F102" s="2390">
        <f ca="1">A105000纳税调整项目明细表!F35</f>
        <v>0</v>
      </c>
      <c r="G102" s="2389"/>
      <c r="H102" s="2394"/>
    </row>
    <row r="103" spans="1:8" s="2350" customFormat="1" ht="18" customHeight="1">
      <c r="A103" s="2358"/>
      <c r="B103" s="3798" t="str">
        <f>MID(A105000纳税调整项目明细表!B36,8,FIND("（",A105000纳税调整项目明细表!B36,5)+2)</f>
        <v>资产减值准备金</v>
      </c>
      <c r="C103" s="3799"/>
      <c r="D103" s="2390">
        <f>A105000纳税调整项目明细表!C36</f>
        <v>0</v>
      </c>
      <c r="E103" s="2390">
        <f>N(A105000纳税调整项目明细表!D36)</f>
        <v>0</v>
      </c>
      <c r="F103" s="2390">
        <f>A105000纳税调整项目明细表!F36</f>
        <v>0</v>
      </c>
      <c r="G103" s="2389"/>
      <c r="H103" s="2394"/>
    </row>
    <row r="104" spans="1:8" s="2350" customFormat="1" ht="18" customHeight="1">
      <c r="A104" s="2358"/>
      <c r="B104" s="3798" t="str">
        <f>MID(A105000纳税调整项目明细表!B37,7,FIND("（",A105000纳税调整项目明细表!B37,5)-7)</f>
        <v>资产损失</v>
      </c>
      <c r="C104" s="3799"/>
      <c r="D104" s="2390">
        <f>A105000纳税调整项目明细表!C37</f>
        <v>0</v>
      </c>
      <c r="E104" s="2390">
        <f>N(A105000纳税调整项目明细表!D37)</f>
        <v>0</v>
      </c>
      <c r="F104" s="2390">
        <f>A105000纳税调整项目明细表!F37</f>
        <v>0</v>
      </c>
      <c r="G104" s="2389"/>
      <c r="H104" s="2394"/>
    </row>
    <row r="105" spans="1:8" s="2350" customFormat="1" ht="18" customHeight="1">
      <c r="A105" s="2358"/>
      <c r="B105" s="3798" t="str">
        <f>其他事项!A13&amp;"-"&amp;其他事项!B15</f>
        <v>资产类-其他</v>
      </c>
      <c r="C105" s="3799"/>
      <c r="D105" s="2390">
        <f>其他事项!D15</f>
        <v>0</v>
      </c>
      <c r="E105" s="2390">
        <f>其他事项!E15</f>
        <v>0</v>
      </c>
      <c r="F105" s="2390">
        <f>-MIN(其他事项!F15,0)</f>
        <v>0</v>
      </c>
      <c r="G105" s="2389"/>
      <c r="H105" s="2394"/>
    </row>
    <row r="106" spans="1:8" s="2350" customFormat="1" ht="18" customHeight="1">
      <c r="A106" s="2358"/>
      <c r="B106" s="3798" t="str">
        <f>MID(A105000纳税调整项目明细表!B40,7,FIND("（",A105000纳税调整项目明细表!B40,5)-7)</f>
        <v>企业重组</v>
      </c>
      <c r="C106" s="3799"/>
      <c r="D106" s="2390">
        <f>A105000纳税调整项目明细表!C40</f>
        <v>0</v>
      </c>
      <c r="E106" s="2390">
        <f>A105000纳税调整项目明细表!D40</f>
        <v>0</v>
      </c>
      <c r="F106" s="2390">
        <f>A105000纳税调整项目明细表!F40</f>
        <v>0</v>
      </c>
      <c r="G106" s="2389"/>
      <c r="H106" s="2394"/>
    </row>
    <row r="107" spans="1:8" s="2350" customFormat="1" ht="18" customHeight="1">
      <c r="A107" s="2358"/>
      <c r="B107" s="3798" t="str">
        <f>MID(A105000纳税调整项目明细表!B41,8,FIND("（",A105000纳税调整项目明细表!B41,5))</f>
        <v>政策性搬迁</v>
      </c>
      <c r="C107" s="3799"/>
      <c r="D107" s="2390">
        <f>A105110政策性搬迁纳税调整明细表!C25+A105110政策性搬迁纳税调整明细表!C26</f>
        <v>0</v>
      </c>
      <c r="E107" s="2390">
        <f>A105110政策性搬迁纳税调整明细表!C21</f>
        <v>0</v>
      </c>
      <c r="F107" s="2390">
        <f>A105000纳税调整项目明细表!F41</f>
        <v>0</v>
      </c>
      <c r="G107" s="2389"/>
      <c r="H107" s="2394"/>
    </row>
    <row r="108" spans="1:8" s="2350" customFormat="1" ht="18" customHeight="1">
      <c r="A108" s="2358"/>
      <c r="B108" s="3798" t="str">
        <f>MID(A105000纳税调整项目明细表!B42,8,FIND("（",A105000纳税调整项目明细表!B42,5)+2)</f>
        <v>特殊行业准备金</v>
      </c>
      <c r="C108" s="3799"/>
      <c r="D108" s="2390">
        <f>A105000纳税调整项目明细表!C42</f>
        <v>0</v>
      </c>
      <c r="E108" s="2390">
        <f>A105000纳税调整项目明细表!D42</f>
        <v>0</v>
      </c>
      <c r="F108" s="2390">
        <f>A105000纳税调整项目明细表!F42</f>
        <v>0</v>
      </c>
      <c r="G108" s="2389"/>
      <c r="H108" s="2394"/>
    </row>
    <row r="109" spans="1:8" s="2350" customFormat="1" ht="18" customHeight="1">
      <c r="A109" s="2358"/>
      <c r="B109" s="3798" t="str">
        <f>MID(A105000纳税调整项目明细表!B43,8,FIND("（",A105000纳税调整项目明细表!B43,5)+14)</f>
        <v>房地产开发企业特定业务计算的纳税调整额</v>
      </c>
      <c r="C109" s="3799"/>
      <c r="D109" s="2390">
        <f>N(A105000纳税调整项目明细表!C43)</f>
        <v>0</v>
      </c>
      <c r="E109" s="2390">
        <f>N(A105000纳税调整项目明细表!D43)</f>
        <v>0</v>
      </c>
      <c r="F109" s="2390">
        <f>N(A105000纳税调整项目明细表!F43)</f>
        <v>0</v>
      </c>
      <c r="G109" s="2389"/>
      <c r="H109" s="2394"/>
    </row>
    <row r="110" spans="1:8" s="2350" customFormat="1" ht="18" customHeight="1">
      <c r="A110" s="2358"/>
      <c r="B110" s="3798" t="str">
        <f>其他事项!A17&amp;"调整项目-"&amp;其他事项!B17</f>
        <v>特殊事项调整项目-其他</v>
      </c>
      <c r="C110" s="3799"/>
      <c r="D110" s="2390">
        <f>其他事项!D17</f>
        <v>0</v>
      </c>
      <c r="E110" s="2390">
        <f>其他事项!E17</f>
        <v>0</v>
      </c>
      <c r="F110" s="2390">
        <f>N(A105000纳税调整项目明细表!F44)</f>
        <v>0</v>
      </c>
      <c r="G110" s="2389"/>
      <c r="H110" s="2394"/>
    </row>
    <row r="111" spans="1:8" s="2350" customFormat="1" ht="18" customHeight="1">
      <c r="A111" s="2358"/>
      <c r="B111" s="3798" t="str">
        <f>其他事项!A18&amp;"应税所得"</f>
        <v>特别纳税调整应税所得</v>
      </c>
      <c r="C111" s="3799"/>
      <c r="D111" s="2390">
        <f>其他事项!D18</f>
        <v>0</v>
      </c>
      <c r="E111" s="2390">
        <f>其他事项!E18</f>
        <v>0</v>
      </c>
      <c r="F111" s="2390">
        <f>N(A105000纳税调整项目明细表!F45)</f>
        <v>0</v>
      </c>
      <c r="G111" s="2389"/>
      <c r="H111" s="2394"/>
    </row>
    <row r="112" spans="1:8" s="2350" customFormat="1" ht="18" customHeight="1">
      <c r="A112" s="2358"/>
      <c r="B112" s="3798" t="str">
        <f>"纳税调整项目-"&amp;其他事项!A19</f>
        <v>纳税调整项目-其他</v>
      </c>
      <c r="C112" s="3799"/>
      <c r="D112" s="2390">
        <f>其他事项!D19</f>
        <v>0</v>
      </c>
      <c r="E112" s="2390">
        <f>其他事项!E19</f>
        <v>0</v>
      </c>
      <c r="F112" s="2390">
        <f>N(A105000纳税调整项目明细表!F46)</f>
        <v>0</v>
      </c>
      <c r="G112" s="2389"/>
      <c r="H112" s="2394"/>
    </row>
    <row r="113" spans="1:11" s="2350" customFormat="1" ht="18" customHeight="1">
      <c r="A113" s="2358"/>
      <c r="B113" s="3794"/>
      <c r="C113" s="3795"/>
      <c r="D113" s="2409"/>
      <c r="E113" s="2409"/>
      <c r="F113" s="2410"/>
      <c r="G113" s="2389"/>
      <c r="H113" s="2394"/>
    </row>
    <row r="114" spans="1:11" s="2350" customFormat="1" ht="18" customHeight="1">
      <c r="A114" s="2358"/>
      <c r="B114" s="3794"/>
      <c r="C114" s="3795"/>
      <c r="D114" s="2409"/>
      <c r="E114" s="2409"/>
      <c r="F114" s="2410"/>
      <c r="G114" s="2389"/>
      <c r="H114" s="2394"/>
    </row>
    <row r="115" spans="1:11" s="2350" customFormat="1" ht="18" customHeight="1">
      <c r="A115" s="2358"/>
      <c r="B115" s="3794"/>
      <c r="C115" s="3795"/>
      <c r="D115" s="2409"/>
      <c r="E115" s="2409"/>
      <c r="F115" s="2410"/>
      <c r="G115" s="2389"/>
      <c r="H115" s="2394"/>
    </row>
    <row r="116" spans="1:11" s="2350" customFormat="1" ht="18" customHeight="1">
      <c r="A116" s="2358"/>
      <c r="B116" s="3796"/>
      <c r="C116" s="3796"/>
      <c r="D116" s="2411"/>
      <c r="E116" s="2411"/>
      <c r="F116" s="2412"/>
      <c r="G116" s="2389"/>
      <c r="H116" s="2394"/>
    </row>
    <row r="117" spans="1:11" s="2350" customFormat="1" ht="18" customHeight="1">
      <c r="A117" s="2358"/>
      <c r="B117" s="3796"/>
      <c r="C117" s="3796"/>
      <c r="D117" s="2411"/>
      <c r="E117" s="2411"/>
      <c r="F117" s="2412"/>
      <c r="G117" s="2389"/>
      <c r="H117" s="2394"/>
    </row>
    <row r="118" spans="1:11" s="2351" customFormat="1" ht="18" customHeight="1">
      <c r="A118" s="2358"/>
      <c r="B118" s="3797" t="s">
        <v>7026</v>
      </c>
      <c r="C118" s="3797"/>
      <c r="D118" s="2401">
        <v>0</v>
      </c>
      <c r="E118" s="2401">
        <v>0</v>
      </c>
      <c r="F118" s="2413">
        <f ca="1">SUM(F85:F117)</f>
        <v>0</v>
      </c>
      <c r="G118" s="2403"/>
      <c r="H118" s="2350"/>
      <c r="I118" s="2350"/>
      <c r="J118" s="2350"/>
      <c r="K118" s="2350"/>
    </row>
    <row r="119" spans="1:11" s="2351" customFormat="1" ht="22.5" customHeight="1">
      <c r="A119" s="2358"/>
      <c r="B119" s="3800" t="s">
        <v>7029</v>
      </c>
      <c r="C119" s="3800"/>
      <c r="D119" s="3801">
        <f ca="1">D27+C29-C83</f>
        <v>0</v>
      </c>
      <c r="E119" s="3801"/>
      <c r="F119" s="2406" t="s">
        <v>7005</v>
      </c>
      <c r="G119" s="2406"/>
      <c r="H119" s="2350"/>
      <c r="I119" s="2350"/>
      <c r="J119" s="2350"/>
      <c r="K119" s="2350"/>
    </row>
    <row r="120" spans="1:11" s="2351" customFormat="1">
      <c r="A120" s="2358"/>
      <c r="B120" s="2414"/>
      <c r="C120" s="2415"/>
      <c r="D120" s="2416"/>
      <c r="E120" s="2416"/>
      <c r="F120" s="2416"/>
      <c r="G120" s="2416"/>
      <c r="H120" s="2350"/>
      <c r="I120" s="2350"/>
      <c r="J120" s="2350"/>
      <c r="K120" s="2350"/>
    </row>
    <row r="121" spans="1:11" s="2370" customFormat="1" ht="23.25" customHeight="1">
      <c r="A121" s="2380"/>
      <c r="B121" s="3766" t="s">
        <v>7030</v>
      </c>
      <c r="C121" s="3766"/>
      <c r="D121" s="3766"/>
      <c r="E121" s="3766"/>
      <c r="F121" s="3766"/>
      <c r="G121" s="3766"/>
      <c r="H121" s="2369"/>
      <c r="I121" s="2381"/>
      <c r="J121" s="2369"/>
      <c r="K121" s="2369"/>
    </row>
    <row r="122" spans="1:11" s="2350" customFormat="1" ht="27" customHeight="1">
      <c r="A122" s="2357" t="s">
        <v>1403</v>
      </c>
      <c r="B122" s="3802" t="str">
        <f>"    （1）我们在贵单位确认的收入基础上对贵单位"&amp;IF(OR(基本情况!B6&lt;&gt;"12月31日",基本情况!F5&lt;&gt;"01",基本情况!G5&lt;&gt;"01"),基本情况!B7,基本情况!B4&amp;"年度")&amp;"企业所得税年度纳税申报事项进行审核。"</f>
        <v xml:space="preserve">    （1）我们在贵单位确认的收入基础上对贵单位2016年度企业所得税年度纳税申报事项进行审核。</v>
      </c>
      <c r="C122" s="3802"/>
      <c r="D122" s="3802"/>
      <c r="E122" s="3802"/>
      <c r="F122" s="3802"/>
      <c r="G122" s="3802"/>
    </row>
    <row r="123" spans="1:11" s="2351" customFormat="1" ht="18" hidden="1" customHeight="1">
      <c r="A123" s="2358"/>
      <c r="B123" s="3803" t="s">
        <v>7031</v>
      </c>
      <c r="C123" s="3803"/>
      <c r="D123" s="3803"/>
      <c r="E123" s="3803"/>
      <c r="F123" s="3803"/>
      <c r="G123" s="3803"/>
      <c r="H123" s="2350"/>
      <c r="I123" s="2350"/>
      <c r="J123" s="2350"/>
      <c r="K123" s="2350"/>
    </row>
    <row r="124" spans="1:11" s="2351" customFormat="1" ht="18" hidden="1" customHeight="1">
      <c r="A124" s="2358"/>
      <c r="B124" s="3803" t="s">
        <v>7032</v>
      </c>
      <c r="C124" s="3803"/>
      <c r="D124" s="3803"/>
      <c r="E124" s="3803"/>
      <c r="F124" s="3803"/>
      <c r="G124" s="3803"/>
      <c r="H124" s="2350"/>
      <c r="I124" s="2350"/>
      <c r="J124" s="2350"/>
      <c r="K124" s="2350"/>
    </row>
    <row r="125" spans="1:11" s="2351" customFormat="1" ht="18" hidden="1" customHeight="1">
      <c r="A125" s="2358"/>
      <c r="B125" s="3803" t="s">
        <v>7033</v>
      </c>
      <c r="C125" s="3803"/>
      <c r="D125" s="3803"/>
      <c r="E125" s="3803"/>
      <c r="F125" s="3803"/>
      <c r="G125" s="3803"/>
      <c r="H125" s="2350"/>
      <c r="I125" s="2350"/>
      <c r="J125" s="2350"/>
      <c r="K125" s="2350"/>
    </row>
    <row r="126" spans="1:11" s="2351" customFormat="1" ht="18" hidden="1" customHeight="1">
      <c r="A126" s="2358"/>
      <c r="B126" s="3803" t="s">
        <v>7034</v>
      </c>
      <c r="C126" s="3803"/>
      <c r="D126" s="3803"/>
      <c r="E126" s="3803"/>
      <c r="F126" s="3803"/>
      <c r="G126" s="3803"/>
      <c r="H126" s="2350"/>
      <c r="I126" s="2350"/>
      <c r="J126" s="2350"/>
      <c r="K126" s="2350"/>
    </row>
    <row r="127" spans="1:11" s="2351" customFormat="1" ht="18" hidden="1" customHeight="1">
      <c r="A127" s="2358"/>
      <c r="B127" s="3803" t="s">
        <v>7035</v>
      </c>
      <c r="C127" s="3803"/>
      <c r="D127" s="3803"/>
      <c r="E127" s="3803"/>
      <c r="F127" s="3803"/>
      <c r="G127" s="3803"/>
      <c r="H127" s="2350"/>
      <c r="I127" s="2350"/>
      <c r="J127" s="2350"/>
      <c r="K127" s="2350"/>
    </row>
    <row r="128" spans="1:11" s="2351" customFormat="1" ht="18" hidden="1" customHeight="1">
      <c r="A128" s="2358"/>
      <c r="B128" s="3803" t="s">
        <v>7036</v>
      </c>
      <c r="C128" s="3803"/>
      <c r="D128" s="3803"/>
      <c r="E128" s="3803"/>
      <c r="F128" s="3803"/>
      <c r="G128" s="3803"/>
      <c r="H128" s="2350"/>
      <c r="I128" s="2350"/>
      <c r="J128" s="2350"/>
      <c r="K128" s="2350"/>
    </row>
    <row r="129" spans="1:11" s="2351" customFormat="1" ht="18" hidden="1" customHeight="1">
      <c r="A129" s="2358"/>
      <c r="B129" s="3803" t="s">
        <v>7037</v>
      </c>
      <c r="C129" s="3803"/>
      <c r="D129" s="3803"/>
      <c r="E129" s="3803"/>
      <c r="F129" s="3803"/>
      <c r="G129" s="3803"/>
      <c r="H129" s="2350"/>
      <c r="I129" s="2350"/>
      <c r="J129" s="2350"/>
      <c r="K129" s="2350"/>
    </row>
    <row r="130" spans="1:11" s="2351" customFormat="1" ht="22.5" customHeight="1">
      <c r="A130" s="2380"/>
      <c r="B130" s="3766" t="s">
        <v>7038</v>
      </c>
      <c r="C130" s="3766"/>
      <c r="D130" s="3766"/>
      <c r="E130" s="3766"/>
      <c r="F130" s="3766"/>
      <c r="G130" s="3766"/>
      <c r="H130" s="2350"/>
      <c r="I130" s="2350"/>
      <c r="J130" s="2350"/>
      <c r="K130" s="2350"/>
    </row>
    <row r="131" spans="1:11" s="2351" customFormat="1" ht="21" customHeight="1">
      <c r="A131" s="2358"/>
      <c r="B131" s="3804" t="s">
        <v>7039</v>
      </c>
      <c r="C131" s="3804"/>
      <c r="D131" s="3804"/>
      <c r="E131" s="3804"/>
      <c r="F131" s="3804"/>
      <c r="G131" s="3804"/>
      <c r="H131" s="2350"/>
      <c r="I131" s="2350"/>
      <c r="J131" s="2350"/>
      <c r="K131" s="2350"/>
    </row>
    <row r="132" spans="1:11" s="2351" customFormat="1" ht="30" customHeight="1">
      <c r="A132" s="2358"/>
      <c r="B132" s="2358"/>
      <c r="C132" s="2358"/>
      <c r="D132" s="2358"/>
      <c r="E132" s="2358"/>
      <c r="F132" s="2358"/>
      <c r="G132" s="2358"/>
      <c r="H132" s="2350"/>
      <c r="I132" s="2350"/>
      <c r="J132" s="2350"/>
      <c r="K132" s="2350"/>
    </row>
    <row r="133" spans="1:11" s="2351" customFormat="1" ht="17.399999999999999">
      <c r="A133" s="2358"/>
      <c r="B133" s="2358"/>
      <c r="C133" s="2358"/>
      <c r="D133" s="3805" t="s">
        <v>7040</v>
      </c>
      <c r="E133" s="3805"/>
      <c r="F133" s="3805"/>
      <c r="G133" s="3805"/>
      <c r="H133" s="2350"/>
      <c r="I133" s="2350"/>
      <c r="J133" s="2350"/>
      <c r="K133" s="2350"/>
    </row>
    <row r="134" spans="1:11" s="2351" customFormat="1" ht="10.5" customHeight="1">
      <c r="A134" s="2358"/>
      <c r="B134" s="2358"/>
      <c r="C134" s="2358"/>
      <c r="D134" s="2417"/>
      <c r="E134" s="2418" t="s">
        <v>7041</v>
      </c>
      <c r="F134" s="2417"/>
      <c r="G134" s="2417"/>
      <c r="H134" s="2350"/>
      <c r="I134" s="2350"/>
      <c r="J134" s="2350"/>
      <c r="K134" s="2350"/>
    </row>
    <row r="135" spans="1:11" s="2351" customFormat="1" ht="17.399999999999999">
      <c r="A135" s="2358"/>
      <c r="B135" s="2358"/>
      <c r="C135" s="2358"/>
      <c r="D135" s="3806" t="str">
        <f>基本情况!B20</f>
        <v>2017年5月4日</v>
      </c>
      <c r="E135" s="3807"/>
      <c r="F135" s="3807"/>
      <c r="G135" s="3807"/>
      <c r="H135" s="2350"/>
      <c r="I135" s="2350"/>
      <c r="J135" s="2350"/>
      <c r="K135" s="2350"/>
    </row>
    <row r="136" spans="1:11" s="2351" customFormat="1">
      <c r="A136" s="2419"/>
      <c r="B136" s="2419"/>
      <c r="C136" s="2419"/>
      <c r="D136" s="2419"/>
      <c r="E136" s="2419"/>
      <c r="F136" s="2419"/>
      <c r="G136" s="2419"/>
    </row>
    <row r="137" spans="1:11" s="2351" customFormat="1">
      <c r="A137" s="2419"/>
      <c r="B137" s="2419"/>
      <c r="C137" s="2419"/>
      <c r="D137" s="2419"/>
      <c r="E137" s="2419"/>
      <c r="F137" s="2419"/>
      <c r="G137" s="2419"/>
    </row>
    <row r="138" spans="1:11" s="2351" customFormat="1">
      <c r="A138" s="2419"/>
      <c r="B138" s="2419"/>
      <c r="C138" s="2419"/>
      <c r="D138" s="2419"/>
      <c r="E138" s="2419"/>
      <c r="F138" s="2419"/>
      <c r="G138" s="2419"/>
    </row>
    <row r="139" spans="1:11" s="2351" customFormat="1">
      <c r="A139" s="2419"/>
      <c r="B139" s="2419"/>
      <c r="C139" s="2419"/>
      <c r="D139" s="2419"/>
      <c r="E139" s="2419"/>
      <c r="F139" s="2419"/>
      <c r="G139" s="2419"/>
    </row>
    <row r="140" spans="1:11" s="2351" customFormat="1">
      <c r="A140" s="2419"/>
      <c r="B140" s="2419"/>
      <c r="C140" s="2419"/>
      <c r="D140" s="2419"/>
      <c r="E140" s="2419"/>
      <c r="F140" s="2419"/>
      <c r="G140" s="2419"/>
    </row>
    <row r="141" spans="1:11" s="2351" customFormat="1">
      <c r="A141" s="2419"/>
      <c r="B141" s="2419"/>
      <c r="C141" s="2419"/>
      <c r="D141" s="2419"/>
      <c r="E141" s="2419"/>
      <c r="F141" s="2419"/>
      <c r="G141" s="2419"/>
    </row>
    <row r="142" spans="1:11" s="2351" customFormat="1">
      <c r="A142" s="2419"/>
      <c r="B142" s="2419"/>
      <c r="C142" s="2419"/>
      <c r="D142" s="2419"/>
      <c r="E142" s="2419"/>
      <c r="F142" s="2419"/>
      <c r="G142" s="2419"/>
    </row>
    <row r="143" spans="1:11" s="2351" customFormat="1">
      <c r="A143" s="2419"/>
      <c r="B143" s="2419"/>
      <c r="C143" s="2419"/>
      <c r="D143" s="2419"/>
      <c r="E143" s="2419"/>
      <c r="F143" s="2419"/>
      <c r="G143" s="2419"/>
    </row>
    <row r="144" spans="1:11" s="2351" customFormat="1">
      <c r="A144" s="2419"/>
      <c r="B144" s="2419"/>
      <c r="C144" s="2419"/>
      <c r="D144" s="2419"/>
      <c r="E144" s="2419"/>
      <c r="F144" s="2419"/>
      <c r="G144" s="2419"/>
    </row>
    <row r="145" spans="1:7" s="2351" customFormat="1">
      <c r="A145" s="2419"/>
      <c r="B145" s="2419"/>
      <c r="C145" s="2419"/>
      <c r="D145" s="2419"/>
      <c r="E145" s="2419"/>
      <c r="F145" s="2419"/>
      <c r="G145" s="2419"/>
    </row>
    <row r="146" spans="1:7" s="2351" customFormat="1">
      <c r="A146" s="2419"/>
      <c r="B146" s="2419"/>
      <c r="C146" s="2419"/>
      <c r="D146" s="2419"/>
      <c r="E146" s="2419"/>
      <c r="F146" s="2419"/>
      <c r="G146" s="2419"/>
    </row>
    <row r="147" spans="1:7" s="2351" customFormat="1">
      <c r="A147" s="2419"/>
      <c r="B147" s="2419"/>
      <c r="C147" s="2419"/>
      <c r="D147" s="2419"/>
      <c r="E147" s="2419"/>
      <c r="F147" s="2419"/>
      <c r="G147" s="2419"/>
    </row>
    <row r="148" spans="1:7" s="2351" customFormat="1">
      <c r="A148" s="2419"/>
      <c r="B148" s="2419"/>
      <c r="C148" s="2419"/>
      <c r="D148" s="2419"/>
      <c r="E148" s="2419"/>
      <c r="F148" s="2419"/>
      <c r="G148" s="2419"/>
    </row>
    <row r="149" spans="1:7" s="2351" customFormat="1">
      <c r="A149" s="2419"/>
      <c r="B149" s="2419"/>
      <c r="C149" s="2419"/>
      <c r="D149" s="2419"/>
      <c r="E149" s="2419"/>
      <c r="F149" s="2419"/>
      <c r="G149" s="2419"/>
    </row>
    <row r="150" spans="1:7" s="2351" customFormat="1">
      <c r="A150" s="2419"/>
      <c r="B150" s="2419"/>
      <c r="C150" s="2419"/>
      <c r="D150" s="2419"/>
      <c r="E150" s="2419"/>
      <c r="F150" s="2419"/>
      <c r="G150" s="2419"/>
    </row>
    <row r="151" spans="1:7" s="2351" customFormat="1">
      <c r="A151" s="2419"/>
      <c r="B151" s="2419"/>
      <c r="C151" s="2419"/>
      <c r="D151" s="2419"/>
      <c r="E151" s="2419"/>
      <c r="F151" s="2419"/>
      <c r="G151" s="2419"/>
    </row>
    <row r="152" spans="1:7" s="2351" customFormat="1">
      <c r="A152" s="2419"/>
      <c r="B152" s="2419"/>
      <c r="C152" s="2419"/>
      <c r="D152" s="2419"/>
      <c r="E152" s="2419"/>
      <c r="F152" s="2419"/>
      <c r="G152" s="2419"/>
    </row>
    <row r="153" spans="1:7" s="2351" customFormat="1">
      <c r="A153" s="2419"/>
      <c r="B153" s="2419"/>
      <c r="C153" s="2419"/>
      <c r="D153" s="2419"/>
      <c r="E153" s="2419"/>
      <c r="F153" s="2419"/>
      <c r="G153" s="2419"/>
    </row>
    <row r="154" spans="1:7" s="2351" customFormat="1">
      <c r="A154" s="2419"/>
      <c r="B154" s="2419"/>
      <c r="C154" s="2419"/>
      <c r="D154" s="2419"/>
      <c r="E154" s="2419"/>
      <c r="F154" s="2419"/>
      <c r="G154" s="2419"/>
    </row>
    <row r="155" spans="1:7" s="2351" customFormat="1">
      <c r="A155" s="2419"/>
      <c r="B155" s="2419"/>
      <c r="C155" s="2419"/>
      <c r="D155" s="2419"/>
      <c r="E155" s="2419"/>
      <c r="F155" s="2419"/>
      <c r="G155" s="2419"/>
    </row>
    <row r="156" spans="1:7" s="2351" customFormat="1">
      <c r="A156" s="2419"/>
      <c r="B156" s="2419"/>
      <c r="C156" s="2419"/>
      <c r="D156" s="2419"/>
      <c r="E156" s="2419"/>
      <c r="F156" s="2419"/>
      <c r="G156" s="2419"/>
    </row>
    <row r="157" spans="1:7" s="2351" customFormat="1">
      <c r="A157" s="2419"/>
      <c r="B157" s="2419"/>
      <c r="C157" s="2419"/>
      <c r="D157" s="2419"/>
      <c r="E157" s="2419"/>
      <c r="F157" s="2419"/>
      <c r="G157" s="2419"/>
    </row>
    <row r="158" spans="1:7" s="2351" customFormat="1">
      <c r="A158" s="2419"/>
      <c r="B158" s="2419"/>
      <c r="C158" s="2419"/>
      <c r="D158" s="2419"/>
      <c r="E158" s="2419"/>
      <c r="F158" s="2419"/>
      <c r="G158" s="2419"/>
    </row>
    <row r="159" spans="1:7" s="2351" customFormat="1">
      <c r="A159" s="2419"/>
      <c r="B159" s="2419"/>
      <c r="C159" s="2419"/>
      <c r="D159" s="2419"/>
      <c r="E159" s="2419"/>
      <c r="F159" s="2419"/>
      <c r="G159" s="2419"/>
    </row>
    <row r="160" spans="1:7" s="2351" customFormat="1">
      <c r="A160" s="2419"/>
      <c r="B160" s="2419"/>
      <c r="C160" s="2419"/>
      <c r="D160" s="2419"/>
      <c r="E160" s="2419"/>
      <c r="F160" s="2419"/>
      <c r="G160" s="2419"/>
    </row>
    <row r="161" spans="1:7" s="2351" customFormat="1">
      <c r="A161" s="2419"/>
      <c r="B161" s="2419"/>
      <c r="C161" s="2419"/>
      <c r="D161" s="2419"/>
      <c r="E161" s="2419"/>
      <c r="F161" s="2419"/>
      <c r="G161" s="2419"/>
    </row>
    <row r="162" spans="1:7" s="2351" customFormat="1">
      <c r="A162" s="2419"/>
      <c r="B162" s="2419"/>
      <c r="C162" s="2419"/>
      <c r="D162" s="2419"/>
      <c r="E162" s="2419"/>
      <c r="F162" s="2419"/>
      <c r="G162" s="2419"/>
    </row>
    <row r="163" spans="1:7" s="2351" customFormat="1">
      <c r="A163" s="2419"/>
      <c r="B163" s="2419"/>
      <c r="C163" s="2419"/>
      <c r="D163" s="2419"/>
      <c r="E163" s="2419"/>
      <c r="F163" s="2419"/>
      <c r="G163" s="2419"/>
    </row>
    <row r="164" spans="1:7" s="2351" customFormat="1">
      <c r="A164" s="2419"/>
      <c r="B164" s="2419"/>
      <c r="C164" s="2419"/>
      <c r="D164" s="2419"/>
      <c r="E164" s="2419"/>
      <c r="F164" s="2419"/>
      <c r="G164" s="2419"/>
    </row>
    <row r="165" spans="1:7" s="2351" customFormat="1">
      <c r="A165" s="2419"/>
      <c r="B165" s="2419"/>
      <c r="C165" s="2419"/>
      <c r="D165" s="2419"/>
      <c r="E165" s="2419"/>
      <c r="F165" s="2419"/>
      <c r="G165" s="2419"/>
    </row>
    <row r="166" spans="1:7" s="2351" customFormat="1">
      <c r="A166" s="2419"/>
      <c r="B166" s="2419"/>
      <c r="C166" s="2419"/>
      <c r="D166" s="2419"/>
      <c r="E166" s="2419"/>
      <c r="F166" s="2419"/>
      <c r="G166" s="2419"/>
    </row>
    <row r="167" spans="1:7" s="2351" customFormat="1">
      <c r="A167" s="2419"/>
      <c r="B167" s="2419"/>
      <c r="C167" s="2419"/>
      <c r="D167" s="2419"/>
      <c r="E167" s="2419"/>
      <c r="F167" s="2419"/>
      <c r="G167" s="2419"/>
    </row>
    <row r="168" spans="1:7" s="2351" customFormat="1">
      <c r="A168" s="2419"/>
      <c r="B168" s="2419"/>
      <c r="C168" s="2419"/>
      <c r="D168" s="2419"/>
      <c r="E168" s="2419"/>
      <c r="F168" s="2419"/>
      <c r="G168" s="2419"/>
    </row>
    <row r="169" spans="1:7" s="2351" customFormat="1">
      <c r="A169" s="2419"/>
      <c r="B169" s="2419"/>
      <c r="C169" s="2419"/>
      <c r="D169" s="2419"/>
      <c r="E169" s="2419"/>
      <c r="F169" s="2419"/>
      <c r="G169" s="2419"/>
    </row>
    <row r="170" spans="1:7" s="2351" customFormat="1">
      <c r="A170" s="2419"/>
      <c r="B170" s="2419"/>
      <c r="C170" s="2419"/>
      <c r="D170" s="2419"/>
      <c r="E170" s="2419"/>
      <c r="F170" s="2419"/>
      <c r="G170" s="2419"/>
    </row>
    <row r="171" spans="1:7" s="2351" customFormat="1">
      <c r="A171" s="2419"/>
      <c r="B171" s="2419"/>
      <c r="C171" s="2419"/>
      <c r="D171" s="2419"/>
      <c r="E171" s="2419"/>
      <c r="F171" s="2419"/>
      <c r="G171" s="2419"/>
    </row>
    <row r="172" spans="1:7" s="2351" customFormat="1">
      <c r="A172" s="2419"/>
      <c r="B172" s="2419"/>
      <c r="C172" s="2419"/>
      <c r="D172" s="2419"/>
      <c r="E172" s="2419"/>
      <c r="F172" s="2419"/>
      <c r="G172" s="2419"/>
    </row>
    <row r="173" spans="1:7" s="2351" customFormat="1">
      <c r="A173" s="2419"/>
      <c r="B173" s="2419"/>
      <c r="C173" s="2419"/>
      <c r="D173" s="2419"/>
      <c r="E173" s="2419"/>
      <c r="F173" s="2419"/>
      <c r="G173" s="2419"/>
    </row>
    <row r="174" spans="1:7" s="2351" customFormat="1">
      <c r="A174" s="2419"/>
      <c r="B174" s="2419"/>
      <c r="C174" s="2419"/>
      <c r="D174" s="2419"/>
      <c r="E174" s="2419"/>
      <c r="F174" s="2419"/>
      <c r="G174" s="2419"/>
    </row>
    <row r="175" spans="1:7" s="2351" customFormat="1">
      <c r="A175" s="2419"/>
      <c r="B175" s="2419"/>
      <c r="C175" s="2419"/>
      <c r="D175" s="2419"/>
      <c r="E175" s="2419"/>
      <c r="F175" s="2419"/>
      <c r="G175" s="2419"/>
    </row>
    <row r="176" spans="1:7" s="2351" customFormat="1">
      <c r="A176" s="2419"/>
      <c r="B176" s="2419"/>
      <c r="C176" s="2419"/>
      <c r="D176" s="2419"/>
      <c r="E176" s="2419"/>
      <c r="F176" s="2419"/>
      <c r="G176" s="2419"/>
    </row>
    <row r="177" spans="1:7" s="2351" customFormat="1">
      <c r="A177" s="2419"/>
      <c r="B177" s="2419"/>
      <c r="C177" s="2419"/>
      <c r="D177" s="2419"/>
      <c r="E177" s="2419"/>
      <c r="F177" s="2419"/>
      <c r="G177" s="2419"/>
    </row>
    <row r="178" spans="1:7" s="2351" customFormat="1">
      <c r="A178" s="2419"/>
      <c r="B178" s="2419"/>
      <c r="C178" s="2419"/>
      <c r="D178" s="2419"/>
      <c r="E178" s="2419"/>
      <c r="F178" s="2419"/>
      <c r="G178" s="2419"/>
    </row>
    <row r="179" spans="1:7" s="2351" customFormat="1">
      <c r="A179" s="2419"/>
      <c r="B179" s="2419"/>
      <c r="C179" s="2419"/>
      <c r="D179" s="2419"/>
      <c r="E179" s="2419"/>
      <c r="F179" s="2419"/>
      <c r="G179" s="2419"/>
    </row>
    <row r="180" spans="1:7" s="2351" customFormat="1">
      <c r="A180" s="2419"/>
      <c r="B180" s="2419"/>
      <c r="C180" s="2419"/>
      <c r="D180" s="2419"/>
      <c r="E180" s="2419"/>
      <c r="F180" s="2419"/>
      <c r="G180" s="2419"/>
    </row>
    <row r="181" spans="1:7" s="2351" customFormat="1">
      <c r="A181" s="2419"/>
      <c r="B181" s="2419"/>
      <c r="C181" s="2419"/>
      <c r="D181" s="2419"/>
      <c r="E181" s="2419"/>
      <c r="F181" s="2419"/>
      <c r="G181" s="2419"/>
    </row>
    <row r="182" spans="1:7" s="2351" customFormat="1"/>
    <row r="183" spans="1:7" s="2351" customFormat="1"/>
    <row r="184" spans="1:7" s="2351" customFormat="1"/>
    <row r="185" spans="1:7" s="2351" customFormat="1"/>
    <row r="186" spans="1:7" s="2351" customFormat="1"/>
    <row r="187" spans="1:7" s="2351" customFormat="1"/>
    <row r="188" spans="1:7" s="2351" customFormat="1"/>
    <row r="189" spans="1:7" s="2351" customFormat="1"/>
    <row r="190" spans="1:7" s="2351" customFormat="1"/>
    <row r="191" spans="1:7" s="2351" customFormat="1"/>
    <row r="192" spans="1:7" s="2351" customFormat="1"/>
    <row r="193" s="2351" customFormat="1"/>
    <row r="194" s="2351" customFormat="1"/>
    <row r="195" s="2351" customFormat="1"/>
    <row r="196" s="2351" customFormat="1"/>
    <row r="197" s="2351" customFormat="1"/>
    <row r="198" s="2351" customFormat="1"/>
    <row r="199" s="2351" customFormat="1"/>
    <row r="200" s="2351" customFormat="1"/>
    <row r="201" s="2351" customFormat="1"/>
    <row r="202" s="2351" customFormat="1"/>
    <row r="203" s="2351" customFormat="1"/>
    <row r="204" s="2351" customFormat="1"/>
    <row r="205" s="2351" customFormat="1"/>
    <row r="206" s="2351" customFormat="1"/>
    <row r="207" s="2351" customFormat="1"/>
    <row r="208" s="2351" customFormat="1"/>
    <row r="209" s="2351" customFormat="1"/>
    <row r="210" s="2351" customFormat="1"/>
    <row r="211" s="2351" customFormat="1"/>
    <row r="212" s="2351" customFormat="1"/>
    <row r="213" s="2351" customFormat="1"/>
    <row r="214" s="2351" customFormat="1"/>
    <row r="215" s="2351" customFormat="1"/>
    <row r="216" s="2351" customFormat="1"/>
  </sheetData>
  <sheetProtection selectLockedCells="1" selectUnlockedCells="1"/>
  <mergeCells count="138">
    <mergeCell ref="B129:G129"/>
    <mergeCell ref="B130:G130"/>
    <mergeCell ref="B131:G131"/>
    <mergeCell ref="D133:G133"/>
    <mergeCell ref="D135:G135"/>
    <mergeCell ref="B123:G123"/>
    <mergeCell ref="B124:G124"/>
    <mergeCell ref="B125:G125"/>
    <mergeCell ref="B126:G126"/>
    <mergeCell ref="B127:G127"/>
    <mergeCell ref="B128:G128"/>
    <mergeCell ref="B117:C117"/>
    <mergeCell ref="B118:C118"/>
    <mergeCell ref="B119:C119"/>
    <mergeCell ref="D119:E119"/>
    <mergeCell ref="B121:G121"/>
    <mergeCell ref="B122:G122"/>
    <mergeCell ref="B111:C111"/>
    <mergeCell ref="B112:C112"/>
    <mergeCell ref="B113:C113"/>
    <mergeCell ref="B114:C114"/>
    <mergeCell ref="B115:C115"/>
    <mergeCell ref="B116:C116"/>
    <mergeCell ref="B105:C105"/>
    <mergeCell ref="B106:C106"/>
    <mergeCell ref="B107:C107"/>
    <mergeCell ref="B108:C108"/>
    <mergeCell ref="B109:C109"/>
    <mergeCell ref="B110:C110"/>
    <mergeCell ref="B99:C99"/>
    <mergeCell ref="B100:C100"/>
    <mergeCell ref="B101:C101"/>
    <mergeCell ref="B102:C102"/>
    <mergeCell ref="B103:C103"/>
    <mergeCell ref="B104:C104"/>
    <mergeCell ref="B93:C93"/>
    <mergeCell ref="B94:C94"/>
    <mergeCell ref="B95:C95"/>
    <mergeCell ref="B96:C96"/>
    <mergeCell ref="B97:C97"/>
    <mergeCell ref="B98:C98"/>
    <mergeCell ref="B87:C87"/>
    <mergeCell ref="B88:C88"/>
    <mergeCell ref="B89:C89"/>
    <mergeCell ref="B90:C90"/>
    <mergeCell ref="B91:C91"/>
    <mergeCell ref="B92:C92"/>
    <mergeCell ref="B80:C80"/>
    <mergeCell ref="B81:C81"/>
    <mergeCell ref="B82:C82"/>
    <mergeCell ref="B84:C84"/>
    <mergeCell ref="B85:C85"/>
    <mergeCell ref="B86:C86"/>
    <mergeCell ref="B74:C74"/>
    <mergeCell ref="B75:C75"/>
    <mergeCell ref="B76:C76"/>
    <mergeCell ref="B77:C77"/>
    <mergeCell ref="B78:C78"/>
    <mergeCell ref="B79:C79"/>
    <mergeCell ref="B68:C68"/>
    <mergeCell ref="B69:C69"/>
    <mergeCell ref="B70:C70"/>
    <mergeCell ref="B71:C71"/>
    <mergeCell ref="B72:C72"/>
    <mergeCell ref="B73:C73"/>
    <mergeCell ref="B62:C62"/>
    <mergeCell ref="B63:C63"/>
    <mergeCell ref="B64:C64"/>
    <mergeCell ref="B65:C65"/>
    <mergeCell ref="B66:C66"/>
    <mergeCell ref="B67:C67"/>
    <mergeCell ref="B56:C56"/>
    <mergeCell ref="B57:C57"/>
    <mergeCell ref="B58:C58"/>
    <mergeCell ref="B59:C59"/>
    <mergeCell ref="B60:C60"/>
    <mergeCell ref="B61:C61"/>
    <mergeCell ref="B50:C50"/>
    <mergeCell ref="B51:C51"/>
    <mergeCell ref="B52:C52"/>
    <mergeCell ref="B53:C53"/>
    <mergeCell ref="B54:C54"/>
    <mergeCell ref="B55:C55"/>
    <mergeCell ref="B44:C44"/>
    <mergeCell ref="B45:C45"/>
    <mergeCell ref="B46:C46"/>
    <mergeCell ref="B47:C47"/>
    <mergeCell ref="B48:C48"/>
    <mergeCell ref="B49:C49"/>
    <mergeCell ref="B38:C38"/>
    <mergeCell ref="B39:C39"/>
    <mergeCell ref="B40:C40"/>
    <mergeCell ref="B41:C41"/>
    <mergeCell ref="B42:C42"/>
    <mergeCell ref="B43:C43"/>
    <mergeCell ref="B32:C32"/>
    <mergeCell ref="B33:C33"/>
    <mergeCell ref="B34:C34"/>
    <mergeCell ref="B35:C35"/>
    <mergeCell ref="B36:C36"/>
    <mergeCell ref="B37:C37"/>
    <mergeCell ref="B26:C26"/>
    <mergeCell ref="E26:F26"/>
    <mergeCell ref="D27:E27"/>
    <mergeCell ref="A28:F28"/>
    <mergeCell ref="B30:C30"/>
    <mergeCell ref="B31:C31"/>
    <mergeCell ref="B23:C23"/>
    <mergeCell ref="E23:F23"/>
    <mergeCell ref="B24:C24"/>
    <mergeCell ref="E24:F24"/>
    <mergeCell ref="B25:C25"/>
    <mergeCell ref="E25:F25"/>
    <mergeCell ref="B19:C19"/>
    <mergeCell ref="E19:F19"/>
    <mergeCell ref="B20:C20"/>
    <mergeCell ref="E20:F20"/>
    <mergeCell ref="B21:C21"/>
    <mergeCell ref="E21:F21"/>
    <mergeCell ref="B17:C17"/>
    <mergeCell ref="E17:F17"/>
    <mergeCell ref="B18:C18"/>
    <mergeCell ref="E18:F18"/>
    <mergeCell ref="A7:G7"/>
    <mergeCell ref="A8:G8"/>
    <mergeCell ref="A9:G9"/>
    <mergeCell ref="A10:G10"/>
    <mergeCell ref="A11:G11"/>
    <mergeCell ref="A12:G12"/>
    <mergeCell ref="A1:G1"/>
    <mergeCell ref="A2:G2"/>
    <mergeCell ref="A3:G3"/>
    <mergeCell ref="A4:G4"/>
    <mergeCell ref="A5:G5"/>
    <mergeCell ref="A6:G6"/>
    <mergeCell ref="A13:G13"/>
    <mergeCell ref="A14:G14"/>
    <mergeCell ref="A15:G15"/>
  </mergeCells>
  <phoneticPr fontId="51" type="noConversion"/>
  <hyperlinks>
    <hyperlink ref="H15" location="利润!A1" display="利润及利润分配表"/>
    <hyperlink ref="H18" location="主营税金!A1" display="主营税金审核表"/>
    <hyperlink ref="H20" location="税费!A1" display="各税费审核表"/>
    <hyperlink ref="H24" location="主营税金!A1" display="主营税金审核表"/>
    <hyperlink ref="H25" location="税费!A1" display="各税费审核表"/>
    <hyperlink ref="H27" location="申报主表!A1" display="申报主表"/>
    <hyperlink ref="H28" location="交换意见!A10" display="交换意见!A10"/>
    <hyperlink ref="H29" location="纳税调整明细表!A1" display="纳税调整明细表"/>
    <hyperlink ref="H36" location="固资折旧!A1" display="固资折旧"/>
    <hyperlink ref="H42" location="减值准备纳税调整表!A1" display="数据来源为减值准备纳税调整表。"/>
    <hyperlink ref="H53" location="其他事项!A17" display="其他事项!A17"/>
    <hyperlink ref="H57" location="凭证检查!A1" display="凭证检查!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H103"/>
  <sheetViews>
    <sheetView workbookViewId="0">
      <selection activeCell="G26" sqref="G26"/>
    </sheetView>
  </sheetViews>
  <sheetFormatPr defaultColWidth="9" defaultRowHeight="15.6"/>
  <cols>
    <col min="1" max="1" width="12.8984375" style="1063" customWidth="1"/>
    <col min="2" max="2" width="18.8984375" style="1063" customWidth="1"/>
    <col min="3" max="3" width="6.09765625" style="1063" customWidth="1"/>
    <col min="4" max="6" width="14.09765625" style="1063" customWidth="1"/>
    <col min="7" max="7" width="66" style="1063" customWidth="1"/>
    <col min="8" max="8" width="11.19921875" style="1063" customWidth="1"/>
    <col min="9" max="16384" width="9" style="1063"/>
  </cols>
  <sheetData>
    <row r="1" spans="1:7" ht="17.25" customHeight="1">
      <c r="A1" s="1064" t="s">
        <v>703</v>
      </c>
      <c r="B1" s="1065"/>
      <c r="C1" s="1065"/>
      <c r="D1" s="1065"/>
      <c r="E1" s="1065"/>
      <c r="F1" s="1065"/>
      <c r="G1" s="1066"/>
    </row>
    <row r="2" spans="1:7" ht="22.5" customHeight="1">
      <c r="A2" s="2729" t="s">
        <v>676</v>
      </c>
      <c r="B2" s="2729"/>
      <c r="C2" s="2729"/>
      <c r="D2" s="2729"/>
      <c r="E2" s="2729"/>
      <c r="F2" s="2729"/>
      <c r="G2" s="1066"/>
    </row>
    <row r="3" spans="1:7" s="1068" customFormat="1" ht="17.25" customHeight="1">
      <c r="A3" s="3809" t="str">
        <f>"税款所属期间："&amp;基本情况!B7</f>
        <v>税款所属期间：2016年01月01日至2016年12月31日</v>
      </c>
      <c r="B3" s="3809"/>
      <c r="C3" s="3809"/>
      <c r="D3" s="3809"/>
      <c r="E3" s="3809"/>
      <c r="F3" s="3809"/>
      <c r="G3" s="1067"/>
    </row>
    <row r="4" spans="1:7" s="1074" customFormat="1" ht="17.25" customHeight="1">
      <c r="A4" s="1069" t="str">
        <f>"纳税人名称："&amp;基本情况!B2</f>
        <v>纳税人名称：0</v>
      </c>
      <c r="B4" s="1070"/>
      <c r="C4" s="1071"/>
      <c r="D4" s="1071"/>
      <c r="E4" s="1071"/>
      <c r="F4" s="1072" t="s">
        <v>704</v>
      </c>
      <c r="G4" s="1073"/>
    </row>
    <row r="5" spans="1:7" s="1068" customFormat="1" ht="16.5" customHeight="1">
      <c r="A5" s="2955" t="s">
        <v>705</v>
      </c>
      <c r="B5" s="2955"/>
      <c r="C5" s="1075" t="s">
        <v>706</v>
      </c>
      <c r="D5" s="1075" t="s">
        <v>1628</v>
      </c>
      <c r="E5" s="1075" t="s">
        <v>1491</v>
      </c>
      <c r="F5" s="1075" t="s">
        <v>1492</v>
      </c>
      <c r="G5" s="1067"/>
    </row>
    <row r="6" spans="1:7" s="1068" customFormat="1" ht="15.75" customHeight="1">
      <c r="A6" s="2958" t="s">
        <v>12</v>
      </c>
      <c r="B6" s="1076" t="s">
        <v>707</v>
      </c>
      <c r="C6" s="1075">
        <v>1</v>
      </c>
      <c r="D6" s="1077"/>
      <c r="E6" s="1077"/>
      <c r="F6" s="1077"/>
      <c r="G6" s="1060"/>
    </row>
    <row r="7" spans="1:7" s="1068" customFormat="1" ht="15.75" customHeight="1">
      <c r="A7" s="2958"/>
      <c r="B7" s="1076" t="s">
        <v>664</v>
      </c>
      <c r="C7" s="1075">
        <v>2</v>
      </c>
      <c r="D7" s="1078">
        <f>税费缴纳测算!C7</f>
        <v>0</v>
      </c>
      <c r="E7" s="1078">
        <f>税费缴纳测算!F7</f>
        <v>0</v>
      </c>
      <c r="F7" s="1079">
        <f>D7+E7</f>
        <v>0</v>
      </c>
      <c r="G7" s="1080"/>
    </row>
    <row r="8" spans="1:7" s="1068" customFormat="1" ht="15.75" customHeight="1">
      <c r="A8" s="2958"/>
      <c r="B8" s="1076" t="s">
        <v>708</v>
      </c>
      <c r="C8" s="1075">
        <v>3</v>
      </c>
      <c r="D8" s="1078">
        <f>税费缴纳测算!E7</f>
        <v>0</v>
      </c>
      <c r="E8" s="1077"/>
      <c r="F8" s="1079">
        <f>D8+E8</f>
        <v>0</v>
      </c>
      <c r="G8" s="1081"/>
    </row>
    <row r="9" spans="1:7" s="1068" customFormat="1" ht="15.75" customHeight="1">
      <c r="A9" s="2958"/>
      <c r="B9" s="1076" t="s">
        <v>709</v>
      </c>
      <c r="C9" s="1075">
        <v>4</v>
      </c>
      <c r="D9" s="1079">
        <f>D7-D8</f>
        <v>0</v>
      </c>
      <c r="E9" s="1079">
        <f>E7-E8</f>
        <v>0</v>
      </c>
      <c r="F9" s="1079">
        <f>D9+E9</f>
        <v>0</v>
      </c>
      <c r="G9" s="1067"/>
    </row>
    <row r="10" spans="1:7" s="1068" customFormat="1" ht="15.75" customHeight="1">
      <c r="A10" s="2958" t="s">
        <v>224</v>
      </c>
      <c r="B10" s="1076" t="s">
        <v>707</v>
      </c>
      <c r="C10" s="1075"/>
      <c r="D10" s="1077"/>
      <c r="E10" s="1077"/>
      <c r="F10" s="1077"/>
      <c r="G10" s="1067"/>
    </row>
    <row r="11" spans="1:7" s="1068" customFormat="1" ht="15.75" customHeight="1">
      <c r="A11" s="2958"/>
      <c r="B11" s="1076" t="s">
        <v>664</v>
      </c>
      <c r="C11" s="1075"/>
      <c r="D11" s="1078">
        <f>税费缴纳测算!C8</f>
        <v>0</v>
      </c>
      <c r="E11" s="1078">
        <f>税费缴纳测算!F8</f>
        <v>0</v>
      </c>
      <c r="F11" s="1079">
        <f>D11+E11</f>
        <v>0</v>
      </c>
      <c r="G11" s="1067"/>
    </row>
    <row r="12" spans="1:7" s="1068" customFormat="1" ht="15.75" customHeight="1">
      <c r="A12" s="2958"/>
      <c r="B12" s="1076" t="s">
        <v>708</v>
      </c>
      <c r="C12" s="1075"/>
      <c r="D12" s="1078">
        <f>税费缴纳测算!E8</f>
        <v>0</v>
      </c>
      <c r="E12" s="1077"/>
      <c r="F12" s="1079">
        <f>D12+E12</f>
        <v>0</v>
      </c>
      <c r="G12" s="1067"/>
    </row>
    <row r="13" spans="1:7" s="1068" customFormat="1" ht="15.75" customHeight="1">
      <c r="A13" s="2958"/>
      <c r="B13" s="1076" t="s">
        <v>709</v>
      </c>
      <c r="C13" s="1075"/>
      <c r="D13" s="1079">
        <f>D11-D12</f>
        <v>0</v>
      </c>
      <c r="E13" s="1079">
        <f>E11-E12</f>
        <v>0</v>
      </c>
      <c r="F13" s="1079">
        <f>D13+E13</f>
        <v>0</v>
      </c>
      <c r="G13" s="1067"/>
    </row>
    <row r="14" spans="1:7" s="1068" customFormat="1" ht="15.75" customHeight="1">
      <c r="A14" s="2958" t="s">
        <v>1270</v>
      </c>
      <c r="B14" s="1076" t="s">
        <v>707</v>
      </c>
      <c r="C14" s="1075">
        <v>5</v>
      </c>
      <c r="D14" s="1226"/>
      <c r="E14" s="1226"/>
      <c r="F14" s="1226"/>
      <c r="G14" s="1060" t="s">
        <v>395</v>
      </c>
    </row>
    <row r="15" spans="1:7" s="1068" customFormat="1" ht="15.75" customHeight="1">
      <c r="A15" s="2958"/>
      <c r="B15" s="1076" t="s">
        <v>664</v>
      </c>
      <c r="C15" s="1075">
        <v>6</v>
      </c>
      <c r="D15" s="1078">
        <f>税费缴纳测算!C9</f>
        <v>0</v>
      </c>
      <c r="E15" s="1078">
        <f>SUM(主营税金!F8:F13)</f>
        <v>0</v>
      </c>
      <c r="F15" s="1079">
        <f>D15+E15</f>
        <v>0</v>
      </c>
      <c r="G15" s="1080"/>
    </row>
    <row r="16" spans="1:7" s="1068" customFormat="1" ht="15.75" customHeight="1">
      <c r="A16" s="2958"/>
      <c r="B16" s="1076" t="s">
        <v>708</v>
      </c>
      <c r="C16" s="1075">
        <v>7</v>
      </c>
      <c r="D16" s="1078">
        <f>税费缴纳测算!E9</f>
        <v>0</v>
      </c>
      <c r="E16" s="1226"/>
      <c r="F16" s="1079">
        <f>D16+E16</f>
        <v>0</v>
      </c>
      <c r="G16" s="1084" t="s">
        <v>712</v>
      </c>
    </row>
    <row r="17" spans="1:7" s="1068" customFormat="1" ht="15.75" customHeight="1">
      <c r="A17" s="2958"/>
      <c r="B17" s="1076" t="s">
        <v>709</v>
      </c>
      <c r="C17" s="1075">
        <v>8</v>
      </c>
      <c r="D17" s="1079">
        <f>D15-D16</f>
        <v>0</v>
      </c>
      <c r="E17" s="1079">
        <f>E15-E16</f>
        <v>0</v>
      </c>
      <c r="F17" s="1079">
        <f>D17+E17</f>
        <v>0</v>
      </c>
      <c r="G17" s="1067"/>
    </row>
    <row r="18" spans="1:7" s="1068" customFormat="1" ht="15.75" customHeight="1">
      <c r="A18" s="2958" t="s">
        <v>710</v>
      </c>
      <c r="B18" s="1076" t="s">
        <v>707</v>
      </c>
      <c r="C18" s="1075">
        <v>9</v>
      </c>
      <c r="D18" s="1226"/>
      <c r="E18" s="1226"/>
      <c r="F18" s="1226"/>
      <c r="G18" s="1085" t="s">
        <v>713</v>
      </c>
    </row>
    <row r="19" spans="1:7" s="1068" customFormat="1" ht="15.75" customHeight="1">
      <c r="A19" s="2958"/>
      <c r="B19" s="1076" t="s">
        <v>664</v>
      </c>
      <c r="C19" s="1075">
        <v>10</v>
      </c>
      <c r="D19" s="1078">
        <f>税费缴纳测算!C10</f>
        <v>0</v>
      </c>
      <c r="E19" s="1078">
        <f>SUM(主营税金!F14:F19)+主营税金!F35+主营税金!F38</f>
        <v>0</v>
      </c>
      <c r="F19" s="1079">
        <f>D19+E19</f>
        <v>0</v>
      </c>
      <c r="G19" s="1080"/>
    </row>
    <row r="20" spans="1:7" s="1068" customFormat="1" ht="15.75" customHeight="1">
      <c r="A20" s="2958"/>
      <c r="B20" s="1076" t="s">
        <v>708</v>
      </c>
      <c r="C20" s="1075">
        <v>11</v>
      </c>
      <c r="D20" s="1078">
        <f>税费缴纳测算!E10</f>
        <v>0</v>
      </c>
      <c r="E20" s="1226"/>
      <c r="F20" s="1079">
        <f>D20+E20</f>
        <v>0</v>
      </c>
      <c r="G20" s="1067"/>
    </row>
    <row r="21" spans="1:7" s="1068" customFormat="1" ht="15.75" customHeight="1">
      <c r="A21" s="2958"/>
      <c r="B21" s="1076" t="s">
        <v>709</v>
      </c>
      <c r="C21" s="1075">
        <v>12</v>
      </c>
      <c r="D21" s="1079">
        <f>D19-D20</f>
        <v>0</v>
      </c>
      <c r="E21" s="1079">
        <f>E19-E20</f>
        <v>0</v>
      </c>
      <c r="F21" s="1079">
        <f>D21+E21</f>
        <v>0</v>
      </c>
      <c r="G21" s="1067"/>
    </row>
    <row r="22" spans="1:7" s="1068" customFormat="1" ht="15.75" customHeight="1">
      <c r="A22" s="2958" t="s">
        <v>1272</v>
      </c>
      <c r="B22" s="1076" t="s">
        <v>707</v>
      </c>
      <c r="C22" s="1075">
        <v>13</v>
      </c>
      <c r="D22" s="1226"/>
      <c r="E22" s="1226"/>
      <c r="F22" s="1226"/>
      <c r="G22" s="1067"/>
    </row>
    <row r="23" spans="1:7" s="1068" customFormat="1" ht="15.75" customHeight="1">
      <c r="A23" s="2958"/>
      <c r="B23" s="1076" t="s">
        <v>664</v>
      </c>
      <c r="C23" s="1075">
        <v>14</v>
      </c>
      <c r="D23" s="1078">
        <f>税费缴纳测算!C11</f>
        <v>0</v>
      </c>
      <c r="E23" s="1078">
        <f>SUM(主营税金!F20:F25)+主营税金!F36+主营税金!F39</f>
        <v>0</v>
      </c>
      <c r="F23" s="1079">
        <f>D23+E23</f>
        <v>0</v>
      </c>
      <c r="G23" s="1067"/>
    </row>
    <row r="24" spans="1:7" s="1068" customFormat="1" ht="15.75" customHeight="1">
      <c r="A24" s="2958"/>
      <c r="B24" s="1076" t="s">
        <v>708</v>
      </c>
      <c r="C24" s="1075">
        <v>15</v>
      </c>
      <c r="D24" s="1078">
        <f>税费缴纳测算!E11</f>
        <v>0</v>
      </c>
      <c r="E24" s="1226"/>
      <c r="F24" s="1079">
        <f>D24+E24</f>
        <v>0</v>
      </c>
      <c r="G24" s="1067"/>
    </row>
    <row r="25" spans="1:7" s="1068" customFormat="1" ht="15.75" customHeight="1">
      <c r="A25" s="2958"/>
      <c r="B25" s="1076" t="s">
        <v>709</v>
      </c>
      <c r="C25" s="1075">
        <v>16</v>
      </c>
      <c r="D25" s="1079">
        <f>D23-D24</f>
        <v>0</v>
      </c>
      <c r="E25" s="1079">
        <f>E23-E24</f>
        <v>0</v>
      </c>
      <c r="F25" s="1079">
        <f>D25+E25</f>
        <v>0</v>
      </c>
      <c r="G25" s="1067"/>
    </row>
    <row r="26" spans="1:7" s="1068" customFormat="1" ht="15.75" customHeight="1">
      <c r="A26" s="2958" t="s">
        <v>1273</v>
      </c>
      <c r="B26" s="1076" t="s">
        <v>707</v>
      </c>
      <c r="C26" s="1075">
        <v>17</v>
      </c>
      <c r="D26" s="1226"/>
      <c r="E26" s="1226"/>
      <c r="F26" s="1226"/>
      <c r="G26" s="1067"/>
    </row>
    <row r="27" spans="1:7" s="1068" customFormat="1" ht="15.75" customHeight="1">
      <c r="A27" s="2958"/>
      <c r="B27" s="1076" t="s">
        <v>664</v>
      </c>
      <c r="C27" s="1075">
        <v>18</v>
      </c>
      <c r="D27" s="1078">
        <f>税费缴纳测算!C12</f>
        <v>0</v>
      </c>
      <c r="E27" s="1078">
        <f>SUM(主营税金!F26:F31)+主营税金!F37+主营税金!F40</f>
        <v>0</v>
      </c>
      <c r="F27" s="1079">
        <f>D27+E27</f>
        <v>0</v>
      </c>
      <c r="G27" s="1067"/>
    </row>
    <row r="28" spans="1:7" s="1068" customFormat="1" ht="15.75" customHeight="1">
      <c r="A28" s="2958"/>
      <c r="B28" s="1076" t="s">
        <v>708</v>
      </c>
      <c r="C28" s="1075">
        <v>19</v>
      </c>
      <c r="D28" s="1078">
        <f>税费缴纳测算!E12</f>
        <v>0</v>
      </c>
      <c r="E28" s="1226"/>
      <c r="F28" s="1079">
        <f>D28+E28</f>
        <v>0</v>
      </c>
      <c r="G28" s="1067"/>
    </row>
    <row r="29" spans="1:7" s="1068" customFormat="1" ht="15.75" customHeight="1">
      <c r="A29" s="2958"/>
      <c r="B29" s="1076" t="s">
        <v>711</v>
      </c>
      <c r="C29" s="1075">
        <v>20</v>
      </c>
      <c r="D29" s="1079">
        <f>D27-D28</f>
        <v>0</v>
      </c>
      <c r="E29" s="1079">
        <f>E27-E28</f>
        <v>0</v>
      </c>
      <c r="F29" s="1079">
        <f>D29+E29</f>
        <v>0</v>
      </c>
      <c r="G29" s="1067"/>
    </row>
    <row r="30" spans="1:7" s="1068" customFormat="1" ht="15.75" customHeight="1">
      <c r="A30" s="2958" t="s">
        <v>226</v>
      </c>
      <c r="B30" s="1076" t="s">
        <v>707</v>
      </c>
      <c r="C30" s="1075">
        <v>21</v>
      </c>
      <c r="D30" s="1226"/>
      <c r="E30" s="1226"/>
      <c r="F30" s="1226"/>
      <c r="G30" s="1067"/>
    </row>
    <row r="31" spans="1:7" s="1068" customFormat="1" ht="15.75" customHeight="1">
      <c r="A31" s="2958"/>
      <c r="B31" s="1076" t="s">
        <v>664</v>
      </c>
      <c r="C31" s="1075">
        <v>22</v>
      </c>
      <c r="D31" s="1078">
        <f>税费缴纳测算!C13</f>
        <v>0</v>
      </c>
      <c r="E31" s="1078">
        <f>税费缴纳测算!F13</f>
        <v>0</v>
      </c>
      <c r="F31" s="1079">
        <f>D31+E31</f>
        <v>0</v>
      </c>
      <c r="G31" s="1067"/>
    </row>
    <row r="32" spans="1:7" s="1068" customFormat="1" ht="15.75" customHeight="1">
      <c r="A32" s="2958"/>
      <c r="B32" s="1076" t="s">
        <v>708</v>
      </c>
      <c r="C32" s="1075">
        <v>23</v>
      </c>
      <c r="D32" s="1078">
        <f>税费缴纳测算!E13</f>
        <v>0</v>
      </c>
      <c r="E32" s="1226"/>
      <c r="F32" s="1079">
        <f>D32+E32</f>
        <v>0</v>
      </c>
      <c r="G32" s="1067"/>
    </row>
    <row r="33" spans="1:7" s="1068" customFormat="1" ht="15.75" customHeight="1">
      <c r="A33" s="2958"/>
      <c r="B33" s="1076" t="s">
        <v>709</v>
      </c>
      <c r="C33" s="1075">
        <v>24</v>
      </c>
      <c r="D33" s="1079">
        <f>D31-D32</f>
        <v>0</v>
      </c>
      <c r="E33" s="1079">
        <f>E31-E32</f>
        <v>0</v>
      </c>
      <c r="F33" s="1079">
        <f>D33+E33</f>
        <v>0</v>
      </c>
      <c r="G33" s="1067"/>
    </row>
    <row r="34" spans="1:7" s="1068" customFormat="1" ht="15.75" customHeight="1">
      <c r="A34" s="2958" t="s">
        <v>230</v>
      </c>
      <c r="B34" s="1076" t="s">
        <v>707</v>
      </c>
      <c r="C34" s="1075"/>
      <c r="D34" s="1226"/>
      <c r="E34" s="1226"/>
      <c r="F34" s="1226"/>
      <c r="G34" s="1067"/>
    </row>
    <row r="35" spans="1:7" s="1068" customFormat="1" ht="15.75" customHeight="1">
      <c r="A35" s="2958"/>
      <c r="B35" s="1076" t="s">
        <v>664</v>
      </c>
      <c r="C35" s="1075"/>
      <c r="D35" s="1078">
        <f>税费缴纳测算!C14</f>
        <v>0</v>
      </c>
      <c r="E35" s="1078">
        <f>税费缴纳测算!F14</f>
        <v>0</v>
      </c>
      <c r="F35" s="1079">
        <f>D35+E35</f>
        <v>0</v>
      </c>
      <c r="G35" s="1067"/>
    </row>
    <row r="36" spans="1:7" s="1068" customFormat="1" ht="15.75" customHeight="1">
      <c r="A36" s="2958"/>
      <c r="B36" s="1076" t="s">
        <v>708</v>
      </c>
      <c r="C36" s="1075"/>
      <c r="D36" s="1078">
        <f>税费缴纳测算!E14</f>
        <v>0</v>
      </c>
      <c r="E36" s="1226"/>
      <c r="F36" s="1079">
        <f>D36+E36</f>
        <v>0</v>
      </c>
      <c r="G36" s="1067"/>
    </row>
    <row r="37" spans="1:7" s="1068" customFormat="1" ht="15.75" customHeight="1">
      <c r="A37" s="2958"/>
      <c r="B37" s="1076" t="s">
        <v>709</v>
      </c>
      <c r="C37" s="1075"/>
      <c r="D37" s="1079">
        <f>D35-D36</f>
        <v>0</v>
      </c>
      <c r="E37" s="1079">
        <f>E35-E36</f>
        <v>0</v>
      </c>
      <c r="F37" s="1079">
        <f>D37+E37</f>
        <v>0</v>
      </c>
      <c r="G37" s="1067"/>
    </row>
    <row r="38" spans="1:7" s="1068" customFormat="1" ht="15.75" customHeight="1">
      <c r="A38" s="2958" t="s">
        <v>1277</v>
      </c>
      <c r="B38" s="1076" t="s">
        <v>707</v>
      </c>
      <c r="C38" s="1075">
        <v>25</v>
      </c>
      <c r="D38" s="1226"/>
      <c r="E38" s="1226"/>
      <c r="F38" s="1226"/>
      <c r="G38" s="1067"/>
    </row>
    <row r="39" spans="1:7" s="1068" customFormat="1" ht="15.75" customHeight="1">
      <c r="A39" s="2958"/>
      <c r="B39" s="1076" t="s">
        <v>664</v>
      </c>
      <c r="C39" s="1075">
        <v>26</v>
      </c>
      <c r="D39" s="1078">
        <f>税费缴纳测算!C16</f>
        <v>0</v>
      </c>
      <c r="E39" s="1078">
        <f>税费缴纳测算!F50</f>
        <v>0</v>
      </c>
      <c r="F39" s="1079">
        <f>D39+E39</f>
        <v>0</v>
      </c>
      <c r="G39" s="1067"/>
    </row>
    <row r="40" spans="1:7" s="1068" customFormat="1" ht="15.75" customHeight="1">
      <c r="A40" s="2958"/>
      <c r="B40" s="1076" t="s">
        <v>708</v>
      </c>
      <c r="C40" s="1075">
        <v>27</v>
      </c>
      <c r="D40" s="1078">
        <f>税费缴纳测算!E16</f>
        <v>0</v>
      </c>
      <c r="E40" s="1226"/>
      <c r="F40" s="1079">
        <f>D40+E40</f>
        <v>0</v>
      </c>
      <c r="G40" s="1067"/>
    </row>
    <row r="41" spans="1:7" s="1068" customFormat="1" ht="15.75" customHeight="1">
      <c r="A41" s="2958"/>
      <c r="B41" s="1076" t="s">
        <v>709</v>
      </c>
      <c r="C41" s="1075">
        <v>28</v>
      </c>
      <c r="D41" s="1079">
        <f>D39-D40</f>
        <v>0</v>
      </c>
      <c r="E41" s="1079">
        <f>E39-E40</f>
        <v>0</v>
      </c>
      <c r="F41" s="1079">
        <f>D41+E41</f>
        <v>0</v>
      </c>
      <c r="G41" s="1067"/>
    </row>
    <row r="42" spans="1:7" s="1068" customFormat="1" ht="15.75" customHeight="1">
      <c r="A42" s="2958" t="s">
        <v>232</v>
      </c>
      <c r="B42" s="1076" t="s">
        <v>707</v>
      </c>
      <c r="C42" s="1075">
        <v>29</v>
      </c>
      <c r="D42" s="1226"/>
      <c r="E42" s="1226"/>
      <c r="F42" s="1226"/>
      <c r="G42" s="1067"/>
    </row>
    <row r="43" spans="1:7" s="1068" customFormat="1" ht="15.75" customHeight="1">
      <c r="A43" s="2958"/>
      <c r="B43" s="1076" t="s">
        <v>664</v>
      </c>
      <c r="C43" s="1075">
        <v>30</v>
      </c>
      <c r="D43" s="1078">
        <f>税费缴纳测算!C19</f>
        <v>0</v>
      </c>
      <c r="E43" s="1078">
        <f>税费缴纳测算!F53</f>
        <v>0</v>
      </c>
      <c r="F43" s="1079">
        <f>D43+E43</f>
        <v>0</v>
      </c>
      <c r="G43" s="1067"/>
    </row>
    <row r="44" spans="1:7" s="1068" customFormat="1" ht="15.75" customHeight="1">
      <c r="A44" s="2958"/>
      <c r="B44" s="1076" t="s">
        <v>708</v>
      </c>
      <c r="C44" s="1075">
        <v>31</v>
      </c>
      <c r="D44" s="1078">
        <f>税费缴纳测算!E19</f>
        <v>0</v>
      </c>
      <c r="E44" s="1226"/>
      <c r="F44" s="1079">
        <f>D44+E44</f>
        <v>0</v>
      </c>
      <c r="G44" s="1067"/>
    </row>
    <row r="45" spans="1:7" s="1068" customFormat="1" ht="15.75" customHeight="1">
      <c r="A45" s="2958"/>
      <c r="B45" s="1076" t="s">
        <v>709</v>
      </c>
      <c r="C45" s="1075">
        <v>32</v>
      </c>
      <c r="D45" s="1079">
        <f>D43-D44</f>
        <v>0</v>
      </c>
      <c r="E45" s="1079">
        <f>E43-E44</f>
        <v>0</v>
      </c>
      <c r="F45" s="1079">
        <f>D45+E45</f>
        <v>0</v>
      </c>
      <c r="G45" s="1067"/>
    </row>
    <row r="46" spans="1:7" s="1068" customFormat="1" ht="15.75" customHeight="1">
      <c r="A46" s="2958" t="s">
        <v>184</v>
      </c>
      <c r="B46" s="1076" t="s">
        <v>707</v>
      </c>
      <c r="C46" s="1075"/>
      <c r="D46" s="1226"/>
      <c r="E46" s="1226"/>
      <c r="F46" s="1226"/>
      <c r="G46" s="1067"/>
    </row>
    <row r="47" spans="1:7" s="1068" customFormat="1" ht="15.75" customHeight="1">
      <c r="A47" s="2958"/>
      <c r="B47" s="1076" t="s">
        <v>664</v>
      </c>
      <c r="C47" s="1075"/>
      <c r="D47" s="1078">
        <f>税费缴纳测算!C18</f>
        <v>0</v>
      </c>
      <c r="E47" s="1078">
        <f>税费缴纳测算!F18</f>
        <v>0</v>
      </c>
      <c r="F47" s="1079">
        <f>D47+E47</f>
        <v>0</v>
      </c>
      <c r="G47" s="1067"/>
    </row>
    <row r="48" spans="1:7" s="1068" customFormat="1" ht="15.75" customHeight="1">
      <c r="A48" s="2958"/>
      <c r="B48" s="1076" t="s">
        <v>708</v>
      </c>
      <c r="C48" s="1075"/>
      <c r="D48" s="1078">
        <f>税费缴纳测算!E18</f>
        <v>0</v>
      </c>
      <c r="E48" s="1226"/>
      <c r="F48" s="1079">
        <f>D48+E48</f>
        <v>0</v>
      </c>
      <c r="G48" s="1067"/>
    </row>
    <row r="49" spans="1:8" s="1068" customFormat="1" ht="15.75" customHeight="1">
      <c r="A49" s="2958"/>
      <c r="B49" s="1076" t="s">
        <v>709</v>
      </c>
      <c r="C49" s="1075"/>
      <c r="D49" s="1079">
        <f>D47-D48</f>
        <v>0</v>
      </c>
      <c r="E49" s="1079">
        <f>E47-E48</f>
        <v>0</v>
      </c>
      <c r="F49" s="1079">
        <f>D49+E49</f>
        <v>0</v>
      </c>
      <c r="G49" s="1067"/>
    </row>
    <row r="50" spans="1:8" s="1068" customFormat="1" ht="15.75" customHeight="1">
      <c r="A50" s="2958" t="s">
        <v>1279</v>
      </c>
      <c r="B50" s="1076" t="s">
        <v>707</v>
      </c>
      <c r="C50" s="1075">
        <v>33</v>
      </c>
      <c r="D50" s="1226"/>
      <c r="E50" s="1226"/>
      <c r="F50" s="1226"/>
      <c r="G50" s="1067"/>
    </row>
    <row r="51" spans="1:8" s="1068" customFormat="1" ht="15.75" customHeight="1">
      <c r="A51" s="2958"/>
      <c r="B51" s="1076" t="s">
        <v>664</v>
      </c>
      <c r="C51" s="1075">
        <v>34</v>
      </c>
      <c r="D51" s="1078">
        <f>税费缴纳测算!C17</f>
        <v>0</v>
      </c>
      <c r="E51" s="1078">
        <f>税费缴纳测算!F36</f>
        <v>0</v>
      </c>
      <c r="F51" s="1079">
        <f>D51+E51</f>
        <v>0</v>
      </c>
      <c r="G51" s="1067"/>
    </row>
    <row r="52" spans="1:8" s="1068" customFormat="1" ht="15.75" customHeight="1">
      <c r="A52" s="2958"/>
      <c r="B52" s="1076" t="s">
        <v>708</v>
      </c>
      <c r="C52" s="1075">
        <v>35</v>
      </c>
      <c r="D52" s="1078">
        <f>税费缴纳测算!E17</f>
        <v>0</v>
      </c>
      <c r="E52" s="1226"/>
      <c r="F52" s="1079">
        <f>D52+E52</f>
        <v>0</v>
      </c>
      <c r="G52" s="1067"/>
    </row>
    <row r="53" spans="1:8" s="1068" customFormat="1" ht="15.75" customHeight="1">
      <c r="A53" s="2958"/>
      <c r="B53" s="1076" t="s">
        <v>709</v>
      </c>
      <c r="C53" s="1075">
        <v>36</v>
      </c>
      <c r="D53" s="1079">
        <f>D51-D52</f>
        <v>0</v>
      </c>
      <c r="E53" s="1079">
        <f>E51-E52</f>
        <v>0</v>
      </c>
      <c r="F53" s="1079">
        <f>D53+E53</f>
        <v>0</v>
      </c>
      <c r="G53" s="1067"/>
    </row>
    <row r="54" spans="1:8" s="1068" customFormat="1" ht="15.75" customHeight="1">
      <c r="A54" s="3808" t="s">
        <v>228</v>
      </c>
      <c r="B54" s="1076" t="s">
        <v>707</v>
      </c>
      <c r="C54" s="1075"/>
      <c r="D54" s="1226"/>
      <c r="E54" s="1226"/>
      <c r="F54" s="1226"/>
      <c r="G54" s="1067"/>
    </row>
    <row r="55" spans="1:8" s="1068" customFormat="1" ht="15.75" customHeight="1">
      <c r="A55" s="3808"/>
      <c r="B55" s="1076" t="s">
        <v>664</v>
      </c>
      <c r="C55" s="1075"/>
      <c r="D55" s="1078">
        <f>税费缴纳测算!C20</f>
        <v>0</v>
      </c>
      <c r="E55" s="1078">
        <f>税费缴纳测算!F20</f>
        <v>0</v>
      </c>
      <c r="F55" s="1079">
        <f>D55+E55</f>
        <v>0</v>
      </c>
      <c r="G55" s="1067"/>
    </row>
    <row r="56" spans="1:8" s="1068" customFormat="1" ht="15.75" customHeight="1">
      <c r="A56" s="3808"/>
      <c r="B56" s="1076" t="s">
        <v>708</v>
      </c>
      <c r="C56" s="1075"/>
      <c r="D56" s="1078">
        <f>税费缴纳测算!E20</f>
        <v>0</v>
      </c>
      <c r="E56" s="1226"/>
      <c r="F56" s="1079">
        <f>D56+E56</f>
        <v>0</v>
      </c>
      <c r="G56" s="1067"/>
    </row>
    <row r="57" spans="1:8" s="1068" customFormat="1" ht="15.75" customHeight="1">
      <c r="A57" s="3808"/>
      <c r="B57" s="1076" t="s">
        <v>711</v>
      </c>
      <c r="C57" s="1075"/>
      <c r="D57" s="1079">
        <f>D55-D56</f>
        <v>0</v>
      </c>
      <c r="E57" s="1079">
        <f>E55-E56</f>
        <v>0</v>
      </c>
      <c r="F57" s="1079">
        <f>D57+E57</f>
        <v>0</v>
      </c>
      <c r="G57" s="1067"/>
    </row>
    <row r="58" spans="1:8" s="1068" customFormat="1" ht="15.75" customHeight="1">
      <c r="A58" s="3808" t="s">
        <v>1276</v>
      </c>
      <c r="B58" s="1076" t="s">
        <v>707</v>
      </c>
      <c r="C58" s="1075">
        <v>37</v>
      </c>
      <c r="D58" s="1226"/>
      <c r="E58" s="1226"/>
      <c r="F58" s="1226"/>
      <c r="G58" s="1067"/>
    </row>
    <row r="59" spans="1:8" s="1068" customFormat="1" ht="15.75" customHeight="1">
      <c r="A59" s="3808"/>
      <c r="B59" s="1076" t="s">
        <v>664</v>
      </c>
      <c r="C59" s="1075">
        <v>38</v>
      </c>
      <c r="D59" s="1078">
        <f>税费缴纳测算!C23</f>
        <v>0</v>
      </c>
      <c r="E59" s="1078">
        <f>税费缴纳测算!F23</f>
        <v>0</v>
      </c>
      <c r="F59" s="1079">
        <f>D59+E59</f>
        <v>0</v>
      </c>
      <c r="G59" s="1067"/>
      <c r="H59" s="1082"/>
    </row>
    <row r="60" spans="1:8" s="1068" customFormat="1" ht="15.75" customHeight="1">
      <c r="A60" s="3808"/>
      <c r="B60" s="1076" t="s">
        <v>708</v>
      </c>
      <c r="C60" s="1075">
        <v>39</v>
      </c>
      <c r="D60" s="1078">
        <f>税费缴纳测算!E23</f>
        <v>0</v>
      </c>
      <c r="E60" s="1226"/>
      <c r="F60" s="1079">
        <f>D60+E60</f>
        <v>0</v>
      </c>
      <c r="G60" s="1067"/>
    </row>
    <row r="61" spans="1:8" s="1068" customFormat="1" ht="15.75" customHeight="1">
      <c r="A61" s="3808"/>
      <c r="B61" s="1076" t="s">
        <v>711</v>
      </c>
      <c r="C61" s="1075">
        <v>40</v>
      </c>
      <c r="D61" s="1083">
        <f>D59-D60</f>
        <v>0</v>
      </c>
      <c r="E61" s="1079">
        <f>E59-E60</f>
        <v>0</v>
      </c>
      <c r="F61" s="1079">
        <f>D61+E61</f>
        <v>0</v>
      </c>
      <c r="G61" s="1080"/>
    </row>
    <row r="62" spans="1:8" s="1068" customFormat="1" ht="15.75" customHeight="1">
      <c r="A62" s="3808" t="s">
        <v>233</v>
      </c>
      <c r="B62" s="1076" t="s">
        <v>707</v>
      </c>
      <c r="C62" s="1075">
        <v>37</v>
      </c>
      <c r="D62" s="1226"/>
      <c r="E62" s="1226"/>
      <c r="F62" s="1226"/>
      <c r="G62" s="1067"/>
    </row>
    <row r="63" spans="1:8" s="1068" customFormat="1" ht="15.75" customHeight="1">
      <c r="A63" s="3808"/>
      <c r="B63" s="1076" t="s">
        <v>664</v>
      </c>
      <c r="C63" s="1075">
        <v>38</v>
      </c>
      <c r="D63" s="1275"/>
      <c r="E63" s="1275"/>
      <c r="F63" s="1079">
        <f>D63+E63</f>
        <v>0</v>
      </c>
      <c r="G63" s="1067"/>
      <c r="H63" s="1082"/>
    </row>
    <row r="64" spans="1:8" s="1068" customFormat="1" ht="15.75" customHeight="1">
      <c r="A64" s="3808"/>
      <c r="B64" s="1076" t="s">
        <v>708</v>
      </c>
      <c r="C64" s="1075">
        <v>39</v>
      </c>
      <c r="D64" s="1275"/>
      <c r="E64" s="1275"/>
      <c r="F64" s="1079">
        <f>D64+E64</f>
        <v>0</v>
      </c>
      <c r="G64" s="1067"/>
    </row>
    <row r="65" spans="1:7" s="1068" customFormat="1" ht="15.75" customHeight="1">
      <c r="A65" s="3808"/>
      <c r="B65" s="1076" t="s">
        <v>711</v>
      </c>
      <c r="C65" s="1075">
        <v>40</v>
      </c>
      <c r="D65" s="1083">
        <f>D63-D64</f>
        <v>0</v>
      </c>
      <c r="E65" s="1079">
        <f>E63-E64</f>
        <v>0</v>
      </c>
      <c r="F65" s="1079">
        <f>D65+E65</f>
        <v>0</v>
      </c>
      <c r="G65" s="1080"/>
    </row>
    <row r="66" spans="1:7" s="1068" customFormat="1" ht="15" customHeight="1">
      <c r="A66" s="1067" t="s">
        <v>6893</v>
      </c>
      <c r="D66" s="1082"/>
    </row>
    <row r="67" spans="1:7" s="1068" customFormat="1" ht="15" customHeight="1">
      <c r="D67" s="1082"/>
    </row>
    <row r="68" spans="1:7" s="1068" customFormat="1" ht="15" customHeight="1"/>
    <row r="69" spans="1:7" s="1068" customFormat="1" ht="15" customHeight="1"/>
    <row r="70" spans="1:7" s="1068" customFormat="1" ht="15" customHeight="1"/>
    <row r="71" spans="1:7" s="1068" customFormat="1" ht="15" customHeight="1"/>
    <row r="72" spans="1:7" s="1068" customFormat="1" ht="15" customHeight="1"/>
    <row r="73" spans="1:7" s="1068" customFormat="1" ht="15" customHeight="1"/>
    <row r="74" spans="1:7" s="1068" customFormat="1" ht="15" customHeight="1"/>
    <row r="75" spans="1:7" s="1068" customFormat="1" ht="15" customHeight="1"/>
    <row r="76" spans="1:7" s="1068" customFormat="1" ht="15" customHeight="1"/>
    <row r="77" spans="1:7" s="1068" customFormat="1" ht="15" customHeight="1"/>
    <row r="78" spans="1:7" s="1068" customFormat="1" ht="15" customHeight="1"/>
    <row r="79" spans="1:7" s="1068" customFormat="1" ht="15" customHeight="1"/>
    <row r="80" spans="1:7" s="1068" customFormat="1" ht="15" customHeight="1"/>
    <row r="81" s="1068" customFormat="1" ht="15" customHeight="1"/>
    <row r="82" s="1068" customFormat="1" ht="15" customHeight="1"/>
    <row r="83" s="1068" customFormat="1" ht="15" customHeight="1"/>
    <row r="84" s="1068" customFormat="1" ht="15" customHeight="1"/>
    <row r="85" s="1068" customFormat="1" ht="15" customHeight="1"/>
    <row r="86" s="1068" customFormat="1"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sheetData>
  <sheetProtection selectLockedCells="1" selectUnlockedCells="1"/>
  <mergeCells count="18">
    <mergeCell ref="A14:A17"/>
    <mergeCell ref="A18:A21"/>
    <mergeCell ref="A2:F2"/>
    <mergeCell ref="A3:F3"/>
    <mergeCell ref="A5:B5"/>
    <mergeCell ref="A6:A9"/>
    <mergeCell ref="A10:A13"/>
    <mergeCell ref="A54:A57"/>
    <mergeCell ref="A58:A61"/>
    <mergeCell ref="A62:A65"/>
    <mergeCell ref="A22:A25"/>
    <mergeCell ref="A26:A29"/>
    <mergeCell ref="A30:A33"/>
    <mergeCell ref="A38:A41"/>
    <mergeCell ref="A42:A45"/>
    <mergeCell ref="A50:A53"/>
    <mergeCell ref="A34:A37"/>
    <mergeCell ref="A46:A49"/>
  </mergeCells>
  <phoneticPr fontId="51" type="noConversion"/>
  <hyperlinks>
    <hyperlink ref="G16" location="税费缴纳测算!A1" display="税费缴纳测试审核表"/>
    <hyperlink ref="G18" location="主营税金!A1" display="主营税金及附加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H79"/>
  <sheetViews>
    <sheetView workbookViewId="0">
      <selection activeCell="D10" sqref="D10"/>
    </sheetView>
  </sheetViews>
  <sheetFormatPr defaultRowHeight="15.6"/>
  <cols>
    <col min="1" max="1" width="50.09765625" customWidth="1"/>
    <col min="2" max="2" width="5.5" bestFit="1" customWidth="1"/>
    <col min="3" max="3" width="17.19921875" style="1452" bestFit="1" customWidth="1"/>
    <col min="4" max="4" width="13.69921875" customWidth="1"/>
    <col min="5" max="5" width="14.59765625" customWidth="1"/>
    <col min="6" max="6" width="12.59765625" customWidth="1"/>
    <col min="7" max="7" width="33.8984375" bestFit="1" customWidth="1"/>
    <col min="8" max="10" width="9" customWidth="1"/>
  </cols>
  <sheetData>
    <row r="1" spans="1:8" ht="58.5" customHeight="1">
      <c r="A1" s="1470" t="s">
        <v>2376</v>
      </c>
      <c r="B1" s="1471"/>
      <c r="C1" s="1472" t="s">
        <v>2377</v>
      </c>
      <c r="D1" s="1300"/>
      <c r="F1" s="1322" t="s">
        <v>2380</v>
      </c>
      <c r="G1" s="1328" t="s">
        <v>5914</v>
      </c>
      <c r="H1" s="1326"/>
    </row>
    <row r="2" spans="1:8">
      <c r="A2" s="2111" t="s">
        <v>1484</v>
      </c>
      <c r="B2" s="1300" t="s">
        <v>2378</v>
      </c>
      <c r="C2" s="1473" t="s">
        <v>2381</v>
      </c>
      <c r="D2" s="1300" t="s">
        <v>2379</v>
      </c>
    </row>
    <row r="3" spans="1:8">
      <c r="A3" s="2111" t="s">
        <v>1657</v>
      </c>
      <c r="B3" s="1300" t="s">
        <v>2378</v>
      </c>
      <c r="C3" s="1473" t="s">
        <v>2381</v>
      </c>
      <c r="D3" s="1300" t="s">
        <v>2379</v>
      </c>
      <c r="E3" s="1451"/>
    </row>
    <row r="4" spans="1:8">
      <c r="A4" s="2111" t="s">
        <v>6647</v>
      </c>
      <c r="B4" s="1300" t="s">
        <v>2378</v>
      </c>
      <c r="C4" s="1473" t="s">
        <v>2381</v>
      </c>
      <c r="D4" s="1300" t="s">
        <v>2379</v>
      </c>
    </row>
    <row r="5" spans="1:8">
      <c r="A5" s="2111" t="s">
        <v>5925</v>
      </c>
      <c r="B5" s="1300" t="s">
        <v>2378</v>
      </c>
      <c r="C5" s="1473" t="s">
        <v>2381</v>
      </c>
      <c r="D5" s="1300" t="s">
        <v>2379</v>
      </c>
    </row>
    <row r="6" spans="1:8">
      <c r="A6" s="2111" t="s">
        <v>5927</v>
      </c>
      <c r="B6" s="1300" t="s">
        <v>2378</v>
      </c>
      <c r="C6" s="1473" t="s">
        <v>2381</v>
      </c>
      <c r="D6" s="1300" t="s">
        <v>2379</v>
      </c>
    </row>
    <row r="7" spans="1:8">
      <c r="A7" s="2111" t="s">
        <v>5928</v>
      </c>
      <c r="B7" s="1300" t="s">
        <v>2378</v>
      </c>
      <c r="C7" s="1473" t="s">
        <v>2381</v>
      </c>
      <c r="D7" s="1300" t="s">
        <v>2379</v>
      </c>
    </row>
    <row r="8" spans="1:8">
      <c r="A8" s="2692" t="s">
        <v>10287</v>
      </c>
      <c r="B8" s="1300" t="s">
        <v>2378</v>
      </c>
      <c r="C8" s="1473" t="s">
        <v>2381</v>
      </c>
      <c r="D8" s="1300" t="s">
        <v>2379</v>
      </c>
    </row>
    <row r="9" spans="1:8">
      <c r="A9" s="2111" t="s">
        <v>5940</v>
      </c>
      <c r="B9" s="1300" t="s">
        <v>2378</v>
      </c>
      <c r="C9" s="1473" t="s">
        <v>2381</v>
      </c>
      <c r="D9" s="1300" t="s">
        <v>2379</v>
      </c>
    </row>
    <row r="10" spans="1:8">
      <c r="A10" s="2111" t="s">
        <v>6698</v>
      </c>
      <c r="B10" s="1300" t="s">
        <v>2378</v>
      </c>
      <c r="C10" s="1473" t="s">
        <v>2381</v>
      </c>
      <c r="D10" s="1300" t="s">
        <v>2379</v>
      </c>
    </row>
    <row r="11" spans="1:8">
      <c r="A11" s="2111" t="s">
        <v>6699</v>
      </c>
      <c r="B11" s="1300" t="s">
        <v>2378</v>
      </c>
      <c r="C11" s="1473" t="s">
        <v>2381</v>
      </c>
      <c r="D11" s="1300" t="s">
        <v>2379</v>
      </c>
    </row>
    <row r="12" spans="1:8">
      <c r="A12" s="2111" t="s">
        <v>6700</v>
      </c>
      <c r="B12" s="1300" t="s">
        <v>2378</v>
      </c>
      <c r="C12" s="1473" t="s">
        <v>2381</v>
      </c>
      <c r="D12" s="1300" t="s">
        <v>2379</v>
      </c>
    </row>
    <row r="13" spans="1:8" hidden="1">
      <c r="A13" s="2111" t="s">
        <v>1629</v>
      </c>
      <c r="B13" s="1300" t="s">
        <v>2378</v>
      </c>
      <c r="C13" s="1474">
        <f>IF(OR(固资折旧!$F$13&lt;&gt;资产负债!D23,固资折旧!$F$23&lt;&gt;资产负债!D24,固资折旧!$G$29&lt;&gt;固资折旧!$D$23),"不符",0)</f>
        <v>0</v>
      </c>
      <c r="D13" s="1300" t="s">
        <v>2379</v>
      </c>
    </row>
    <row r="14" spans="1:8" hidden="1">
      <c r="A14" s="2111" t="s">
        <v>1658</v>
      </c>
      <c r="B14" s="1300" t="s">
        <v>2378</v>
      </c>
      <c r="C14" s="1474">
        <f>C13</f>
        <v>0</v>
      </c>
      <c r="D14" s="1300" t="s">
        <v>2379</v>
      </c>
    </row>
    <row r="15" spans="1:8" hidden="1">
      <c r="A15" s="2111" t="s">
        <v>1659</v>
      </c>
      <c r="B15" s="1300" t="s">
        <v>2378</v>
      </c>
      <c r="C15" s="1474">
        <f>IF(OR(无形长摊!$K$7&lt;&gt;资产负债!D32,无形长摊!$K$17&lt;&gt;资产负债!$D$30),"不符",0)</f>
        <v>0</v>
      </c>
      <c r="D15" s="1300" t="s">
        <v>2379</v>
      </c>
    </row>
    <row r="16" spans="1:8" hidden="1">
      <c r="A16" s="2111" t="s">
        <v>1479</v>
      </c>
      <c r="B16" s="1300" t="s">
        <v>2378</v>
      </c>
      <c r="C16" s="1474">
        <f>IF(OR(社保!$G$24&lt;&gt;社保!$D$8,社保!$G$27&lt;&gt;社保!$D$17),"不符",0)</f>
        <v>0</v>
      </c>
      <c r="D16" s="1300" t="s">
        <v>2379</v>
      </c>
    </row>
    <row r="17" spans="1:4" hidden="1">
      <c r="A17" s="2111" t="s">
        <v>262</v>
      </c>
      <c r="B17" s="1300" t="s">
        <v>2378</v>
      </c>
      <c r="C17" s="1474">
        <f>C16</f>
        <v>0</v>
      </c>
      <c r="D17" s="1300" t="s">
        <v>2379</v>
      </c>
    </row>
    <row r="18" spans="1:4" hidden="1">
      <c r="A18" s="2111" t="s">
        <v>1660</v>
      </c>
      <c r="B18" s="1300" t="s">
        <v>2378</v>
      </c>
      <c r="C18" s="1474">
        <f>IF(广宣!$J$27&lt;&gt;广宣!$E$22,"不符",0)</f>
        <v>0</v>
      </c>
      <c r="D18" s="1300" t="s">
        <v>2379</v>
      </c>
    </row>
    <row r="19" spans="1:4" hidden="1">
      <c r="A19" s="2111" t="s">
        <v>1360</v>
      </c>
      <c r="B19" s="1300" t="s">
        <v>2378</v>
      </c>
      <c r="C19" s="1474">
        <f>IF(捐赠!$J$17&lt;&gt;捐赠!$C$15+捐赠!$D$15+捐赠!$I$15,"不符",0)</f>
        <v>0</v>
      </c>
      <c r="D19" s="1300" t="s">
        <v>2379</v>
      </c>
    </row>
    <row r="20" spans="1:4" hidden="1">
      <c r="A20" s="2111" t="s">
        <v>1661</v>
      </c>
      <c r="B20" s="1300" t="s">
        <v>2378</v>
      </c>
      <c r="C20" s="1474">
        <f>IF(利息!$H$18&lt;&gt;利息!$J$21,"不符",0)</f>
        <v>0</v>
      </c>
      <c r="D20" s="1300" t="s">
        <v>2379</v>
      </c>
    </row>
    <row r="21" spans="1:4" hidden="1">
      <c r="A21" s="2111" t="s">
        <v>472</v>
      </c>
      <c r="B21" s="1300" t="s">
        <v>2378</v>
      </c>
      <c r="C21" s="1474">
        <f>IF(租金!$I$21&lt;&gt;租金!$D$8+租金!$D$17,"不符",0)</f>
        <v>0</v>
      </c>
      <c r="D21" s="1300" t="s">
        <v>2379</v>
      </c>
    </row>
    <row r="22" spans="1:4">
      <c r="A22" s="2111" t="s">
        <v>6701</v>
      </c>
      <c r="B22" s="1300" t="s">
        <v>2378</v>
      </c>
      <c r="C22" s="1473" t="s">
        <v>2397</v>
      </c>
      <c r="D22" s="1300" t="s">
        <v>2379</v>
      </c>
    </row>
    <row r="23" spans="1:4">
      <c r="A23" s="2111" t="s">
        <v>6599</v>
      </c>
      <c r="B23" s="1300" t="s">
        <v>2378</v>
      </c>
      <c r="C23" s="1473" t="s">
        <v>2397</v>
      </c>
      <c r="D23" s="1300" t="s">
        <v>2379</v>
      </c>
    </row>
    <row r="24" spans="1:4">
      <c r="A24" s="2111" t="s">
        <v>83</v>
      </c>
      <c r="B24" s="1300" t="s">
        <v>2378</v>
      </c>
      <c r="C24" s="1473" t="s">
        <v>2397</v>
      </c>
      <c r="D24" s="1300" t="s">
        <v>2379</v>
      </c>
    </row>
    <row r="25" spans="1:4" hidden="1">
      <c r="A25" s="2111" t="s">
        <v>1662</v>
      </c>
      <c r="B25" s="1300" t="s">
        <v>2378</v>
      </c>
      <c r="C25" s="1474">
        <f>IF(OR(主营收支!$H$20+其他业务!$C$18&lt;&gt;利润!$C$5,主营收支!$H$37+其他业务!$H$18&lt;&gt;利润!$C$6),"不符",0)</f>
        <v>0</v>
      </c>
      <c r="D25" s="1300" t="s">
        <v>2379</v>
      </c>
    </row>
    <row r="26" spans="1:4" hidden="1">
      <c r="A26" s="2111" t="s">
        <v>2404</v>
      </c>
      <c r="B26" s="1300" t="s">
        <v>2378</v>
      </c>
      <c r="C26" s="1474">
        <f>IF(OR(AND(收入与申报核对表!D13&lt;&gt;0,收入与申报核对表!D25&lt;&gt;主营收支!H20),AND(收入与申报核对表!E13&lt;&gt;0,收入与申报核对表!E25&lt;&gt;其他业务!C18),AND(收入与申报核对表!D24&lt;&gt;0,收入与申报核对表!D25&lt;&gt;主营收支!H20),AND(收入与申报核对表!E24&lt;&gt;0,收入与申报核对表!E25&lt;&gt;其他业务!C18)),"不符",0)</f>
        <v>0</v>
      </c>
      <c r="D26" s="1300" t="s">
        <v>2379</v>
      </c>
    </row>
    <row r="27" spans="1:4" hidden="1">
      <c r="A27" s="2111" t="s">
        <v>1663</v>
      </c>
      <c r="B27" s="1300" t="s">
        <v>2378</v>
      </c>
      <c r="C27" s="1474">
        <f>C25</f>
        <v>0</v>
      </c>
      <c r="D27" s="1300" t="s">
        <v>2379</v>
      </c>
    </row>
    <row r="28" spans="1:4" hidden="1">
      <c r="A28" s="2111" t="s">
        <v>1664</v>
      </c>
      <c r="B28" s="1300" t="s">
        <v>2378</v>
      </c>
      <c r="C28" s="1474">
        <f>IF(制造费用、生产成本!$D$21&lt;&gt;制造费用、生产成本!$C$12+制造费用、生产成本!$C$16,"不符",0)</f>
        <v>0</v>
      </c>
      <c r="D28" s="1300" t="s">
        <v>2379</v>
      </c>
    </row>
    <row r="29" spans="1:4" hidden="1">
      <c r="A29" s="2111" t="s">
        <v>1665</v>
      </c>
      <c r="B29" s="1300" t="s">
        <v>2378</v>
      </c>
      <c r="C29" s="1474">
        <f>IF(成本倒轧!E40&lt;&gt;主营收支!C37,"不符",0)</f>
        <v>0</v>
      </c>
      <c r="D29" s="1300" t="s">
        <v>2379</v>
      </c>
    </row>
    <row r="30" spans="1:4">
      <c r="A30" s="2111" t="s">
        <v>1666</v>
      </c>
      <c r="B30" s="1300" t="s">
        <v>2378</v>
      </c>
      <c r="C30" s="1473" t="s">
        <v>2397</v>
      </c>
      <c r="D30" s="1300" t="s">
        <v>2379</v>
      </c>
    </row>
    <row r="31" spans="1:4" hidden="1">
      <c r="A31" s="2111" t="s">
        <v>2405</v>
      </c>
      <c r="B31" s="1300" t="s">
        <v>2378</v>
      </c>
      <c r="C31" s="1473">
        <f>IF(OR(主营税金!F42&lt;&gt;0,主营税金!E42&lt;&gt;利润!C7),"不符",0)</f>
        <v>0</v>
      </c>
      <c r="D31" s="1300" t="s">
        <v>2379</v>
      </c>
    </row>
    <row r="32" spans="1:4" hidden="1">
      <c r="A32" s="2111" t="s">
        <v>2406</v>
      </c>
      <c r="B32" s="1300" t="s">
        <v>2378</v>
      </c>
      <c r="C32" s="1473">
        <f ca="1">IF(AND(税费缴纳测算!F56=0,税费缴纳测算!F25=0),0,"不符")</f>
        <v>0</v>
      </c>
      <c r="D32" s="1300" t="s">
        <v>2379</v>
      </c>
    </row>
    <row r="33" spans="1:5" hidden="1">
      <c r="A33" s="2459" t="s">
        <v>1667</v>
      </c>
      <c r="B33" s="2460" t="s">
        <v>2378</v>
      </c>
      <c r="C33" s="2461">
        <f>IF(OR(主营收支!$H$20+其他业务!$E$18&lt;&gt;利润!$C$5,主营收支!$H$37+其他业务!$J$18&lt;&gt;利润!$C$6),"不符",0)</f>
        <v>0</v>
      </c>
      <c r="D33" s="2460" t="s">
        <v>2379</v>
      </c>
    </row>
    <row r="34" spans="1:5" hidden="1">
      <c r="A34" s="2111" t="s">
        <v>855</v>
      </c>
      <c r="B34" s="1300" t="s">
        <v>2378</v>
      </c>
      <c r="C34" s="1474">
        <f>IF(营业费用!D44&lt;&gt;利润!C15,"不符",0)</f>
        <v>0</v>
      </c>
      <c r="D34" s="1300" t="s">
        <v>2379</v>
      </c>
    </row>
    <row r="35" spans="1:5" hidden="1">
      <c r="A35" s="2111" t="s">
        <v>1292</v>
      </c>
      <c r="B35" s="1300" t="s">
        <v>2378</v>
      </c>
      <c r="C35" s="1474">
        <f>IF(管理费用!D44&lt;&gt;利润!C18,"不符",0)</f>
        <v>0</v>
      </c>
      <c r="D35" s="1300" t="s">
        <v>2379</v>
      </c>
    </row>
    <row r="36" spans="1:5" hidden="1">
      <c r="A36" s="2111" t="s">
        <v>966</v>
      </c>
      <c r="B36" s="1300" t="s">
        <v>2378</v>
      </c>
      <c r="C36" s="1474">
        <f>IF(财务费用!D27&lt;&gt;利润!C22,"不符",0)</f>
        <v>0</v>
      </c>
      <c r="D36" s="1300" t="s">
        <v>2379</v>
      </c>
    </row>
    <row r="37" spans="1:5" hidden="1">
      <c r="A37" s="2111" t="s">
        <v>1668</v>
      </c>
      <c r="B37" s="1300" t="s">
        <v>2378</v>
      </c>
      <c r="C37" s="1474">
        <f>IF(OR(营外收支!C36&lt;&gt;利润!C30,营外收支!C21&lt;&gt;利润!C28),"不符",0)</f>
        <v>0</v>
      </c>
      <c r="D37" s="1300" t="s">
        <v>2379</v>
      </c>
    </row>
    <row r="38" spans="1:5" hidden="1">
      <c r="A38" s="2111" t="s">
        <v>1669</v>
      </c>
      <c r="B38" s="1300" t="s">
        <v>2378</v>
      </c>
      <c r="C38" s="1474">
        <f>IF(货币资金!D24&lt;&gt;资产负债!D5,"不符",0)</f>
        <v>0</v>
      </c>
      <c r="D38" s="1300" t="s">
        <v>2379</v>
      </c>
    </row>
    <row r="39" spans="1:5" hidden="1">
      <c r="A39" s="2111" t="s">
        <v>1670</v>
      </c>
      <c r="B39" s="1300" t="s">
        <v>2378</v>
      </c>
      <c r="C39" s="1474">
        <f>IF(基本情况!B29="否",IF(应收!B14-应收!C14-应收!F11&lt;&gt;资产负债!D8,应收!B14-应收!C14-应收!F11-资产负债!D8,0),IF(应收!B13-应收!F11&lt;&gt;资产负债!D8,应收!B13-应收!F11-资产负债!D8,0))</f>
        <v>0</v>
      </c>
      <c r="D39" s="1300" t="s">
        <v>2379</v>
      </c>
    </row>
    <row r="40" spans="1:5" hidden="1">
      <c r="A40" s="2111" t="s">
        <v>1671</v>
      </c>
      <c r="B40" s="1300" t="s">
        <v>2378</v>
      </c>
      <c r="C40" s="1474">
        <f>IF(基本情况!B29="否",IF(预付!B14-预付!C14-预付!F11&lt;&gt;资产负债!D9,预付!B14-预付!C14-预付!F11-资产负债!D9,0),IF(预付!B13-预付!F11&lt;&gt;资产负债!D9,预付!B13-预付!F11-资产负债!D9,0))</f>
        <v>0</v>
      </c>
      <c r="D40" s="1300" t="s">
        <v>2379</v>
      </c>
    </row>
    <row r="41" spans="1:5" hidden="1">
      <c r="A41" s="2111" t="s">
        <v>1672</v>
      </c>
      <c r="B41" s="1300" t="s">
        <v>2378</v>
      </c>
      <c r="C41" s="1474">
        <f>IF(基本情况!B29="否",IF(其他应收!B14-其他应收!C14-其他应收!F11&lt;&gt;资产负债!D12,其他应收!B14-其他应收!C14-其他应收!F11-资产负债!D12,0),IF(其他应收!B13-其他应收!F11&lt;&gt;资产负债!D12,其他应收!B13-其他应收!F11-资产负债!D12,0))</f>
        <v>0</v>
      </c>
      <c r="D41" s="1300" t="s">
        <v>2379</v>
      </c>
    </row>
    <row r="42" spans="1:5" hidden="1">
      <c r="A42" s="2111" t="s">
        <v>1673</v>
      </c>
      <c r="B42" s="1300" t="s">
        <v>2378</v>
      </c>
      <c r="C42" s="1474">
        <f>IF(存货!C27&lt;&gt;资产负债!D13,存货!C27-资产负债!D13,0)</f>
        <v>0</v>
      </c>
      <c r="D42" s="1300" t="s">
        <v>2379</v>
      </c>
    </row>
    <row r="43" spans="1:5" hidden="1">
      <c r="A43" s="2312" t="s">
        <v>1674</v>
      </c>
      <c r="B43" s="2313" t="s">
        <v>2378</v>
      </c>
      <c r="C43" s="2314">
        <f>IF(OR(待摊预提!$H$12&lt;&gt;资产负债!$D$18,待摊预提!$H$19&lt;&gt;资产负债!$H$14),"不符",0)</f>
        <v>0</v>
      </c>
      <c r="D43" s="2313" t="s">
        <v>2379</v>
      </c>
      <c r="E43" s="1326" t="s">
        <v>6976</v>
      </c>
    </row>
    <row r="44" spans="1:5" hidden="1">
      <c r="A44" s="2312" t="s">
        <v>1263</v>
      </c>
      <c r="B44" s="2313" t="s">
        <v>2378</v>
      </c>
      <c r="C44" s="2314">
        <f>在建工程审核表!$F$15-资产负债!$D$26</f>
        <v>0</v>
      </c>
      <c r="D44" s="2313" t="s">
        <v>2379</v>
      </c>
      <c r="E44" s="1326" t="s">
        <v>6976</v>
      </c>
    </row>
    <row r="45" spans="1:5" hidden="1">
      <c r="A45" s="2111" t="s">
        <v>1675</v>
      </c>
      <c r="B45" s="1300" t="s">
        <v>2378</v>
      </c>
      <c r="C45" s="1474">
        <f>IF(基本情况!B29="否",IF(应付!C12-应付!B12&lt;&gt;资产负债!H7,应付!C12-应付!B12-资产负债!H7,0),IF(应付!C11&lt;&gt;资产负债!H7,应付!C11-资产负债!H7,0))</f>
        <v>0</v>
      </c>
      <c r="D45" s="1300" t="s">
        <v>2379</v>
      </c>
    </row>
    <row r="46" spans="1:5" hidden="1">
      <c r="A46" s="2111" t="s">
        <v>1676</v>
      </c>
      <c r="B46" s="1300" t="s">
        <v>2378</v>
      </c>
      <c r="C46" s="1474">
        <f>IF(基本情况!B29="否",IF(预收!C12-预收!B12&lt;&gt;资产负债!H8,预收!C12-预收!B12-资产负债!H8,0),IF(预收!C11&lt;&gt;资产负债!H8,预收!C11-资产负债!H8,0))</f>
        <v>0</v>
      </c>
      <c r="D46" s="1300" t="s">
        <v>2379</v>
      </c>
    </row>
    <row r="47" spans="1:5" hidden="1">
      <c r="A47" s="2111" t="s">
        <v>1677</v>
      </c>
      <c r="B47" s="1300" t="s">
        <v>2378</v>
      </c>
      <c r="C47" s="1474">
        <f>IF(基本情况!B29="否",IF(其他应付!C12-其他应付!B12&lt;&gt;资产负债!H13,其他应付!C12-其他应付!B12-资产负债!H13,0),IF(其他应付!C11&lt;&gt;资产负债!H13,其他应付!C11-资产负债!H13,0))</f>
        <v>0</v>
      </c>
      <c r="D47" s="1300" t="s">
        <v>2379</v>
      </c>
    </row>
    <row r="48" spans="1:5" hidden="1">
      <c r="A48" s="2111" t="s">
        <v>1678</v>
      </c>
      <c r="B48" s="1300" t="s">
        <v>2378</v>
      </c>
      <c r="C48" s="1474">
        <f>IF(OR(实收公积!$F$13&lt;&gt;资产负债!$H$30,实收公积!$F$18&lt;&gt;资产负债!$H$31,实收公积!$F$24&lt;&gt;资产负债!$H$32),"不符",0)</f>
        <v>0</v>
      </c>
      <c r="D48" s="1300" t="s">
        <v>2379</v>
      </c>
    </row>
    <row r="49" spans="1:4" hidden="1">
      <c r="A49" s="2111" t="s">
        <v>1679</v>
      </c>
      <c r="B49" s="1300" t="s">
        <v>2378</v>
      </c>
      <c r="C49" s="1474">
        <f>IF(未分利润!C24&lt;&gt;资产负债!H33,未分利润!C24-资产负债!H33,0)</f>
        <v>0</v>
      </c>
      <c r="D49" s="1300" t="s">
        <v>2379</v>
      </c>
    </row>
    <row r="50" spans="1:4">
      <c r="A50" s="2111" t="s">
        <v>5924</v>
      </c>
      <c r="B50" s="1300" t="s">
        <v>2378</v>
      </c>
      <c r="C50" s="1473" t="s">
        <v>2381</v>
      </c>
      <c r="D50" s="1300" t="s">
        <v>2379</v>
      </c>
    </row>
    <row r="51" spans="1:4">
      <c r="A51" s="2111" t="s">
        <v>5926</v>
      </c>
      <c r="B51" s="1300" t="s">
        <v>2378</v>
      </c>
      <c r="C51" s="1473" t="s">
        <v>2381</v>
      </c>
      <c r="D51" s="1300" t="s">
        <v>2379</v>
      </c>
    </row>
    <row r="52" spans="1:4">
      <c r="A52" s="2111" t="s">
        <v>5950</v>
      </c>
      <c r="B52" s="1300" t="s">
        <v>2378</v>
      </c>
      <c r="C52" s="1473" t="s">
        <v>2381</v>
      </c>
      <c r="D52" s="1300" t="s">
        <v>2379</v>
      </c>
    </row>
    <row r="53" spans="1:4">
      <c r="A53" s="2111" t="s">
        <v>5929</v>
      </c>
      <c r="B53" s="1300" t="s">
        <v>2378</v>
      </c>
      <c r="C53" s="1473" t="s">
        <v>2381</v>
      </c>
      <c r="D53" s="1300" t="s">
        <v>2379</v>
      </c>
    </row>
    <row r="54" spans="1:4">
      <c r="A54" s="2111" t="s">
        <v>5930</v>
      </c>
      <c r="B54" s="1300" t="s">
        <v>2378</v>
      </c>
      <c r="C54" s="1473" t="s">
        <v>2381</v>
      </c>
      <c r="D54" s="1300" t="s">
        <v>2379</v>
      </c>
    </row>
    <row r="55" spans="1:4">
      <c r="A55" s="2111" t="s">
        <v>5931</v>
      </c>
      <c r="B55" s="1300" t="s">
        <v>2378</v>
      </c>
      <c r="C55" s="1473" t="s">
        <v>2381</v>
      </c>
      <c r="D55" s="1300" t="s">
        <v>2379</v>
      </c>
    </row>
    <row r="56" spans="1:4">
      <c r="A56" s="2111" t="s">
        <v>6702</v>
      </c>
      <c r="B56" s="1300" t="s">
        <v>2378</v>
      </c>
      <c r="C56" s="1473" t="s">
        <v>2381</v>
      </c>
      <c r="D56" s="1300" t="s">
        <v>2379</v>
      </c>
    </row>
    <row r="57" spans="1:4">
      <c r="A57" s="2111" t="s">
        <v>5959</v>
      </c>
      <c r="B57" s="1300" t="s">
        <v>2378</v>
      </c>
      <c r="C57" s="1473" t="s">
        <v>2381</v>
      </c>
      <c r="D57" s="1300" t="s">
        <v>2379</v>
      </c>
    </row>
    <row r="58" spans="1:4">
      <c r="A58" s="2111" t="s">
        <v>6703</v>
      </c>
      <c r="B58" s="1300" t="s">
        <v>2378</v>
      </c>
      <c r="C58" s="1473" t="s">
        <v>2381</v>
      </c>
      <c r="D58" s="1300" t="s">
        <v>2379</v>
      </c>
    </row>
    <row r="59" spans="1:4">
      <c r="A59" s="2111" t="s">
        <v>6704</v>
      </c>
      <c r="B59" s="1300" t="s">
        <v>2378</v>
      </c>
      <c r="C59" s="1473" t="s">
        <v>2381</v>
      </c>
      <c r="D59" s="1300" t="s">
        <v>2379</v>
      </c>
    </row>
    <row r="60" spans="1:4">
      <c r="A60" s="2111" t="s">
        <v>6705</v>
      </c>
      <c r="B60" s="1300" t="s">
        <v>2378</v>
      </c>
      <c r="C60" s="1473" t="s">
        <v>2381</v>
      </c>
      <c r="D60" s="1300" t="s">
        <v>2379</v>
      </c>
    </row>
    <row r="61" spans="1:4">
      <c r="A61" s="2111" t="s">
        <v>6706</v>
      </c>
      <c r="B61" s="1300" t="s">
        <v>2378</v>
      </c>
      <c r="C61" s="1473" t="s">
        <v>2381</v>
      </c>
      <c r="D61" s="1300" t="s">
        <v>2379</v>
      </c>
    </row>
    <row r="62" spans="1:4">
      <c r="A62" s="2111" t="s">
        <v>6707</v>
      </c>
      <c r="B62" s="1300" t="s">
        <v>2378</v>
      </c>
      <c r="C62" s="1473" t="s">
        <v>2381</v>
      </c>
      <c r="D62" s="1300" t="s">
        <v>2379</v>
      </c>
    </row>
    <row r="63" spans="1:4">
      <c r="A63" s="2111" t="s">
        <v>6708</v>
      </c>
      <c r="B63" s="1300" t="s">
        <v>2378</v>
      </c>
      <c r="C63" s="1473" t="s">
        <v>2381</v>
      </c>
      <c r="D63" s="1300" t="s">
        <v>2379</v>
      </c>
    </row>
    <row r="64" spans="1:4">
      <c r="A64" s="2111" t="s">
        <v>6709</v>
      </c>
      <c r="B64" s="1300" t="s">
        <v>2378</v>
      </c>
      <c r="C64" s="1473" t="s">
        <v>2381</v>
      </c>
      <c r="D64" s="1300" t="s">
        <v>2379</v>
      </c>
    </row>
    <row r="65" spans="1:7">
      <c r="A65" s="2111" t="s">
        <v>6710</v>
      </c>
      <c r="B65" s="1300" t="s">
        <v>2378</v>
      </c>
      <c r="C65" s="1473" t="s">
        <v>2381</v>
      </c>
      <c r="D65" s="1300" t="s">
        <v>2379</v>
      </c>
    </row>
    <row r="66" spans="1:7">
      <c r="A66" s="2111" t="s">
        <v>6711</v>
      </c>
      <c r="B66" s="1300" t="s">
        <v>2378</v>
      </c>
      <c r="C66" s="1473" t="s">
        <v>2381</v>
      </c>
      <c r="D66" s="1300" t="s">
        <v>2379</v>
      </c>
    </row>
    <row r="67" spans="1:7">
      <c r="A67" s="2111" t="s">
        <v>6712</v>
      </c>
      <c r="B67" s="1300" t="s">
        <v>2378</v>
      </c>
      <c r="C67" s="1473" t="s">
        <v>2381</v>
      </c>
      <c r="D67" s="1300" t="s">
        <v>2379</v>
      </c>
    </row>
    <row r="68" spans="1:7">
      <c r="A68" s="2111" t="s">
        <v>6713</v>
      </c>
      <c r="B68" s="1300" t="s">
        <v>2378</v>
      </c>
      <c r="C68" s="1473" t="s">
        <v>2381</v>
      </c>
      <c r="D68" s="1300" t="s">
        <v>2379</v>
      </c>
    </row>
    <row r="69" spans="1:7">
      <c r="A69" s="2111" t="s">
        <v>6100</v>
      </c>
      <c r="B69" s="1300" t="s">
        <v>2378</v>
      </c>
      <c r="C69" s="1473" t="s">
        <v>2381</v>
      </c>
      <c r="D69" s="1300" t="s">
        <v>2379</v>
      </c>
    </row>
    <row r="70" spans="1:7" hidden="1">
      <c r="A70" s="2111" t="s">
        <v>10117</v>
      </c>
      <c r="B70" s="1300" t="s">
        <v>2378</v>
      </c>
      <c r="C70" s="1473">
        <f>对外投资!H15-资产负债!$D$62</f>
        <v>0</v>
      </c>
      <c r="D70" s="1300" t="s">
        <v>2379</v>
      </c>
    </row>
    <row r="71" spans="1:7" ht="14.25" hidden="1" customHeight="1">
      <c r="A71" s="2111" t="s">
        <v>10134</v>
      </c>
      <c r="B71" s="1300" t="s">
        <v>2378</v>
      </c>
      <c r="C71" s="1473">
        <f>对外投资!$H$25-资产负债!$D$21-资产负债!$D$22</f>
        <v>0</v>
      </c>
      <c r="D71" s="1300" t="s">
        <v>2379</v>
      </c>
      <c r="E71" s="1461"/>
      <c r="F71" s="1327"/>
      <c r="G71" s="1462"/>
    </row>
    <row r="72" spans="1:7" ht="14.25" hidden="1" customHeight="1">
      <c r="A72" s="2111" t="s">
        <v>6148</v>
      </c>
      <c r="B72" s="1300" t="s">
        <v>2378</v>
      </c>
      <c r="C72" s="1473">
        <f>借款!$D$15-资产负债!$H$5</f>
        <v>0</v>
      </c>
      <c r="D72" s="1300" t="s">
        <v>2379</v>
      </c>
      <c r="E72" s="1461"/>
      <c r="F72" s="1327"/>
      <c r="G72" s="1462"/>
    </row>
    <row r="73" spans="1:7" ht="14.25" hidden="1" customHeight="1">
      <c r="A73" s="2111" t="s">
        <v>6158</v>
      </c>
      <c r="B73" s="1300" t="s">
        <v>2378</v>
      </c>
      <c r="C73" s="1473">
        <f>借款!$D$25-资产负债!$H$21</f>
        <v>0</v>
      </c>
      <c r="D73" s="1300" t="s">
        <v>2379</v>
      </c>
      <c r="E73" s="1461"/>
      <c r="F73" s="1327"/>
      <c r="G73" s="1462"/>
    </row>
    <row r="74" spans="1:7" ht="14.25" customHeight="1">
      <c r="E74" s="1461"/>
      <c r="F74" s="1327"/>
      <c r="G74" s="1462"/>
    </row>
    <row r="75" spans="1:7" ht="14.25" customHeight="1">
      <c r="E75" s="1461"/>
      <c r="F75" s="1327"/>
      <c r="G75" s="1462"/>
    </row>
    <row r="76" spans="1:7" ht="14.25" customHeight="1">
      <c r="E76" s="1461"/>
      <c r="F76" s="1327"/>
      <c r="G76" s="1462"/>
    </row>
    <row r="77" spans="1:7" ht="14.25" customHeight="1">
      <c r="E77" s="1461"/>
      <c r="F77" s="1327"/>
      <c r="G77" s="1462"/>
    </row>
    <row r="78" spans="1:7" ht="14.25" customHeight="1">
      <c r="E78" s="1461"/>
      <c r="F78" s="1327"/>
      <c r="G78" s="1462"/>
    </row>
    <row r="79" spans="1:7" ht="14.25" customHeight="1">
      <c r="E79" s="1461"/>
      <c r="F79" s="1327"/>
      <c r="G79" s="1462"/>
    </row>
  </sheetData>
  <phoneticPr fontId="51" type="noConversion"/>
  <dataValidations count="1">
    <dataValidation type="list" allowBlank="1" showInputMessage="1" showErrorMessage="1" sqref="G1">
      <formula1>"停留本页面（方面打开多个页面）,跳转超链接所选页面"</formula1>
    </dataValidation>
  </dataValidations>
  <hyperlinks>
    <hyperlink ref="A2" location="工资福利!A1" display="工资福利"/>
    <hyperlink ref="A3" location="招待!A1" display="招待"/>
    <hyperlink ref="A13" location="固资折旧!A1" display="固资折旧"/>
    <hyperlink ref="A14" location="折旧测算!A1" display="折旧测算"/>
    <hyperlink ref="A15" location="无形长摊!A1" display="无形长摊"/>
    <hyperlink ref="A16" location="社保!A1" display="社保"/>
    <hyperlink ref="A17" location="社保明细工资人数!A1" display="社保明细工资人数"/>
    <hyperlink ref="A18" location="广宣!A1" display="广宣"/>
    <hyperlink ref="A19" location="捐赠!A1" display="捐赠"/>
    <hyperlink ref="A20" location="利息!A1" display="利息"/>
    <hyperlink ref="A21" location="租金!A1" display="租金"/>
    <hyperlink ref="A22" location="无限期结转扣除项目审核表!A1" display="无限期结转扣除项目审核表"/>
    <hyperlink ref="A23" location="跨年度确认所得情况表!A1" display="跨年度确认所得情况表"/>
    <hyperlink ref="A24" location="其他事项!A1" display="其他事项"/>
    <hyperlink ref="A25" location="主营收支!A1" display="主营收支"/>
    <hyperlink ref="A27" location="毛利分析!A1" display="毛利分析"/>
    <hyperlink ref="A28" location="制造费用、生产成本!A1" display="制造费用、生产成本"/>
    <hyperlink ref="A29" location="成本倒轧!A1" display="成本倒轧"/>
    <hyperlink ref="A30" location="存货计价测试!A1" display="存货计价测试"/>
    <hyperlink ref="A33" location="其他业务!A1" display="其他业务"/>
    <hyperlink ref="A34" location="营业费用!A1" display="营业费用"/>
    <hyperlink ref="A35" location="管理费用!A1" display="管理费用"/>
    <hyperlink ref="A36" location="财务费用!A1" display="财务费用"/>
    <hyperlink ref="A37" location="营外收支!A1" display="营外收支"/>
    <hyperlink ref="A38" location="货币资金!A1" display="货币资金"/>
    <hyperlink ref="A39" location="应收!A1" display="应收"/>
    <hyperlink ref="A40" location="预付!A1" display="预付"/>
    <hyperlink ref="A41" location="其他应收!A1" display="其他应收"/>
    <hyperlink ref="A42" location="存货!A1" display="存货"/>
    <hyperlink ref="A43" location="待摊预提!A1" display="待摊预提"/>
    <hyperlink ref="A44" location="在建工程审核表!A1" display="在建工程审核表"/>
    <hyperlink ref="A45" location="应付!A1" display="应付"/>
    <hyperlink ref="A46" location="预收!A1" display="预收"/>
    <hyperlink ref="A47" location="其他应付!A1" display="其他应付"/>
    <hyperlink ref="A48" location="实收公积!A1" display="实收公积"/>
    <hyperlink ref="A49" location="未分利润!A1" display="未分利润"/>
    <hyperlink ref="A26" location="收入与申报核对表!A1" display="收入与申报核对表"/>
    <hyperlink ref="A31" location="主营税金!A1" display="主营税金"/>
    <hyperlink ref="A32" location="税费缴纳测算!A1" display="税费缴纳测算"/>
    <hyperlink ref="A4" location="视同销售和房地产开发企业特定业务审核表!A1" display="视同销售和房地产开发企业特定业务审核表"/>
    <hyperlink ref="A50" location="未按权责发生制确认收入审核表!A1" display="未按权责发生制确认收入审核表"/>
    <hyperlink ref="A5" location="投资收益审核表!A1" display="投资收益审核表"/>
    <hyperlink ref="A51" location="专项用途财政性资金审核表!A1" display="专项用途财政性资金审核表"/>
    <hyperlink ref="A52" location="固定资产加速折旧审核表!A1" display="固定资产加速折旧审核表"/>
    <hyperlink ref="A6" location="资产损失税前扣除审核表!A1" display="资产损失税前扣除审核表"/>
    <hyperlink ref="A7" location="'资产损失（专项申报）税前扣除审核表'!A1" display="资产损失（专项申报）税前扣除审核表"/>
    <hyperlink ref="A53" location="企业重组审核表!A1" display="企业重组审核表"/>
    <hyperlink ref="A54" location="政策性搬迁审核表!A1" display="政策性搬迁审核表"/>
    <hyperlink ref="A55" location="特殊行业准备金审核表!A1" display="特殊行业准备金审核表"/>
    <hyperlink ref="A56" location="免税、减计收入及加计扣除优惠审核表!A1" display="免税、减计收入及加计扣除优惠审核表"/>
    <hyperlink ref="A57" location="股息红利优惠审核表!A1" display="股息红利优惠审核表"/>
    <hyperlink ref="A58" location="综合利用资源生产产品取得的收入优惠审核表!A1" display="综合利用资源生产产品取得的收入优惠审核表"/>
    <hyperlink ref="A59" location="金融保险等机构取得涉农利息保费收入优惠审核表!A1" display="金融保险等机构取得涉农利息保费收入优惠审核表"/>
    <hyperlink ref="A8" location="研发加计扣除归集审核表!A1" tooltip="#研发加计扣除归集审核表!A1" display="研发加计扣除归集审核表"/>
    <hyperlink ref="A60" location="所得减免优惠审核表!A1" display="所得减免优惠审核表"/>
    <hyperlink ref="A61" location="抵扣应纳税所得额审核表!A1" display="抵扣应纳税所得额审核表"/>
    <hyperlink ref="A62" location="减免所得税优惠审核表!A1" display="减免所得税优惠审核表"/>
    <hyperlink ref="A9" location="高新技术企业优惠情况审核表!A1" display="高新技术企业优惠情况审核表"/>
    <hyperlink ref="A10" location="软件、集成电路企业优惠情况审核表!A1" display="软件、集成电路企业优惠情况审核表"/>
    <hyperlink ref="A63" location="税额抵免优惠审核表!A1" display="税额抵免优惠审核表"/>
    <hyperlink ref="A64" location="境外所得税收抵免审核表!A1" display="境外所得税收抵免审核表"/>
    <hyperlink ref="A65" location="境外所得纳税调整后所得审核表!A1" display="境外所得纳税调整后所得审核表"/>
    <hyperlink ref="A66" location="境外分支机构弥补亏损审核表!A1" display="境外分支机构弥补亏损审核表"/>
    <hyperlink ref="A67" location="跨年度结转抵免境外所得税审核表!A1" display="跨年度结转抵免境外所得税审核表"/>
    <hyperlink ref="A11" location="跨地区经营汇总纳税企业年度分摊企业所得税审核表!A1" display="跨地区经营汇总纳税企业年度分摊企业所得税审核表"/>
    <hyperlink ref="A12" location="企业所得税汇总纳税分支机构所得税分配表!A1" display="企业所得税汇总纳税分支机构所得税分配表"/>
    <hyperlink ref="A68" location="减值准备审核表!A1" display="减值准备审核表"/>
    <hyperlink ref="A69" location="公允价值变动审定表!A1" display="公允价值变动审定表"/>
    <hyperlink ref="A70" location="对外投资!C26" display="短期投资"/>
    <hyperlink ref="A71" location="对外投资!G26" display="长期投资"/>
    <hyperlink ref="A72" location="借款!C26" display="短期借款"/>
    <hyperlink ref="A73" location="借款!H26" display="长期借款"/>
  </hyperlinks>
  <pageMargins left="0.78740157480314998" right="0.35433070866141703" top="0.511811023622047" bottom="0.11811023622047198" header="0.511811023622047" footer="0.511811023622047"/>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rgb="FFFF0000"/>
  </sheetPr>
  <dimension ref="A1:BA594"/>
  <sheetViews>
    <sheetView workbookViewId="0">
      <selection activeCell="E8" sqref="E8"/>
    </sheetView>
  </sheetViews>
  <sheetFormatPr defaultColWidth="8.5" defaultRowHeight="15.6"/>
  <cols>
    <col min="1" max="1" width="8.5" style="502" customWidth="1"/>
    <col min="2" max="2" width="8.3984375" style="502" customWidth="1"/>
    <col min="3" max="3" width="15.09765625" style="1320" bestFit="1" customWidth="1"/>
    <col min="4" max="4" width="12.19921875" style="1320" bestFit="1" customWidth="1"/>
    <col min="5" max="6" width="15.3984375" style="1320" bestFit="1" customWidth="1"/>
    <col min="7" max="7" width="14.09765625" style="1320" bestFit="1" customWidth="1"/>
    <col min="8" max="8" width="12.19921875" style="1320" bestFit="1" customWidth="1"/>
    <col min="9" max="9" width="13.69921875" style="1321" hidden="1" customWidth="1"/>
    <col min="10" max="10" width="13.69921875" hidden="1" customWidth="1"/>
    <col min="11" max="11" width="2.5" style="1321" customWidth="1"/>
    <col min="12" max="12" width="6.8984375" style="1321" customWidth="1"/>
    <col min="13" max="13" width="33.3984375" style="1321" customWidth="1"/>
    <col min="14" max="14" width="15.09765625" style="1321" hidden="1" customWidth="1"/>
    <col min="15" max="15" width="15.5" style="1321" hidden="1" customWidth="1"/>
    <col min="16" max="16" width="8.5" style="1321" hidden="1" customWidth="1"/>
    <col min="17" max="22" width="8.5" hidden="1" customWidth="1"/>
    <col min="23" max="23" width="31.59765625" hidden="1" customWidth="1"/>
    <col min="24" max="47" width="8.5" hidden="1" customWidth="1"/>
    <col min="50" max="51" width="8.5" hidden="1" customWidth="1"/>
    <col min="52" max="52" width="16.59765625" hidden="1" customWidth="1"/>
    <col min="53" max="53" width="8.5" hidden="1" customWidth="1"/>
  </cols>
  <sheetData>
    <row r="1" spans="1:53" ht="20.25" customHeight="1">
      <c r="A1" s="502" t="s">
        <v>1684</v>
      </c>
      <c r="B1" s="502" t="s">
        <v>1680</v>
      </c>
      <c r="C1" s="1320" t="s">
        <v>1685</v>
      </c>
      <c r="D1" s="1320" t="s">
        <v>1686</v>
      </c>
      <c r="E1" s="1320" t="s">
        <v>1687</v>
      </c>
      <c r="F1" s="1320" t="s">
        <v>1688</v>
      </c>
      <c r="G1" s="1320" t="s">
        <v>1689</v>
      </c>
      <c r="H1" s="1320" t="s">
        <v>1690</v>
      </c>
      <c r="I1" s="1703"/>
      <c r="K1" s="1455"/>
      <c r="L1" s="3810" t="s">
        <v>6407</v>
      </c>
      <c r="M1" s="1476"/>
      <c r="N1" s="1453" t="s">
        <v>1691</v>
      </c>
      <c r="O1" s="1453" t="s">
        <v>2393</v>
      </c>
      <c r="P1" s="1453" t="s">
        <v>2394</v>
      </c>
      <c r="Q1" s="1463" t="s">
        <v>2395</v>
      </c>
      <c r="U1" t="s">
        <v>6112</v>
      </c>
      <c r="V1" s="1316" t="s">
        <v>6119</v>
      </c>
      <c r="W1" t="s">
        <v>6113</v>
      </c>
      <c r="AF1" s="1675" t="str">
        <f>A104000期间费用明细表!A1</f>
        <v xml:space="preserve">A104000 </v>
      </c>
      <c r="AJ1" t="s">
        <v>6112</v>
      </c>
      <c r="AK1" s="1316" t="s">
        <v>6119</v>
      </c>
      <c r="AX1" t="s">
        <v>555</v>
      </c>
      <c r="AY1" t="s">
        <v>6791</v>
      </c>
      <c r="AZ1" t="s">
        <v>6792</v>
      </c>
      <c r="BA1" t="s">
        <v>6793</v>
      </c>
    </row>
    <row r="2" spans="1:53" ht="14.25" customHeight="1">
      <c r="I2" s="1703"/>
      <c r="K2" s="1455"/>
      <c r="L2" s="3810"/>
      <c r="M2" s="3811"/>
      <c r="N2" s="1330" t="str">
        <f>IFERROR(IFERROR(MATCH("现金",B:B,0),MATCH("库存现金",B:B,0)),"")</f>
        <v/>
      </c>
      <c r="O2" s="1478" t="e">
        <f>LEN(INDEX(A:A,N3))</f>
        <v>#VALUE!</v>
      </c>
      <c r="P2" s="1330">
        <v>2</v>
      </c>
      <c r="Q2" s="1464">
        <v>2</v>
      </c>
      <c r="T2" s="1326" t="s">
        <v>6400</v>
      </c>
      <c r="V2" t="s">
        <v>6228</v>
      </c>
      <c r="W2" t="s">
        <v>5050</v>
      </c>
      <c r="X2" t="s">
        <v>5050</v>
      </c>
      <c r="AE2" t="s">
        <v>5050</v>
      </c>
      <c r="AG2" t="s">
        <v>1292</v>
      </c>
      <c r="AI2" t="s">
        <v>966</v>
      </c>
      <c r="AK2" s="1316" t="s">
        <v>6170</v>
      </c>
      <c r="AL2" t="s">
        <v>6114</v>
      </c>
      <c r="AX2">
        <f>$A$341</f>
        <v>0</v>
      </c>
      <c r="AY2">
        <f>$B$341</f>
        <v>0</v>
      </c>
      <c r="AZ2" t="str">
        <f>TEXT($E$341,"#,##0.00")</f>
        <v>0.00</v>
      </c>
      <c r="BA2" t="str">
        <f>$J$341&amp;""</f>
        <v/>
      </c>
    </row>
    <row r="3" spans="1:53" ht="14.25" customHeight="1">
      <c r="I3" s="1703"/>
      <c r="K3" s="1455"/>
      <c r="L3" s="3810"/>
      <c r="M3" s="3811"/>
      <c r="N3" s="1330" t="str">
        <f>IFERROR(MATCH("银行存款",B:B,0),"")</f>
        <v/>
      </c>
      <c r="P3" s="1330">
        <v>4</v>
      </c>
      <c r="Q3" s="1464">
        <v>16</v>
      </c>
      <c r="V3" t="s">
        <v>6277</v>
      </c>
      <c r="W3" t="s">
        <v>907</v>
      </c>
      <c r="X3" t="str">
        <f>$X$2&amp;"-"&amp;W3</f>
        <v>销售费用-工资薪金支出</v>
      </c>
      <c r="AJ3">
        <v>1</v>
      </c>
      <c r="AK3" s="1316" t="s">
        <v>6171</v>
      </c>
      <c r="AL3" t="s">
        <v>6120</v>
      </c>
      <c r="AM3" t="s">
        <v>6120</v>
      </c>
      <c r="AX3">
        <f>$A$342</f>
        <v>0</v>
      </c>
      <c r="AY3">
        <f>$B$342</f>
        <v>0</v>
      </c>
      <c r="AZ3" t="str">
        <f>TEXT($E$342,"#,##0.00")</f>
        <v>0.00</v>
      </c>
      <c r="BA3" t="str">
        <f>$J$342&amp;""</f>
        <v/>
      </c>
    </row>
    <row r="4" spans="1:53" ht="14.25" customHeight="1">
      <c r="I4" s="1704"/>
      <c r="K4" s="1455"/>
      <c r="L4" s="3810"/>
      <c r="M4" s="2041" t="s">
        <v>6605</v>
      </c>
      <c r="N4" s="1330" t="str">
        <f>IFERROR(IFERROR(MATCH("应收账款",B:B,0),MATCH("应收帐款",B:B,0)),"")</f>
        <v/>
      </c>
      <c r="P4" s="1330" t="s">
        <v>1692</v>
      </c>
      <c r="Q4" s="1464"/>
      <c r="V4" t="s">
        <v>6278</v>
      </c>
      <c r="W4" t="s">
        <v>908</v>
      </c>
      <c r="X4" t="str">
        <f t="shared" ref="X4:X39" si="0">$X$2&amp;"-"&amp;W4</f>
        <v>销售费用-职工福利费支出</v>
      </c>
      <c r="AJ4">
        <v>2</v>
      </c>
      <c r="AK4" s="1316" t="s">
        <v>6172</v>
      </c>
      <c r="AL4" t="s">
        <v>1377</v>
      </c>
      <c r="AM4" s="1326" t="s">
        <v>1377</v>
      </c>
      <c r="AX4">
        <f>$A$343</f>
        <v>0</v>
      </c>
      <c r="AY4">
        <f>$B$343</f>
        <v>0</v>
      </c>
      <c r="AZ4" t="str">
        <f>TEXT($E$343,"#,##0.00")</f>
        <v>0.00</v>
      </c>
      <c r="BA4" t="str">
        <f>$J$343&amp;""</f>
        <v/>
      </c>
    </row>
    <row r="5" spans="1:53" ht="14.25" customHeight="1">
      <c r="I5" s="1704"/>
      <c r="K5" s="1455"/>
      <c r="L5" s="3810"/>
      <c r="M5" s="2041" t="s">
        <v>6606</v>
      </c>
      <c r="N5" s="1330" t="str">
        <f>IFERROR(IFERROR(MATCH("预付账款",B:B,0),MATCH("预付帐款",B:B,0)),"")</f>
        <v/>
      </c>
      <c r="P5" s="1330" t="s">
        <v>1692</v>
      </c>
      <c r="Q5" s="1464"/>
      <c r="V5" t="s">
        <v>6279</v>
      </c>
      <c r="W5" t="s">
        <v>909</v>
      </c>
      <c r="X5" t="str">
        <f t="shared" si="0"/>
        <v>销售费用-职工教育经费支出</v>
      </c>
      <c r="AC5" t="s">
        <v>5909</v>
      </c>
      <c r="AI5" t="s">
        <v>1859</v>
      </c>
      <c r="AJ5">
        <v>3</v>
      </c>
      <c r="AK5" s="1316" t="s">
        <v>2768</v>
      </c>
      <c r="AL5" t="s">
        <v>6121</v>
      </c>
      <c r="AM5" t="s">
        <v>6121</v>
      </c>
      <c r="AX5">
        <f>$A$344</f>
        <v>0</v>
      </c>
      <c r="AY5">
        <f>$B$344</f>
        <v>0</v>
      </c>
      <c r="AZ5" t="str">
        <f>TEXT($E$344,"#,##0.00")</f>
        <v>0.00</v>
      </c>
      <c r="BA5" t="str">
        <f>$J$344&amp;""</f>
        <v/>
      </c>
    </row>
    <row r="6" spans="1:53" ht="14.25" customHeight="1">
      <c r="I6" s="1704"/>
      <c r="K6" s="1455"/>
      <c r="L6" s="3810"/>
      <c r="M6" s="1324"/>
      <c r="N6" s="1330" t="str">
        <f>IFERROR(MATCH("其他应收款",B:B,0),"")</f>
        <v/>
      </c>
      <c r="P6" s="1330" t="s">
        <v>1692</v>
      </c>
      <c r="Q6" s="1464"/>
      <c r="V6" t="s">
        <v>6280</v>
      </c>
      <c r="W6" t="s">
        <v>910</v>
      </c>
      <c r="X6" t="str">
        <f t="shared" si="0"/>
        <v>销售费用-工会经费支出</v>
      </c>
      <c r="AC6" t="s">
        <v>6233</v>
      </c>
      <c r="AI6" t="s">
        <v>1859</v>
      </c>
      <c r="AJ6">
        <v>4</v>
      </c>
      <c r="AK6" s="1316" t="s">
        <v>6173</v>
      </c>
      <c r="AL6" t="s">
        <v>6122</v>
      </c>
      <c r="AM6" t="s">
        <v>6122</v>
      </c>
      <c r="AX6">
        <f>$A$345</f>
        <v>0</v>
      </c>
      <c r="AY6">
        <f>$B$345</f>
        <v>0</v>
      </c>
      <c r="AZ6" t="str">
        <f>TEXT($E$345,"#,##0.00")</f>
        <v>0.00</v>
      </c>
      <c r="BA6" t="str">
        <f>$J$345&amp;""</f>
        <v/>
      </c>
    </row>
    <row r="7" spans="1:53" ht="14.25" customHeight="1">
      <c r="I7" s="1704"/>
      <c r="K7" s="1455"/>
      <c r="L7" s="3810"/>
      <c r="M7" s="1477"/>
      <c r="N7" s="1330" t="str">
        <f>IFERROR(IFERROR(MATCH("应付账款",B:B,0),MATCH("应付帐款",B:B,0)),"")</f>
        <v/>
      </c>
      <c r="P7" s="1330" t="s">
        <v>1692</v>
      </c>
      <c r="Q7" s="1464"/>
      <c r="V7" t="s">
        <v>6281</v>
      </c>
      <c r="W7" t="s">
        <v>911</v>
      </c>
      <c r="X7" t="str">
        <f t="shared" si="0"/>
        <v>销售费用-业务招待费支出</v>
      </c>
      <c r="AC7" t="s">
        <v>6234</v>
      </c>
      <c r="AI7" t="s">
        <v>1859</v>
      </c>
      <c r="AJ7">
        <v>5</v>
      </c>
      <c r="AK7" s="1316" t="s">
        <v>6174</v>
      </c>
      <c r="AL7" t="s">
        <v>6123</v>
      </c>
      <c r="AM7" t="s">
        <v>6123</v>
      </c>
      <c r="AX7">
        <f>$A$346</f>
        <v>0</v>
      </c>
      <c r="AY7">
        <f>$B$346</f>
        <v>0</v>
      </c>
      <c r="AZ7" t="str">
        <f>TEXT($E$346,"#,##0.00")</f>
        <v>0.00</v>
      </c>
      <c r="BA7" t="str">
        <f>$J$346&amp;""</f>
        <v/>
      </c>
    </row>
    <row r="8" spans="1:53" ht="14.25" customHeight="1">
      <c r="I8" s="1704"/>
      <c r="K8" s="1455"/>
      <c r="L8" s="3810"/>
      <c r="M8" s="1476"/>
      <c r="N8" s="1330" t="str">
        <f>IFERROR(IFERROR(MATCH("预收账款",B:B,0),MATCH("预收帐款",B:B,0)),"")</f>
        <v/>
      </c>
      <c r="P8" s="1330" t="s">
        <v>1692</v>
      </c>
      <c r="Q8" s="1464"/>
      <c r="V8" t="s">
        <v>6282</v>
      </c>
      <c r="W8" t="s">
        <v>912</v>
      </c>
      <c r="X8" t="str">
        <f t="shared" si="0"/>
        <v>销售费用-广告费和业务宣传费支出</v>
      </c>
      <c r="AC8" t="s">
        <v>6235</v>
      </c>
      <c r="AI8" t="s">
        <v>1859</v>
      </c>
      <c r="AJ8">
        <v>6</v>
      </c>
      <c r="AK8" s="1316" t="s">
        <v>6175</v>
      </c>
      <c r="AL8" t="s">
        <v>6124</v>
      </c>
      <c r="AM8" t="s">
        <v>6124</v>
      </c>
      <c r="AX8">
        <f>$A$347</f>
        <v>0</v>
      </c>
      <c r="AY8">
        <f>$B$347</f>
        <v>0</v>
      </c>
      <c r="AZ8" t="str">
        <f>TEXT($E$347,"#,##0.00")</f>
        <v>0.00</v>
      </c>
      <c r="BA8" t="str">
        <f>$J$347&amp;""</f>
        <v/>
      </c>
    </row>
    <row r="9" spans="1:53" ht="14.25" customHeight="1">
      <c r="I9" s="1704"/>
      <c r="K9" s="1455"/>
      <c r="L9" s="3810"/>
      <c r="M9" s="2042"/>
      <c r="N9" s="1330" t="str">
        <f>IFERROR(MATCH("其他应付款",B:B,0),"")</f>
        <v/>
      </c>
      <c r="P9" s="1330" t="s">
        <v>1692</v>
      </c>
      <c r="Q9" s="1464"/>
      <c r="V9" t="s">
        <v>6283</v>
      </c>
      <c r="W9" t="s">
        <v>913</v>
      </c>
      <c r="X9" t="str">
        <f t="shared" si="0"/>
        <v>销售费用-捐赠支出</v>
      </c>
      <c r="AC9" t="s">
        <v>6236</v>
      </c>
      <c r="AD9" t="s">
        <v>6240</v>
      </c>
      <c r="AI9" t="s">
        <v>1859</v>
      </c>
      <c r="AJ9">
        <v>7</v>
      </c>
      <c r="AK9" s="1316" t="s">
        <v>6176</v>
      </c>
      <c r="AL9" t="s">
        <v>6125</v>
      </c>
      <c r="AM9" t="s">
        <v>6125</v>
      </c>
      <c r="AX9">
        <f>$A$348</f>
        <v>0</v>
      </c>
      <c r="AY9">
        <f>$B$348</f>
        <v>0</v>
      </c>
      <c r="AZ9" t="str">
        <f>TEXT($E$348,"#,##0.00")</f>
        <v>0.00</v>
      </c>
      <c r="BA9" t="str">
        <f>$J$348&amp;""</f>
        <v/>
      </c>
    </row>
    <row r="10" spans="1:53" ht="14.25" customHeight="1">
      <c r="I10" s="1704"/>
      <c r="K10" s="1455"/>
      <c r="L10" s="3810"/>
      <c r="M10" s="3816" t="s">
        <v>2407</v>
      </c>
      <c r="N10" s="1330" t="str">
        <f>IFERROR(MATCH("管理费用",B:B,0),"")</f>
        <v/>
      </c>
      <c r="P10" s="1330" t="s">
        <v>1692</v>
      </c>
      <c r="Q10" s="1464"/>
      <c r="V10" t="s">
        <v>6284</v>
      </c>
      <c r="W10" t="s">
        <v>1480</v>
      </c>
      <c r="X10" t="str">
        <f t="shared" si="0"/>
        <v>销售费用-住房公积金</v>
      </c>
      <c r="AC10" t="s">
        <v>6237</v>
      </c>
      <c r="AJ10">
        <v>8</v>
      </c>
      <c r="AK10" s="1316" t="s">
        <v>6177</v>
      </c>
      <c r="AL10" t="s">
        <v>6126</v>
      </c>
      <c r="AM10" t="s">
        <v>6126</v>
      </c>
      <c r="AX10">
        <f>$A$349</f>
        <v>0</v>
      </c>
      <c r="AY10">
        <f>$B$349</f>
        <v>0</v>
      </c>
      <c r="AZ10" t="str">
        <f>TEXT($E$349,"#,##0.00")</f>
        <v>0.00</v>
      </c>
      <c r="BA10" t="str">
        <f>$J$349&amp;""</f>
        <v/>
      </c>
    </row>
    <row r="11" spans="1:53" ht="14.25" customHeight="1">
      <c r="I11" s="1704"/>
      <c r="K11" s="1455"/>
      <c r="L11" s="3810"/>
      <c r="M11" s="3816"/>
      <c r="N11" s="1330" t="str">
        <f>IFERROR(IFERROR(IFERROR(MATCH("营业费用",B:B,0),MATCH("销售费用",B:B,0)),MATCH("经营费用",B:B,0)),"")</f>
        <v/>
      </c>
      <c r="P11" s="1330" t="s">
        <v>1692</v>
      </c>
      <c r="Q11" s="1464"/>
      <c r="V11" t="s">
        <v>6285</v>
      </c>
      <c r="W11" t="s">
        <v>914</v>
      </c>
      <c r="X11" t="str">
        <f t="shared" si="0"/>
        <v>销售费用-罚金、罚款和被没收财物的损失</v>
      </c>
      <c r="AC11" t="s">
        <v>6238</v>
      </c>
      <c r="AI11" t="s">
        <v>1859</v>
      </c>
      <c r="AJ11">
        <v>9</v>
      </c>
      <c r="AK11" s="1316" t="s">
        <v>6178</v>
      </c>
      <c r="AL11" t="s">
        <v>6127</v>
      </c>
      <c r="AM11" t="s">
        <v>6127</v>
      </c>
      <c r="AX11">
        <f>$A$350</f>
        <v>0</v>
      </c>
      <c r="AY11">
        <f>$B$350</f>
        <v>0</v>
      </c>
      <c r="AZ11" t="str">
        <f>TEXT($E$350,"#,##0.00")</f>
        <v>0.00</v>
      </c>
      <c r="BA11" t="str">
        <f>$J$350&amp;""</f>
        <v/>
      </c>
    </row>
    <row r="12" spans="1:53" ht="14.25" customHeight="1">
      <c r="I12" s="1704"/>
      <c r="K12" s="1455"/>
      <c r="L12" s="3810"/>
      <c r="M12" s="3816"/>
      <c r="N12" s="1331" t="str">
        <f>IFERROR(IFERROR(MATCH("实收资本",B:B,0),MATCH("实收资本（或股本）",B:B,0)),"")</f>
        <v/>
      </c>
      <c r="P12" s="1330" t="s">
        <v>1692</v>
      </c>
      <c r="Q12" s="1464"/>
      <c r="V12" t="s">
        <v>6286</v>
      </c>
      <c r="W12" t="s">
        <v>571</v>
      </c>
      <c r="X12" t="str">
        <f t="shared" si="0"/>
        <v>销售费用-税收滞纳金</v>
      </c>
      <c r="AC12" t="s">
        <v>6239</v>
      </c>
      <c r="AI12" t="s">
        <v>1859</v>
      </c>
      <c r="AJ12">
        <v>10</v>
      </c>
      <c r="AK12" s="1316" t="s">
        <v>6179</v>
      </c>
      <c r="AL12" t="s">
        <v>6128</v>
      </c>
      <c r="AM12" t="s">
        <v>6128</v>
      </c>
      <c r="AX12">
        <f>$A$351</f>
        <v>0</v>
      </c>
      <c r="AY12">
        <f>$B$351</f>
        <v>0</v>
      </c>
      <c r="AZ12" t="str">
        <f>TEXT($E$351,"#,##0.00")</f>
        <v>0.00</v>
      </c>
      <c r="BA12" t="str">
        <f>$J$351&amp;""</f>
        <v/>
      </c>
    </row>
    <row r="13" spans="1:53" ht="14.25" customHeight="1">
      <c r="I13" s="1704"/>
      <c r="K13" s="1455"/>
      <c r="L13" s="3810"/>
      <c r="M13" s="3813" t="s">
        <v>2398</v>
      </c>
      <c r="N13" s="1330" t="str">
        <f>IFERROR(MATCH("财务费用",B:B,0),"")</f>
        <v/>
      </c>
      <c r="O13" s="1466" t="s">
        <v>2399</v>
      </c>
      <c r="V13" t="s">
        <v>6287</v>
      </c>
      <c r="W13" t="s">
        <v>917</v>
      </c>
      <c r="X13" t="str">
        <f t="shared" si="0"/>
        <v>销售费用-赞助支出</v>
      </c>
      <c r="AC13" t="s">
        <v>6241</v>
      </c>
      <c r="AI13" t="s">
        <v>1859</v>
      </c>
      <c r="AJ13">
        <v>11</v>
      </c>
      <c r="AK13" s="1316" t="s">
        <v>6180</v>
      </c>
      <c r="AL13" t="s">
        <v>6129</v>
      </c>
      <c r="AM13" t="s">
        <v>6129</v>
      </c>
      <c r="AX13">
        <f>$A$352</f>
        <v>0</v>
      </c>
      <c r="AY13">
        <f>$B$352</f>
        <v>0</v>
      </c>
      <c r="AZ13" t="str">
        <f>TEXT($E$352,"#,##0.00")</f>
        <v>0.00</v>
      </c>
      <c r="BA13" t="str">
        <f>$J$352&amp;""</f>
        <v/>
      </c>
    </row>
    <row r="14" spans="1:53" ht="14.25" customHeight="1">
      <c r="I14" s="1456"/>
      <c r="K14" s="1455"/>
      <c r="L14" s="3810"/>
      <c r="M14" s="3813"/>
      <c r="N14" s="1330" t="str">
        <f>IFERROR(MATCH("盈余公积",B:B,0),"")</f>
        <v/>
      </c>
      <c r="O14" s="1465"/>
      <c r="V14" t="s">
        <v>6288</v>
      </c>
      <c r="W14" t="s">
        <v>919</v>
      </c>
      <c r="X14" t="str">
        <f t="shared" si="0"/>
        <v>销售费用-各类基本社会保障性缴款</v>
      </c>
      <c r="AC14" t="s">
        <v>6242</v>
      </c>
      <c r="AI14" t="s">
        <v>1859</v>
      </c>
      <c r="AJ14">
        <v>12</v>
      </c>
      <c r="AK14" s="1316" t="s">
        <v>6181</v>
      </c>
      <c r="AL14" t="s">
        <v>6130</v>
      </c>
      <c r="AM14" t="s">
        <v>6130</v>
      </c>
      <c r="AX14">
        <f>$A$353</f>
        <v>0</v>
      </c>
      <c r="AY14">
        <f>$B$353</f>
        <v>0</v>
      </c>
      <c r="AZ14" t="str">
        <f>TEXT($E$353,"#,##0.00")</f>
        <v>0.00</v>
      </c>
      <c r="BA14" t="str">
        <f>$J$353&amp;""</f>
        <v/>
      </c>
    </row>
    <row r="15" spans="1:53" ht="14.25" customHeight="1">
      <c r="I15" s="1456"/>
      <c r="K15" s="1455"/>
      <c r="L15" s="3810"/>
      <c r="M15" s="3813"/>
      <c r="O15" s="1465"/>
      <c r="V15" t="s">
        <v>6289</v>
      </c>
      <c r="W15" t="s">
        <v>920</v>
      </c>
      <c r="X15" t="str">
        <f t="shared" si="0"/>
        <v>销售费用-补充养老险、补充医疗保险</v>
      </c>
      <c r="AC15" t="s">
        <v>6243</v>
      </c>
      <c r="AI15" t="s">
        <v>1859</v>
      </c>
      <c r="AJ15">
        <v>13</v>
      </c>
      <c r="AK15" s="1316" t="s">
        <v>6182</v>
      </c>
      <c r="AL15" t="s">
        <v>6131</v>
      </c>
      <c r="AM15" t="s">
        <v>6131</v>
      </c>
      <c r="AX15">
        <f>$A$354</f>
        <v>0</v>
      </c>
      <c r="AY15">
        <f>$B$354</f>
        <v>0</v>
      </c>
      <c r="AZ15" t="str">
        <f>TEXT($E$354,"#,##0.00")</f>
        <v>0.00</v>
      </c>
      <c r="BA15" t="str">
        <f>$J$354&amp;""</f>
        <v/>
      </c>
    </row>
    <row r="16" spans="1:53" ht="14.25" customHeight="1">
      <c r="I16" s="1456"/>
      <c r="K16" s="1455"/>
      <c r="L16" s="3810"/>
      <c r="M16" s="3813"/>
      <c r="O16" s="1465"/>
      <c r="V16" t="s">
        <v>6290</v>
      </c>
      <c r="W16" t="s">
        <v>36</v>
      </c>
      <c r="X16" t="str">
        <f t="shared" si="0"/>
        <v>销售费用-财产损失</v>
      </c>
      <c r="AC16" t="s">
        <v>6244</v>
      </c>
      <c r="AD16" t="s">
        <v>6248</v>
      </c>
      <c r="AI16" t="s">
        <v>1860</v>
      </c>
      <c r="AJ16">
        <v>14</v>
      </c>
      <c r="AK16" s="1316" t="s">
        <v>6183</v>
      </c>
      <c r="AL16" t="s">
        <v>6132</v>
      </c>
      <c r="AM16" t="s">
        <v>6132</v>
      </c>
      <c r="AX16">
        <f>$A$355</f>
        <v>0</v>
      </c>
      <c r="AY16">
        <f>$B$355</f>
        <v>0</v>
      </c>
      <c r="AZ16" t="str">
        <f>TEXT($E$355,"#,##0.00")</f>
        <v>0.00</v>
      </c>
      <c r="BA16" t="str">
        <f>$J$355&amp;""</f>
        <v/>
      </c>
    </row>
    <row r="17" spans="9:53" ht="14.25" customHeight="1">
      <c r="I17" s="1456"/>
      <c r="K17" s="1455"/>
      <c r="L17" s="3810"/>
      <c r="M17" s="3814" t="s">
        <v>2396</v>
      </c>
      <c r="P17" s="1324"/>
      <c r="V17" t="s">
        <v>6291</v>
      </c>
      <c r="W17" t="s">
        <v>471</v>
      </c>
      <c r="X17" t="str">
        <f t="shared" si="0"/>
        <v>销售费用-折旧</v>
      </c>
      <c r="AC17" t="s">
        <v>6245</v>
      </c>
      <c r="AI17" t="s">
        <v>1859</v>
      </c>
      <c r="AJ17">
        <v>15</v>
      </c>
      <c r="AK17" s="1316" t="s">
        <v>6184</v>
      </c>
      <c r="AL17" t="s">
        <v>996</v>
      </c>
      <c r="AM17" t="s">
        <v>996</v>
      </c>
      <c r="AX17">
        <f>$A$356</f>
        <v>0</v>
      </c>
      <c r="AY17">
        <f>$B$356</f>
        <v>0</v>
      </c>
      <c r="AZ17" t="str">
        <f>TEXT($E$356,"#,##0.00")</f>
        <v>0.00</v>
      </c>
      <c r="BA17" t="str">
        <f>$J$356&amp;""</f>
        <v/>
      </c>
    </row>
    <row r="18" spans="9:53" ht="14.25" customHeight="1">
      <c r="I18" s="1456"/>
      <c r="K18" s="1455"/>
      <c r="L18" s="3810"/>
      <c r="M18" s="3815"/>
      <c r="V18" t="s">
        <v>6292</v>
      </c>
      <c r="W18" t="s">
        <v>472</v>
      </c>
      <c r="X18" t="str">
        <f t="shared" si="0"/>
        <v>销售费用-租金</v>
      </c>
      <c r="AC18" t="s">
        <v>6246</v>
      </c>
      <c r="AI18" t="s">
        <v>1859</v>
      </c>
      <c r="AJ18">
        <v>16</v>
      </c>
      <c r="AK18" s="1316" t="s">
        <v>6185</v>
      </c>
      <c r="AL18" t="s">
        <v>999</v>
      </c>
      <c r="AM18" t="s">
        <v>999</v>
      </c>
      <c r="AX18">
        <f>$A$357</f>
        <v>0</v>
      </c>
      <c r="AY18">
        <f>$B$357</f>
        <v>0</v>
      </c>
      <c r="AZ18" t="str">
        <f>TEXT($E$357,"#,##0.00")</f>
        <v>0.00</v>
      </c>
      <c r="BA18" t="str">
        <f>$J$357&amp;""</f>
        <v/>
      </c>
    </row>
    <row r="19" spans="9:53" ht="14.25" customHeight="1">
      <c r="I19" s="1456"/>
      <c r="K19" s="1457"/>
      <c r="L19" s="3810"/>
      <c r="M19" s="3815"/>
      <c r="V19" t="s">
        <v>6293</v>
      </c>
      <c r="W19" t="s">
        <v>6513</v>
      </c>
      <c r="X19" t="str">
        <f t="shared" si="0"/>
        <v>销售费用-辞退福利</v>
      </c>
      <c r="AC19" t="s">
        <v>6247</v>
      </c>
      <c r="AI19" t="s">
        <v>1859</v>
      </c>
      <c r="AJ19">
        <v>17</v>
      </c>
      <c r="AK19" s="1316" t="s">
        <v>6186</v>
      </c>
      <c r="AL19" t="s">
        <v>6133</v>
      </c>
      <c r="AM19" t="s">
        <v>6133</v>
      </c>
      <c r="AX19">
        <f>$A$358</f>
        <v>0</v>
      </c>
      <c r="AY19">
        <f>$B$358</f>
        <v>0</v>
      </c>
      <c r="AZ19" t="str">
        <f>TEXT($E$358,"#,##0.00")</f>
        <v>0.00</v>
      </c>
      <c r="BA19" t="str">
        <f>$J$358&amp;""</f>
        <v/>
      </c>
    </row>
    <row r="20" spans="9:53" ht="14.25" customHeight="1">
      <c r="I20" s="1456"/>
      <c r="K20" s="1457"/>
      <c r="L20" s="3810"/>
      <c r="M20" s="3812" t="s">
        <v>2403</v>
      </c>
      <c r="V20" t="s">
        <v>6294</v>
      </c>
      <c r="W20" t="s">
        <v>1630</v>
      </c>
      <c r="X20" t="str">
        <f t="shared" si="0"/>
        <v>销售费用-无形资产摊销</v>
      </c>
      <c r="AC20" t="s">
        <v>6249</v>
      </c>
      <c r="AI20" t="s">
        <v>1859</v>
      </c>
      <c r="AJ20">
        <v>18</v>
      </c>
      <c r="AK20" s="1316" t="s">
        <v>2832</v>
      </c>
      <c r="AL20" t="s">
        <v>6134</v>
      </c>
      <c r="AM20" t="s">
        <v>6134</v>
      </c>
      <c r="AX20">
        <f>$A$359</f>
        <v>0</v>
      </c>
      <c r="AY20">
        <f>$B$359</f>
        <v>0</v>
      </c>
      <c r="AZ20" t="str">
        <f>TEXT($E$359,"#,##0.00")</f>
        <v>0.00</v>
      </c>
      <c r="BA20" t="str">
        <f>$J$359&amp;""</f>
        <v/>
      </c>
    </row>
    <row r="21" spans="9:53" ht="14.25" customHeight="1">
      <c r="I21" s="1456"/>
      <c r="K21" s="1457"/>
      <c r="L21" s="3810"/>
      <c r="M21" s="3812"/>
      <c r="V21" t="s">
        <v>6295</v>
      </c>
      <c r="W21" t="s">
        <v>6514</v>
      </c>
      <c r="X21" t="str">
        <f t="shared" si="0"/>
        <v>销售费用-长期待摊费用摊销</v>
      </c>
      <c r="AC21" t="s">
        <v>6250</v>
      </c>
      <c r="AI21" t="s">
        <v>1859</v>
      </c>
      <c r="AJ21">
        <v>19</v>
      </c>
      <c r="AK21" s="1316" t="s">
        <v>2836</v>
      </c>
      <c r="AL21" t="s">
        <v>6135</v>
      </c>
      <c r="AM21" t="s">
        <v>6135</v>
      </c>
      <c r="AX21">
        <f>$A$360</f>
        <v>0</v>
      </c>
      <c r="AY21">
        <f>$B$360</f>
        <v>0</v>
      </c>
      <c r="AZ21" t="str">
        <f>TEXT($E$360,"#,##0.00")</f>
        <v>0.00</v>
      </c>
      <c r="BA21" t="str">
        <f>$J$360&amp;""</f>
        <v/>
      </c>
    </row>
    <row r="22" spans="9:53" ht="14.25" customHeight="1">
      <c r="I22" s="1456"/>
      <c r="K22" s="1457"/>
      <c r="L22" s="3810"/>
      <c r="M22" s="3812"/>
      <c r="V22" t="s">
        <v>6296</v>
      </c>
      <c r="W22" t="s">
        <v>1279</v>
      </c>
      <c r="X22" t="str">
        <f t="shared" si="0"/>
        <v>销售费用-印花税</v>
      </c>
      <c r="AC22" t="s">
        <v>6251</v>
      </c>
      <c r="AI22" t="s">
        <v>1859</v>
      </c>
      <c r="AJ22">
        <v>20</v>
      </c>
      <c r="AK22" s="1316" t="s">
        <v>6187</v>
      </c>
      <c r="AL22" t="s">
        <v>6136</v>
      </c>
      <c r="AM22" t="s">
        <v>6136</v>
      </c>
      <c r="AX22">
        <f>$A$361</f>
        <v>0</v>
      </c>
      <c r="AY22">
        <f>$B$361</f>
        <v>0</v>
      </c>
      <c r="AZ22" t="str">
        <f>TEXT($E$361,"#,##0.00")</f>
        <v>0.00</v>
      </c>
      <c r="BA22" t="str">
        <f>$J$361&amp;""</f>
        <v/>
      </c>
    </row>
    <row r="23" spans="9:53" ht="14.25" customHeight="1">
      <c r="I23" s="1456"/>
      <c r="K23" s="1457"/>
      <c r="N23" s="1475"/>
      <c r="O23" s="1475"/>
      <c r="P23" s="1475"/>
      <c r="Q23" s="1327"/>
      <c r="R23" s="1327"/>
      <c r="S23" s="1327"/>
      <c r="T23" s="1327"/>
      <c r="U23" s="1327"/>
      <c r="V23" t="s">
        <v>6297</v>
      </c>
      <c r="W23" t="s">
        <v>1277</v>
      </c>
      <c r="X23" t="str">
        <f t="shared" si="0"/>
        <v>销售费用-房产税</v>
      </c>
      <c r="AC23" t="s">
        <v>6252</v>
      </c>
      <c r="AI23" t="s">
        <v>1859</v>
      </c>
      <c r="AJ23" s="1327">
        <v>21</v>
      </c>
      <c r="AK23" s="1316" t="s">
        <v>2874</v>
      </c>
      <c r="AL23" t="s">
        <v>6137</v>
      </c>
      <c r="AM23" t="s">
        <v>6137</v>
      </c>
      <c r="AX23">
        <f>$A$362</f>
        <v>0</v>
      </c>
      <c r="AY23">
        <f>$B$362</f>
        <v>0</v>
      </c>
      <c r="AZ23" t="str">
        <f>TEXT($E$362,"#,##0.00")</f>
        <v>0.00</v>
      </c>
      <c r="BA23" t="str">
        <f>$J$362&amp;""</f>
        <v/>
      </c>
    </row>
    <row r="24" spans="9:53" ht="14.25" customHeight="1">
      <c r="I24" s="1456"/>
      <c r="K24" s="1457"/>
      <c r="N24" s="1475"/>
      <c r="O24" s="1475"/>
      <c r="P24" s="1475"/>
      <c r="Q24" s="1327"/>
      <c r="R24" s="1327"/>
      <c r="V24" t="s">
        <v>6517</v>
      </c>
      <c r="W24" t="s">
        <v>1278</v>
      </c>
      <c r="X24" t="str">
        <f>$X$2&amp;"-"&amp;W24</f>
        <v>销售费用-土地使用税</v>
      </c>
      <c r="AC24" t="s">
        <v>6253</v>
      </c>
      <c r="AI24" t="s">
        <v>1859</v>
      </c>
      <c r="AJ24" s="1327">
        <v>22</v>
      </c>
      <c r="AK24" s="1316" t="s">
        <v>6188</v>
      </c>
      <c r="AL24" t="s">
        <v>6138</v>
      </c>
      <c r="AM24" t="s">
        <v>6138</v>
      </c>
      <c r="AX24">
        <f>$A$363</f>
        <v>0</v>
      </c>
      <c r="AY24">
        <f>$B$363</f>
        <v>0</v>
      </c>
      <c r="AZ24" t="str">
        <f>TEXT($E$363,"#,##0.00")</f>
        <v>0.00</v>
      </c>
      <c r="BA24" t="str">
        <f>$J$363&amp;""</f>
        <v/>
      </c>
    </row>
    <row r="25" spans="9:53" ht="14.25" customHeight="1">
      <c r="I25" s="1456"/>
      <c r="K25" s="1457"/>
      <c r="N25" s="1475"/>
      <c r="O25" s="1475"/>
      <c r="P25" s="1475"/>
      <c r="Q25" s="1327"/>
      <c r="R25" s="1327"/>
      <c r="V25" t="s">
        <v>6518</v>
      </c>
      <c r="W25" t="s">
        <v>6515</v>
      </c>
      <c r="X25" t="str">
        <f t="shared" si="0"/>
        <v>销售费用-车船使用税</v>
      </c>
      <c r="AC25" t="s">
        <v>6254</v>
      </c>
      <c r="AE25" t="s">
        <v>1859</v>
      </c>
      <c r="AG25" t="s">
        <v>1859</v>
      </c>
      <c r="AJ25" s="1327">
        <v>23</v>
      </c>
      <c r="AK25" s="1316" t="s">
        <v>6189</v>
      </c>
      <c r="AL25" t="s">
        <v>6139</v>
      </c>
      <c r="AM25" t="s">
        <v>6139</v>
      </c>
      <c r="AX25">
        <f>$A$364</f>
        <v>0</v>
      </c>
      <c r="AY25">
        <f>$B$364</f>
        <v>0</v>
      </c>
      <c r="AZ25" t="str">
        <f>TEXT($E$364,"#,##0.00")</f>
        <v>0.00</v>
      </c>
      <c r="BA25" t="str">
        <f>$J$364&amp;""</f>
        <v/>
      </c>
    </row>
    <row r="26" spans="9:53" ht="14.25" customHeight="1">
      <c r="I26" s="1456"/>
      <c r="K26" s="1457"/>
      <c r="N26" s="1475"/>
      <c r="O26" s="1475"/>
      <c r="P26" s="1475"/>
      <c r="Q26" s="1327"/>
      <c r="R26" s="1327"/>
      <c r="V26" t="s">
        <v>6519</v>
      </c>
      <c r="W26" t="s">
        <v>6233</v>
      </c>
      <c r="X26" t="str">
        <f t="shared" si="0"/>
        <v>销售费用-劳务费</v>
      </c>
      <c r="AC26" t="s">
        <v>6255</v>
      </c>
      <c r="AE26" t="s">
        <v>1859</v>
      </c>
      <c r="AG26" t="s">
        <v>1859</v>
      </c>
      <c r="AJ26" s="1327">
        <v>24</v>
      </c>
      <c r="AK26" s="1316" t="s">
        <v>6190</v>
      </c>
      <c r="AL26" t="s">
        <v>1293</v>
      </c>
      <c r="AM26" t="s">
        <v>1293</v>
      </c>
      <c r="AX26">
        <f>$A$365</f>
        <v>0</v>
      </c>
      <c r="AY26">
        <f>$B$365</f>
        <v>0</v>
      </c>
      <c r="AZ26" t="str">
        <f>TEXT($E$365,"#,##0.00")</f>
        <v>0.00</v>
      </c>
      <c r="BA26" t="str">
        <f>$J$365&amp;""</f>
        <v/>
      </c>
    </row>
    <row r="27" spans="9:53" ht="14.25" customHeight="1">
      <c r="I27" s="1456"/>
      <c r="K27" s="1457"/>
      <c r="N27" s="1475"/>
      <c r="O27" s="1475"/>
      <c r="P27" s="1475"/>
      <c r="Q27" s="1327"/>
      <c r="R27" s="1327"/>
      <c r="V27" t="s">
        <v>6520</v>
      </c>
      <c r="W27" t="s">
        <v>6234</v>
      </c>
      <c r="X27" t="str">
        <f t="shared" si="0"/>
        <v>销售费用-咨询顾问费</v>
      </c>
      <c r="AC27" t="s">
        <v>6256</v>
      </c>
      <c r="AE27" t="s">
        <v>1859</v>
      </c>
      <c r="AG27" t="s">
        <v>1859</v>
      </c>
      <c r="AJ27" s="1327">
        <v>25</v>
      </c>
      <c r="AK27" s="1316" t="s">
        <v>6191</v>
      </c>
      <c r="AL27" t="s">
        <v>6140</v>
      </c>
      <c r="AM27" t="s">
        <v>6140</v>
      </c>
      <c r="AX27">
        <f>$A$335</f>
        <v>0</v>
      </c>
      <c r="AY27">
        <f>$B$335</f>
        <v>0</v>
      </c>
      <c r="AZ27" t="str">
        <f>TEXT($E$335,"#,##0.00")</f>
        <v>0.00</v>
      </c>
      <c r="BA27" t="str">
        <f>$J$335&amp;""</f>
        <v/>
      </c>
    </row>
    <row r="28" spans="9:53" ht="14.25" customHeight="1">
      <c r="I28" s="1456"/>
      <c r="K28" s="1457"/>
      <c r="M28" s="1475"/>
      <c r="N28" s="1475"/>
      <c r="O28" s="1475"/>
      <c r="P28" s="1475"/>
      <c r="Q28" s="1327"/>
      <c r="R28" s="1327"/>
      <c r="V28" t="s">
        <v>6521</v>
      </c>
      <c r="W28" t="s">
        <v>6237</v>
      </c>
      <c r="X28" t="str">
        <f t="shared" si="0"/>
        <v>销售费用-佣金和手续费</v>
      </c>
      <c r="AC28" t="s">
        <v>1295</v>
      </c>
      <c r="AJ28" s="1327">
        <v>26</v>
      </c>
      <c r="AK28" s="1316" t="s">
        <v>6192</v>
      </c>
      <c r="AL28" t="s">
        <v>6141</v>
      </c>
      <c r="AM28" t="s">
        <v>6141</v>
      </c>
      <c r="AX28">
        <f>$A$336</f>
        <v>0</v>
      </c>
      <c r="AY28">
        <f>$B$336</f>
        <v>0</v>
      </c>
      <c r="AZ28" t="str">
        <f>TEXT($E$336,"#,##0.00")</f>
        <v>0.00</v>
      </c>
      <c r="BA28" t="str">
        <f>$J$336&amp;""</f>
        <v/>
      </c>
    </row>
    <row r="29" spans="9:53" ht="14.25" customHeight="1">
      <c r="M29" s="1475"/>
      <c r="N29" s="1475"/>
      <c r="O29" s="1475"/>
      <c r="P29" s="1475"/>
      <c r="Q29" s="1327"/>
      <c r="R29" s="1327"/>
      <c r="V29" t="s">
        <v>6522</v>
      </c>
      <c r="W29" t="s">
        <v>6241</v>
      </c>
      <c r="X29" t="str">
        <f t="shared" si="0"/>
        <v>销售费用-办公费</v>
      </c>
      <c r="AJ29" s="1327">
        <v>27</v>
      </c>
      <c r="AK29" s="1316" t="s">
        <v>6193</v>
      </c>
      <c r="AL29" t="s">
        <v>6142</v>
      </c>
      <c r="AM29" t="s">
        <v>6142</v>
      </c>
      <c r="AX29">
        <f>$A$337</f>
        <v>0</v>
      </c>
      <c r="AY29">
        <f>$B$337</f>
        <v>0</v>
      </c>
      <c r="AZ29" t="str">
        <f>TEXT($E$337,"#,##0.00")</f>
        <v>0.00</v>
      </c>
      <c r="BA29" t="str">
        <f>$J$337&amp;""</f>
        <v/>
      </c>
    </row>
    <row r="30" spans="9:53" ht="14.25" customHeight="1">
      <c r="M30" s="1475"/>
      <c r="N30" s="1475"/>
      <c r="O30" s="1475"/>
      <c r="P30" s="1475"/>
      <c r="Q30" s="1327"/>
      <c r="R30" s="1327"/>
      <c r="V30" t="s">
        <v>6523</v>
      </c>
      <c r="W30" t="s">
        <v>6242</v>
      </c>
      <c r="X30" t="str">
        <f t="shared" si="0"/>
        <v>销售费用-董事会费</v>
      </c>
      <c r="AJ30" s="1327">
        <v>28</v>
      </c>
      <c r="AK30" s="1316" t="s">
        <v>6194</v>
      </c>
      <c r="AL30" t="s">
        <v>6143</v>
      </c>
      <c r="AM30" t="s">
        <v>6143</v>
      </c>
      <c r="AX30">
        <f>$A$338</f>
        <v>0</v>
      </c>
      <c r="AY30">
        <f>$B$338</f>
        <v>0</v>
      </c>
      <c r="AZ30" t="str">
        <f>TEXT($E$338,"#,##0.00")</f>
        <v>0.00</v>
      </c>
      <c r="BA30" t="str">
        <f>$J$338&amp;""</f>
        <v/>
      </c>
    </row>
    <row r="31" spans="9:53" ht="14.25" customHeight="1">
      <c r="M31" s="1475"/>
      <c r="N31" s="1475"/>
      <c r="O31" s="1475"/>
      <c r="P31" s="1475"/>
      <c r="Q31" s="1327"/>
      <c r="R31" s="1327"/>
      <c r="V31" t="s">
        <v>6524</v>
      </c>
      <c r="W31" t="s">
        <v>6244</v>
      </c>
      <c r="X31" t="str">
        <f t="shared" si="0"/>
        <v>销售费用-诉讼费</v>
      </c>
      <c r="AJ31" s="1327">
        <v>29</v>
      </c>
      <c r="AK31" s="1316" t="s">
        <v>6195</v>
      </c>
      <c r="AL31" t="s">
        <v>6144</v>
      </c>
      <c r="AM31" t="s">
        <v>6144</v>
      </c>
      <c r="AX31">
        <f>$A$339</f>
        <v>0</v>
      </c>
      <c r="AY31">
        <f>$B$339</f>
        <v>0</v>
      </c>
      <c r="AZ31" t="str">
        <f>TEXT($E$339,"#,##0.00")</f>
        <v>0.00</v>
      </c>
      <c r="BA31" t="str">
        <f>$J$339&amp;""</f>
        <v/>
      </c>
    </row>
    <row r="32" spans="9:53" ht="14.25" customHeight="1">
      <c r="M32" s="1475"/>
      <c r="N32" s="1475"/>
      <c r="O32" s="1475"/>
      <c r="P32" s="1475"/>
      <c r="Q32" s="1327"/>
      <c r="R32" s="1327"/>
      <c r="V32" t="s">
        <v>6525</v>
      </c>
      <c r="W32" t="s">
        <v>6245</v>
      </c>
      <c r="X32" t="str">
        <f t="shared" si="0"/>
        <v>销售费用-差旅费</v>
      </c>
      <c r="AJ32" s="1327">
        <v>30</v>
      </c>
      <c r="AK32" s="1316" t="s">
        <v>6196</v>
      </c>
      <c r="AL32" t="s">
        <v>6145</v>
      </c>
      <c r="AM32" t="s">
        <v>6145</v>
      </c>
      <c r="AX32">
        <f>$A$340</f>
        <v>0</v>
      </c>
      <c r="AY32">
        <f>$B$340</f>
        <v>0</v>
      </c>
      <c r="AZ32" t="str">
        <f>TEXT($E$340,"#,##0.00")</f>
        <v>0.00</v>
      </c>
      <c r="BA32" t="str">
        <f>$J$340&amp;""</f>
        <v/>
      </c>
    </row>
    <row r="33" spans="13:53" ht="14.25" customHeight="1">
      <c r="M33" s="1475"/>
      <c r="N33" s="1475"/>
      <c r="O33" s="1475"/>
      <c r="P33" s="1475"/>
      <c r="Q33" s="1327"/>
      <c r="R33" s="1327"/>
      <c r="V33" t="s">
        <v>6526</v>
      </c>
      <c r="W33" t="s">
        <v>6246</v>
      </c>
      <c r="X33" t="str">
        <f t="shared" si="0"/>
        <v>销售费用-保险费</v>
      </c>
      <c r="AJ33" s="1327">
        <v>31</v>
      </c>
      <c r="AK33" s="1316" t="s">
        <v>6197</v>
      </c>
      <c r="AL33" t="s">
        <v>6146</v>
      </c>
      <c r="AM33" t="s">
        <v>6146</v>
      </c>
      <c r="AX33">
        <f>$A$366</f>
        <v>0</v>
      </c>
      <c r="AY33">
        <f>$B$366</f>
        <v>0</v>
      </c>
      <c r="AZ33" t="str">
        <f>TEXT($E$366,"#,##0.00")</f>
        <v>0.00</v>
      </c>
      <c r="BA33" t="str">
        <f>$J$366&amp;""</f>
        <v/>
      </c>
    </row>
    <row r="34" spans="13:53" ht="14.25" customHeight="1">
      <c r="M34" s="1475"/>
      <c r="N34" s="1475"/>
      <c r="O34" s="1475"/>
      <c r="P34" s="1475"/>
      <c r="Q34" s="1327"/>
      <c r="R34" s="1327"/>
      <c r="V34" t="s">
        <v>6527</v>
      </c>
      <c r="W34" t="s">
        <v>6516</v>
      </c>
      <c r="X34" t="str">
        <f t="shared" si="0"/>
        <v>销售费用-运输、仓储费</v>
      </c>
      <c r="AJ34" s="1327">
        <v>32</v>
      </c>
      <c r="AK34" s="1316" t="s">
        <v>6198</v>
      </c>
      <c r="AL34" t="s">
        <v>6147</v>
      </c>
      <c r="AM34" t="s">
        <v>6147</v>
      </c>
      <c r="AX34">
        <f>$A$367</f>
        <v>0</v>
      </c>
      <c r="AY34">
        <f>$B$367</f>
        <v>0</v>
      </c>
      <c r="AZ34" t="str">
        <f>TEXT($E$367,"#,##0.00")</f>
        <v>0.00</v>
      </c>
      <c r="BA34" t="str">
        <f>$J$367&amp;""</f>
        <v/>
      </c>
    </row>
    <row r="35" spans="13:53" ht="14.25" customHeight="1">
      <c r="M35" s="1475"/>
      <c r="N35" s="1475"/>
      <c r="O35" s="1475"/>
      <c r="P35" s="1475"/>
      <c r="Q35" s="1327"/>
      <c r="R35" s="1327"/>
      <c r="V35" t="s">
        <v>6528</v>
      </c>
      <c r="W35" t="s">
        <v>6249</v>
      </c>
      <c r="X35" t="str">
        <f t="shared" si="0"/>
        <v>销售费用-修理费</v>
      </c>
      <c r="AK35" s="1316" t="s">
        <v>6199</v>
      </c>
      <c r="AL35" s="1327" t="s">
        <v>6115</v>
      </c>
      <c r="AX35">
        <f>$A$368</f>
        <v>0</v>
      </c>
      <c r="AY35">
        <f>$B$368</f>
        <v>0</v>
      </c>
      <c r="AZ35" t="str">
        <f>TEXT($E$368,"#,##0.00")</f>
        <v>0.00</v>
      </c>
      <c r="BA35" t="str">
        <f>$J$368&amp;""</f>
        <v/>
      </c>
    </row>
    <row r="36" spans="13:53" ht="14.25" customHeight="1">
      <c r="M36" s="1475"/>
      <c r="N36" s="1475"/>
      <c r="O36" s="1475"/>
      <c r="P36" s="1475"/>
      <c r="Q36" s="1327"/>
      <c r="R36" s="1327"/>
      <c r="V36" t="s">
        <v>6529</v>
      </c>
      <c r="W36" t="s">
        <v>6250</v>
      </c>
      <c r="X36" t="str">
        <f t="shared" si="0"/>
        <v>销售费用-包装费</v>
      </c>
      <c r="AJ36" s="1327">
        <v>33</v>
      </c>
      <c r="AK36" s="1316" t="s">
        <v>6200</v>
      </c>
      <c r="AL36" t="s">
        <v>6148</v>
      </c>
      <c r="AM36" t="s">
        <v>6148</v>
      </c>
      <c r="AX36">
        <f>$A$369</f>
        <v>0</v>
      </c>
      <c r="AY36">
        <f>$B$369</f>
        <v>0</v>
      </c>
      <c r="AZ36" t="str">
        <f>TEXT($E$369,"#,##0.00")</f>
        <v>0.00</v>
      </c>
      <c r="BA36" t="str">
        <f>$J$369&amp;""</f>
        <v/>
      </c>
    </row>
    <row r="37" spans="13:53" ht="14.25" customHeight="1">
      <c r="M37" s="1475"/>
      <c r="N37" s="1475"/>
      <c r="O37" s="1475"/>
      <c r="P37" s="1475"/>
      <c r="Q37" s="1327"/>
      <c r="R37" s="1327"/>
      <c r="V37" t="s">
        <v>6530</v>
      </c>
      <c r="W37" t="s">
        <v>6251</v>
      </c>
      <c r="X37" t="str">
        <f t="shared" si="0"/>
        <v>销售费用-技术转让费</v>
      </c>
      <c r="AJ37" s="1327">
        <v>34</v>
      </c>
      <c r="AK37" s="1316" t="s">
        <v>6201</v>
      </c>
      <c r="AL37" t="s">
        <v>6149</v>
      </c>
      <c r="AM37" t="s">
        <v>6149</v>
      </c>
      <c r="AX37">
        <f>$A$370</f>
        <v>0</v>
      </c>
      <c r="AY37">
        <f>$B$370</f>
        <v>0</v>
      </c>
      <c r="AZ37" t="str">
        <f>TEXT($E$370,"#,##0.00")</f>
        <v>0.00</v>
      </c>
      <c r="BA37" t="str">
        <f>$J$370&amp;""</f>
        <v/>
      </c>
    </row>
    <row r="38" spans="13:53" ht="14.25" customHeight="1">
      <c r="V38" t="s">
        <v>6531</v>
      </c>
      <c r="W38" t="s">
        <v>6252</v>
      </c>
      <c r="X38" t="str">
        <f t="shared" si="0"/>
        <v>销售费用-研究费用</v>
      </c>
      <c r="AJ38">
        <v>35</v>
      </c>
      <c r="AK38" s="1316" t="s">
        <v>6202</v>
      </c>
      <c r="AL38" t="s">
        <v>6150</v>
      </c>
      <c r="AM38" t="s">
        <v>6150</v>
      </c>
      <c r="AX38">
        <f>$A$371</f>
        <v>0</v>
      </c>
      <c r="AY38">
        <f>$B$371</f>
        <v>0</v>
      </c>
      <c r="AZ38" t="str">
        <f>TEXT($E$371,"#,##0.00")</f>
        <v>0.00</v>
      </c>
      <c r="BA38" t="str">
        <f>$J$371&amp;""</f>
        <v/>
      </c>
    </row>
    <row r="39" spans="13:53" ht="14.25" customHeight="1">
      <c r="V39" t="s">
        <v>6532</v>
      </c>
      <c r="W39" t="s">
        <v>1295</v>
      </c>
      <c r="X39" t="str">
        <f t="shared" si="0"/>
        <v>销售费用-其他</v>
      </c>
      <c r="AJ39">
        <v>36</v>
      </c>
      <c r="AK39" s="1316" t="s">
        <v>6203</v>
      </c>
      <c r="AL39" t="s">
        <v>6151</v>
      </c>
      <c r="AM39" t="s">
        <v>6151</v>
      </c>
    </row>
    <row r="40" spans="13:53" ht="14.25" customHeight="1">
      <c r="V40" t="s">
        <v>6229</v>
      </c>
      <c r="W40" t="s">
        <v>1292</v>
      </c>
      <c r="X40" t="s">
        <v>1292</v>
      </c>
      <c r="AJ40">
        <v>37</v>
      </c>
      <c r="AK40" s="1316" t="s">
        <v>3051</v>
      </c>
      <c r="AL40" t="s">
        <v>6152</v>
      </c>
      <c r="AM40" t="s">
        <v>6152</v>
      </c>
    </row>
    <row r="41" spans="13:53" ht="14.25" customHeight="1">
      <c r="V41" t="s">
        <v>6319</v>
      </c>
      <c r="W41" t="s">
        <v>907</v>
      </c>
      <c r="X41" t="str">
        <f>$X$40&amp;"-"&amp;W41</f>
        <v>管理费用-工资薪金支出</v>
      </c>
      <c r="AJ41">
        <v>38</v>
      </c>
      <c r="AK41" s="1316" t="s">
        <v>3055</v>
      </c>
      <c r="AL41" t="s">
        <v>6153</v>
      </c>
      <c r="AM41" t="s">
        <v>6153</v>
      </c>
    </row>
    <row r="42" spans="13:53" ht="14.25" customHeight="1">
      <c r="V42" t="s">
        <v>6321</v>
      </c>
      <c r="W42" t="s">
        <v>908</v>
      </c>
      <c r="X42" t="str">
        <f t="shared" ref="X42:X77" si="1">$X$40&amp;"-"&amp;W42</f>
        <v>管理费用-职工福利费支出</v>
      </c>
      <c r="AJ42">
        <v>39</v>
      </c>
      <c r="AK42" s="1316" t="s">
        <v>3061</v>
      </c>
      <c r="AL42" t="s">
        <v>6154</v>
      </c>
      <c r="AM42" t="s">
        <v>6154</v>
      </c>
    </row>
    <row r="43" spans="13:53" ht="14.25" customHeight="1">
      <c r="V43" t="s">
        <v>6323</v>
      </c>
      <c r="W43" t="s">
        <v>909</v>
      </c>
      <c r="X43" t="str">
        <f t="shared" si="1"/>
        <v>管理费用-职工教育经费支出</v>
      </c>
      <c r="AJ43">
        <v>40</v>
      </c>
      <c r="AK43" s="1316" t="s">
        <v>6204</v>
      </c>
      <c r="AL43" t="s">
        <v>6155</v>
      </c>
      <c r="AM43" t="s">
        <v>6155</v>
      </c>
    </row>
    <row r="44" spans="13:53" ht="14.25" customHeight="1">
      <c r="V44" t="s">
        <v>6325</v>
      </c>
      <c r="W44" t="s">
        <v>910</v>
      </c>
      <c r="X44" t="str">
        <f t="shared" si="1"/>
        <v>管理费用-工会经费支出</v>
      </c>
      <c r="AJ44">
        <v>41</v>
      </c>
      <c r="AK44" s="1316" t="s">
        <v>6205</v>
      </c>
      <c r="AL44" t="s">
        <v>6156</v>
      </c>
      <c r="AM44" t="s">
        <v>6156</v>
      </c>
    </row>
    <row r="45" spans="13:53" ht="14.25" customHeight="1">
      <c r="V45" t="s">
        <v>6327</v>
      </c>
      <c r="W45" t="s">
        <v>911</v>
      </c>
      <c r="X45" t="str">
        <f t="shared" si="1"/>
        <v>管理费用-业务招待费支出</v>
      </c>
      <c r="AJ45">
        <v>42</v>
      </c>
      <c r="AK45" s="1316" t="s">
        <v>6206</v>
      </c>
      <c r="AL45" t="s">
        <v>6157</v>
      </c>
      <c r="AM45" t="s">
        <v>6157</v>
      </c>
    </row>
    <row r="46" spans="13:53" ht="14.25" customHeight="1">
      <c r="V46" t="s">
        <v>6329</v>
      </c>
      <c r="W46" t="s">
        <v>912</v>
      </c>
      <c r="X46" t="str">
        <f t="shared" si="1"/>
        <v>管理费用-广告费和业务宣传费支出</v>
      </c>
      <c r="AJ46">
        <v>43</v>
      </c>
      <c r="AK46" s="1316" t="s">
        <v>6207</v>
      </c>
      <c r="AL46" t="s">
        <v>6158</v>
      </c>
      <c r="AM46" t="s">
        <v>6158</v>
      </c>
    </row>
    <row r="47" spans="13:53" ht="14.25" customHeight="1">
      <c r="V47" t="s">
        <v>6331</v>
      </c>
      <c r="W47" t="s">
        <v>913</v>
      </c>
      <c r="X47" t="str">
        <f t="shared" si="1"/>
        <v>管理费用-捐赠支出</v>
      </c>
      <c r="AJ47">
        <v>44</v>
      </c>
      <c r="AK47" s="1316" t="s">
        <v>6208</v>
      </c>
      <c r="AL47" t="s">
        <v>6159</v>
      </c>
      <c r="AM47" t="s">
        <v>6159</v>
      </c>
    </row>
    <row r="48" spans="13:53" ht="14.25" customHeight="1">
      <c r="V48" t="s">
        <v>6333</v>
      </c>
      <c r="W48" t="s">
        <v>1480</v>
      </c>
      <c r="X48" t="str">
        <f t="shared" si="1"/>
        <v>管理费用-住房公积金</v>
      </c>
      <c r="AK48" s="1316" t="s">
        <v>6209</v>
      </c>
      <c r="AL48" t="s">
        <v>6116</v>
      </c>
    </row>
    <row r="49" spans="22:39" ht="14.25" customHeight="1">
      <c r="V49" t="s">
        <v>6335</v>
      </c>
      <c r="W49" t="s">
        <v>914</v>
      </c>
      <c r="X49" t="str">
        <f t="shared" si="1"/>
        <v>管理费用-罚金、罚款和被没收财物的损失</v>
      </c>
      <c r="AJ49">
        <v>45</v>
      </c>
      <c r="AK49" s="1316" t="s">
        <v>6210</v>
      </c>
      <c r="AL49" t="s">
        <v>439</v>
      </c>
      <c r="AM49" t="s">
        <v>439</v>
      </c>
    </row>
    <row r="50" spans="22:39" ht="14.25" customHeight="1">
      <c r="V50" t="s">
        <v>6337</v>
      </c>
      <c r="W50" t="s">
        <v>571</v>
      </c>
      <c r="X50" t="str">
        <f t="shared" si="1"/>
        <v>管理费用-税收滞纳金</v>
      </c>
      <c r="AJ50">
        <v>46</v>
      </c>
      <c r="AK50" s="1316" t="s">
        <v>6211</v>
      </c>
      <c r="AL50" t="s">
        <v>843</v>
      </c>
      <c r="AM50" t="s">
        <v>843</v>
      </c>
    </row>
    <row r="51" spans="22:39" ht="14.25" customHeight="1">
      <c r="V51" t="s">
        <v>6339</v>
      </c>
      <c r="W51" t="s">
        <v>917</v>
      </c>
      <c r="X51" t="str">
        <f t="shared" si="1"/>
        <v>管理费用-赞助支出</v>
      </c>
      <c r="AJ51">
        <v>47</v>
      </c>
      <c r="AK51" s="1316" t="s">
        <v>6212</v>
      </c>
      <c r="AL51" t="s">
        <v>1132</v>
      </c>
      <c r="AM51" t="s">
        <v>1132</v>
      </c>
    </row>
    <row r="52" spans="22:39" ht="14.25" customHeight="1">
      <c r="V52" t="s">
        <v>6341</v>
      </c>
      <c r="W52" t="s">
        <v>919</v>
      </c>
      <c r="X52" t="str">
        <f t="shared" si="1"/>
        <v>管理费用-各类基本社会保障性缴款</v>
      </c>
      <c r="AJ52">
        <v>48</v>
      </c>
      <c r="AK52" s="1316" t="s">
        <v>6213</v>
      </c>
      <c r="AL52" t="s">
        <v>6160</v>
      </c>
      <c r="AM52" t="s">
        <v>6160</v>
      </c>
    </row>
    <row r="53" spans="22:39" ht="14.25" customHeight="1">
      <c r="V53" t="s">
        <v>6343</v>
      </c>
      <c r="W53" t="s">
        <v>920</v>
      </c>
      <c r="X53" t="str">
        <f t="shared" si="1"/>
        <v>管理费用-补充养老险、补充医疗保险</v>
      </c>
      <c r="AJ53">
        <v>49</v>
      </c>
      <c r="AK53" s="1316" t="s">
        <v>6214</v>
      </c>
      <c r="AL53" t="s">
        <v>6161</v>
      </c>
      <c r="AM53" t="s">
        <v>6161</v>
      </c>
    </row>
    <row r="54" spans="22:39" ht="14.25" customHeight="1">
      <c r="V54" t="s">
        <v>6345</v>
      </c>
      <c r="W54" t="s">
        <v>36</v>
      </c>
      <c r="X54" t="str">
        <f t="shared" si="1"/>
        <v>管理费用-财产损失</v>
      </c>
      <c r="AK54" s="1316" t="s">
        <v>6215</v>
      </c>
      <c r="AL54" t="s">
        <v>6117</v>
      </c>
    </row>
    <row r="55" spans="22:39" ht="14.25" customHeight="1">
      <c r="V55" t="s">
        <v>6347</v>
      </c>
      <c r="W55" t="s">
        <v>471</v>
      </c>
      <c r="X55" t="str">
        <f t="shared" si="1"/>
        <v>管理费用-折旧</v>
      </c>
      <c r="AJ55">
        <v>50</v>
      </c>
      <c r="AK55" s="1316" t="s">
        <v>6216</v>
      </c>
      <c r="AL55" t="s">
        <v>1287</v>
      </c>
      <c r="AM55" t="s">
        <v>1287</v>
      </c>
    </row>
    <row r="56" spans="22:39" ht="14.25" customHeight="1">
      <c r="V56" t="s">
        <v>6349</v>
      </c>
      <c r="W56" t="s">
        <v>472</v>
      </c>
      <c r="X56" t="str">
        <f t="shared" si="1"/>
        <v>管理费用-租金</v>
      </c>
      <c r="AJ56">
        <v>51</v>
      </c>
      <c r="AK56" s="1316" t="s">
        <v>6217</v>
      </c>
      <c r="AL56" t="s">
        <v>1289</v>
      </c>
      <c r="AM56" t="s">
        <v>1289</v>
      </c>
    </row>
    <row r="57" spans="22:39" ht="14.25" customHeight="1">
      <c r="V57" t="s">
        <v>6351</v>
      </c>
      <c r="W57" t="s">
        <v>6513</v>
      </c>
      <c r="X57" t="str">
        <f t="shared" si="1"/>
        <v>管理费用-辞退福利</v>
      </c>
      <c r="AJ57">
        <v>52</v>
      </c>
      <c r="AK57" s="1316" t="s">
        <v>6218</v>
      </c>
      <c r="AL57" t="s">
        <v>6162</v>
      </c>
      <c r="AM57" t="s">
        <v>6162</v>
      </c>
    </row>
    <row r="58" spans="22:39" ht="14.25" customHeight="1">
      <c r="V58" t="s">
        <v>6353</v>
      </c>
      <c r="W58" t="s">
        <v>1630</v>
      </c>
      <c r="X58" t="str">
        <f t="shared" si="1"/>
        <v>管理费用-无形资产摊销</v>
      </c>
      <c r="AJ58">
        <v>53</v>
      </c>
      <c r="AK58" s="1316" t="s">
        <v>6219</v>
      </c>
      <c r="AL58" t="s">
        <v>6163</v>
      </c>
      <c r="AM58" t="s">
        <v>6163</v>
      </c>
    </row>
    <row r="59" spans="22:39" ht="14.25" customHeight="1">
      <c r="V59" t="s">
        <v>6355</v>
      </c>
      <c r="W59" t="s">
        <v>6514</v>
      </c>
      <c r="X59" t="str">
        <f t="shared" si="1"/>
        <v>管理费用-长期待摊费用摊销</v>
      </c>
      <c r="AJ59">
        <v>54</v>
      </c>
      <c r="AK59" s="1316" t="s">
        <v>6220</v>
      </c>
      <c r="AL59" t="s">
        <v>6164</v>
      </c>
      <c r="AM59" t="s">
        <v>6164</v>
      </c>
    </row>
    <row r="60" spans="22:39" ht="14.25" customHeight="1">
      <c r="V60" t="s">
        <v>6357</v>
      </c>
      <c r="W60" t="s">
        <v>1279</v>
      </c>
      <c r="X60" t="str">
        <f t="shared" si="1"/>
        <v>管理费用-印花税</v>
      </c>
      <c r="AK60" s="1316" t="s">
        <v>6221</v>
      </c>
      <c r="AL60" t="s">
        <v>6118</v>
      </c>
    </row>
    <row r="61" spans="22:39" ht="14.25" customHeight="1">
      <c r="V61" t="s">
        <v>6359</v>
      </c>
      <c r="W61" t="s">
        <v>1277</v>
      </c>
      <c r="X61" t="str">
        <f t="shared" si="1"/>
        <v>管理费用-房产税</v>
      </c>
      <c r="AJ61">
        <v>55</v>
      </c>
      <c r="AK61" s="1316" t="s">
        <v>6222</v>
      </c>
      <c r="AL61" t="s">
        <v>245</v>
      </c>
      <c r="AM61" t="s">
        <v>245</v>
      </c>
    </row>
    <row r="62" spans="22:39" ht="14.25" customHeight="1">
      <c r="V62" t="s">
        <v>6533</v>
      </c>
      <c r="W62" t="s">
        <v>1278</v>
      </c>
      <c r="X62" t="str">
        <f>$X$40&amp;"-"&amp;W62</f>
        <v>管理费用-土地使用税</v>
      </c>
      <c r="AJ62">
        <v>56</v>
      </c>
      <c r="AK62" s="1316" t="s">
        <v>6223</v>
      </c>
      <c r="AL62" t="s">
        <v>246</v>
      </c>
      <c r="AM62" t="s">
        <v>246</v>
      </c>
    </row>
    <row r="63" spans="22:39" ht="14.25" customHeight="1">
      <c r="V63" t="s">
        <v>6534</v>
      </c>
      <c r="W63" t="s">
        <v>6515</v>
      </c>
      <c r="X63" t="str">
        <f t="shared" si="1"/>
        <v>管理费用-车船使用税</v>
      </c>
      <c r="AJ63">
        <v>57</v>
      </c>
      <c r="AK63" s="1316" t="s">
        <v>3943</v>
      </c>
      <c r="AL63" t="s">
        <v>6165</v>
      </c>
      <c r="AM63" t="s">
        <v>6165</v>
      </c>
    </row>
    <row r="64" spans="22:39" ht="14.25" customHeight="1">
      <c r="V64" t="s">
        <v>6535</v>
      </c>
      <c r="W64" t="s">
        <v>6233</v>
      </c>
      <c r="X64" t="str">
        <f t="shared" si="1"/>
        <v>管理费用-劳务费</v>
      </c>
      <c r="AJ64">
        <v>58</v>
      </c>
      <c r="AK64" s="1316" t="s">
        <v>6224</v>
      </c>
      <c r="AL64" t="s">
        <v>6166</v>
      </c>
      <c r="AM64" t="s">
        <v>6166</v>
      </c>
    </row>
    <row r="65" spans="21:39" ht="14.25" customHeight="1">
      <c r="V65" t="s">
        <v>6536</v>
      </c>
      <c r="W65" t="s">
        <v>6234</v>
      </c>
      <c r="X65" t="str">
        <f t="shared" si="1"/>
        <v>管理费用-咨询顾问费</v>
      </c>
      <c r="AJ65">
        <v>59</v>
      </c>
      <c r="AK65" s="1316" t="s">
        <v>6225</v>
      </c>
      <c r="AL65" t="s">
        <v>1230</v>
      </c>
      <c r="AM65" t="s">
        <v>1230</v>
      </c>
    </row>
    <row r="66" spans="21:39" ht="14.25" customHeight="1">
      <c r="V66" t="s">
        <v>6537</v>
      </c>
      <c r="W66" t="s">
        <v>6237</v>
      </c>
      <c r="X66" t="str">
        <f t="shared" si="1"/>
        <v>管理费用-佣金和手续费</v>
      </c>
      <c r="AJ66">
        <v>60</v>
      </c>
      <c r="AK66" s="1316" t="s">
        <v>6226</v>
      </c>
      <c r="AL66" t="s">
        <v>6167</v>
      </c>
      <c r="AM66" t="s">
        <v>6167</v>
      </c>
    </row>
    <row r="67" spans="21:39" ht="14.25" customHeight="1">
      <c r="V67" t="s">
        <v>6538</v>
      </c>
      <c r="W67" t="s">
        <v>6241</v>
      </c>
      <c r="X67" t="str">
        <f t="shared" si="1"/>
        <v>管理费用-办公费</v>
      </c>
      <c r="AJ67">
        <v>61</v>
      </c>
      <c r="AK67" s="1316" t="s">
        <v>6227</v>
      </c>
      <c r="AL67" t="s">
        <v>6168</v>
      </c>
      <c r="AM67" t="s">
        <v>6168</v>
      </c>
    </row>
    <row r="68" spans="21:39" ht="14.25" customHeight="1">
      <c r="U68" s="1702"/>
      <c r="V68" t="s">
        <v>6539</v>
      </c>
      <c r="W68" t="s">
        <v>6242</v>
      </c>
      <c r="X68" t="str">
        <f t="shared" si="1"/>
        <v>管理费用-董事会费</v>
      </c>
      <c r="AJ68" s="1702" t="s">
        <v>6257</v>
      </c>
      <c r="AK68" s="1324" t="s">
        <v>6364</v>
      </c>
      <c r="AL68" t="s">
        <v>224</v>
      </c>
      <c r="AM68" s="1324" t="s">
        <v>6365</v>
      </c>
    </row>
    <row r="69" spans="21:39" ht="14.25" customHeight="1">
      <c r="U69" s="1702"/>
      <c r="V69" t="s">
        <v>6540</v>
      </c>
      <c r="W69" t="s">
        <v>6244</v>
      </c>
      <c r="X69" t="str">
        <f t="shared" si="1"/>
        <v>管理费用-诉讼费</v>
      </c>
      <c r="AJ69" s="1702" t="s">
        <v>1868</v>
      </c>
      <c r="AK69" s="1324" t="s">
        <v>6366</v>
      </c>
      <c r="AL69" t="s">
        <v>1270</v>
      </c>
      <c r="AM69" s="1324" t="s">
        <v>6367</v>
      </c>
    </row>
    <row r="70" spans="21:39" ht="14.25" customHeight="1">
      <c r="U70" s="1702"/>
      <c r="V70" t="s">
        <v>6541</v>
      </c>
      <c r="W70" t="s">
        <v>6245</v>
      </c>
      <c r="X70" t="str">
        <f t="shared" si="1"/>
        <v>管理费用-差旅费</v>
      </c>
      <c r="AJ70" s="1702" t="s">
        <v>6258</v>
      </c>
      <c r="AK70" s="1324" t="s">
        <v>6368</v>
      </c>
      <c r="AL70" t="s">
        <v>710</v>
      </c>
      <c r="AM70" s="1324" t="s">
        <v>6369</v>
      </c>
    </row>
    <row r="71" spans="21:39" ht="14.25" customHeight="1">
      <c r="U71" s="1702"/>
      <c r="V71" t="s">
        <v>6542</v>
      </c>
      <c r="W71" t="s">
        <v>6246</v>
      </c>
      <c r="X71" t="str">
        <f t="shared" si="1"/>
        <v>管理费用-保险费</v>
      </c>
      <c r="AJ71" s="1702" t="s">
        <v>6259</v>
      </c>
      <c r="AK71" s="1324" t="s">
        <v>6370</v>
      </c>
      <c r="AL71" t="s">
        <v>226</v>
      </c>
      <c r="AM71" s="1324" t="s">
        <v>6371</v>
      </c>
    </row>
    <row r="72" spans="21:39" ht="14.25" customHeight="1">
      <c r="U72" s="1702"/>
      <c r="V72" t="s">
        <v>6543</v>
      </c>
      <c r="W72" t="s">
        <v>6516</v>
      </c>
      <c r="X72" t="str">
        <f t="shared" si="1"/>
        <v>管理费用-运输、仓储费</v>
      </c>
      <c r="AJ72" s="1702" t="s">
        <v>6260</v>
      </c>
      <c r="AK72" s="1324" t="s">
        <v>6372</v>
      </c>
      <c r="AL72" t="s">
        <v>230</v>
      </c>
      <c r="AM72" s="1324" t="s">
        <v>6373</v>
      </c>
    </row>
    <row r="73" spans="21:39" ht="14.25" customHeight="1">
      <c r="U73" s="1702"/>
      <c r="V73" t="s">
        <v>6544</v>
      </c>
      <c r="W73" t="s">
        <v>6249</v>
      </c>
      <c r="X73" t="str">
        <f t="shared" si="1"/>
        <v>管理费用-修理费</v>
      </c>
      <c r="AJ73" s="1702" t="s">
        <v>6261</v>
      </c>
      <c r="AK73" s="1324" t="s">
        <v>6374</v>
      </c>
      <c r="AL73" t="s">
        <v>2362</v>
      </c>
      <c r="AM73" s="1324" t="s">
        <v>6375</v>
      </c>
    </row>
    <row r="74" spans="21:39" ht="14.25" customHeight="1">
      <c r="U74" s="1702"/>
      <c r="V74" t="s">
        <v>6545</v>
      </c>
      <c r="W74" t="s">
        <v>6250</v>
      </c>
      <c r="X74" t="str">
        <f t="shared" si="1"/>
        <v>管理费用-包装费</v>
      </c>
      <c r="AJ74" s="1702" t="s">
        <v>6262</v>
      </c>
      <c r="AK74" s="1324" t="s">
        <v>6376</v>
      </c>
      <c r="AL74" t="s">
        <v>1277</v>
      </c>
      <c r="AM74" s="1324" t="s">
        <v>6377</v>
      </c>
    </row>
    <row r="75" spans="21:39" ht="14.25" customHeight="1">
      <c r="U75" s="1702"/>
      <c r="V75" t="s">
        <v>6546</v>
      </c>
      <c r="W75" t="s">
        <v>6251</v>
      </c>
      <c r="X75" t="str">
        <f t="shared" si="1"/>
        <v>管理费用-技术转让费</v>
      </c>
      <c r="AJ75" s="1702" t="s">
        <v>6263</v>
      </c>
      <c r="AK75" s="1324" t="s">
        <v>6378</v>
      </c>
      <c r="AL75" t="s">
        <v>184</v>
      </c>
      <c r="AM75" s="1324" t="s">
        <v>6379</v>
      </c>
    </row>
    <row r="76" spans="21:39" ht="14.25" customHeight="1">
      <c r="U76" s="1702"/>
      <c r="V76" t="s">
        <v>6547</v>
      </c>
      <c r="W76" s="1326" t="s">
        <v>6252</v>
      </c>
      <c r="X76" t="str">
        <f t="shared" si="1"/>
        <v>管理费用-研究费用</v>
      </c>
      <c r="AJ76" s="1702" t="s">
        <v>6264</v>
      </c>
      <c r="AK76" s="1324" t="s">
        <v>6380</v>
      </c>
      <c r="AL76" s="1326" t="s">
        <v>6363</v>
      </c>
      <c r="AM76" s="1324" t="s">
        <v>6381</v>
      </c>
    </row>
    <row r="77" spans="21:39" ht="14.25" customHeight="1">
      <c r="U77" s="1702"/>
      <c r="V77" t="s">
        <v>6548</v>
      </c>
      <c r="W77" t="s">
        <v>1295</v>
      </c>
      <c r="X77" t="str">
        <f t="shared" si="1"/>
        <v>管理费用-其他</v>
      </c>
      <c r="AJ77" s="1702" t="s">
        <v>6265</v>
      </c>
      <c r="AK77" s="1324" t="s">
        <v>6382</v>
      </c>
      <c r="AL77" t="s">
        <v>1272</v>
      </c>
      <c r="AM77" s="1324" t="s">
        <v>6383</v>
      </c>
    </row>
    <row r="78" spans="21:39" ht="14.25" customHeight="1">
      <c r="U78" s="1702"/>
      <c r="V78" t="s">
        <v>6230</v>
      </c>
      <c r="W78" t="s">
        <v>966</v>
      </c>
      <c r="X78" t="s">
        <v>966</v>
      </c>
      <c r="AJ78" s="1702" t="s">
        <v>6266</v>
      </c>
      <c r="AK78" s="1324" t="s">
        <v>6384</v>
      </c>
      <c r="AL78" t="s">
        <v>6361</v>
      </c>
      <c r="AM78" s="1324" t="s">
        <v>6385</v>
      </c>
    </row>
    <row r="79" spans="21:39" ht="14.25" customHeight="1">
      <c r="U79" s="1702"/>
      <c r="V79" t="s">
        <v>6390</v>
      </c>
      <c r="W79" t="s">
        <v>482</v>
      </c>
      <c r="X79" t="str">
        <f>$X$78&amp;"-"&amp;W79</f>
        <v>财务费用-金融机构手续费</v>
      </c>
      <c r="AJ79" s="1702" t="s">
        <v>6267</v>
      </c>
      <c r="AK79" s="1324" t="s">
        <v>6386</v>
      </c>
      <c r="AL79" t="s">
        <v>6362</v>
      </c>
      <c r="AM79" s="1324" t="s">
        <v>6387</v>
      </c>
    </row>
    <row r="80" spans="21:39" ht="14.25" customHeight="1">
      <c r="U80" s="1702"/>
      <c r="V80" t="s">
        <v>6392</v>
      </c>
      <c r="W80" s="1326" t="s">
        <v>6551</v>
      </c>
      <c r="X80" t="str">
        <f t="shared" ref="X80:X85" si="2">$X$78&amp;"-"&amp;W80</f>
        <v>财务费用-利息收入</v>
      </c>
      <c r="AJ80" s="1702" t="s">
        <v>6268</v>
      </c>
      <c r="AK80" s="1324" t="s">
        <v>6388</v>
      </c>
      <c r="AL80" s="1326" t="s">
        <v>5911</v>
      </c>
      <c r="AM80" s="1324" t="s">
        <v>6389</v>
      </c>
    </row>
    <row r="81" spans="21:39" ht="14.25" customHeight="1">
      <c r="V81" t="s">
        <v>6394</v>
      </c>
      <c r="W81" s="1326" t="s">
        <v>6552</v>
      </c>
      <c r="X81" t="str">
        <f t="shared" si="2"/>
        <v>财务费用-利息支出</v>
      </c>
      <c r="AJ81">
        <v>62</v>
      </c>
      <c r="AK81" s="1316" t="s">
        <v>6228</v>
      </c>
      <c r="AL81" t="s">
        <v>5050</v>
      </c>
      <c r="AM81" t="s">
        <v>5050</v>
      </c>
    </row>
    <row r="82" spans="21:39" ht="14.25" customHeight="1">
      <c r="U82" s="1702"/>
      <c r="V82" t="s">
        <v>6396</v>
      </c>
      <c r="W82" s="1326" t="s">
        <v>6553</v>
      </c>
      <c r="X82" t="str">
        <f t="shared" si="2"/>
        <v>财务费用-汇兑收益</v>
      </c>
      <c r="AJ82" s="1702" t="s">
        <v>6257</v>
      </c>
      <c r="AK82" s="1324" t="s">
        <v>6277</v>
      </c>
      <c r="AL82" t="s">
        <v>5909</v>
      </c>
      <c r="AM82" t="s">
        <v>6298</v>
      </c>
    </row>
    <row r="83" spans="21:39" ht="14.25" customHeight="1">
      <c r="U83" s="1702"/>
      <c r="V83" t="s">
        <v>6398</v>
      </c>
      <c r="W83" s="1326" t="s">
        <v>6554</v>
      </c>
      <c r="X83" t="str">
        <f t="shared" si="2"/>
        <v>财务费用-汇兑损失</v>
      </c>
      <c r="AJ83" s="1702" t="s">
        <v>1868</v>
      </c>
      <c r="AK83" s="1324" t="s">
        <v>6278</v>
      </c>
      <c r="AL83" t="s">
        <v>6233</v>
      </c>
      <c r="AM83" t="s">
        <v>6299</v>
      </c>
    </row>
    <row r="84" spans="21:39" ht="14.25" customHeight="1">
      <c r="U84" s="1702"/>
      <c r="V84" t="s">
        <v>6555</v>
      </c>
      <c r="W84" t="s">
        <v>6256</v>
      </c>
      <c r="X84" t="str">
        <f t="shared" si="2"/>
        <v>财务费用-现金折扣</v>
      </c>
      <c r="AJ84" s="1702" t="s">
        <v>6258</v>
      </c>
      <c r="AK84" s="1324" t="s">
        <v>6279</v>
      </c>
      <c r="AL84" t="s">
        <v>6234</v>
      </c>
      <c r="AM84" t="s">
        <v>6300</v>
      </c>
    </row>
    <row r="85" spans="21:39" ht="14.25" customHeight="1">
      <c r="U85" s="1702"/>
      <c r="V85" t="s">
        <v>6556</v>
      </c>
      <c r="W85" t="s">
        <v>1295</v>
      </c>
      <c r="X85" t="str">
        <f t="shared" si="2"/>
        <v>财务费用-其他</v>
      </c>
      <c r="AJ85" s="1702" t="s">
        <v>6259</v>
      </c>
      <c r="AK85" s="1324" t="s">
        <v>6280</v>
      </c>
      <c r="AL85" t="s">
        <v>6235</v>
      </c>
      <c r="AM85" t="s">
        <v>6301</v>
      </c>
    </row>
    <row r="86" spans="21:39" ht="14.25" customHeight="1">
      <c r="U86" s="1702"/>
      <c r="V86" s="1324"/>
      <c r="AJ86" s="1702" t="s">
        <v>6260</v>
      </c>
      <c r="AK86" s="1324" t="s">
        <v>6281</v>
      </c>
      <c r="AL86" t="s">
        <v>6236</v>
      </c>
      <c r="AM86" t="s">
        <v>6302</v>
      </c>
    </row>
    <row r="87" spans="21:39" ht="14.25" customHeight="1">
      <c r="U87" s="1702"/>
      <c r="V87" s="1324"/>
      <c r="AJ87" s="1702" t="s">
        <v>6261</v>
      </c>
      <c r="AK87" s="1324" t="s">
        <v>6282</v>
      </c>
      <c r="AL87" t="s">
        <v>6237</v>
      </c>
      <c r="AM87" t="s">
        <v>6303</v>
      </c>
    </row>
    <row r="88" spans="21:39" ht="14.25" customHeight="1">
      <c r="U88" s="1702"/>
      <c r="V88" s="1324"/>
      <c r="AJ88" s="1702" t="s">
        <v>6262</v>
      </c>
      <c r="AK88" s="1324" t="s">
        <v>6283</v>
      </c>
      <c r="AL88" t="s">
        <v>6238</v>
      </c>
      <c r="AM88" t="s">
        <v>6304</v>
      </c>
    </row>
    <row r="89" spans="21:39" ht="14.25" customHeight="1">
      <c r="U89" s="1702"/>
      <c r="V89" s="1324"/>
      <c r="AJ89" s="1702" t="s">
        <v>6263</v>
      </c>
      <c r="AK89" s="1324" t="s">
        <v>6284</v>
      </c>
      <c r="AL89" t="s">
        <v>6239</v>
      </c>
      <c r="AM89" t="s">
        <v>6305</v>
      </c>
    </row>
    <row r="90" spans="21:39" ht="14.25" customHeight="1">
      <c r="U90" s="1702"/>
      <c r="V90" s="1324"/>
      <c r="AJ90" s="1702" t="s">
        <v>6264</v>
      </c>
      <c r="AK90" s="1324" t="s">
        <v>6285</v>
      </c>
      <c r="AL90" t="s">
        <v>6241</v>
      </c>
      <c r="AM90" t="s">
        <v>6306</v>
      </c>
    </row>
    <row r="91" spans="21:39" ht="14.25" customHeight="1">
      <c r="U91" s="1702"/>
      <c r="V91" s="1324"/>
      <c r="AJ91" s="1702" t="s">
        <v>6265</v>
      </c>
      <c r="AK91" s="1324" t="s">
        <v>6286</v>
      </c>
      <c r="AL91" t="s">
        <v>6242</v>
      </c>
      <c r="AM91" t="s">
        <v>6307</v>
      </c>
    </row>
    <row r="92" spans="21:39" ht="14.25" customHeight="1">
      <c r="U92" s="1702"/>
      <c r="V92" s="1324"/>
      <c r="AJ92" s="1702" t="s">
        <v>6266</v>
      </c>
      <c r="AK92" s="1324" t="s">
        <v>6287</v>
      </c>
      <c r="AL92" t="s">
        <v>6243</v>
      </c>
      <c r="AM92" t="s">
        <v>6308</v>
      </c>
    </row>
    <row r="93" spans="21:39" ht="14.25" customHeight="1">
      <c r="U93" s="1702"/>
      <c r="V93" s="1324"/>
      <c r="AJ93" s="1702" t="s">
        <v>6267</v>
      </c>
      <c r="AK93" s="1324" t="s">
        <v>6288</v>
      </c>
      <c r="AL93" t="s">
        <v>6244</v>
      </c>
      <c r="AM93" t="s">
        <v>6309</v>
      </c>
    </row>
    <row r="94" spans="21:39" ht="14.25" customHeight="1">
      <c r="U94" s="1702"/>
      <c r="V94" s="1324"/>
      <c r="AJ94" s="1702" t="s">
        <v>6268</v>
      </c>
      <c r="AK94" s="1324" t="s">
        <v>6289</v>
      </c>
      <c r="AL94" t="s">
        <v>6245</v>
      </c>
      <c r="AM94" t="s">
        <v>6310</v>
      </c>
    </row>
    <row r="95" spans="21:39" ht="14.25" customHeight="1">
      <c r="U95" s="1702"/>
      <c r="V95" s="1324"/>
      <c r="AJ95" s="1702" t="s">
        <v>6269</v>
      </c>
      <c r="AK95" s="1324" t="s">
        <v>6290</v>
      </c>
      <c r="AL95" t="s">
        <v>6246</v>
      </c>
      <c r="AM95" t="s">
        <v>6311</v>
      </c>
    </row>
    <row r="96" spans="21:39" ht="14.25" customHeight="1">
      <c r="U96" s="1702"/>
      <c r="V96" s="1324"/>
      <c r="AJ96" s="1702" t="s">
        <v>6270</v>
      </c>
      <c r="AK96" s="1324" t="s">
        <v>6291</v>
      </c>
      <c r="AL96" t="s">
        <v>6247</v>
      </c>
      <c r="AM96" t="s">
        <v>6312</v>
      </c>
    </row>
    <row r="97" spans="21:39" ht="14.25" customHeight="1">
      <c r="U97" s="1702"/>
      <c r="V97" s="1324"/>
      <c r="AJ97" s="1702" t="s">
        <v>6271</v>
      </c>
      <c r="AK97" s="1324" t="s">
        <v>6292</v>
      </c>
      <c r="AL97" t="s">
        <v>6249</v>
      </c>
      <c r="AM97" t="s">
        <v>6313</v>
      </c>
    </row>
    <row r="98" spans="21:39" ht="14.25" customHeight="1">
      <c r="U98" s="1702"/>
      <c r="V98" s="1324"/>
      <c r="AJ98" s="1702" t="s">
        <v>6272</v>
      </c>
      <c r="AK98" s="1324" t="s">
        <v>6293</v>
      </c>
      <c r="AL98" t="s">
        <v>6250</v>
      </c>
      <c r="AM98" t="s">
        <v>6314</v>
      </c>
    </row>
    <row r="99" spans="21:39" ht="14.25" customHeight="1">
      <c r="U99" s="1702"/>
      <c r="V99" s="1324"/>
      <c r="AJ99" s="1702" t="s">
        <v>6273</v>
      </c>
      <c r="AK99" s="1324" t="s">
        <v>6294</v>
      </c>
      <c r="AL99" t="s">
        <v>6251</v>
      </c>
      <c r="AM99" t="s">
        <v>6315</v>
      </c>
    </row>
    <row r="100" spans="21:39" ht="14.25" customHeight="1">
      <c r="U100" s="1702"/>
      <c r="V100" s="1324"/>
      <c r="AJ100" s="1702" t="s">
        <v>6274</v>
      </c>
      <c r="AK100" s="1324" t="s">
        <v>6295</v>
      </c>
      <c r="AL100" t="s">
        <v>6252</v>
      </c>
      <c r="AM100" t="s">
        <v>6316</v>
      </c>
    </row>
    <row r="101" spans="21:39" ht="14.25" customHeight="1">
      <c r="U101" s="1702"/>
      <c r="V101" s="1324"/>
      <c r="AJ101" s="1702" t="s">
        <v>6275</v>
      </c>
      <c r="AK101" s="1324" t="s">
        <v>6296</v>
      </c>
      <c r="AL101" t="s">
        <v>6253</v>
      </c>
      <c r="AM101" t="s">
        <v>6317</v>
      </c>
    </row>
    <row r="102" spans="21:39" ht="14.25" customHeight="1">
      <c r="U102" s="1702"/>
      <c r="V102" s="1324"/>
      <c r="AJ102" s="1702" t="s">
        <v>6276</v>
      </c>
      <c r="AK102" s="1324" t="s">
        <v>6297</v>
      </c>
      <c r="AL102" t="s">
        <v>1295</v>
      </c>
      <c r="AM102" t="s">
        <v>6318</v>
      </c>
    </row>
    <row r="103" spans="21:39" ht="14.25" customHeight="1">
      <c r="V103" s="1316"/>
      <c r="AJ103">
        <v>63</v>
      </c>
      <c r="AK103" s="1316" t="s">
        <v>6229</v>
      </c>
      <c r="AL103" t="s">
        <v>1292</v>
      </c>
      <c r="AM103" t="s">
        <v>1292</v>
      </c>
    </row>
    <row r="104" spans="21:39" ht="14.25" customHeight="1">
      <c r="V104" s="1324"/>
      <c r="AJ104" t="s">
        <v>1867</v>
      </c>
      <c r="AK104" s="1324" t="s">
        <v>6319</v>
      </c>
      <c r="AL104" t="s">
        <v>5909</v>
      </c>
      <c r="AM104" t="s">
        <v>6320</v>
      </c>
    </row>
    <row r="105" spans="21:39" ht="14.25" customHeight="1">
      <c r="V105" s="1324"/>
      <c r="AJ105" t="s">
        <v>1868</v>
      </c>
      <c r="AK105" s="1324" t="s">
        <v>6321</v>
      </c>
      <c r="AL105" t="s">
        <v>6233</v>
      </c>
      <c r="AM105" t="s">
        <v>6322</v>
      </c>
    </row>
    <row r="106" spans="21:39" ht="14.25" customHeight="1">
      <c r="V106" s="1324"/>
      <c r="AJ106" t="s">
        <v>6258</v>
      </c>
      <c r="AK106" s="1324" t="s">
        <v>6323</v>
      </c>
      <c r="AL106" t="s">
        <v>6234</v>
      </c>
      <c r="AM106" t="s">
        <v>6324</v>
      </c>
    </row>
    <row r="107" spans="21:39" ht="14.25" customHeight="1">
      <c r="V107" s="1324"/>
      <c r="AJ107" t="s">
        <v>6259</v>
      </c>
      <c r="AK107" s="1324" t="s">
        <v>6325</v>
      </c>
      <c r="AL107" t="s">
        <v>6235</v>
      </c>
      <c r="AM107" t="s">
        <v>6326</v>
      </c>
    </row>
    <row r="108" spans="21:39" ht="14.25" customHeight="1">
      <c r="V108" s="1324"/>
      <c r="AJ108" t="s">
        <v>6260</v>
      </c>
      <c r="AK108" s="1324" t="s">
        <v>6327</v>
      </c>
      <c r="AL108" t="s">
        <v>6236</v>
      </c>
      <c r="AM108" t="s">
        <v>6328</v>
      </c>
    </row>
    <row r="109" spans="21:39" ht="14.25" customHeight="1">
      <c r="V109" s="1324"/>
      <c r="AJ109" t="s">
        <v>6261</v>
      </c>
      <c r="AK109" s="1324" t="s">
        <v>6329</v>
      </c>
      <c r="AL109" t="s">
        <v>6237</v>
      </c>
      <c r="AM109" t="s">
        <v>6330</v>
      </c>
    </row>
    <row r="110" spans="21:39" ht="14.25" customHeight="1">
      <c r="V110" s="1324"/>
      <c r="AJ110" t="s">
        <v>6262</v>
      </c>
      <c r="AK110" s="1324" t="s">
        <v>6331</v>
      </c>
      <c r="AL110" t="s">
        <v>6238</v>
      </c>
      <c r="AM110" t="s">
        <v>6332</v>
      </c>
    </row>
    <row r="111" spans="21:39" ht="14.25" customHeight="1">
      <c r="V111" s="1324"/>
      <c r="AJ111" t="s">
        <v>6263</v>
      </c>
      <c r="AK111" s="1324" t="s">
        <v>6333</v>
      </c>
      <c r="AL111" t="s">
        <v>6239</v>
      </c>
      <c r="AM111" t="s">
        <v>6334</v>
      </c>
    </row>
    <row r="112" spans="21:39" ht="14.25" customHeight="1">
      <c r="V112" s="1324"/>
      <c r="AJ112" t="s">
        <v>6264</v>
      </c>
      <c r="AK112" s="1324" t="s">
        <v>6335</v>
      </c>
      <c r="AL112" t="s">
        <v>6241</v>
      </c>
      <c r="AM112" t="s">
        <v>6336</v>
      </c>
    </row>
    <row r="113" spans="22:39" ht="14.25" customHeight="1">
      <c r="V113" s="1324"/>
      <c r="AJ113" t="s">
        <v>6265</v>
      </c>
      <c r="AK113" s="1324" t="s">
        <v>6337</v>
      </c>
      <c r="AL113" t="s">
        <v>6242</v>
      </c>
      <c r="AM113" t="s">
        <v>6338</v>
      </c>
    </row>
    <row r="114" spans="22:39" ht="14.25" customHeight="1">
      <c r="V114" s="1324"/>
      <c r="AJ114" t="s">
        <v>6266</v>
      </c>
      <c r="AK114" s="1324" t="s">
        <v>6339</v>
      </c>
      <c r="AL114" t="s">
        <v>6243</v>
      </c>
      <c r="AM114" t="s">
        <v>6340</v>
      </c>
    </row>
    <row r="115" spans="22:39" ht="14.25" customHeight="1">
      <c r="V115" s="1324"/>
      <c r="AJ115" t="s">
        <v>6267</v>
      </c>
      <c r="AK115" s="1324" t="s">
        <v>6341</v>
      </c>
      <c r="AL115" t="s">
        <v>6244</v>
      </c>
      <c r="AM115" t="s">
        <v>6342</v>
      </c>
    </row>
    <row r="116" spans="22:39" ht="14.25" customHeight="1">
      <c r="V116" s="1324"/>
      <c r="AJ116" t="s">
        <v>6268</v>
      </c>
      <c r="AK116" s="1324" t="s">
        <v>6343</v>
      </c>
      <c r="AL116" t="s">
        <v>6245</v>
      </c>
      <c r="AM116" t="s">
        <v>6344</v>
      </c>
    </row>
    <row r="117" spans="22:39" ht="14.25" customHeight="1">
      <c r="V117" s="1324"/>
      <c r="AJ117" t="s">
        <v>6269</v>
      </c>
      <c r="AK117" s="1324" t="s">
        <v>6345</v>
      </c>
      <c r="AL117" t="s">
        <v>6246</v>
      </c>
      <c r="AM117" t="s">
        <v>6346</v>
      </c>
    </row>
    <row r="118" spans="22:39" ht="14.25" customHeight="1">
      <c r="V118" s="1324"/>
      <c r="AJ118" t="s">
        <v>6270</v>
      </c>
      <c r="AK118" s="1324" t="s">
        <v>6347</v>
      </c>
      <c r="AL118" t="s">
        <v>6247</v>
      </c>
      <c r="AM118" t="s">
        <v>6348</v>
      </c>
    </row>
    <row r="119" spans="22:39" ht="14.25" customHeight="1">
      <c r="V119" s="1324"/>
      <c r="AJ119" t="s">
        <v>6271</v>
      </c>
      <c r="AK119" s="1324" t="s">
        <v>6349</v>
      </c>
      <c r="AL119" t="s">
        <v>6249</v>
      </c>
      <c r="AM119" t="s">
        <v>6350</v>
      </c>
    </row>
    <row r="120" spans="22:39" ht="14.25" customHeight="1">
      <c r="V120" s="1324"/>
      <c r="AJ120" t="s">
        <v>6272</v>
      </c>
      <c r="AK120" s="1324" t="s">
        <v>6351</v>
      </c>
      <c r="AL120" t="s">
        <v>6250</v>
      </c>
      <c r="AM120" t="s">
        <v>6352</v>
      </c>
    </row>
    <row r="121" spans="22:39" ht="14.25" customHeight="1">
      <c r="V121" s="1324"/>
      <c r="AJ121" t="s">
        <v>6273</v>
      </c>
      <c r="AK121" s="1324" t="s">
        <v>6353</v>
      </c>
      <c r="AL121" t="s">
        <v>6251</v>
      </c>
      <c r="AM121" t="s">
        <v>6354</v>
      </c>
    </row>
    <row r="122" spans="22:39" ht="14.25" customHeight="1">
      <c r="V122" s="1324"/>
      <c r="AJ122" t="s">
        <v>6274</v>
      </c>
      <c r="AK122" s="1324" t="s">
        <v>6355</v>
      </c>
      <c r="AL122" t="s">
        <v>6252</v>
      </c>
      <c r="AM122" t="s">
        <v>6356</v>
      </c>
    </row>
    <row r="123" spans="22:39" ht="14.25" customHeight="1">
      <c r="V123" s="1324"/>
      <c r="AJ123" t="s">
        <v>6275</v>
      </c>
      <c r="AK123" s="1324" t="s">
        <v>6357</v>
      </c>
      <c r="AL123" t="s">
        <v>6253</v>
      </c>
      <c r="AM123" t="s">
        <v>6358</v>
      </c>
    </row>
    <row r="124" spans="22:39" ht="14.25" customHeight="1">
      <c r="V124" s="1324"/>
      <c r="AJ124" t="s">
        <v>6276</v>
      </c>
      <c r="AK124" s="1324" t="s">
        <v>6359</v>
      </c>
      <c r="AL124" t="s">
        <v>1295</v>
      </c>
      <c r="AM124" t="s">
        <v>6360</v>
      </c>
    </row>
    <row r="125" spans="22:39" ht="14.25" customHeight="1">
      <c r="V125" s="1316"/>
      <c r="AJ125">
        <v>64</v>
      </c>
      <c r="AK125" s="1316" t="s">
        <v>6230</v>
      </c>
      <c r="AL125" t="s">
        <v>966</v>
      </c>
      <c r="AM125" t="s">
        <v>966</v>
      </c>
    </row>
    <row r="126" spans="22:39" ht="14.25" customHeight="1">
      <c r="V126" s="1324"/>
      <c r="AJ126" t="s">
        <v>1867</v>
      </c>
      <c r="AK126" s="1324" t="s">
        <v>6390</v>
      </c>
      <c r="AL126" t="s">
        <v>6237</v>
      </c>
      <c r="AM126" t="s">
        <v>6391</v>
      </c>
    </row>
    <row r="127" spans="22:39" ht="14.25" customHeight="1">
      <c r="V127" s="1324"/>
      <c r="AJ127" t="s">
        <v>1868</v>
      </c>
      <c r="AK127" s="1324" t="s">
        <v>6392</v>
      </c>
      <c r="AL127" t="s">
        <v>6254</v>
      </c>
      <c r="AM127" t="s">
        <v>6393</v>
      </c>
    </row>
    <row r="128" spans="22:39" ht="14.25" customHeight="1">
      <c r="V128" s="1324"/>
      <c r="AJ128" t="s">
        <v>6258</v>
      </c>
      <c r="AK128" s="1324" t="s">
        <v>6394</v>
      </c>
      <c r="AL128" t="s">
        <v>6255</v>
      </c>
      <c r="AM128" t="s">
        <v>6395</v>
      </c>
    </row>
    <row r="129" spans="22:39" ht="14.25" customHeight="1">
      <c r="V129" s="1324"/>
      <c r="AJ129" t="s">
        <v>6259</v>
      </c>
      <c r="AK129" s="1324" t="s">
        <v>6396</v>
      </c>
      <c r="AL129" t="s">
        <v>6256</v>
      </c>
      <c r="AM129" t="s">
        <v>6397</v>
      </c>
    </row>
    <row r="130" spans="22:39" ht="14.25" customHeight="1">
      <c r="V130" s="1324"/>
      <c r="AJ130" t="s">
        <v>6260</v>
      </c>
      <c r="AK130" s="1324" t="s">
        <v>6398</v>
      </c>
      <c r="AL130" t="s">
        <v>1295</v>
      </c>
      <c r="AM130" t="s">
        <v>6399</v>
      </c>
    </row>
    <row r="131" spans="22:39" ht="14.25" customHeight="1">
      <c r="V131" s="1316"/>
      <c r="AJ131">
        <v>65</v>
      </c>
      <c r="AK131" s="1316" t="s">
        <v>6231</v>
      </c>
      <c r="AL131" t="s">
        <v>494</v>
      </c>
      <c r="AM131" t="s">
        <v>494</v>
      </c>
    </row>
    <row r="132" spans="22:39" ht="14.25" customHeight="1">
      <c r="V132" s="1316"/>
      <c r="AJ132">
        <v>66</v>
      </c>
      <c r="AK132" s="1316" t="s">
        <v>6232</v>
      </c>
      <c r="AL132" t="s">
        <v>6169</v>
      </c>
      <c r="AM132" t="s">
        <v>6169</v>
      </c>
    </row>
    <row r="133" spans="22:39" ht="14.25" customHeight="1"/>
    <row r="134" spans="22:39" ht="14.25" customHeight="1"/>
    <row r="135" spans="22:39" ht="14.25" customHeight="1"/>
    <row r="136" spans="22:39" ht="14.25" customHeight="1"/>
    <row r="137" spans="22:39" ht="14.25" customHeight="1"/>
    <row r="138" spans="22:39" ht="14.25" customHeight="1"/>
    <row r="139" spans="22:39" ht="14.25" customHeight="1"/>
    <row r="140" spans="22:39" ht="14.25" customHeight="1"/>
    <row r="141" spans="22:39" ht="14.25" customHeight="1"/>
    <row r="142" spans="22:39" ht="14.25" customHeight="1"/>
    <row r="143" spans="22:39" ht="14.25" customHeight="1"/>
    <row r="144" spans="22:39"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spans="12:12" ht="14.25" customHeight="1"/>
    <row r="210" spans="12:12" ht="14.25" customHeight="1"/>
    <row r="211" spans="12:12" ht="14.25" customHeight="1"/>
    <row r="212" spans="12:12" ht="14.25" customHeight="1"/>
    <row r="213" spans="12:12" ht="14.25" customHeight="1"/>
    <row r="214" spans="12:12" ht="14.25" customHeight="1"/>
    <row r="215" spans="12:12" ht="14.25" customHeight="1"/>
    <row r="216" spans="12:12" ht="14.25" customHeight="1"/>
    <row r="217" spans="12:12" ht="14.25" customHeight="1"/>
    <row r="218" spans="12:12" ht="14.25" customHeight="1"/>
    <row r="219" spans="12:12" ht="14.25" customHeight="1">
      <c r="L219" s="1325"/>
    </row>
    <row r="220" spans="12:12" ht="14.25" customHeight="1"/>
    <row r="221" spans="12:12" ht="14.25" customHeight="1"/>
    <row r="222" spans="12:12" ht="14.25" customHeight="1"/>
    <row r="223" spans="12:12" ht="14.25" customHeight="1"/>
    <row r="224" spans="12:12"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spans="5:5" ht="14.25" customHeight="1"/>
    <row r="562" spans="5:5" ht="14.25" customHeight="1"/>
    <row r="563" spans="5:5" ht="14.25" customHeight="1"/>
    <row r="564" spans="5:5" ht="14.25" customHeight="1"/>
    <row r="565" spans="5:5" ht="14.25" customHeight="1"/>
    <row r="566" spans="5:5" ht="14.25" customHeight="1"/>
    <row r="567" spans="5:5" ht="14.25" customHeight="1">
      <c r="E567" s="1454"/>
    </row>
    <row r="568" spans="5:5" ht="14.25" customHeight="1"/>
    <row r="569" spans="5:5" ht="14.25" customHeight="1">
      <c r="E569" s="1454"/>
    </row>
    <row r="570" spans="5:5" ht="14.25" customHeight="1"/>
    <row r="571" spans="5:5" ht="14.25" customHeight="1"/>
    <row r="572" spans="5:5" ht="14.25" customHeight="1"/>
    <row r="573" spans="5:5" ht="14.25" customHeight="1">
      <c r="E573" s="1454"/>
    </row>
    <row r="574" spans="5:5" ht="14.25" customHeight="1"/>
    <row r="575" spans="5:5" ht="14.25" customHeight="1"/>
    <row r="576" spans="5:5" ht="14.25" customHeight="1"/>
    <row r="577" spans="5:5" ht="14.25" customHeight="1"/>
    <row r="578" spans="5:5" ht="14.25" customHeight="1">
      <c r="E578" s="1454"/>
    </row>
    <row r="579" spans="5:5" ht="14.25" customHeight="1">
      <c r="E579" s="1454"/>
    </row>
    <row r="580" spans="5:5" ht="14.25" customHeight="1"/>
    <row r="581" spans="5:5" ht="14.25" customHeight="1"/>
    <row r="582" spans="5:5" ht="14.25" customHeight="1"/>
    <row r="583" spans="5:5" ht="14.25" customHeight="1">
      <c r="E583" s="1454"/>
    </row>
    <row r="584" spans="5:5" ht="14.25" customHeight="1"/>
    <row r="585" spans="5:5" ht="14.25" customHeight="1"/>
    <row r="586" spans="5:5" ht="14.25" customHeight="1"/>
    <row r="587" spans="5:5" ht="14.25" customHeight="1"/>
    <row r="588" spans="5:5" ht="14.25" customHeight="1"/>
    <row r="589" spans="5:5" ht="14.25" customHeight="1"/>
    <row r="590" spans="5:5" ht="14.25" customHeight="1"/>
    <row r="591" spans="5:5" ht="14.25" customHeight="1">
      <c r="E591" s="1454"/>
    </row>
    <row r="592" spans="5:5" ht="14.25" customHeight="1">
      <c r="E592" s="1454"/>
    </row>
    <row r="593" ht="14.25" customHeight="1"/>
    <row r="594" ht="14.25" customHeight="1"/>
  </sheetData>
  <autoFilter ref="A1:K22"/>
  <mergeCells count="6">
    <mergeCell ref="L1:L22"/>
    <mergeCell ref="M2:M3"/>
    <mergeCell ref="M20:M22"/>
    <mergeCell ref="M13:M16"/>
    <mergeCell ref="M17:M19"/>
    <mergeCell ref="M10:M12"/>
  </mergeCells>
  <phoneticPr fontId="51" type="noConversion"/>
  <hyperlinks>
    <hyperlink ref="AF1" location="A104000期间费用明细表!A1" display="A104000期间费用明细表!A1"/>
  </hyperlinks>
  <pageMargins left="0.78740157480314998" right="0.35433070866141703" top="0.511811023622047" bottom="0.11811023622047198" header="0.511811023622047" footer="0.511811023622047"/>
  <pageSetup paperSize="9" orientation="landscape"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rgb="FFFF0000"/>
  </sheetPr>
  <dimension ref="A1:R132"/>
  <sheetViews>
    <sheetView workbookViewId="0">
      <selection activeCell="B8" sqref="B8"/>
    </sheetView>
  </sheetViews>
  <sheetFormatPr defaultColWidth="1.19921875" defaultRowHeight="15.6"/>
  <cols>
    <col min="1" max="4" width="11.3984375" style="1327" bestFit="1" customWidth="1"/>
    <col min="5" max="5" width="13.5" style="1327" bestFit="1" customWidth="1"/>
    <col min="6" max="6" width="11.3984375" style="1327" bestFit="1" customWidth="1"/>
    <col min="7" max="7" width="7.3984375" style="1327" bestFit="1" customWidth="1"/>
    <col min="8" max="9" width="11.3984375" style="1327" bestFit="1" customWidth="1"/>
    <col min="10" max="10" width="11.3984375" bestFit="1" customWidth="1"/>
    <col min="11" max="11" width="15.69921875" bestFit="1" customWidth="1"/>
    <col min="12" max="12" width="11.3984375" bestFit="1" customWidth="1"/>
    <col min="13" max="13" width="13" customWidth="1"/>
    <col min="14" max="14" width="9" customWidth="1"/>
    <col min="15" max="15" width="13.69921875" customWidth="1"/>
    <col min="16" max="16" width="11.09765625" customWidth="1"/>
    <col min="17" max="17" width="9" customWidth="1"/>
    <col min="18" max="18" width="17.69921875" customWidth="1"/>
  </cols>
  <sheetData>
    <row r="1" spans="1:18">
      <c r="A1" s="2573" t="s">
        <v>7743</v>
      </c>
      <c r="B1" s="2573" t="s">
        <v>7744</v>
      </c>
      <c r="C1" s="2573" t="s">
        <v>7745</v>
      </c>
      <c r="D1" s="2573" t="s">
        <v>7746</v>
      </c>
      <c r="E1" s="2573" t="s">
        <v>7747</v>
      </c>
      <c r="F1" s="2573" t="s">
        <v>7748</v>
      </c>
      <c r="G1" s="2573" t="s">
        <v>7749</v>
      </c>
      <c r="H1" s="1467" t="s">
        <v>7750</v>
      </c>
      <c r="I1" s="2573" t="s">
        <v>7751</v>
      </c>
      <c r="J1" s="2573" t="s">
        <v>7752</v>
      </c>
      <c r="K1" s="2573" t="s">
        <v>7753</v>
      </c>
      <c r="L1" s="2573" t="s">
        <v>7754</v>
      </c>
    </row>
    <row r="2" spans="1:18">
      <c r="A2"/>
      <c r="B2"/>
      <c r="C2"/>
      <c r="D2"/>
      <c r="E2"/>
      <c r="F2"/>
      <c r="G2"/>
      <c r="H2"/>
      <c r="I2"/>
      <c r="Q2" s="1327"/>
    </row>
    <row r="3" spans="1:18">
      <c r="A3"/>
      <c r="B3"/>
      <c r="C3"/>
      <c r="D3"/>
      <c r="E3"/>
      <c r="F3"/>
      <c r="G3"/>
      <c r="H3"/>
      <c r="I3"/>
      <c r="O3" s="1468"/>
      <c r="P3" s="1468"/>
      <c r="Q3" s="1327"/>
    </row>
    <row r="4" spans="1:18" ht="15.6" customHeight="1">
      <c r="A4"/>
      <c r="B4"/>
      <c r="C4"/>
      <c r="D4"/>
      <c r="E4"/>
      <c r="F4"/>
      <c r="G4"/>
      <c r="H4"/>
      <c r="I4"/>
      <c r="O4" s="3818" t="s">
        <v>9969</v>
      </c>
      <c r="P4" s="3818"/>
      <c r="Q4" s="3817" t="s">
        <v>2402</v>
      </c>
      <c r="R4" s="1326" t="s">
        <v>2400</v>
      </c>
    </row>
    <row r="5" spans="1:18">
      <c r="A5"/>
      <c r="B5"/>
      <c r="C5"/>
      <c r="D5"/>
      <c r="E5"/>
      <c r="F5"/>
      <c r="G5"/>
      <c r="H5"/>
      <c r="I5"/>
      <c r="O5" s="3818"/>
      <c r="P5" s="3818"/>
      <c r="Q5" s="3817"/>
      <c r="R5" s="1469" t="s">
        <v>2401</v>
      </c>
    </row>
    <row r="6" spans="1:18">
      <c r="A6"/>
      <c r="B6"/>
      <c r="C6"/>
      <c r="D6"/>
      <c r="E6"/>
      <c r="F6"/>
      <c r="G6"/>
      <c r="H6"/>
      <c r="I6"/>
      <c r="O6" s="3818"/>
      <c r="P6" s="3818"/>
      <c r="Q6" s="3817"/>
    </row>
    <row r="7" spans="1:18">
      <c r="A7"/>
      <c r="B7"/>
      <c r="C7"/>
      <c r="D7"/>
      <c r="E7"/>
      <c r="F7"/>
      <c r="G7"/>
      <c r="H7"/>
      <c r="I7"/>
      <c r="O7" s="3818"/>
      <c r="P7" s="3818"/>
      <c r="Q7" s="1468"/>
    </row>
    <row r="8" spans="1:18">
      <c r="A8"/>
      <c r="B8"/>
      <c r="C8"/>
      <c r="D8"/>
      <c r="E8"/>
      <c r="F8"/>
      <c r="G8"/>
      <c r="H8"/>
      <c r="I8"/>
      <c r="O8" s="3818"/>
      <c r="P8" s="3818"/>
    </row>
    <row r="9" spans="1:18">
      <c r="A9"/>
      <c r="B9"/>
      <c r="C9"/>
      <c r="D9"/>
      <c r="E9"/>
      <c r="F9"/>
      <c r="G9"/>
      <c r="H9"/>
      <c r="I9"/>
      <c r="O9" s="3818"/>
      <c r="P9" s="3818"/>
    </row>
    <row r="10" spans="1:18">
      <c r="A10"/>
      <c r="B10"/>
      <c r="C10"/>
      <c r="D10"/>
      <c r="E10"/>
      <c r="F10"/>
      <c r="G10"/>
      <c r="H10"/>
      <c r="I10"/>
      <c r="O10" s="3818"/>
      <c r="P10" s="3818"/>
    </row>
    <row r="11" spans="1:18">
      <c r="A11"/>
      <c r="B11"/>
      <c r="C11"/>
      <c r="D11"/>
      <c r="E11"/>
      <c r="F11"/>
      <c r="G11"/>
      <c r="H11"/>
      <c r="I11"/>
      <c r="O11" s="3818"/>
      <c r="P11" s="3818"/>
    </row>
    <row r="12" spans="1:18">
      <c r="A12"/>
      <c r="B12"/>
      <c r="C12"/>
      <c r="D12"/>
      <c r="E12"/>
      <c r="F12"/>
      <c r="G12"/>
      <c r="H12"/>
      <c r="I12"/>
      <c r="O12" s="3818"/>
      <c r="P12" s="3818"/>
    </row>
    <row r="13" spans="1:18">
      <c r="A13"/>
      <c r="B13"/>
      <c r="C13"/>
      <c r="D13"/>
      <c r="E13"/>
      <c r="F13"/>
      <c r="G13"/>
      <c r="H13"/>
      <c r="I13"/>
      <c r="O13" s="3818"/>
      <c r="P13" s="3818"/>
    </row>
    <row r="14" spans="1:18">
      <c r="A14"/>
      <c r="B14"/>
      <c r="C14"/>
      <c r="D14"/>
      <c r="E14"/>
      <c r="F14"/>
      <c r="G14"/>
      <c r="H14"/>
      <c r="I14"/>
      <c r="O14" s="3818"/>
      <c r="P14" s="3818"/>
    </row>
    <row r="15" spans="1:18">
      <c r="A15"/>
      <c r="B15"/>
      <c r="C15"/>
      <c r="D15"/>
      <c r="E15"/>
      <c r="F15"/>
      <c r="G15"/>
      <c r="H15"/>
      <c r="I15"/>
    </row>
    <row r="16" spans="1:18">
      <c r="A16"/>
      <c r="B16"/>
      <c r="C16"/>
      <c r="D16"/>
      <c r="E16"/>
      <c r="F16"/>
      <c r="G16"/>
      <c r="H16"/>
      <c r="I16"/>
    </row>
    <row r="17" spans="1:9">
      <c r="A17"/>
      <c r="B17"/>
      <c r="C17"/>
      <c r="D17"/>
      <c r="E17"/>
      <c r="F17"/>
      <c r="G17"/>
      <c r="H17"/>
      <c r="I17"/>
    </row>
    <row r="18" spans="1:9">
      <c r="A18"/>
      <c r="B18"/>
      <c r="C18"/>
      <c r="D18"/>
      <c r="E18"/>
      <c r="F18"/>
      <c r="G18"/>
      <c r="H18"/>
      <c r="I18"/>
    </row>
    <row r="19" spans="1:9">
      <c r="A19"/>
      <c r="B19"/>
      <c r="C19"/>
      <c r="D19"/>
      <c r="E19"/>
      <c r="F19"/>
      <c r="G19"/>
      <c r="H19"/>
      <c r="I19"/>
    </row>
    <row r="20" spans="1:9">
      <c r="A20"/>
      <c r="B20"/>
      <c r="C20"/>
      <c r="D20"/>
      <c r="E20"/>
      <c r="F20"/>
      <c r="G20"/>
      <c r="H20"/>
      <c r="I20"/>
    </row>
    <row r="21" spans="1:9">
      <c r="A21"/>
      <c r="B21"/>
      <c r="C21"/>
      <c r="D21"/>
      <c r="E21"/>
      <c r="F21"/>
      <c r="G21"/>
      <c r="H21"/>
      <c r="I21"/>
    </row>
    <row r="22" spans="1:9">
      <c r="A22"/>
      <c r="B22"/>
      <c r="C22"/>
      <c r="D22"/>
      <c r="E22"/>
      <c r="F22"/>
      <c r="G22"/>
      <c r="H22"/>
      <c r="I22"/>
    </row>
    <row r="23" spans="1:9">
      <c r="A23"/>
      <c r="B23"/>
      <c r="C23"/>
      <c r="D23"/>
      <c r="E23"/>
      <c r="F23"/>
      <c r="G23"/>
      <c r="H23"/>
      <c r="I23"/>
    </row>
    <row r="24" spans="1:9">
      <c r="A24"/>
      <c r="B24"/>
      <c r="C24"/>
      <c r="D24"/>
      <c r="E24"/>
      <c r="F24"/>
      <c r="G24"/>
      <c r="H24"/>
      <c r="I24"/>
    </row>
    <row r="25" spans="1:9">
      <c r="A25"/>
      <c r="B25"/>
      <c r="C25"/>
      <c r="D25"/>
      <c r="E25"/>
      <c r="F25"/>
      <c r="G25"/>
      <c r="H25"/>
      <c r="I25"/>
    </row>
    <row r="26" spans="1:9">
      <c r="A26"/>
      <c r="B26"/>
      <c r="C26"/>
      <c r="D26"/>
      <c r="E26"/>
      <c r="F26"/>
      <c r="G26"/>
      <c r="H26"/>
      <c r="I26"/>
    </row>
    <row r="27" spans="1:9">
      <c r="A27"/>
      <c r="B27"/>
      <c r="C27"/>
      <c r="D27"/>
      <c r="E27"/>
      <c r="F27"/>
      <c r="G27"/>
      <c r="H27"/>
      <c r="I27"/>
    </row>
    <row r="28" spans="1:9">
      <c r="A28"/>
      <c r="B28"/>
      <c r="C28"/>
      <c r="D28"/>
      <c r="E28"/>
      <c r="F28"/>
      <c r="G28"/>
      <c r="H28"/>
      <c r="I28"/>
    </row>
    <row r="29" spans="1:9">
      <c r="A29"/>
      <c r="B29"/>
      <c r="C29"/>
      <c r="D29"/>
      <c r="E29"/>
      <c r="F29"/>
      <c r="G29"/>
      <c r="H29"/>
      <c r="I29"/>
    </row>
    <row r="30" spans="1:9">
      <c r="A30"/>
      <c r="B30"/>
      <c r="C30"/>
      <c r="D30"/>
      <c r="E30"/>
      <c r="F30"/>
      <c r="G30"/>
      <c r="H30"/>
      <c r="I30"/>
    </row>
    <row r="31" spans="1:9">
      <c r="A31"/>
      <c r="B31"/>
      <c r="C31"/>
      <c r="D31"/>
      <c r="E31"/>
      <c r="F31"/>
      <c r="G31"/>
      <c r="H31"/>
      <c r="I31"/>
    </row>
    <row r="32" spans="1:9">
      <c r="A32"/>
      <c r="B32"/>
      <c r="C32"/>
      <c r="D32"/>
      <c r="E32"/>
      <c r="F32"/>
      <c r="G32"/>
      <c r="H32"/>
      <c r="I32"/>
    </row>
    <row r="33" spans="1:9">
      <c r="A33"/>
      <c r="B33"/>
      <c r="C33"/>
      <c r="D33"/>
      <c r="E33"/>
      <c r="F33"/>
      <c r="G33"/>
      <c r="H33"/>
      <c r="I33"/>
    </row>
    <row r="34" spans="1:9">
      <c r="A34"/>
      <c r="B34"/>
      <c r="C34"/>
      <c r="D34"/>
      <c r="E34"/>
      <c r="F34"/>
      <c r="G34"/>
      <c r="H34"/>
      <c r="I34"/>
    </row>
    <row r="35" spans="1:9">
      <c r="A35"/>
      <c r="B35"/>
      <c r="C35"/>
      <c r="D35"/>
      <c r="E35"/>
      <c r="F35"/>
      <c r="G35"/>
      <c r="H35"/>
      <c r="I35"/>
    </row>
    <row r="36" spans="1:9">
      <c r="A36"/>
      <c r="B36"/>
      <c r="C36"/>
      <c r="D36"/>
      <c r="E36"/>
      <c r="F36"/>
      <c r="G36"/>
      <c r="H36"/>
      <c r="I36"/>
    </row>
    <row r="37" spans="1:9">
      <c r="A37"/>
      <c r="B37"/>
      <c r="C37"/>
      <c r="D37"/>
      <c r="E37"/>
      <c r="F37"/>
      <c r="G37"/>
      <c r="H37"/>
      <c r="I37"/>
    </row>
    <row r="38" spans="1:9">
      <c r="A38"/>
      <c r="B38"/>
      <c r="C38"/>
      <c r="D38"/>
      <c r="E38"/>
      <c r="F38"/>
      <c r="G38"/>
      <c r="H38"/>
      <c r="I38"/>
    </row>
    <row r="39" spans="1:9">
      <c r="A39"/>
      <c r="B39"/>
      <c r="C39"/>
      <c r="D39"/>
      <c r="E39"/>
      <c r="F39"/>
      <c r="G39"/>
      <c r="H39"/>
      <c r="I39"/>
    </row>
    <row r="40" spans="1:9">
      <c r="A40"/>
      <c r="B40"/>
      <c r="C40"/>
      <c r="D40"/>
      <c r="E40"/>
      <c r="F40"/>
      <c r="G40"/>
      <c r="H40"/>
      <c r="I40"/>
    </row>
    <row r="41" spans="1:9">
      <c r="A41"/>
      <c r="B41"/>
      <c r="C41"/>
      <c r="D41"/>
      <c r="E41"/>
      <c r="F41"/>
      <c r="G41"/>
      <c r="H41"/>
      <c r="I41"/>
    </row>
    <row r="42" spans="1:9">
      <c r="A42"/>
      <c r="B42"/>
      <c r="C42"/>
      <c r="D42"/>
      <c r="E42"/>
      <c r="F42"/>
      <c r="G42"/>
      <c r="H42"/>
      <c r="I42"/>
    </row>
    <row r="43" spans="1:9">
      <c r="A43"/>
      <c r="B43"/>
      <c r="C43"/>
      <c r="D43"/>
      <c r="E43"/>
      <c r="F43"/>
      <c r="G43"/>
      <c r="H43"/>
      <c r="I43"/>
    </row>
    <row r="44" spans="1:9">
      <c r="A44"/>
      <c r="B44"/>
      <c r="C44"/>
      <c r="D44"/>
      <c r="E44"/>
      <c r="F44"/>
      <c r="G44"/>
      <c r="H44"/>
      <c r="I44"/>
    </row>
    <row r="45" spans="1:9">
      <c r="A45"/>
      <c r="B45"/>
      <c r="C45"/>
      <c r="D45"/>
      <c r="E45"/>
      <c r="F45"/>
      <c r="G45"/>
      <c r="H45"/>
      <c r="I45"/>
    </row>
    <row r="46" spans="1:9">
      <c r="A46"/>
      <c r="B46"/>
      <c r="C46"/>
      <c r="D46"/>
      <c r="E46"/>
      <c r="F46"/>
      <c r="G46"/>
      <c r="H46"/>
      <c r="I46"/>
    </row>
    <row r="47" spans="1:9">
      <c r="A47"/>
      <c r="B47"/>
      <c r="C47"/>
      <c r="D47"/>
      <c r="E47"/>
      <c r="F47"/>
      <c r="G47"/>
      <c r="H47"/>
      <c r="I47"/>
    </row>
    <row r="48" spans="1:9">
      <c r="A48"/>
      <c r="B48"/>
      <c r="C48"/>
      <c r="D48"/>
      <c r="E48"/>
      <c r="F48"/>
      <c r="G48"/>
      <c r="H48"/>
      <c r="I48"/>
    </row>
    <row r="49" spans="1:9">
      <c r="A49"/>
      <c r="B49"/>
      <c r="C49"/>
      <c r="D49"/>
      <c r="E49"/>
      <c r="F49"/>
      <c r="G49"/>
      <c r="H49"/>
      <c r="I49"/>
    </row>
    <row r="50" spans="1:9">
      <c r="A50"/>
      <c r="B50"/>
      <c r="C50"/>
      <c r="D50"/>
      <c r="E50"/>
      <c r="F50"/>
      <c r="G50"/>
      <c r="H50"/>
      <c r="I50"/>
    </row>
    <row r="51" spans="1:9">
      <c r="A51"/>
      <c r="B51"/>
      <c r="C51"/>
      <c r="D51"/>
      <c r="E51"/>
      <c r="F51"/>
      <c r="G51"/>
      <c r="H51"/>
      <c r="I51"/>
    </row>
    <row r="52" spans="1:9">
      <c r="A52"/>
      <c r="B52"/>
      <c r="C52"/>
      <c r="D52"/>
      <c r="E52"/>
      <c r="F52"/>
      <c r="G52"/>
      <c r="H52"/>
      <c r="I52"/>
    </row>
    <row r="53" spans="1:9">
      <c r="A53"/>
      <c r="B53"/>
      <c r="C53"/>
      <c r="D53"/>
      <c r="E53"/>
      <c r="F53"/>
      <c r="G53"/>
      <c r="H53"/>
      <c r="I53"/>
    </row>
    <row r="54" spans="1:9">
      <c r="A54"/>
      <c r="B54"/>
      <c r="C54"/>
      <c r="D54"/>
      <c r="E54"/>
      <c r="F54"/>
      <c r="G54"/>
      <c r="H54"/>
      <c r="I54"/>
    </row>
    <row r="55" spans="1:9">
      <c r="A55"/>
      <c r="B55"/>
      <c r="C55"/>
      <c r="D55"/>
      <c r="E55"/>
      <c r="F55"/>
      <c r="G55"/>
      <c r="H55"/>
      <c r="I55"/>
    </row>
    <row r="56" spans="1:9">
      <c r="A56"/>
      <c r="B56"/>
      <c r="C56"/>
      <c r="D56"/>
      <c r="E56"/>
      <c r="F56"/>
      <c r="G56"/>
      <c r="H56"/>
      <c r="I56"/>
    </row>
    <row r="57" spans="1:9">
      <c r="A57"/>
      <c r="B57"/>
      <c r="C57"/>
      <c r="D57"/>
      <c r="E57"/>
      <c r="F57"/>
      <c r="G57"/>
      <c r="H57"/>
      <c r="I57"/>
    </row>
    <row r="58" spans="1:9">
      <c r="A58"/>
      <c r="B58"/>
      <c r="C58"/>
      <c r="D58"/>
      <c r="E58"/>
      <c r="F58"/>
      <c r="G58"/>
      <c r="H58"/>
      <c r="I58"/>
    </row>
    <row r="59" spans="1:9">
      <c r="A59"/>
      <c r="B59"/>
      <c r="C59"/>
      <c r="D59"/>
      <c r="E59"/>
      <c r="F59"/>
      <c r="G59"/>
      <c r="H59"/>
      <c r="I59"/>
    </row>
    <row r="60" spans="1:9">
      <c r="A60"/>
      <c r="B60"/>
      <c r="C60"/>
      <c r="D60"/>
      <c r="E60"/>
      <c r="F60"/>
      <c r="G60"/>
      <c r="H60"/>
      <c r="I60"/>
    </row>
    <row r="61" spans="1:9">
      <c r="A61"/>
      <c r="B61"/>
      <c r="C61"/>
      <c r="D61"/>
      <c r="E61"/>
      <c r="F61"/>
      <c r="G61"/>
      <c r="H61"/>
      <c r="I61"/>
    </row>
    <row r="62" spans="1:9">
      <c r="A62"/>
      <c r="B62"/>
      <c r="C62"/>
      <c r="D62"/>
      <c r="E62"/>
      <c r="F62"/>
      <c r="G62"/>
      <c r="H62"/>
      <c r="I62"/>
    </row>
    <row r="63" spans="1:9">
      <c r="A63"/>
      <c r="B63"/>
      <c r="C63"/>
      <c r="D63"/>
      <c r="E63"/>
      <c r="F63"/>
      <c r="G63"/>
      <c r="H63"/>
      <c r="I63"/>
    </row>
    <row r="64" spans="1:9">
      <c r="A64"/>
      <c r="B64"/>
      <c r="C64"/>
      <c r="D64"/>
      <c r="E64"/>
      <c r="F64"/>
      <c r="G64"/>
      <c r="H64"/>
      <c r="I64"/>
    </row>
    <row r="65" spans="1:9">
      <c r="A65"/>
      <c r="B65"/>
      <c r="C65"/>
      <c r="D65"/>
      <c r="E65"/>
      <c r="F65"/>
      <c r="G65"/>
      <c r="H65"/>
      <c r="I65"/>
    </row>
    <row r="66" spans="1:9">
      <c r="A66"/>
      <c r="B66"/>
      <c r="C66"/>
      <c r="D66"/>
      <c r="E66"/>
      <c r="F66"/>
      <c r="G66"/>
      <c r="H66"/>
      <c r="I66"/>
    </row>
    <row r="67" spans="1:9">
      <c r="A67"/>
      <c r="B67"/>
      <c r="C67"/>
      <c r="D67"/>
      <c r="E67"/>
      <c r="F67"/>
      <c r="G67"/>
      <c r="H67"/>
      <c r="I67"/>
    </row>
    <row r="68" spans="1:9">
      <c r="A68"/>
      <c r="B68"/>
      <c r="C68"/>
      <c r="D68"/>
      <c r="E68"/>
      <c r="F68"/>
      <c r="G68"/>
      <c r="H68"/>
      <c r="I68"/>
    </row>
    <row r="69" spans="1:9">
      <c r="A69"/>
      <c r="B69"/>
      <c r="C69"/>
      <c r="D69"/>
      <c r="E69"/>
      <c r="F69"/>
      <c r="G69"/>
      <c r="H69"/>
      <c r="I69"/>
    </row>
    <row r="70" spans="1:9">
      <c r="A70"/>
      <c r="B70"/>
      <c r="C70"/>
      <c r="D70"/>
      <c r="E70"/>
      <c r="F70"/>
      <c r="G70"/>
      <c r="H70"/>
      <c r="I70"/>
    </row>
    <row r="71" spans="1:9">
      <c r="A71"/>
      <c r="B71"/>
      <c r="C71"/>
      <c r="D71"/>
      <c r="E71"/>
      <c r="F71"/>
      <c r="G71"/>
      <c r="H71"/>
      <c r="I71"/>
    </row>
    <row r="72" spans="1:9">
      <c r="A72"/>
      <c r="B72"/>
      <c r="C72"/>
      <c r="D72"/>
      <c r="E72"/>
      <c r="F72"/>
      <c r="G72"/>
      <c r="H72"/>
      <c r="I72"/>
    </row>
    <row r="73" spans="1:9">
      <c r="A73"/>
      <c r="B73"/>
      <c r="C73"/>
      <c r="D73"/>
      <c r="E73"/>
      <c r="F73"/>
      <c r="G73"/>
      <c r="H73"/>
      <c r="I73"/>
    </row>
    <row r="74" spans="1:9">
      <c r="A74"/>
      <c r="B74"/>
      <c r="C74"/>
      <c r="D74"/>
      <c r="E74"/>
      <c r="F74"/>
      <c r="G74"/>
      <c r="H74"/>
      <c r="I74"/>
    </row>
    <row r="75" spans="1:9">
      <c r="A75"/>
      <c r="B75"/>
      <c r="C75"/>
      <c r="D75"/>
      <c r="E75"/>
      <c r="F75"/>
      <c r="G75"/>
      <c r="H75"/>
      <c r="I75"/>
    </row>
    <row r="76" spans="1:9">
      <c r="A76"/>
      <c r="B76"/>
      <c r="C76"/>
      <c r="D76"/>
      <c r="E76"/>
      <c r="F76"/>
      <c r="G76"/>
      <c r="H76"/>
      <c r="I76"/>
    </row>
    <row r="77" spans="1:9">
      <c r="A77"/>
      <c r="B77"/>
      <c r="C77"/>
      <c r="D77"/>
      <c r="E77"/>
      <c r="F77"/>
      <c r="G77"/>
      <c r="H77"/>
      <c r="I77"/>
    </row>
    <row r="78" spans="1:9">
      <c r="A78"/>
      <c r="B78"/>
      <c r="C78"/>
      <c r="D78"/>
      <c r="E78"/>
      <c r="F78"/>
      <c r="G78"/>
      <c r="H78"/>
      <c r="I78"/>
    </row>
    <row r="79" spans="1:9">
      <c r="A79"/>
      <c r="B79"/>
      <c r="C79"/>
      <c r="D79"/>
      <c r="E79"/>
      <c r="F79"/>
      <c r="G79"/>
      <c r="H79"/>
      <c r="I79"/>
    </row>
    <row r="80" spans="1:9">
      <c r="A80"/>
      <c r="B80"/>
      <c r="C80"/>
      <c r="D80"/>
      <c r="E80"/>
      <c r="F80"/>
      <c r="G80"/>
      <c r="H80"/>
      <c r="I80"/>
    </row>
    <row r="81" spans="1:9">
      <c r="A81"/>
      <c r="B81"/>
      <c r="C81"/>
      <c r="D81"/>
      <c r="E81"/>
      <c r="F81"/>
      <c r="G81"/>
      <c r="H81"/>
      <c r="I81"/>
    </row>
    <row r="82" spans="1:9">
      <c r="A82"/>
      <c r="B82"/>
      <c r="C82"/>
      <c r="D82"/>
      <c r="E82"/>
      <c r="F82"/>
      <c r="G82"/>
      <c r="H82"/>
      <c r="I82"/>
    </row>
    <row r="83" spans="1:9">
      <c r="A83"/>
      <c r="B83"/>
      <c r="C83"/>
      <c r="D83"/>
      <c r="E83"/>
      <c r="F83"/>
      <c r="G83"/>
      <c r="H83"/>
      <c r="I83"/>
    </row>
    <row r="84" spans="1:9">
      <c r="A84"/>
      <c r="B84"/>
      <c r="C84"/>
      <c r="D84"/>
      <c r="E84"/>
      <c r="F84"/>
      <c r="G84"/>
      <c r="H84"/>
      <c r="I84"/>
    </row>
    <row r="85" spans="1:9">
      <c r="A85"/>
      <c r="B85"/>
      <c r="C85"/>
      <c r="D85"/>
      <c r="E85"/>
      <c r="F85"/>
      <c r="G85"/>
      <c r="H85"/>
      <c r="I85"/>
    </row>
    <row r="86" spans="1:9">
      <c r="A86"/>
      <c r="B86"/>
      <c r="C86"/>
      <c r="D86"/>
      <c r="E86"/>
      <c r="F86"/>
      <c r="G86"/>
      <c r="H86"/>
      <c r="I86"/>
    </row>
    <row r="87" spans="1:9">
      <c r="A87"/>
      <c r="B87"/>
      <c r="C87"/>
      <c r="D87"/>
      <c r="E87"/>
      <c r="F87"/>
      <c r="G87"/>
      <c r="H87"/>
      <c r="I87"/>
    </row>
    <row r="88" spans="1:9">
      <c r="A88"/>
      <c r="B88"/>
      <c r="C88"/>
      <c r="D88"/>
      <c r="E88"/>
      <c r="F88"/>
      <c r="G88"/>
      <c r="H88"/>
      <c r="I88"/>
    </row>
    <row r="89" spans="1:9">
      <c r="A89"/>
      <c r="B89"/>
      <c r="C89"/>
      <c r="D89"/>
      <c r="E89"/>
      <c r="F89"/>
      <c r="G89"/>
      <c r="H89"/>
      <c r="I89"/>
    </row>
    <row r="90" spans="1:9">
      <c r="A90"/>
      <c r="B90"/>
      <c r="C90"/>
      <c r="D90"/>
      <c r="E90"/>
      <c r="F90"/>
      <c r="G90"/>
      <c r="H90"/>
      <c r="I90"/>
    </row>
    <row r="91" spans="1:9">
      <c r="A91"/>
      <c r="B91"/>
      <c r="C91"/>
      <c r="D91"/>
      <c r="E91"/>
      <c r="F91"/>
      <c r="G91"/>
      <c r="H91"/>
      <c r="I91"/>
    </row>
    <row r="92" spans="1:9">
      <c r="A92"/>
      <c r="B92"/>
      <c r="C92"/>
      <c r="D92"/>
      <c r="E92"/>
      <c r="F92"/>
      <c r="G92"/>
      <c r="H92"/>
      <c r="I92"/>
    </row>
    <row r="93" spans="1:9">
      <c r="A93"/>
      <c r="B93"/>
      <c r="C93"/>
      <c r="D93"/>
      <c r="E93"/>
      <c r="F93"/>
      <c r="G93"/>
      <c r="H93"/>
      <c r="I93"/>
    </row>
    <row r="94" spans="1:9">
      <c r="A94"/>
      <c r="B94"/>
      <c r="C94"/>
      <c r="D94"/>
      <c r="E94"/>
      <c r="F94"/>
      <c r="G94"/>
      <c r="H94"/>
      <c r="I94"/>
    </row>
    <row r="95" spans="1:9">
      <c r="A95"/>
      <c r="B95"/>
      <c r="C95"/>
      <c r="D95"/>
      <c r="E95"/>
      <c r="F95"/>
      <c r="G95"/>
      <c r="H95"/>
      <c r="I95"/>
    </row>
    <row r="96" spans="1:9">
      <c r="A96"/>
      <c r="B96"/>
      <c r="C96"/>
      <c r="D96"/>
      <c r="E96"/>
      <c r="F96"/>
      <c r="G96"/>
      <c r="H96"/>
      <c r="I96"/>
    </row>
    <row r="97" spans="1:9">
      <c r="A97"/>
      <c r="B97"/>
      <c r="C97"/>
      <c r="D97"/>
      <c r="E97"/>
      <c r="F97"/>
      <c r="G97"/>
      <c r="H97"/>
      <c r="I97"/>
    </row>
    <row r="98" spans="1:9">
      <c r="A98"/>
      <c r="B98"/>
      <c r="C98"/>
      <c r="D98"/>
      <c r="E98"/>
      <c r="F98"/>
      <c r="G98"/>
      <c r="H98"/>
      <c r="I98"/>
    </row>
    <row r="99" spans="1:9">
      <c r="A99"/>
      <c r="B99"/>
      <c r="C99"/>
      <c r="D99"/>
      <c r="E99"/>
      <c r="F99"/>
      <c r="G99"/>
      <c r="H99"/>
      <c r="I99"/>
    </row>
    <row r="100" spans="1:9">
      <c r="A100"/>
      <c r="B100"/>
      <c r="C100"/>
      <c r="D100"/>
      <c r="E100"/>
      <c r="F100"/>
      <c r="G100"/>
      <c r="H100"/>
      <c r="I100"/>
    </row>
    <row r="101" spans="1:9">
      <c r="A101"/>
      <c r="B101"/>
      <c r="C101"/>
      <c r="D101"/>
      <c r="E101"/>
      <c r="F101"/>
      <c r="G101"/>
      <c r="H101"/>
      <c r="I101"/>
    </row>
    <row r="102" spans="1:9">
      <c r="A102"/>
      <c r="B102"/>
      <c r="C102"/>
      <c r="D102"/>
      <c r="E102"/>
      <c r="F102"/>
      <c r="G102"/>
      <c r="H102"/>
      <c r="I102"/>
    </row>
    <row r="103" spans="1:9">
      <c r="A103"/>
      <c r="B103"/>
      <c r="C103"/>
      <c r="D103"/>
      <c r="E103"/>
      <c r="F103"/>
      <c r="G103"/>
      <c r="H103"/>
      <c r="I103"/>
    </row>
    <row r="104" spans="1:9">
      <c r="A104"/>
      <c r="B104"/>
      <c r="C104"/>
      <c r="D104"/>
      <c r="E104"/>
      <c r="F104"/>
      <c r="G104"/>
      <c r="H104"/>
      <c r="I104"/>
    </row>
    <row r="105" spans="1:9">
      <c r="A105"/>
      <c r="B105"/>
      <c r="C105"/>
      <c r="D105"/>
      <c r="E105"/>
      <c r="F105"/>
      <c r="G105"/>
      <c r="H105"/>
      <c r="I105"/>
    </row>
    <row r="106" spans="1:9">
      <c r="A106"/>
      <c r="B106"/>
      <c r="C106"/>
      <c r="D106"/>
      <c r="E106"/>
      <c r="F106"/>
      <c r="G106"/>
      <c r="H106"/>
      <c r="I106"/>
    </row>
    <row r="107" spans="1:9">
      <c r="A107"/>
      <c r="B107"/>
      <c r="C107"/>
      <c r="D107"/>
      <c r="E107"/>
      <c r="F107"/>
      <c r="G107"/>
      <c r="H107"/>
      <c r="I107"/>
    </row>
    <row r="108" spans="1:9">
      <c r="A108"/>
      <c r="B108"/>
      <c r="C108"/>
      <c r="D108"/>
      <c r="E108"/>
      <c r="F108"/>
      <c r="G108"/>
      <c r="H108"/>
      <c r="I108"/>
    </row>
    <row r="109" spans="1:9">
      <c r="A109"/>
      <c r="B109"/>
      <c r="C109"/>
      <c r="D109"/>
      <c r="E109"/>
      <c r="F109"/>
      <c r="G109"/>
      <c r="H109"/>
      <c r="I109"/>
    </row>
    <row r="110" spans="1:9">
      <c r="A110"/>
      <c r="B110"/>
      <c r="C110"/>
      <c r="D110"/>
      <c r="E110"/>
      <c r="F110"/>
      <c r="G110"/>
      <c r="H110"/>
      <c r="I110"/>
    </row>
    <row r="111" spans="1:9">
      <c r="A111"/>
      <c r="B111"/>
      <c r="C111"/>
      <c r="D111"/>
      <c r="E111"/>
      <c r="F111"/>
      <c r="G111"/>
      <c r="H111"/>
      <c r="I111"/>
    </row>
    <row r="112" spans="1:9">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sheetData>
  <autoFilter ref="A1:R1"/>
  <mergeCells count="2">
    <mergeCell ref="Q4:Q6"/>
    <mergeCell ref="O4:P1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tabColor rgb="FF00B050"/>
  </sheetPr>
  <dimension ref="A1:J27"/>
  <sheetViews>
    <sheetView workbookViewId="0">
      <selection activeCell="M25" sqref="M25"/>
    </sheetView>
  </sheetViews>
  <sheetFormatPr defaultRowHeight="15.6"/>
  <cols>
    <col min="1" max="1" width="6.09765625" style="1381" customWidth="1"/>
    <col min="2" max="2" width="19.8984375" style="1381" customWidth="1"/>
    <col min="3" max="3" width="20.69921875" style="1381" customWidth="1"/>
    <col min="4" max="4" width="18.5" style="1381" customWidth="1"/>
    <col min="5" max="5" width="15.69921875" style="1381" customWidth="1"/>
    <col min="6" max="6" width="16.09765625" style="1381" customWidth="1"/>
    <col min="7" max="7" width="18.09765625" style="1381" customWidth="1"/>
    <col min="8" max="8" width="9.19921875" style="1381" customWidth="1"/>
    <col min="9" max="9" width="18.09765625" style="1381" customWidth="1"/>
    <col min="10" max="10" width="15.19921875" style="1381" customWidth="1"/>
    <col min="11" max="256" width="9" style="1381"/>
    <col min="257" max="257" width="6.09765625" style="1381" customWidth="1"/>
    <col min="258" max="258" width="19.8984375" style="1381" customWidth="1"/>
    <col min="259" max="259" width="20.69921875" style="1381" customWidth="1"/>
    <col min="260" max="260" width="18.5" style="1381" customWidth="1"/>
    <col min="261" max="261" width="15.69921875" style="1381" customWidth="1"/>
    <col min="262" max="262" width="16.09765625" style="1381" customWidth="1"/>
    <col min="263" max="263" width="18.09765625" style="1381" customWidth="1"/>
    <col min="264" max="264" width="9.19921875" style="1381" customWidth="1"/>
    <col min="265" max="265" width="18.09765625" style="1381" customWidth="1"/>
    <col min="266" max="266" width="15.19921875" style="1381" customWidth="1"/>
    <col min="267" max="512" width="9" style="1381"/>
    <col min="513" max="513" width="6.09765625" style="1381" customWidth="1"/>
    <col min="514" max="514" width="19.8984375" style="1381" customWidth="1"/>
    <col min="515" max="515" width="20.69921875" style="1381" customWidth="1"/>
    <col min="516" max="516" width="18.5" style="1381" customWidth="1"/>
    <col min="517" max="517" width="15.69921875" style="1381" customWidth="1"/>
    <col min="518" max="518" width="16.09765625" style="1381" customWidth="1"/>
    <col min="519" max="519" width="18.09765625" style="1381" customWidth="1"/>
    <col min="520" max="520" width="9.19921875" style="1381" customWidth="1"/>
    <col min="521" max="521" width="18.09765625" style="1381" customWidth="1"/>
    <col min="522" max="522" width="15.19921875" style="1381" customWidth="1"/>
    <col min="523" max="768" width="9" style="1381"/>
    <col min="769" max="769" width="6.09765625" style="1381" customWidth="1"/>
    <col min="770" max="770" width="19.8984375" style="1381" customWidth="1"/>
    <col min="771" max="771" width="20.69921875" style="1381" customWidth="1"/>
    <col min="772" max="772" width="18.5" style="1381" customWidth="1"/>
    <col min="773" max="773" width="15.69921875" style="1381" customWidth="1"/>
    <col min="774" max="774" width="16.09765625" style="1381" customWidth="1"/>
    <col min="775" max="775" width="18.09765625" style="1381" customWidth="1"/>
    <col min="776" max="776" width="9.19921875" style="1381" customWidth="1"/>
    <col min="777" max="777" width="18.09765625" style="1381" customWidth="1"/>
    <col min="778" max="778" width="15.19921875" style="1381" customWidth="1"/>
    <col min="779" max="1024" width="9" style="1381"/>
    <col min="1025" max="1025" width="6.09765625" style="1381" customWidth="1"/>
    <col min="1026" max="1026" width="19.8984375" style="1381" customWidth="1"/>
    <col min="1027" max="1027" width="20.69921875" style="1381" customWidth="1"/>
    <col min="1028" max="1028" width="18.5" style="1381" customWidth="1"/>
    <col min="1029" max="1029" width="15.69921875" style="1381" customWidth="1"/>
    <col min="1030" max="1030" width="16.09765625" style="1381" customWidth="1"/>
    <col min="1031" max="1031" width="18.09765625" style="1381" customWidth="1"/>
    <col min="1032" max="1032" width="9.19921875" style="1381" customWidth="1"/>
    <col min="1033" max="1033" width="18.09765625" style="1381" customWidth="1"/>
    <col min="1034" max="1034" width="15.19921875" style="1381" customWidth="1"/>
    <col min="1035" max="1280" width="9" style="1381"/>
    <col min="1281" max="1281" width="6.09765625" style="1381" customWidth="1"/>
    <col min="1282" max="1282" width="19.8984375" style="1381" customWidth="1"/>
    <col min="1283" max="1283" width="20.69921875" style="1381" customWidth="1"/>
    <col min="1284" max="1284" width="18.5" style="1381" customWidth="1"/>
    <col min="1285" max="1285" width="15.69921875" style="1381" customWidth="1"/>
    <col min="1286" max="1286" width="16.09765625" style="1381" customWidth="1"/>
    <col min="1287" max="1287" width="18.09765625" style="1381" customWidth="1"/>
    <col min="1288" max="1288" width="9.19921875" style="1381" customWidth="1"/>
    <col min="1289" max="1289" width="18.09765625" style="1381" customWidth="1"/>
    <col min="1290" max="1290" width="15.19921875" style="1381" customWidth="1"/>
    <col min="1291" max="1536" width="9" style="1381"/>
    <col min="1537" max="1537" width="6.09765625" style="1381" customWidth="1"/>
    <col min="1538" max="1538" width="19.8984375" style="1381" customWidth="1"/>
    <col min="1539" max="1539" width="20.69921875" style="1381" customWidth="1"/>
    <col min="1540" max="1540" width="18.5" style="1381" customWidth="1"/>
    <col min="1541" max="1541" width="15.69921875" style="1381" customWidth="1"/>
    <col min="1542" max="1542" width="16.09765625" style="1381" customWidth="1"/>
    <col min="1543" max="1543" width="18.09765625" style="1381" customWidth="1"/>
    <col min="1544" max="1544" width="9.19921875" style="1381" customWidth="1"/>
    <col min="1545" max="1545" width="18.09765625" style="1381" customWidth="1"/>
    <col min="1546" max="1546" width="15.19921875" style="1381" customWidth="1"/>
    <col min="1547" max="1792" width="9" style="1381"/>
    <col min="1793" max="1793" width="6.09765625" style="1381" customWidth="1"/>
    <col min="1794" max="1794" width="19.8984375" style="1381" customWidth="1"/>
    <col min="1795" max="1795" width="20.69921875" style="1381" customWidth="1"/>
    <col min="1796" max="1796" width="18.5" style="1381" customWidth="1"/>
    <col min="1797" max="1797" width="15.69921875" style="1381" customWidth="1"/>
    <col min="1798" max="1798" width="16.09765625" style="1381" customWidth="1"/>
    <col min="1799" max="1799" width="18.09765625" style="1381" customWidth="1"/>
    <col min="1800" max="1800" width="9.19921875" style="1381" customWidth="1"/>
    <col min="1801" max="1801" width="18.09765625" style="1381" customWidth="1"/>
    <col min="1802" max="1802" width="15.19921875" style="1381" customWidth="1"/>
    <col min="1803" max="2048" width="9" style="1381"/>
    <col min="2049" max="2049" width="6.09765625" style="1381" customWidth="1"/>
    <col min="2050" max="2050" width="19.8984375" style="1381" customWidth="1"/>
    <col min="2051" max="2051" width="20.69921875" style="1381" customWidth="1"/>
    <col min="2052" max="2052" width="18.5" style="1381" customWidth="1"/>
    <col min="2053" max="2053" width="15.69921875" style="1381" customWidth="1"/>
    <col min="2054" max="2054" width="16.09765625" style="1381" customWidth="1"/>
    <col min="2055" max="2055" width="18.09765625" style="1381" customWidth="1"/>
    <col min="2056" max="2056" width="9.19921875" style="1381" customWidth="1"/>
    <col min="2057" max="2057" width="18.09765625" style="1381" customWidth="1"/>
    <col min="2058" max="2058" width="15.19921875" style="1381" customWidth="1"/>
    <col min="2059" max="2304" width="9" style="1381"/>
    <col min="2305" max="2305" width="6.09765625" style="1381" customWidth="1"/>
    <col min="2306" max="2306" width="19.8984375" style="1381" customWidth="1"/>
    <col min="2307" max="2307" width="20.69921875" style="1381" customWidth="1"/>
    <col min="2308" max="2308" width="18.5" style="1381" customWidth="1"/>
    <col min="2309" max="2309" width="15.69921875" style="1381" customWidth="1"/>
    <col min="2310" max="2310" width="16.09765625" style="1381" customWidth="1"/>
    <col min="2311" max="2311" width="18.09765625" style="1381" customWidth="1"/>
    <col min="2312" max="2312" width="9.19921875" style="1381" customWidth="1"/>
    <col min="2313" max="2313" width="18.09765625" style="1381" customWidth="1"/>
    <col min="2314" max="2314" width="15.19921875" style="1381" customWidth="1"/>
    <col min="2315" max="2560" width="9" style="1381"/>
    <col min="2561" max="2561" width="6.09765625" style="1381" customWidth="1"/>
    <col min="2562" max="2562" width="19.8984375" style="1381" customWidth="1"/>
    <col min="2563" max="2563" width="20.69921875" style="1381" customWidth="1"/>
    <col min="2564" max="2564" width="18.5" style="1381" customWidth="1"/>
    <col min="2565" max="2565" width="15.69921875" style="1381" customWidth="1"/>
    <col min="2566" max="2566" width="16.09765625" style="1381" customWidth="1"/>
    <col min="2567" max="2567" width="18.09765625" style="1381" customWidth="1"/>
    <col min="2568" max="2568" width="9.19921875" style="1381" customWidth="1"/>
    <col min="2569" max="2569" width="18.09765625" style="1381" customWidth="1"/>
    <col min="2570" max="2570" width="15.19921875" style="1381" customWidth="1"/>
    <col min="2571" max="2816" width="9" style="1381"/>
    <col min="2817" max="2817" width="6.09765625" style="1381" customWidth="1"/>
    <col min="2818" max="2818" width="19.8984375" style="1381" customWidth="1"/>
    <col min="2819" max="2819" width="20.69921875" style="1381" customWidth="1"/>
    <col min="2820" max="2820" width="18.5" style="1381" customWidth="1"/>
    <col min="2821" max="2821" width="15.69921875" style="1381" customWidth="1"/>
    <col min="2822" max="2822" width="16.09765625" style="1381" customWidth="1"/>
    <col min="2823" max="2823" width="18.09765625" style="1381" customWidth="1"/>
    <col min="2824" max="2824" width="9.19921875" style="1381" customWidth="1"/>
    <col min="2825" max="2825" width="18.09765625" style="1381" customWidth="1"/>
    <col min="2826" max="2826" width="15.19921875" style="1381" customWidth="1"/>
    <col min="2827" max="3072" width="9" style="1381"/>
    <col min="3073" max="3073" width="6.09765625" style="1381" customWidth="1"/>
    <col min="3074" max="3074" width="19.8984375" style="1381" customWidth="1"/>
    <col min="3075" max="3075" width="20.69921875" style="1381" customWidth="1"/>
    <col min="3076" max="3076" width="18.5" style="1381" customWidth="1"/>
    <col min="3077" max="3077" width="15.69921875" style="1381" customWidth="1"/>
    <col min="3078" max="3078" width="16.09765625" style="1381" customWidth="1"/>
    <col min="3079" max="3079" width="18.09765625" style="1381" customWidth="1"/>
    <col min="3080" max="3080" width="9.19921875" style="1381" customWidth="1"/>
    <col min="3081" max="3081" width="18.09765625" style="1381" customWidth="1"/>
    <col min="3082" max="3082" width="15.19921875" style="1381" customWidth="1"/>
    <col min="3083" max="3328" width="9" style="1381"/>
    <col min="3329" max="3329" width="6.09765625" style="1381" customWidth="1"/>
    <col min="3330" max="3330" width="19.8984375" style="1381" customWidth="1"/>
    <col min="3331" max="3331" width="20.69921875" style="1381" customWidth="1"/>
    <col min="3332" max="3332" width="18.5" style="1381" customWidth="1"/>
    <col min="3333" max="3333" width="15.69921875" style="1381" customWidth="1"/>
    <col min="3334" max="3334" width="16.09765625" style="1381" customWidth="1"/>
    <col min="3335" max="3335" width="18.09765625" style="1381" customWidth="1"/>
    <col min="3336" max="3336" width="9.19921875" style="1381" customWidth="1"/>
    <col min="3337" max="3337" width="18.09765625" style="1381" customWidth="1"/>
    <col min="3338" max="3338" width="15.19921875" style="1381" customWidth="1"/>
    <col min="3339" max="3584" width="9" style="1381"/>
    <col min="3585" max="3585" width="6.09765625" style="1381" customWidth="1"/>
    <col min="3586" max="3586" width="19.8984375" style="1381" customWidth="1"/>
    <col min="3587" max="3587" width="20.69921875" style="1381" customWidth="1"/>
    <col min="3588" max="3588" width="18.5" style="1381" customWidth="1"/>
    <col min="3589" max="3589" width="15.69921875" style="1381" customWidth="1"/>
    <col min="3590" max="3590" width="16.09765625" style="1381" customWidth="1"/>
    <col min="3591" max="3591" width="18.09765625" style="1381" customWidth="1"/>
    <col min="3592" max="3592" width="9.19921875" style="1381" customWidth="1"/>
    <col min="3593" max="3593" width="18.09765625" style="1381" customWidth="1"/>
    <col min="3594" max="3594" width="15.19921875" style="1381" customWidth="1"/>
    <col min="3595" max="3840" width="9" style="1381"/>
    <col min="3841" max="3841" width="6.09765625" style="1381" customWidth="1"/>
    <col min="3842" max="3842" width="19.8984375" style="1381" customWidth="1"/>
    <col min="3843" max="3843" width="20.69921875" style="1381" customWidth="1"/>
    <col min="3844" max="3844" width="18.5" style="1381" customWidth="1"/>
    <col min="3845" max="3845" width="15.69921875" style="1381" customWidth="1"/>
    <col min="3846" max="3846" width="16.09765625" style="1381" customWidth="1"/>
    <col min="3847" max="3847" width="18.09765625" style="1381" customWidth="1"/>
    <col min="3848" max="3848" width="9.19921875" style="1381" customWidth="1"/>
    <col min="3849" max="3849" width="18.09765625" style="1381" customWidth="1"/>
    <col min="3850" max="3850" width="15.19921875" style="1381" customWidth="1"/>
    <col min="3851" max="4096" width="9" style="1381"/>
    <col min="4097" max="4097" width="6.09765625" style="1381" customWidth="1"/>
    <col min="4098" max="4098" width="19.8984375" style="1381" customWidth="1"/>
    <col min="4099" max="4099" width="20.69921875" style="1381" customWidth="1"/>
    <col min="4100" max="4100" width="18.5" style="1381" customWidth="1"/>
    <col min="4101" max="4101" width="15.69921875" style="1381" customWidth="1"/>
    <col min="4102" max="4102" width="16.09765625" style="1381" customWidth="1"/>
    <col min="4103" max="4103" width="18.09765625" style="1381" customWidth="1"/>
    <col min="4104" max="4104" width="9.19921875" style="1381" customWidth="1"/>
    <col min="4105" max="4105" width="18.09765625" style="1381" customWidth="1"/>
    <col min="4106" max="4106" width="15.19921875" style="1381" customWidth="1"/>
    <col min="4107" max="4352" width="9" style="1381"/>
    <col min="4353" max="4353" width="6.09765625" style="1381" customWidth="1"/>
    <col min="4354" max="4354" width="19.8984375" style="1381" customWidth="1"/>
    <col min="4355" max="4355" width="20.69921875" style="1381" customWidth="1"/>
    <col min="4356" max="4356" width="18.5" style="1381" customWidth="1"/>
    <col min="4357" max="4357" width="15.69921875" style="1381" customWidth="1"/>
    <col min="4358" max="4358" width="16.09765625" style="1381" customWidth="1"/>
    <col min="4359" max="4359" width="18.09765625" style="1381" customWidth="1"/>
    <col min="4360" max="4360" width="9.19921875" style="1381" customWidth="1"/>
    <col min="4361" max="4361" width="18.09765625" style="1381" customWidth="1"/>
    <col min="4362" max="4362" width="15.19921875" style="1381" customWidth="1"/>
    <col min="4363" max="4608" width="9" style="1381"/>
    <col min="4609" max="4609" width="6.09765625" style="1381" customWidth="1"/>
    <col min="4610" max="4610" width="19.8984375" style="1381" customWidth="1"/>
    <col min="4611" max="4611" width="20.69921875" style="1381" customWidth="1"/>
    <col min="4612" max="4612" width="18.5" style="1381" customWidth="1"/>
    <col min="4613" max="4613" width="15.69921875" style="1381" customWidth="1"/>
    <col min="4614" max="4614" width="16.09765625" style="1381" customWidth="1"/>
    <col min="4615" max="4615" width="18.09765625" style="1381" customWidth="1"/>
    <col min="4616" max="4616" width="9.19921875" style="1381" customWidth="1"/>
    <col min="4617" max="4617" width="18.09765625" style="1381" customWidth="1"/>
    <col min="4618" max="4618" width="15.19921875" style="1381" customWidth="1"/>
    <col min="4619" max="4864" width="9" style="1381"/>
    <col min="4865" max="4865" width="6.09765625" style="1381" customWidth="1"/>
    <col min="4866" max="4866" width="19.8984375" style="1381" customWidth="1"/>
    <col min="4867" max="4867" width="20.69921875" style="1381" customWidth="1"/>
    <col min="4868" max="4868" width="18.5" style="1381" customWidth="1"/>
    <col min="4869" max="4869" width="15.69921875" style="1381" customWidth="1"/>
    <col min="4870" max="4870" width="16.09765625" style="1381" customWidth="1"/>
    <col min="4871" max="4871" width="18.09765625" style="1381" customWidth="1"/>
    <col min="4872" max="4872" width="9.19921875" style="1381" customWidth="1"/>
    <col min="4873" max="4873" width="18.09765625" style="1381" customWidth="1"/>
    <col min="4874" max="4874" width="15.19921875" style="1381" customWidth="1"/>
    <col min="4875" max="5120" width="9" style="1381"/>
    <col min="5121" max="5121" width="6.09765625" style="1381" customWidth="1"/>
    <col min="5122" max="5122" width="19.8984375" style="1381" customWidth="1"/>
    <col min="5123" max="5123" width="20.69921875" style="1381" customWidth="1"/>
    <col min="5124" max="5124" width="18.5" style="1381" customWidth="1"/>
    <col min="5125" max="5125" width="15.69921875" style="1381" customWidth="1"/>
    <col min="5126" max="5126" width="16.09765625" style="1381" customWidth="1"/>
    <col min="5127" max="5127" width="18.09765625" style="1381" customWidth="1"/>
    <col min="5128" max="5128" width="9.19921875" style="1381" customWidth="1"/>
    <col min="5129" max="5129" width="18.09765625" style="1381" customWidth="1"/>
    <col min="5130" max="5130" width="15.19921875" style="1381" customWidth="1"/>
    <col min="5131" max="5376" width="9" style="1381"/>
    <col min="5377" max="5377" width="6.09765625" style="1381" customWidth="1"/>
    <col min="5378" max="5378" width="19.8984375" style="1381" customWidth="1"/>
    <col min="5379" max="5379" width="20.69921875" style="1381" customWidth="1"/>
    <col min="5380" max="5380" width="18.5" style="1381" customWidth="1"/>
    <col min="5381" max="5381" width="15.69921875" style="1381" customWidth="1"/>
    <col min="5382" max="5382" width="16.09765625" style="1381" customWidth="1"/>
    <col min="5383" max="5383" width="18.09765625" style="1381" customWidth="1"/>
    <col min="5384" max="5384" width="9.19921875" style="1381" customWidth="1"/>
    <col min="5385" max="5385" width="18.09765625" style="1381" customWidth="1"/>
    <col min="5386" max="5386" width="15.19921875" style="1381" customWidth="1"/>
    <col min="5387" max="5632" width="9" style="1381"/>
    <col min="5633" max="5633" width="6.09765625" style="1381" customWidth="1"/>
    <col min="5634" max="5634" width="19.8984375" style="1381" customWidth="1"/>
    <col min="5635" max="5635" width="20.69921875" style="1381" customWidth="1"/>
    <col min="5636" max="5636" width="18.5" style="1381" customWidth="1"/>
    <col min="5637" max="5637" width="15.69921875" style="1381" customWidth="1"/>
    <col min="5638" max="5638" width="16.09765625" style="1381" customWidth="1"/>
    <col min="5639" max="5639" width="18.09765625" style="1381" customWidth="1"/>
    <col min="5640" max="5640" width="9.19921875" style="1381" customWidth="1"/>
    <col min="5641" max="5641" width="18.09765625" style="1381" customWidth="1"/>
    <col min="5642" max="5642" width="15.19921875" style="1381" customWidth="1"/>
    <col min="5643" max="5888" width="9" style="1381"/>
    <col min="5889" max="5889" width="6.09765625" style="1381" customWidth="1"/>
    <col min="5890" max="5890" width="19.8984375" style="1381" customWidth="1"/>
    <col min="5891" max="5891" width="20.69921875" style="1381" customWidth="1"/>
    <col min="5892" max="5892" width="18.5" style="1381" customWidth="1"/>
    <col min="5893" max="5893" width="15.69921875" style="1381" customWidth="1"/>
    <col min="5894" max="5894" width="16.09765625" style="1381" customWidth="1"/>
    <col min="5895" max="5895" width="18.09765625" style="1381" customWidth="1"/>
    <col min="5896" max="5896" width="9.19921875" style="1381" customWidth="1"/>
    <col min="5897" max="5897" width="18.09765625" style="1381" customWidth="1"/>
    <col min="5898" max="5898" width="15.19921875" style="1381" customWidth="1"/>
    <col min="5899" max="6144" width="9" style="1381"/>
    <col min="6145" max="6145" width="6.09765625" style="1381" customWidth="1"/>
    <col min="6146" max="6146" width="19.8984375" style="1381" customWidth="1"/>
    <col min="6147" max="6147" width="20.69921875" style="1381" customWidth="1"/>
    <col min="6148" max="6148" width="18.5" style="1381" customWidth="1"/>
    <col min="6149" max="6149" width="15.69921875" style="1381" customWidth="1"/>
    <col min="6150" max="6150" width="16.09765625" style="1381" customWidth="1"/>
    <col min="6151" max="6151" width="18.09765625" style="1381" customWidth="1"/>
    <col min="6152" max="6152" width="9.19921875" style="1381" customWidth="1"/>
    <col min="6153" max="6153" width="18.09765625" style="1381" customWidth="1"/>
    <col min="6154" max="6154" width="15.19921875" style="1381" customWidth="1"/>
    <col min="6155" max="6400" width="9" style="1381"/>
    <col min="6401" max="6401" width="6.09765625" style="1381" customWidth="1"/>
    <col min="6402" max="6402" width="19.8984375" style="1381" customWidth="1"/>
    <col min="6403" max="6403" width="20.69921875" style="1381" customWidth="1"/>
    <col min="6404" max="6404" width="18.5" style="1381" customWidth="1"/>
    <col min="6405" max="6405" width="15.69921875" style="1381" customWidth="1"/>
    <col min="6406" max="6406" width="16.09765625" style="1381" customWidth="1"/>
    <col min="6407" max="6407" width="18.09765625" style="1381" customWidth="1"/>
    <col min="6408" max="6408" width="9.19921875" style="1381" customWidth="1"/>
    <col min="6409" max="6409" width="18.09765625" style="1381" customWidth="1"/>
    <col min="6410" max="6410" width="15.19921875" style="1381" customWidth="1"/>
    <col min="6411" max="6656" width="9" style="1381"/>
    <col min="6657" max="6657" width="6.09765625" style="1381" customWidth="1"/>
    <col min="6658" max="6658" width="19.8984375" style="1381" customWidth="1"/>
    <col min="6659" max="6659" width="20.69921875" style="1381" customWidth="1"/>
    <col min="6660" max="6660" width="18.5" style="1381" customWidth="1"/>
    <col min="6661" max="6661" width="15.69921875" style="1381" customWidth="1"/>
    <col min="6662" max="6662" width="16.09765625" style="1381" customWidth="1"/>
    <col min="6663" max="6663" width="18.09765625" style="1381" customWidth="1"/>
    <col min="6664" max="6664" width="9.19921875" style="1381" customWidth="1"/>
    <col min="6665" max="6665" width="18.09765625" style="1381" customWidth="1"/>
    <col min="6666" max="6666" width="15.19921875" style="1381" customWidth="1"/>
    <col min="6667" max="6912" width="9" style="1381"/>
    <col min="6913" max="6913" width="6.09765625" style="1381" customWidth="1"/>
    <col min="6914" max="6914" width="19.8984375" style="1381" customWidth="1"/>
    <col min="6915" max="6915" width="20.69921875" style="1381" customWidth="1"/>
    <col min="6916" max="6916" width="18.5" style="1381" customWidth="1"/>
    <col min="6917" max="6917" width="15.69921875" style="1381" customWidth="1"/>
    <col min="6918" max="6918" width="16.09765625" style="1381" customWidth="1"/>
    <col min="6919" max="6919" width="18.09765625" style="1381" customWidth="1"/>
    <col min="6920" max="6920" width="9.19921875" style="1381" customWidth="1"/>
    <col min="6921" max="6921" width="18.09765625" style="1381" customWidth="1"/>
    <col min="6922" max="6922" width="15.19921875" style="1381" customWidth="1"/>
    <col min="6923" max="7168" width="9" style="1381"/>
    <col min="7169" max="7169" width="6.09765625" style="1381" customWidth="1"/>
    <col min="7170" max="7170" width="19.8984375" style="1381" customWidth="1"/>
    <col min="7171" max="7171" width="20.69921875" style="1381" customWidth="1"/>
    <col min="7172" max="7172" width="18.5" style="1381" customWidth="1"/>
    <col min="7173" max="7173" width="15.69921875" style="1381" customWidth="1"/>
    <col min="7174" max="7174" width="16.09765625" style="1381" customWidth="1"/>
    <col min="7175" max="7175" width="18.09765625" style="1381" customWidth="1"/>
    <col min="7176" max="7176" width="9.19921875" style="1381" customWidth="1"/>
    <col min="7177" max="7177" width="18.09765625" style="1381" customWidth="1"/>
    <col min="7178" max="7178" width="15.19921875" style="1381" customWidth="1"/>
    <col min="7179" max="7424" width="9" style="1381"/>
    <col min="7425" max="7425" width="6.09765625" style="1381" customWidth="1"/>
    <col min="7426" max="7426" width="19.8984375" style="1381" customWidth="1"/>
    <col min="7427" max="7427" width="20.69921875" style="1381" customWidth="1"/>
    <col min="7428" max="7428" width="18.5" style="1381" customWidth="1"/>
    <col min="7429" max="7429" width="15.69921875" style="1381" customWidth="1"/>
    <col min="7430" max="7430" width="16.09765625" style="1381" customWidth="1"/>
    <col min="7431" max="7431" width="18.09765625" style="1381" customWidth="1"/>
    <col min="7432" max="7432" width="9.19921875" style="1381" customWidth="1"/>
    <col min="7433" max="7433" width="18.09765625" style="1381" customWidth="1"/>
    <col min="7434" max="7434" width="15.19921875" style="1381" customWidth="1"/>
    <col min="7435" max="7680" width="9" style="1381"/>
    <col min="7681" max="7681" width="6.09765625" style="1381" customWidth="1"/>
    <col min="7682" max="7682" width="19.8984375" style="1381" customWidth="1"/>
    <col min="7683" max="7683" width="20.69921875" style="1381" customWidth="1"/>
    <col min="7684" max="7684" width="18.5" style="1381" customWidth="1"/>
    <col min="7685" max="7685" width="15.69921875" style="1381" customWidth="1"/>
    <col min="7686" max="7686" width="16.09765625" style="1381" customWidth="1"/>
    <col min="7687" max="7687" width="18.09765625" style="1381" customWidth="1"/>
    <col min="7688" max="7688" width="9.19921875" style="1381" customWidth="1"/>
    <col min="7689" max="7689" width="18.09765625" style="1381" customWidth="1"/>
    <col min="7690" max="7690" width="15.19921875" style="1381" customWidth="1"/>
    <col min="7691" max="7936" width="9" style="1381"/>
    <col min="7937" max="7937" width="6.09765625" style="1381" customWidth="1"/>
    <col min="7938" max="7938" width="19.8984375" style="1381" customWidth="1"/>
    <col min="7939" max="7939" width="20.69921875" style="1381" customWidth="1"/>
    <col min="7940" max="7940" width="18.5" style="1381" customWidth="1"/>
    <col min="7941" max="7941" width="15.69921875" style="1381" customWidth="1"/>
    <col min="7942" max="7942" width="16.09765625" style="1381" customWidth="1"/>
    <col min="7943" max="7943" width="18.09765625" style="1381" customWidth="1"/>
    <col min="7944" max="7944" width="9.19921875" style="1381" customWidth="1"/>
    <col min="7945" max="7945" width="18.09765625" style="1381" customWidth="1"/>
    <col min="7946" max="7946" width="15.19921875" style="1381" customWidth="1"/>
    <col min="7947" max="8192" width="9" style="1381"/>
    <col min="8193" max="8193" width="6.09765625" style="1381" customWidth="1"/>
    <col min="8194" max="8194" width="19.8984375" style="1381" customWidth="1"/>
    <col min="8195" max="8195" width="20.69921875" style="1381" customWidth="1"/>
    <col min="8196" max="8196" width="18.5" style="1381" customWidth="1"/>
    <col min="8197" max="8197" width="15.69921875" style="1381" customWidth="1"/>
    <col min="8198" max="8198" width="16.09765625" style="1381" customWidth="1"/>
    <col min="8199" max="8199" width="18.09765625" style="1381" customWidth="1"/>
    <col min="8200" max="8200" width="9.19921875" style="1381" customWidth="1"/>
    <col min="8201" max="8201" width="18.09765625" style="1381" customWidth="1"/>
    <col min="8202" max="8202" width="15.19921875" style="1381" customWidth="1"/>
    <col min="8203" max="8448" width="9" style="1381"/>
    <col min="8449" max="8449" width="6.09765625" style="1381" customWidth="1"/>
    <col min="8450" max="8450" width="19.8984375" style="1381" customWidth="1"/>
    <col min="8451" max="8451" width="20.69921875" style="1381" customWidth="1"/>
    <col min="8452" max="8452" width="18.5" style="1381" customWidth="1"/>
    <col min="8453" max="8453" width="15.69921875" style="1381" customWidth="1"/>
    <col min="8454" max="8454" width="16.09765625" style="1381" customWidth="1"/>
    <col min="8455" max="8455" width="18.09765625" style="1381" customWidth="1"/>
    <col min="8456" max="8456" width="9.19921875" style="1381" customWidth="1"/>
    <col min="8457" max="8457" width="18.09765625" style="1381" customWidth="1"/>
    <col min="8458" max="8458" width="15.19921875" style="1381" customWidth="1"/>
    <col min="8459" max="8704" width="9" style="1381"/>
    <col min="8705" max="8705" width="6.09765625" style="1381" customWidth="1"/>
    <col min="8706" max="8706" width="19.8984375" style="1381" customWidth="1"/>
    <col min="8707" max="8707" width="20.69921875" style="1381" customWidth="1"/>
    <col min="8708" max="8708" width="18.5" style="1381" customWidth="1"/>
    <col min="8709" max="8709" width="15.69921875" style="1381" customWidth="1"/>
    <col min="8710" max="8710" width="16.09765625" style="1381" customWidth="1"/>
    <col min="8711" max="8711" width="18.09765625" style="1381" customWidth="1"/>
    <col min="8712" max="8712" width="9.19921875" style="1381" customWidth="1"/>
    <col min="8713" max="8713" width="18.09765625" style="1381" customWidth="1"/>
    <col min="8714" max="8714" width="15.19921875" style="1381" customWidth="1"/>
    <col min="8715" max="8960" width="9" style="1381"/>
    <col min="8961" max="8961" width="6.09765625" style="1381" customWidth="1"/>
    <col min="8962" max="8962" width="19.8984375" style="1381" customWidth="1"/>
    <col min="8963" max="8963" width="20.69921875" style="1381" customWidth="1"/>
    <col min="8964" max="8964" width="18.5" style="1381" customWidth="1"/>
    <col min="8965" max="8965" width="15.69921875" style="1381" customWidth="1"/>
    <col min="8966" max="8966" width="16.09765625" style="1381" customWidth="1"/>
    <col min="8967" max="8967" width="18.09765625" style="1381" customWidth="1"/>
    <col min="8968" max="8968" width="9.19921875" style="1381" customWidth="1"/>
    <col min="8969" max="8969" width="18.09765625" style="1381" customWidth="1"/>
    <col min="8970" max="8970" width="15.19921875" style="1381" customWidth="1"/>
    <col min="8971" max="9216" width="9" style="1381"/>
    <col min="9217" max="9217" width="6.09765625" style="1381" customWidth="1"/>
    <col min="9218" max="9218" width="19.8984375" style="1381" customWidth="1"/>
    <col min="9219" max="9219" width="20.69921875" style="1381" customWidth="1"/>
    <col min="9220" max="9220" width="18.5" style="1381" customWidth="1"/>
    <col min="9221" max="9221" width="15.69921875" style="1381" customWidth="1"/>
    <col min="9222" max="9222" width="16.09765625" style="1381" customWidth="1"/>
    <col min="9223" max="9223" width="18.09765625" style="1381" customWidth="1"/>
    <col min="9224" max="9224" width="9.19921875" style="1381" customWidth="1"/>
    <col min="9225" max="9225" width="18.09765625" style="1381" customWidth="1"/>
    <col min="9226" max="9226" width="15.19921875" style="1381" customWidth="1"/>
    <col min="9227" max="9472" width="9" style="1381"/>
    <col min="9473" max="9473" width="6.09765625" style="1381" customWidth="1"/>
    <col min="9474" max="9474" width="19.8984375" style="1381" customWidth="1"/>
    <col min="9475" max="9475" width="20.69921875" style="1381" customWidth="1"/>
    <col min="9476" max="9476" width="18.5" style="1381" customWidth="1"/>
    <col min="9477" max="9477" width="15.69921875" style="1381" customWidth="1"/>
    <col min="9478" max="9478" width="16.09765625" style="1381" customWidth="1"/>
    <col min="9479" max="9479" width="18.09765625" style="1381" customWidth="1"/>
    <col min="9480" max="9480" width="9.19921875" style="1381" customWidth="1"/>
    <col min="9481" max="9481" width="18.09765625" style="1381" customWidth="1"/>
    <col min="9482" max="9482" width="15.19921875" style="1381" customWidth="1"/>
    <col min="9483" max="9728" width="9" style="1381"/>
    <col min="9729" max="9729" width="6.09765625" style="1381" customWidth="1"/>
    <col min="9730" max="9730" width="19.8984375" style="1381" customWidth="1"/>
    <col min="9731" max="9731" width="20.69921875" style="1381" customWidth="1"/>
    <col min="9732" max="9732" width="18.5" style="1381" customWidth="1"/>
    <col min="9733" max="9733" width="15.69921875" style="1381" customWidth="1"/>
    <col min="9734" max="9734" width="16.09765625" style="1381" customWidth="1"/>
    <col min="9735" max="9735" width="18.09765625" style="1381" customWidth="1"/>
    <col min="9736" max="9736" width="9.19921875" style="1381" customWidth="1"/>
    <col min="9737" max="9737" width="18.09765625" style="1381" customWidth="1"/>
    <col min="9738" max="9738" width="15.19921875" style="1381" customWidth="1"/>
    <col min="9739" max="9984" width="9" style="1381"/>
    <col min="9985" max="9985" width="6.09765625" style="1381" customWidth="1"/>
    <col min="9986" max="9986" width="19.8984375" style="1381" customWidth="1"/>
    <col min="9987" max="9987" width="20.69921875" style="1381" customWidth="1"/>
    <col min="9988" max="9988" width="18.5" style="1381" customWidth="1"/>
    <col min="9989" max="9989" width="15.69921875" style="1381" customWidth="1"/>
    <col min="9990" max="9990" width="16.09765625" style="1381" customWidth="1"/>
    <col min="9991" max="9991" width="18.09765625" style="1381" customWidth="1"/>
    <col min="9992" max="9992" width="9.19921875" style="1381" customWidth="1"/>
    <col min="9993" max="9993" width="18.09765625" style="1381" customWidth="1"/>
    <col min="9994" max="9994" width="15.19921875" style="1381" customWidth="1"/>
    <col min="9995" max="10240" width="9" style="1381"/>
    <col min="10241" max="10241" width="6.09765625" style="1381" customWidth="1"/>
    <col min="10242" max="10242" width="19.8984375" style="1381" customWidth="1"/>
    <col min="10243" max="10243" width="20.69921875" style="1381" customWidth="1"/>
    <col min="10244" max="10244" width="18.5" style="1381" customWidth="1"/>
    <col min="10245" max="10245" width="15.69921875" style="1381" customWidth="1"/>
    <col min="10246" max="10246" width="16.09765625" style="1381" customWidth="1"/>
    <col min="10247" max="10247" width="18.09765625" style="1381" customWidth="1"/>
    <col min="10248" max="10248" width="9.19921875" style="1381" customWidth="1"/>
    <col min="10249" max="10249" width="18.09765625" style="1381" customWidth="1"/>
    <col min="10250" max="10250" width="15.19921875" style="1381" customWidth="1"/>
    <col min="10251" max="10496" width="9" style="1381"/>
    <col min="10497" max="10497" width="6.09765625" style="1381" customWidth="1"/>
    <col min="10498" max="10498" width="19.8984375" style="1381" customWidth="1"/>
    <col min="10499" max="10499" width="20.69921875" style="1381" customWidth="1"/>
    <col min="10500" max="10500" width="18.5" style="1381" customWidth="1"/>
    <col min="10501" max="10501" width="15.69921875" style="1381" customWidth="1"/>
    <col min="10502" max="10502" width="16.09765625" style="1381" customWidth="1"/>
    <col min="10503" max="10503" width="18.09765625" style="1381" customWidth="1"/>
    <col min="10504" max="10504" width="9.19921875" style="1381" customWidth="1"/>
    <col min="10505" max="10505" width="18.09765625" style="1381" customWidth="1"/>
    <col min="10506" max="10506" width="15.19921875" style="1381" customWidth="1"/>
    <col min="10507" max="10752" width="9" style="1381"/>
    <col min="10753" max="10753" width="6.09765625" style="1381" customWidth="1"/>
    <col min="10754" max="10754" width="19.8984375" style="1381" customWidth="1"/>
    <col min="10755" max="10755" width="20.69921875" style="1381" customWidth="1"/>
    <col min="10756" max="10756" width="18.5" style="1381" customWidth="1"/>
    <col min="10757" max="10757" width="15.69921875" style="1381" customWidth="1"/>
    <col min="10758" max="10758" width="16.09765625" style="1381" customWidth="1"/>
    <col min="10759" max="10759" width="18.09765625" style="1381" customWidth="1"/>
    <col min="10760" max="10760" width="9.19921875" style="1381" customWidth="1"/>
    <col min="10761" max="10761" width="18.09765625" style="1381" customWidth="1"/>
    <col min="10762" max="10762" width="15.19921875" style="1381" customWidth="1"/>
    <col min="10763" max="11008" width="9" style="1381"/>
    <col min="11009" max="11009" width="6.09765625" style="1381" customWidth="1"/>
    <col min="11010" max="11010" width="19.8984375" style="1381" customWidth="1"/>
    <col min="11011" max="11011" width="20.69921875" style="1381" customWidth="1"/>
    <col min="11012" max="11012" width="18.5" style="1381" customWidth="1"/>
    <col min="11013" max="11013" width="15.69921875" style="1381" customWidth="1"/>
    <col min="11014" max="11014" width="16.09765625" style="1381" customWidth="1"/>
    <col min="11015" max="11015" width="18.09765625" style="1381" customWidth="1"/>
    <col min="11016" max="11016" width="9.19921875" style="1381" customWidth="1"/>
    <col min="11017" max="11017" width="18.09765625" style="1381" customWidth="1"/>
    <col min="11018" max="11018" width="15.19921875" style="1381" customWidth="1"/>
    <col min="11019" max="11264" width="9" style="1381"/>
    <col min="11265" max="11265" width="6.09765625" style="1381" customWidth="1"/>
    <col min="11266" max="11266" width="19.8984375" style="1381" customWidth="1"/>
    <col min="11267" max="11267" width="20.69921875" style="1381" customWidth="1"/>
    <col min="11268" max="11268" width="18.5" style="1381" customWidth="1"/>
    <col min="11269" max="11269" width="15.69921875" style="1381" customWidth="1"/>
    <col min="11270" max="11270" width="16.09765625" style="1381" customWidth="1"/>
    <col min="11271" max="11271" width="18.09765625" style="1381" customWidth="1"/>
    <col min="11272" max="11272" width="9.19921875" style="1381" customWidth="1"/>
    <col min="11273" max="11273" width="18.09765625" style="1381" customWidth="1"/>
    <col min="11274" max="11274" width="15.19921875" style="1381" customWidth="1"/>
    <col min="11275" max="11520" width="9" style="1381"/>
    <col min="11521" max="11521" width="6.09765625" style="1381" customWidth="1"/>
    <col min="11522" max="11522" width="19.8984375" style="1381" customWidth="1"/>
    <col min="11523" max="11523" width="20.69921875" style="1381" customWidth="1"/>
    <col min="11524" max="11524" width="18.5" style="1381" customWidth="1"/>
    <col min="11525" max="11525" width="15.69921875" style="1381" customWidth="1"/>
    <col min="11526" max="11526" width="16.09765625" style="1381" customWidth="1"/>
    <col min="11527" max="11527" width="18.09765625" style="1381" customWidth="1"/>
    <col min="11528" max="11528" width="9.19921875" style="1381" customWidth="1"/>
    <col min="11529" max="11529" width="18.09765625" style="1381" customWidth="1"/>
    <col min="11530" max="11530" width="15.19921875" style="1381" customWidth="1"/>
    <col min="11531" max="11776" width="9" style="1381"/>
    <col min="11777" max="11777" width="6.09765625" style="1381" customWidth="1"/>
    <col min="11778" max="11778" width="19.8984375" style="1381" customWidth="1"/>
    <col min="11779" max="11779" width="20.69921875" style="1381" customWidth="1"/>
    <col min="11780" max="11780" width="18.5" style="1381" customWidth="1"/>
    <col min="11781" max="11781" width="15.69921875" style="1381" customWidth="1"/>
    <col min="11782" max="11782" width="16.09765625" style="1381" customWidth="1"/>
    <col min="11783" max="11783" width="18.09765625" style="1381" customWidth="1"/>
    <col min="11784" max="11784" width="9.19921875" style="1381" customWidth="1"/>
    <col min="11785" max="11785" width="18.09765625" style="1381" customWidth="1"/>
    <col min="11786" max="11786" width="15.19921875" style="1381" customWidth="1"/>
    <col min="11787" max="12032" width="9" style="1381"/>
    <col min="12033" max="12033" width="6.09765625" style="1381" customWidth="1"/>
    <col min="12034" max="12034" width="19.8984375" style="1381" customWidth="1"/>
    <col min="12035" max="12035" width="20.69921875" style="1381" customWidth="1"/>
    <col min="12036" max="12036" width="18.5" style="1381" customWidth="1"/>
    <col min="12037" max="12037" width="15.69921875" style="1381" customWidth="1"/>
    <col min="12038" max="12038" width="16.09765625" style="1381" customWidth="1"/>
    <col min="12039" max="12039" width="18.09765625" style="1381" customWidth="1"/>
    <col min="12040" max="12040" width="9.19921875" style="1381" customWidth="1"/>
    <col min="12041" max="12041" width="18.09765625" style="1381" customWidth="1"/>
    <col min="12042" max="12042" width="15.19921875" style="1381" customWidth="1"/>
    <col min="12043" max="12288" width="9" style="1381"/>
    <col min="12289" max="12289" width="6.09765625" style="1381" customWidth="1"/>
    <col min="12290" max="12290" width="19.8984375" style="1381" customWidth="1"/>
    <col min="12291" max="12291" width="20.69921875" style="1381" customWidth="1"/>
    <col min="12292" max="12292" width="18.5" style="1381" customWidth="1"/>
    <col min="12293" max="12293" width="15.69921875" style="1381" customWidth="1"/>
    <col min="12294" max="12294" width="16.09765625" style="1381" customWidth="1"/>
    <col min="12295" max="12295" width="18.09765625" style="1381" customWidth="1"/>
    <col min="12296" max="12296" width="9.19921875" style="1381" customWidth="1"/>
    <col min="12297" max="12297" width="18.09765625" style="1381" customWidth="1"/>
    <col min="12298" max="12298" width="15.19921875" style="1381" customWidth="1"/>
    <col min="12299" max="12544" width="9" style="1381"/>
    <col min="12545" max="12545" width="6.09765625" style="1381" customWidth="1"/>
    <col min="12546" max="12546" width="19.8984375" style="1381" customWidth="1"/>
    <col min="12547" max="12547" width="20.69921875" style="1381" customWidth="1"/>
    <col min="12548" max="12548" width="18.5" style="1381" customWidth="1"/>
    <col min="12549" max="12549" width="15.69921875" style="1381" customWidth="1"/>
    <col min="12550" max="12550" width="16.09765625" style="1381" customWidth="1"/>
    <col min="12551" max="12551" width="18.09765625" style="1381" customWidth="1"/>
    <col min="12552" max="12552" width="9.19921875" style="1381" customWidth="1"/>
    <col min="12553" max="12553" width="18.09765625" style="1381" customWidth="1"/>
    <col min="12554" max="12554" width="15.19921875" style="1381" customWidth="1"/>
    <col min="12555" max="12800" width="9" style="1381"/>
    <col min="12801" max="12801" width="6.09765625" style="1381" customWidth="1"/>
    <col min="12802" max="12802" width="19.8984375" style="1381" customWidth="1"/>
    <col min="12803" max="12803" width="20.69921875" style="1381" customWidth="1"/>
    <col min="12804" max="12804" width="18.5" style="1381" customWidth="1"/>
    <col min="12805" max="12805" width="15.69921875" style="1381" customWidth="1"/>
    <col min="12806" max="12806" width="16.09765625" style="1381" customWidth="1"/>
    <col min="12807" max="12807" width="18.09765625" style="1381" customWidth="1"/>
    <col min="12808" max="12808" width="9.19921875" style="1381" customWidth="1"/>
    <col min="12809" max="12809" width="18.09765625" style="1381" customWidth="1"/>
    <col min="12810" max="12810" width="15.19921875" style="1381" customWidth="1"/>
    <col min="12811" max="13056" width="9" style="1381"/>
    <col min="13057" max="13057" width="6.09765625" style="1381" customWidth="1"/>
    <col min="13058" max="13058" width="19.8984375" style="1381" customWidth="1"/>
    <col min="13059" max="13059" width="20.69921875" style="1381" customWidth="1"/>
    <col min="13060" max="13060" width="18.5" style="1381" customWidth="1"/>
    <col min="13061" max="13061" width="15.69921875" style="1381" customWidth="1"/>
    <col min="13062" max="13062" width="16.09765625" style="1381" customWidth="1"/>
    <col min="13063" max="13063" width="18.09765625" style="1381" customWidth="1"/>
    <col min="13064" max="13064" width="9.19921875" style="1381" customWidth="1"/>
    <col min="13065" max="13065" width="18.09765625" style="1381" customWidth="1"/>
    <col min="13066" max="13066" width="15.19921875" style="1381" customWidth="1"/>
    <col min="13067" max="13312" width="9" style="1381"/>
    <col min="13313" max="13313" width="6.09765625" style="1381" customWidth="1"/>
    <col min="13314" max="13314" width="19.8984375" style="1381" customWidth="1"/>
    <col min="13315" max="13315" width="20.69921875" style="1381" customWidth="1"/>
    <col min="13316" max="13316" width="18.5" style="1381" customWidth="1"/>
    <col min="13317" max="13317" width="15.69921875" style="1381" customWidth="1"/>
    <col min="13318" max="13318" width="16.09765625" style="1381" customWidth="1"/>
    <col min="13319" max="13319" width="18.09765625" style="1381" customWidth="1"/>
    <col min="13320" max="13320" width="9.19921875" style="1381" customWidth="1"/>
    <col min="13321" max="13321" width="18.09765625" style="1381" customWidth="1"/>
    <col min="13322" max="13322" width="15.19921875" style="1381" customWidth="1"/>
    <col min="13323" max="13568" width="9" style="1381"/>
    <col min="13569" max="13569" width="6.09765625" style="1381" customWidth="1"/>
    <col min="13570" max="13570" width="19.8984375" style="1381" customWidth="1"/>
    <col min="13571" max="13571" width="20.69921875" style="1381" customWidth="1"/>
    <col min="13572" max="13572" width="18.5" style="1381" customWidth="1"/>
    <col min="13573" max="13573" width="15.69921875" style="1381" customWidth="1"/>
    <col min="13574" max="13574" width="16.09765625" style="1381" customWidth="1"/>
    <col min="13575" max="13575" width="18.09765625" style="1381" customWidth="1"/>
    <col min="13576" max="13576" width="9.19921875" style="1381" customWidth="1"/>
    <col min="13577" max="13577" width="18.09765625" style="1381" customWidth="1"/>
    <col min="13578" max="13578" width="15.19921875" style="1381" customWidth="1"/>
    <col min="13579" max="13824" width="9" style="1381"/>
    <col min="13825" max="13825" width="6.09765625" style="1381" customWidth="1"/>
    <col min="13826" max="13826" width="19.8984375" style="1381" customWidth="1"/>
    <col min="13827" max="13827" width="20.69921875" style="1381" customWidth="1"/>
    <col min="13828" max="13828" width="18.5" style="1381" customWidth="1"/>
    <col min="13829" max="13829" width="15.69921875" style="1381" customWidth="1"/>
    <col min="13830" max="13830" width="16.09765625" style="1381" customWidth="1"/>
    <col min="13831" max="13831" width="18.09765625" style="1381" customWidth="1"/>
    <col min="13832" max="13832" width="9.19921875" style="1381" customWidth="1"/>
    <col min="13833" max="13833" width="18.09765625" style="1381" customWidth="1"/>
    <col min="13834" max="13834" width="15.19921875" style="1381" customWidth="1"/>
    <col min="13835" max="14080" width="9" style="1381"/>
    <col min="14081" max="14081" width="6.09765625" style="1381" customWidth="1"/>
    <col min="14082" max="14082" width="19.8984375" style="1381" customWidth="1"/>
    <col min="14083" max="14083" width="20.69921875" style="1381" customWidth="1"/>
    <col min="14084" max="14084" width="18.5" style="1381" customWidth="1"/>
    <col min="14085" max="14085" width="15.69921875" style="1381" customWidth="1"/>
    <col min="14086" max="14086" width="16.09765625" style="1381" customWidth="1"/>
    <col min="14087" max="14087" width="18.09765625" style="1381" customWidth="1"/>
    <col min="14088" max="14088" width="9.19921875" style="1381" customWidth="1"/>
    <col min="14089" max="14089" width="18.09765625" style="1381" customWidth="1"/>
    <col min="14090" max="14090" width="15.19921875" style="1381" customWidth="1"/>
    <col min="14091" max="14336" width="9" style="1381"/>
    <col min="14337" max="14337" width="6.09765625" style="1381" customWidth="1"/>
    <col min="14338" max="14338" width="19.8984375" style="1381" customWidth="1"/>
    <col min="14339" max="14339" width="20.69921875" style="1381" customWidth="1"/>
    <col min="14340" max="14340" width="18.5" style="1381" customWidth="1"/>
    <col min="14341" max="14341" width="15.69921875" style="1381" customWidth="1"/>
    <col min="14342" max="14342" width="16.09765625" style="1381" customWidth="1"/>
    <col min="14343" max="14343" width="18.09765625" style="1381" customWidth="1"/>
    <col min="14344" max="14344" width="9.19921875" style="1381" customWidth="1"/>
    <col min="14345" max="14345" width="18.09765625" style="1381" customWidth="1"/>
    <col min="14346" max="14346" width="15.19921875" style="1381" customWidth="1"/>
    <col min="14347" max="14592" width="9" style="1381"/>
    <col min="14593" max="14593" width="6.09765625" style="1381" customWidth="1"/>
    <col min="14594" max="14594" width="19.8984375" style="1381" customWidth="1"/>
    <col min="14595" max="14595" width="20.69921875" style="1381" customWidth="1"/>
    <col min="14596" max="14596" width="18.5" style="1381" customWidth="1"/>
    <col min="14597" max="14597" width="15.69921875" style="1381" customWidth="1"/>
    <col min="14598" max="14598" width="16.09765625" style="1381" customWidth="1"/>
    <col min="14599" max="14599" width="18.09765625" style="1381" customWidth="1"/>
    <col min="14600" max="14600" width="9.19921875" style="1381" customWidth="1"/>
    <col min="14601" max="14601" width="18.09765625" style="1381" customWidth="1"/>
    <col min="14602" max="14602" width="15.19921875" style="1381" customWidth="1"/>
    <col min="14603" max="14848" width="9" style="1381"/>
    <col min="14849" max="14849" width="6.09765625" style="1381" customWidth="1"/>
    <col min="14850" max="14850" width="19.8984375" style="1381" customWidth="1"/>
    <col min="14851" max="14851" width="20.69921875" style="1381" customWidth="1"/>
    <col min="14852" max="14852" width="18.5" style="1381" customWidth="1"/>
    <col min="14853" max="14853" width="15.69921875" style="1381" customWidth="1"/>
    <col min="14854" max="14854" width="16.09765625" style="1381" customWidth="1"/>
    <col min="14855" max="14855" width="18.09765625" style="1381" customWidth="1"/>
    <col min="14856" max="14856" width="9.19921875" style="1381" customWidth="1"/>
    <col min="14857" max="14857" width="18.09765625" style="1381" customWidth="1"/>
    <col min="14858" max="14858" width="15.19921875" style="1381" customWidth="1"/>
    <col min="14859" max="15104" width="9" style="1381"/>
    <col min="15105" max="15105" width="6.09765625" style="1381" customWidth="1"/>
    <col min="15106" max="15106" width="19.8984375" style="1381" customWidth="1"/>
    <col min="15107" max="15107" width="20.69921875" style="1381" customWidth="1"/>
    <col min="15108" max="15108" width="18.5" style="1381" customWidth="1"/>
    <col min="15109" max="15109" width="15.69921875" style="1381" customWidth="1"/>
    <col min="15110" max="15110" width="16.09765625" style="1381" customWidth="1"/>
    <col min="15111" max="15111" width="18.09765625" style="1381" customWidth="1"/>
    <col min="15112" max="15112" width="9.19921875" style="1381" customWidth="1"/>
    <col min="15113" max="15113" width="18.09765625" style="1381" customWidth="1"/>
    <col min="15114" max="15114" width="15.19921875" style="1381" customWidth="1"/>
    <col min="15115" max="15360" width="9" style="1381"/>
    <col min="15361" max="15361" width="6.09765625" style="1381" customWidth="1"/>
    <col min="15362" max="15362" width="19.8984375" style="1381" customWidth="1"/>
    <col min="15363" max="15363" width="20.69921875" style="1381" customWidth="1"/>
    <col min="15364" max="15364" width="18.5" style="1381" customWidth="1"/>
    <col min="15365" max="15365" width="15.69921875" style="1381" customWidth="1"/>
    <col min="15366" max="15366" width="16.09765625" style="1381" customWidth="1"/>
    <col min="15367" max="15367" width="18.09765625" style="1381" customWidth="1"/>
    <col min="15368" max="15368" width="9.19921875" style="1381" customWidth="1"/>
    <col min="15369" max="15369" width="18.09765625" style="1381" customWidth="1"/>
    <col min="15370" max="15370" width="15.19921875" style="1381" customWidth="1"/>
    <col min="15371" max="15616" width="9" style="1381"/>
    <col min="15617" max="15617" width="6.09765625" style="1381" customWidth="1"/>
    <col min="15618" max="15618" width="19.8984375" style="1381" customWidth="1"/>
    <col min="15619" max="15619" width="20.69921875" style="1381" customWidth="1"/>
    <col min="15620" max="15620" width="18.5" style="1381" customWidth="1"/>
    <col min="15621" max="15621" width="15.69921875" style="1381" customWidth="1"/>
    <col min="15622" max="15622" width="16.09765625" style="1381" customWidth="1"/>
    <col min="15623" max="15623" width="18.09765625" style="1381" customWidth="1"/>
    <col min="15624" max="15624" width="9.19921875" style="1381" customWidth="1"/>
    <col min="15625" max="15625" width="18.09765625" style="1381" customWidth="1"/>
    <col min="15626" max="15626" width="15.19921875" style="1381" customWidth="1"/>
    <col min="15627" max="15872" width="9" style="1381"/>
    <col min="15873" max="15873" width="6.09765625" style="1381" customWidth="1"/>
    <col min="15874" max="15874" width="19.8984375" style="1381" customWidth="1"/>
    <col min="15875" max="15875" width="20.69921875" style="1381" customWidth="1"/>
    <col min="15876" max="15876" width="18.5" style="1381" customWidth="1"/>
    <col min="15877" max="15877" width="15.69921875" style="1381" customWidth="1"/>
    <col min="15878" max="15878" width="16.09765625" style="1381" customWidth="1"/>
    <col min="15879" max="15879" width="18.09765625" style="1381" customWidth="1"/>
    <col min="15880" max="15880" width="9.19921875" style="1381" customWidth="1"/>
    <col min="15881" max="15881" width="18.09765625" style="1381" customWidth="1"/>
    <col min="15882" max="15882" width="15.19921875" style="1381" customWidth="1"/>
    <col min="15883" max="16128" width="9" style="1381"/>
    <col min="16129" max="16129" width="6.09765625" style="1381" customWidth="1"/>
    <col min="16130" max="16130" width="19.8984375" style="1381" customWidth="1"/>
    <col min="16131" max="16131" width="20.69921875" style="1381" customWidth="1"/>
    <col min="16132" max="16132" width="18.5" style="1381" customWidth="1"/>
    <col min="16133" max="16133" width="15.69921875" style="1381" customWidth="1"/>
    <col min="16134" max="16134" width="16.09765625" style="1381" customWidth="1"/>
    <col min="16135" max="16135" width="18.09765625" style="1381" customWidth="1"/>
    <col min="16136" max="16136" width="9.19921875" style="1381" customWidth="1"/>
    <col min="16137" max="16137" width="18.09765625" style="1381" customWidth="1"/>
    <col min="16138" max="16138" width="15.19921875" style="1381" customWidth="1"/>
    <col min="16139" max="16384" width="9" style="1381"/>
  </cols>
  <sheetData>
    <row r="1" spans="1:10">
      <c r="A1" s="1398" t="s">
        <v>2408</v>
      </c>
      <c r="B1" s="1398"/>
      <c r="C1" s="1398"/>
      <c r="D1" s="1398"/>
    </row>
    <row r="2" spans="1:10" ht="46.5" customHeight="1">
      <c r="A2" s="3841" t="s">
        <v>2409</v>
      </c>
      <c r="B2" s="3842"/>
      <c r="C2" s="3842"/>
      <c r="D2" s="3842"/>
      <c r="E2" s="3842"/>
      <c r="F2" s="3842"/>
      <c r="G2" s="3842"/>
      <c r="H2" s="3842"/>
      <c r="I2" s="3842"/>
    </row>
    <row r="3" spans="1:10" ht="16.2" thickBot="1">
      <c r="A3" s="1399" t="s">
        <v>2410</v>
      </c>
      <c r="B3" s="1486"/>
      <c r="C3" s="1486"/>
      <c r="D3" s="1486"/>
      <c r="E3" s="1486"/>
      <c r="F3" s="1486"/>
      <c r="G3" s="1486"/>
      <c r="H3" s="1486"/>
      <c r="I3" s="1486"/>
    </row>
    <row r="4" spans="1:10" ht="20.100000000000001" customHeight="1">
      <c r="A4" s="3843" t="s">
        <v>2411</v>
      </c>
      <c r="B4" s="3844"/>
      <c r="C4" s="3844"/>
      <c r="D4" s="3844"/>
      <c r="E4" s="3844"/>
      <c r="F4" s="3844"/>
      <c r="G4" s="3844"/>
      <c r="H4" s="3844"/>
      <c r="I4" s="3844"/>
      <c r="J4" s="1487" t="s">
        <v>2412</v>
      </c>
    </row>
    <row r="5" spans="1:10" ht="20.100000000000001" customHeight="1">
      <c r="A5" s="3836" t="s">
        <v>2413</v>
      </c>
      <c r="B5" s="3845"/>
      <c r="C5" s="3836" t="s">
        <v>2414</v>
      </c>
      <c r="D5" s="3836" t="s">
        <v>1622</v>
      </c>
      <c r="E5" s="3836" t="s">
        <v>2415</v>
      </c>
      <c r="F5" s="3845"/>
      <c r="G5" s="3836" t="s">
        <v>2416</v>
      </c>
      <c r="H5" s="3845"/>
      <c r="I5" s="3836" t="s">
        <v>2417</v>
      </c>
      <c r="J5" s="3827" t="s">
        <v>2418</v>
      </c>
    </row>
    <row r="6" spans="1:10" ht="20.100000000000001" customHeight="1">
      <c r="A6" s="3837"/>
      <c r="B6" s="3846"/>
      <c r="C6" s="3837"/>
      <c r="D6" s="3837"/>
      <c r="E6" s="3837"/>
      <c r="F6" s="3846"/>
      <c r="G6" s="3837"/>
      <c r="H6" s="3846"/>
      <c r="I6" s="3837"/>
      <c r="J6" s="3828"/>
    </row>
    <row r="7" spans="1:10" ht="20.100000000000001" customHeight="1">
      <c r="A7" s="3830"/>
      <c r="B7" s="3831"/>
      <c r="C7" s="1488"/>
      <c r="D7" s="1488"/>
      <c r="E7" s="3831"/>
      <c r="F7" s="3831"/>
      <c r="G7" s="3831"/>
      <c r="H7" s="3831"/>
      <c r="I7" s="1489"/>
      <c r="J7" s="3828"/>
    </row>
    <row r="8" spans="1:10" s="1490" customFormat="1" ht="20.100000000000001" customHeight="1">
      <c r="A8" s="3832" t="s">
        <v>2419</v>
      </c>
      <c r="B8" s="3833"/>
      <c r="C8" s="3833"/>
      <c r="D8" s="3833"/>
      <c r="E8" s="3833"/>
      <c r="F8" s="3833"/>
      <c r="G8" s="3833"/>
      <c r="H8" s="3833"/>
      <c r="I8" s="3833"/>
      <c r="J8" s="3828"/>
    </row>
    <row r="9" spans="1:10" ht="20.100000000000001" customHeight="1">
      <c r="A9" s="3834" t="s">
        <v>453</v>
      </c>
      <c r="B9" s="3836" t="s">
        <v>2420</v>
      </c>
      <c r="C9" s="3836" t="s">
        <v>2421</v>
      </c>
      <c r="D9" s="3838" t="s">
        <v>2422</v>
      </c>
      <c r="E9" s="3839"/>
      <c r="F9" s="3839"/>
      <c r="G9" s="3840"/>
      <c r="H9" s="3819" t="s">
        <v>2423</v>
      </c>
      <c r="I9" s="3819" t="s">
        <v>2424</v>
      </c>
      <c r="J9" s="3828"/>
    </row>
    <row r="10" spans="1:10" ht="30" customHeight="1">
      <c r="A10" s="3835"/>
      <c r="B10" s="3837"/>
      <c r="C10" s="3837"/>
      <c r="D10" s="1483" t="s">
        <v>2425</v>
      </c>
      <c r="E10" s="1481" t="s">
        <v>2426</v>
      </c>
      <c r="F10" s="1481" t="s">
        <v>2427</v>
      </c>
      <c r="G10" s="1481" t="s">
        <v>2428</v>
      </c>
      <c r="H10" s="3820"/>
      <c r="I10" s="3820"/>
      <c r="J10" s="3828"/>
    </row>
    <row r="11" spans="1:10" ht="20.100000000000001" customHeight="1">
      <c r="A11" s="1491"/>
      <c r="B11" s="1488"/>
      <c r="C11" s="1488"/>
      <c r="D11" s="1492"/>
      <c r="E11" s="1403"/>
      <c r="F11" s="1403"/>
      <c r="G11" s="1403"/>
      <c r="H11" s="1402"/>
      <c r="I11" s="1493"/>
      <c r="J11" s="3828"/>
    </row>
    <row r="12" spans="1:10" ht="20.100000000000001" customHeight="1">
      <c r="A12" s="1491"/>
      <c r="B12" s="1488"/>
      <c r="C12" s="1488"/>
      <c r="D12" s="1403"/>
      <c r="E12" s="1403"/>
      <c r="F12" s="1403"/>
      <c r="G12" s="1403"/>
      <c r="H12" s="1402"/>
      <c r="I12" s="1493"/>
      <c r="J12" s="3828"/>
    </row>
    <row r="13" spans="1:10" ht="20.100000000000001" customHeight="1">
      <c r="A13" s="1491"/>
      <c r="B13" s="1488"/>
      <c r="C13" s="1488"/>
      <c r="D13" s="1403"/>
      <c r="E13" s="1403"/>
      <c r="F13" s="1493"/>
      <c r="G13" s="1403"/>
      <c r="H13" s="1402"/>
      <c r="I13" s="1493"/>
      <c r="J13" s="3828"/>
    </row>
    <row r="14" spans="1:10" ht="20.100000000000001" customHeight="1">
      <c r="A14" s="1491"/>
      <c r="B14" s="1482"/>
      <c r="C14" s="1488"/>
      <c r="D14" s="1404"/>
      <c r="E14" s="1404"/>
      <c r="F14" s="1493"/>
      <c r="G14" s="1403"/>
      <c r="H14" s="1405"/>
      <c r="I14" s="1484"/>
      <c r="J14" s="3828"/>
    </row>
    <row r="15" spans="1:10" ht="20.100000000000001" customHeight="1">
      <c r="A15" s="1491"/>
      <c r="B15" s="1482"/>
      <c r="C15" s="1488"/>
      <c r="D15" s="1404"/>
      <c r="E15" s="1404"/>
      <c r="F15" s="1493"/>
      <c r="G15" s="1403"/>
      <c r="H15" s="1405"/>
      <c r="I15" s="1484"/>
      <c r="J15" s="3828"/>
    </row>
    <row r="16" spans="1:10" ht="20.100000000000001" customHeight="1">
      <c r="A16" s="1491"/>
      <c r="B16" s="1482"/>
      <c r="C16" s="1488"/>
      <c r="D16" s="1404"/>
      <c r="E16" s="1404"/>
      <c r="F16" s="1493"/>
      <c r="G16" s="1403"/>
      <c r="H16" s="1405"/>
      <c r="I16" s="1484"/>
      <c r="J16" s="3828"/>
    </row>
    <row r="17" spans="1:10" ht="20.100000000000001" customHeight="1">
      <c r="A17" s="1491"/>
      <c r="B17" s="1482"/>
      <c r="C17" s="1488"/>
      <c r="D17" s="1404"/>
      <c r="E17" s="1404"/>
      <c r="F17" s="1493"/>
      <c r="G17" s="1403"/>
      <c r="H17" s="1405"/>
      <c r="I17" s="1484"/>
      <c r="J17" s="3828"/>
    </row>
    <row r="18" spans="1:10" ht="20.100000000000001" customHeight="1">
      <c r="A18" s="1491"/>
      <c r="B18" s="1482"/>
      <c r="C18" s="1488"/>
      <c r="D18" s="1404"/>
      <c r="E18" s="1404"/>
      <c r="F18" s="1403"/>
      <c r="G18" s="1403"/>
      <c r="H18" s="1405"/>
      <c r="I18" s="1484"/>
      <c r="J18" s="3828"/>
    </row>
    <row r="19" spans="1:10" ht="20.100000000000001" customHeight="1">
      <c r="A19" s="1491"/>
      <c r="B19" s="1482"/>
      <c r="C19" s="1488"/>
      <c r="D19" s="1404"/>
      <c r="E19" s="1404"/>
      <c r="F19" s="1403"/>
      <c r="G19" s="1403"/>
      <c r="H19" s="1405"/>
      <c r="I19" s="1484"/>
      <c r="J19" s="3828"/>
    </row>
    <row r="20" spans="1:10" ht="20.100000000000001" customHeight="1">
      <c r="A20" s="1491"/>
      <c r="B20" s="1482"/>
      <c r="C20" s="1488"/>
      <c r="D20" s="1404"/>
      <c r="E20" s="1404"/>
      <c r="F20" s="1403"/>
      <c r="G20" s="1403"/>
      <c r="H20" s="1405"/>
      <c r="I20" s="1484"/>
      <c r="J20" s="3828"/>
    </row>
    <row r="21" spans="1:10" ht="20.100000000000001" customHeight="1">
      <c r="A21" s="1491"/>
      <c r="B21" s="1482"/>
      <c r="C21" s="1488"/>
      <c r="D21" s="1404"/>
      <c r="E21" s="1404"/>
      <c r="F21" s="1403"/>
      <c r="G21" s="1403"/>
      <c r="H21" s="1405"/>
      <c r="I21" s="1484"/>
      <c r="J21" s="3828"/>
    </row>
    <row r="22" spans="1:10" ht="20.100000000000001" customHeight="1">
      <c r="A22" s="1491"/>
      <c r="B22" s="1482"/>
      <c r="C22" s="1488"/>
      <c r="D22" s="1404"/>
      <c r="E22" s="1404"/>
      <c r="F22" s="1403"/>
      <c r="G22" s="1403"/>
      <c r="H22" s="1405"/>
      <c r="I22" s="1484"/>
      <c r="J22" s="3828"/>
    </row>
    <row r="23" spans="1:10" ht="20.100000000000001" customHeight="1">
      <c r="A23" s="1491"/>
      <c r="B23" s="1482"/>
      <c r="C23" s="1488"/>
      <c r="D23" s="1404"/>
      <c r="E23" s="1404"/>
      <c r="F23" s="1403"/>
      <c r="G23" s="1403"/>
      <c r="H23" s="1405"/>
      <c r="I23" s="1484"/>
      <c r="J23" s="3828"/>
    </row>
    <row r="24" spans="1:10" ht="20.100000000000001" customHeight="1">
      <c r="A24" s="1491"/>
      <c r="B24" s="1482"/>
      <c r="C24" s="1488"/>
      <c r="D24" s="1404"/>
      <c r="E24" s="1404"/>
      <c r="F24" s="1403"/>
      <c r="G24" s="1403"/>
      <c r="H24" s="1405"/>
      <c r="I24" s="1484"/>
      <c r="J24" s="3828"/>
    </row>
    <row r="25" spans="1:10" ht="20.100000000000001" customHeight="1" thickBot="1">
      <c r="A25" s="3821" t="s">
        <v>2429</v>
      </c>
      <c r="B25" s="3822"/>
      <c r="C25" s="1494" t="s">
        <v>1242</v>
      </c>
      <c r="D25" s="1495"/>
      <c r="E25" s="1495"/>
      <c r="F25" s="1495"/>
      <c r="G25" s="1495"/>
      <c r="H25" s="1496"/>
      <c r="I25" s="1497"/>
      <c r="J25" s="3829"/>
    </row>
    <row r="26" spans="1:10">
      <c r="A26" s="3823"/>
      <c r="B26" s="3824"/>
      <c r="C26" s="3823"/>
      <c r="D26" s="3823"/>
      <c r="E26" s="3823"/>
      <c r="F26" s="3823"/>
      <c r="G26" s="3823"/>
      <c r="H26" s="3823"/>
      <c r="I26" s="3823"/>
    </row>
    <row r="27" spans="1:10" ht="175.5" customHeight="1">
      <c r="A27" s="3825" t="s">
        <v>2430</v>
      </c>
      <c r="B27" s="3826"/>
      <c r="C27" s="3826"/>
      <c r="D27" s="3826"/>
      <c r="E27" s="3826"/>
      <c r="F27" s="3826"/>
      <c r="G27" s="3826"/>
    </row>
  </sheetData>
  <mergeCells count="22">
    <mergeCell ref="A2:I2"/>
    <mergeCell ref="A4:I4"/>
    <mergeCell ref="A5:B6"/>
    <mergeCell ref="C5:C6"/>
    <mergeCell ref="D5:D6"/>
    <mergeCell ref="E5:F6"/>
    <mergeCell ref="G5:H6"/>
    <mergeCell ref="I5:I6"/>
    <mergeCell ref="I9:I10"/>
    <mergeCell ref="A25:B25"/>
    <mergeCell ref="A26:I26"/>
    <mergeCell ref="A27:G27"/>
    <mergeCell ref="J5:J25"/>
    <mergeCell ref="A7:B7"/>
    <mergeCell ref="E7:F7"/>
    <mergeCell ref="G7:H7"/>
    <mergeCell ref="A8:I8"/>
    <mergeCell ref="A9:A10"/>
    <mergeCell ref="B9:B10"/>
    <mergeCell ref="C9:C10"/>
    <mergeCell ref="D9:G9"/>
    <mergeCell ref="H9:H10"/>
  </mergeCells>
  <phoneticPr fontId="51" type="noConversion"/>
  <pageMargins left="0.78740157480314998" right="0.35433070866141703" top="0.511811023622047" bottom="0.11811023622047198" header="0.511811023622047" footer="0.511811023622047"/>
  <pageSetup paperSize="9" orientation="landscape" useFirstPageNumber="1" r:id="rId1"/>
  <headerFooter alignWithMargins="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tabColor rgb="FF00B050"/>
  </sheetPr>
  <dimension ref="A1:E23"/>
  <sheetViews>
    <sheetView workbookViewId="0">
      <selection activeCell="M25" sqref="M25"/>
    </sheetView>
  </sheetViews>
  <sheetFormatPr defaultRowHeight="21" customHeight="1"/>
  <cols>
    <col min="1" max="1" width="25.69921875" style="1390" customWidth="1"/>
    <col min="2" max="4" width="25" style="1412" customWidth="1"/>
    <col min="5" max="5" width="19" style="1390" customWidth="1"/>
    <col min="6" max="256" width="9" style="1381"/>
    <col min="257" max="257" width="25.69921875" style="1381" customWidth="1"/>
    <col min="258" max="260" width="25" style="1381" customWidth="1"/>
    <col min="261" max="261" width="19" style="1381" customWidth="1"/>
    <col min="262" max="512" width="9" style="1381"/>
    <col min="513" max="513" width="25.69921875" style="1381" customWidth="1"/>
    <col min="514" max="516" width="25" style="1381" customWidth="1"/>
    <col min="517" max="517" width="19" style="1381" customWidth="1"/>
    <col min="518" max="768" width="9" style="1381"/>
    <col min="769" max="769" width="25.69921875" style="1381" customWidth="1"/>
    <col min="770" max="772" width="25" style="1381" customWidth="1"/>
    <col min="773" max="773" width="19" style="1381" customWidth="1"/>
    <col min="774" max="1024" width="9" style="1381"/>
    <col min="1025" max="1025" width="25.69921875" style="1381" customWidth="1"/>
    <col min="1026" max="1028" width="25" style="1381" customWidth="1"/>
    <col min="1029" max="1029" width="19" style="1381" customWidth="1"/>
    <col min="1030" max="1280" width="9" style="1381"/>
    <col min="1281" max="1281" width="25.69921875" style="1381" customWidth="1"/>
    <col min="1282" max="1284" width="25" style="1381" customWidth="1"/>
    <col min="1285" max="1285" width="19" style="1381" customWidth="1"/>
    <col min="1286" max="1536" width="9" style="1381"/>
    <col min="1537" max="1537" width="25.69921875" style="1381" customWidth="1"/>
    <col min="1538" max="1540" width="25" style="1381" customWidth="1"/>
    <col min="1541" max="1541" width="19" style="1381" customWidth="1"/>
    <col min="1542" max="1792" width="9" style="1381"/>
    <col min="1793" max="1793" width="25.69921875" style="1381" customWidth="1"/>
    <col min="1794" max="1796" width="25" style="1381" customWidth="1"/>
    <col min="1797" max="1797" width="19" style="1381" customWidth="1"/>
    <col min="1798" max="2048" width="9" style="1381"/>
    <col min="2049" max="2049" width="25.69921875" style="1381" customWidth="1"/>
    <col min="2050" max="2052" width="25" style="1381" customWidth="1"/>
    <col min="2053" max="2053" width="19" style="1381" customWidth="1"/>
    <col min="2054" max="2304" width="9" style="1381"/>
    <col min="2305" max="2305" width="25.69921875" style="1381" customWidth="1"/>
    <col min="2306" max="2308" width="25" style="1381" customWidth="1"/>
    <col min="2309" max="2309" width="19" style="1381" customWidth="1"/>
    <col min="2310" max="2560" width="9" style="1381"/>
    <col min="2561" max="2561" width="25.69921875" style="1381" customWidth="1"/>
    <col min="2562" max="2564" width="25" style="1381" customWidth="1"/>
    <col min="2565" max="2565" width="19" style="1381" customWidth="1"/>
    <col min="2566" max="2816" width="9" style="1381"/>
    <col min="2817" max="2817" width="25.69921875" style="1381" customWidth="1"/>
    <col min="2818" max="2820" width="25" style="1381" customWidth="1"/>
    <col min="2821" max="2821" width="19" style="1381" customWidth="1"/>
    <col min="2822" max="3072" width="9" style="1381"/>
    <col min="3073" max="3073" width="25.69921875" style="1381" customWidth="1"/>
    <col min="3074" max="3076" width="25" style="1381" customWidth="1"/>
    <col min="3077" max="3077" width="19" style="1381" customWidth="1"/>
    <col min="3078" max="3328" width="9" style="1381"/>
    <col min="3329" max="3329" width="25.69921875" style="1381" customWidth="1"/>
    <col min="3330" max="3332" width="25" style="1381" customWidth="1"/>
    <col min="3333" max="3333" width="19" style="1381" customWidth="1"/>
    <col min="3334" max="3584" width="9" style="1381"/>
    <col min="3585" max="3585" width="25.69921875" style="1381" customWidth="1"/>
    <col min="3586" max="3588" width="25" style="1381" customWidth="1"/>
    <col min="3589" max="3589" width="19" style="1381" customWidth="1"/>
    <col min="3590" max="3840" width="9" style="1381"/>
    <col min="3841" max="3841" width="25.69921875" style="1381" customWidth="1"/>
    <col min="3842" max="3844" width="25" style="1381" customWidth="1"/>
    <col min="3845" max="3845" width="19" style="1381" customWidth="1"/>
    <col min="3846" max="4096" width="9" style="1381"/>
    <col min="4097" max="4097" width="25.69921875" style="1381" customWidth="1"/>
    <col min="4098" max="4100" width="25" style="1381" customWidth="1"/>
    <col min="4101" max="4101" width="19" style="1381" customWidth="1"/>
    <col min="4102" max="4352" width="9" style="1381"/>
    <col min="4353" max="4353" width="25.69921875" style="1381" customWidth="1"/>
    <col min="4354" max="4356" width="25" style="1381" customWidth="1"/>
    <col min="4357" max="4357" width="19" style="1381" customWidth="1"/>
    <col min="4358" max="4608" width="9" style="1381"/>
    <col min="4609" max="4609" width="25.69921875" style="1381" customWidth="1"/>
    <col min="4610" max="4612" width="25" style="1381" customWidth="1"/>
    <col min="4613" max="4613" width="19" style="1381" customWidth="1"/>
    <col min="4614" max="4864" width="9" style="1381"/>
    <col min="4865" max="4865" width="25.69921875" style="1381" customWidth="1"/>
    <col min="4866" max="4868" width="25" style="1381" customWidth="1"/>
    <col min="4869" max="4869" width="19" style="1381" customWidth="1"/>
    <col min="4870" max="5120" width="9" style="1381"/>
    <col min="5121" max="5121" width="25.69921875" style="1381" customWidth="1"/>
    <col min="5122" max="5124" width="25" style="1381" customWidth="1"/>
    <col min="5125" max="5125" width="19" style="1381" customWidth="1"/>
    <col min="5126" max="5376" width="9" style="1381"/>
    <col min="5377" max="5377" width="25.69921875" style="1381" customWidth="1"/>
    <col min="5378" max="5380" width="25" style="1381" customWidth="1"/>
    <col min="5381" max="5381" width="19" style="1381" customWidth="1"/>
    <col min="5382" max="5632" width="9" style="1381"/>
    <col min="5633" max="5633" width="25.69921875" style="1381" customWidth="1"/>
    <col min="5634" max="5636" width="25" style="1381" customWidth="1"/>
    <col min="5637" max="5637" width="19" style="1381" customWidth="1"/>
    <col min="5638" max="5888" width="9" style="1381"/>
    <col min="5889" max="5889" width="25.69921875" style="1381" customWidth="1"/>
    <col min="5890" max="5892" width="25" style="1381" customWidth="1"/>
    <col min="5893" max="5893" width="19" style="1381" customWidth="1"/>
    <col min="5894" max="6144" width="9" style="1381"/>
    <col min="6145" max="6145" width="25.69921875" style="1381" customWidth="1"/>
    <col min="6146" max="6148" width="25" style="1381" customWidth="1"/>
    <col min="6149" max="6149" width="19" style="1381" customWidth="1"/>
    <col min="6150" max="6400" width="9" style="1381"/>
    <col min="6401" max="6401" width="25.69921875" style="1381" customWidth="1"/>
    <col min="6402" max="6404" width="25" style="1381" customWidth="1"/>
    <col min="6405" max="6405" width="19" style="1381" customWidth="1"/>
    <col min="6406" max="6656" width="9" style="1381"/>
    <col min="6657" max="6657" width="25.69921875" style="1381" customWidth="1"/>
    <col min="6658" max="6660" width="25" style="1381" customWidth="1"/>
    <col min="6661" max="6661" width="19" style="1381" customWidth="1"/>
    <col min="6662" max="6912" width="9" style="1381"/>
    <col min="6913" max="6913" width="25.69921875" style="1381" customWidth="1"/>
    <col min="6914" max="6916" width="25" style="1381" customWidth="1"/>
    <col min="6917" max="6917" width="19" style="1381" customWidth="1"/>
    <col min="6918" max="7168" width="9" style="1381"/>
    <col min="7169" max="7169" width="25.69921875" style="1381" customWidth="1"/>
    <col min="7170" max="7172" width="25" style="1381" customWidth="1"/>
    <col min="7173" max="7173" width="19" style="1381" customWidth="1"/>
    <col min="7174" max="7424" width="9" style="1381"/>
    <col min="7425" max="7425" width="25.69921875" style="1381" customWidth="1"/>
    <col min="7426" max="7428" width="25" style="1381" customWidth="1"/>
    <col min="7429" max="7429" width="19" style="1381" customWidth="1"/>
    <col min="7430" max="7680" width="9" style="1381"/>
    <col min="7681" max="7681" width="25.69921875" style="1381" customWidth="1"/>
    <col min="7682" max="7684" width="25" style="1381" customWidth="1"/>
    <col min="7685" max="7685" width="19" style="1381" customWidth="1"/>
    <col min="7686" max="7936" width="9" style="1381"/>
    <col min="7937" max="7937" width="25.69921875" style="1381" customWidth="1"/>
    <col min="7938" max="7940" width="25" style="1381" customWidth="1"/>
    <col min="7941" max="7941" width="19" style="1381" customWidth="1"/>
    <col min="7942" max="8192" width="9" style="1381"/>
    <col min="8193" max="8193" width="25.69921875" style="1381" customWidth="1"/>
    <col min="8194" max="8196" width="25" style="1381" customWidth="1"/>
    <col min="8197" max="8197" width="19" style="1381" customWidth="1"/>
    <col min="8198" max="8448" width="9" style="1381"/>
    <col min="8449" max="8449" width="25.69921875" style="1381" customWidth="1"/>
    <col min="8450" max="8452" width="25" style="1381" customWidth="1"/>
    <col min="8453" max="8453" width="19" style="1381" customWidth="1"/>
    <col min="8454" max="8704" width="9" style="1381"/>
    <col min="8705" max="8705" width="25.69921875" style="1381" customWidth="1"/>
    <col min="8706" max="8708" width="25" style="1381" customWidth="1"/>
    <col min="8709" max="8709" width="19" style="1381" customWidth="1"/>
    <col min="8710" max="8960" width="9" style="1381"/>
    <col min="8961" max="8961" width="25.69921875" style="1381" customWidth="1"/>
    <col min="8962" max="8964" width="25" style="1381" customWidth="1"/>
    <col min="8965" max="8965" width="19" style="1381" customWidth="1"/>
    <col min="8966" max="9216" width="9" style="1381"/>
    <col min="9217" max="9217" width="25.69921875" style="1381" customWidth="1"/>
    <col min="9218" max="9220" width="25" style="1381" customWidth="1"/>
    <col min="9221" max="9221" width="19" style="1381" customWidth="1"/>
    <col min="9222" max="9472" width="9" style="1381"/>
    <col min="9473" max="9473" width="25.69921875" style="1381" customWidth="1"/>
    <col min="9474" max="9476" width="25" style="1381" customWidth="1"/>
    <col min="9477" max="9477" width="19" style="1381" customWidth="1"/>
    <col min="9478" max="9728" width="9" style="1381"/>
    <col min="9729" max="9729" width="25.69921875" style="1381" customWidth="1"/>
    <col min="9730" max="9732" width="25" style="1381" customWidth="1"/>
    <col min="9733" max="9733" width="19" style="1381" customWidth="1"/>
    <col min="9734" max="9984" width="9" style="1381"/>
    <col min="9985" max="9985" width="25.69921875" style="1381" customWidth="1"/>
    <col min="9986" max="9988" width="25" style="1381" customWidth="1"/>
    <col min="9989" max="9989" width="19" style="1381" customWidth="1"/>
    <col min="9990" max="10240" width="9" style="1381"/>
    <col min="10241" max="10241" width="25.69921875" style="1381" customWidth="1"/>
    <col min="10242" max="10244" width="25" style="1381" customWidth="1"/>
    <col min="10245" max="10245" width="19" style="1381" customWidth="1"/>
    <col min="10246" max="10496" width="9" style="1381"/>
    <col min="10497" max="10497" width="25.69921875" style="1381" customWidth="1"/>
    <col min="10498" max="10500" width="25" style="1381" customWidth="1"/>
    <col min="10501" max="10501" width="19" style="1381" customWidth="1"/>
    <col min="10502" max="10752" width="9" style="1381"/>
    <col min="10753" max="10753" width="25.69921875" style="1381" customWidth="1"/>
    <col min="10754" max="10756" width="25" style="1381" customWidth="1"/>
    <col min="10757" max="10757" width="19" style="1381" customWidth="1"/>
    <col min="10758" max="11008" width="9" style="1381"/>
    <col min="11009" max="11009" width="25.69921875" style="1381" customWidth="1"/>
    <col min="11010" max="11012" width="25" style="1381" customWidth="1"/>
    <col min="11013" max="11013" width="19" style="1381" customWidth="1"/>
    <col min="11014" max="11264" width="9" style="1381"/>
    <col min="11265" max="11265" width="25.69921875" style="1381" customWidth="1"/>
    <col min="11266" max="11268" width="25" style="1381" customWidth="1"/>
    <col min="11269" max="11269" width="19" style="1381" customWidth="1"/>
    <col min="11270" max="11520" width="9" style="1381"/>
    <col min="11521" max="11521" width="25.69921875" style="1381" customWidth="1"/>
    <col min="11522" max="11524" width="25" style="1381" customWidth="1"/>
    <col min="11525" max="11525" width="19" style="1381" customWidth="1"/>
    <col min="11526" max="11776" width="9" style="1381"/>
    <col min="11777" max="11777" width="25.69921875" style="1381" customWidth="1"/>
    <col min="11778" max="11780" width="25" style="1381" customWidth="1"/>
    <col min="11781" max="11781" width="19" style="1381" customWidth="1"/>
    <col min="11782" max="12032" width="9" style="1381"/>
    <col min="12033" max="12033" width="25.69921875" style="1381" customWidth="1"/>
    <col min="12034" max="12036" width="25" style="1381" customWidth="1"/>
    <col min="12037" max="12037" width="19" style="1381" customWidth="1"/>
    <col min="12038" max="12288" width="9" style="1381"/>
    <col min="12289" max="12289" width="25.69921875" style="1381" customWidth="1"/>
    <col min="12290" max="12292" width="25" style="1381" customWidth="1"/>
    <col min="12293" max="12293" width="19" style="1381" customWidth="1"/>
    <col min="12294" max="12544" width="9" style="1381"/>
    <col min="12545" max="12545" width="25.69921875" style="1381" customWidth="1"/>
    <col min="12546" max="12548" width="25" style="1381" customWidth="1"/>
    <col min="12549" max="12549" width="19" style="1381" customWidth="1"/>
    <col min="12550" max="12800" width="9" style="1381"/>
    <col min="12801" max="12801" width="25.69921875" style="1381" customWidth="1"/>
    <col min="12802" max="12804" width="25" style="1381" customWidth="1"/>
    <col min="12805" max="12805" width="19" style="1381" customWidth="1"/>
    <col min="12806" max="13056" width="9" style="1381"/>
    <col min="13057" max="13057" width="25.69921875" style="1381" customWidth="1"/>
    <col min="13058" max="13060" width="25" style="1381" customWidth="1"/>
    <col min="13061" max="13061" width="19" style="1381" customWidth="1"/>
    <col min="13062" max="13312" width="9" style="1381"/>
    <col min="13313" max="13313" width="25.69921875" style="1381" customWidth="1"/>
    <col min="13314" max="13316" width="25" style="1381" customWidth="1"/>
    <col min="13317" max="13317" width="19" style="1381" customWidth="1"/>
    <col min="13318" max="13568" width="9" style="1381"/>
    <col min="13569" max="13569" width="25.69921875" style="1381" customWidth="1"/>
    <col min="13570" max="13572" width="25" style="1381" customWidth="1"/>
    <col min="13573" max="13573" width="19" style="1381" customWidth="1"/>
    <col min="13574" max="13824" width="9" style="1381"/>
    <col min="13825" max="13825" width="25.69921875" style="1381" customWidth="1"/>
    <col min="13826" max="13828" width="25" style="1381" customWidth="1"/>
    <col min="13829" max="13829" width="19" style="1381" customWidth="1"/>
    <col min="13830" max="14080" width="9" style="1381"/>
    <col min="14081" max="14081" width="25.69921875" style="1381" customWidth="1"/>
    <col min="14082" max="14084" width="25" style="1381" customWidth="1"/>
    <col min="14085" max="14085" width="19" style="1381" customWidth="1"/>
    <col min="14086" max="14336" width="9" style="1381"/>
    <col min="14337" max="14337" width="25.69921875" style="1381" customWidth="1"/>
    <col min="14338" max="14340" width="25" style="1381" customWidth="1"/>
    <col min="14341" max="14341" width="19" style="1381" customWidth="1"/>
    <col min="14342" max="14592" width="9" style="1381"/>
    <col min="14593" max="14593" width="25.69921875" style="1381" customWidth="1"/>
    <col min="14594" max="14596" width="25" style="1381" customWidth="1"/>
    <col min="14597" max="14597" width="19" style="1381" customWidth="1"/>
    <col min="14598" max="14848" width="9" style="1381"/>
    <col min="14849" max="14849" width="25.69921875" style="1381" customWidth="1"/>
    <col min="14850" max="14852" width="25" style="1381" customWidth="1"/>
    <col min="14853" max="14853" width="19" style="1381" customWidth="1"/>
    <col min="14854" max="15104" width="9" style="1381"/>
    <col min="15105" max="15105" width="25.69921875" style="1381" customWidth="1"/>
    <col min="15106" max="15108" width="25" style="1381" customWidth="1"/>
    <col min="15109" max="15109" width="19" style="1381" customWidth="1"/>
    <col min="15110" max="15360" width="9" style="1381"/>
    <col min="15361" max="15361" width="25.69921875" style="1381" customWidth="1"/>
    <col min="15362" max="15364" width="25" style="1381" customWidth="1"/>
    <col min="15365" max="15365" width="19" style="1381" customWidth="1"/>
    <col min="15366" max="15616" width="9" style="1381"/>
    <col min="15617" max="15617" width="25.69921875" style="1381" customWidth="1"/>
    <col min="15618" max="15620" width="25" style="1381" customWidth="1"/>
    <col min="15621" max="15621" width="19" style="1381" customWidth="1"/>
    <col min="15622" max="15872" width="9" style="1381"/>
    <col min="15873" max="15873" width="25.69921875" style="1381" customWidth="1"/>
    <col min="15874" max="15876" width="25" style="1381" customWidth="1"/>
    <col min="15877" max="15877" width="19" style="1381" customWidth="1"/>
    <col min="15878" max="16128" width="9" style="1381"/>
    <col min="16129" max="16129" width="25.69921875" style="1381" customWidth="1"/>
    <col min="16130" max="16132" width="25" style="1381" customWidth="1"/>
    <col min="16133" max="16133" width="19" style="1381" customWidth="1"/>
    <col min="16134" max="16384" width="9" style="1381"/>
  </cols>
  <sheetData>
    <row r="1" spans="1:5" ht="21" customHeight="1">
      <c r="A1" s="3847" t="s">
        <v>1425</v>
      </c>
      <c r="B1" s="3847"/>
      <c r="C1" s="3847"/>
      <c r="D1" s="3847"/>
    </row>
    <row r="2" spans="1:5" s="1401" customFormat="1" ht="20.25" customHeight="1">
      <c r="A2" s="3848" t="s">
        <v>2343</v>
      </c>
      <c r="B2" s="3848"/>
      <c r="C2" s="3848"/>
      <c r="D2" s="3848"/>
      <c r="E2" s="3848"/>
    </row>
    <row r="3" spans="1:5" ht="19.5" customHeight="1">
      <c r="A3" s="3848"/>
      <c r="B3" s="3848"/>
      <c r="C3" s="3848"/>
      <c r="D3" s="3848"/>
      <c r="E3" s="3848"/>
    </row>
    <row r="4" spans="1:5" ht="21" customHeight="1">
      <c r="A4" s="3848"/>
      <c r="B4" s="3848"/>
      <c r="C4" s="3848"/>
      <c r="D4" s="3848"/>
      <c r="E4" s="3848"/>
    </row>
    <row r="5" spans="1:5" ht="21" customHeight="1">
      <c r="A5" s="1406"/>
      <c r="B5" s="1407"/>
      <c r="C5" s="1407"/>
      <c r="D5" s="1407" t="s">
        <v>2344</v>
      </c>
    </row>
    <row r="6" spans="1:5" ht="21" customHeight="1">
      <c r="A6" s="1382" t="s">
        <v>2345</v>
      </c>
      <c r="B6" s="1408" t="s">
        <v>1427</v>
      </c>
      <c r="C6" s="1408" t="s">
        <v>1428</v>
      </c>
      <c r="D6" s="1408" t="s">
        <v>2346</v>
      </c>
      <c r="E6" s="1382" t="s">
        <v>832</v>
      </c>
    </row>
    <row r="7" spans="1:5" ht="21" customHeight="1">
      <c r="A7" s="1409" t="str">
        <f>IF(AND(无限期结转扣除项目审核表!$F$6=0,无限期结转扣除项目审核表!I6=0),"",无限期结转扣除项目审核表!A6)</f>
        <v/>
      </c>
      <c r="B7" s="1409" t="str">
        <f>IF(AND(无限期结转扣除项目审核表!$F$6=0,无限期结转扣除项目审核表!I6=0),"",无限期结转扣除项目审核表!C6)</f>
        <v/>
      </c>
      <c r="C7" s="1409" t="str">
        <f>IF(AND(无限期结转扣除项目审核表!$F$6=0,无限期结转扣除项目审核表!I6=0),"",无限期结转扣除项目审核表!F6)</f>
        <v/>
      </c>
      <c r="D7" s="1409" t="str">
        <f>IF(AND(无限期结转扣除项目审核表!$F$6=0,无限期结转扣除项目审核表!I6=0),"",无限期结转扣除项目审核表!I6)</f>
        <v/>
      </c>
      <c r="E7" s="1409" t="str">
        <f>IF(AND(无限期结转扣除项目审核表!$F$6=0,无限期结转扣除项目审核表!I6=0),"",无限期结转扣除项目审核表!L6)</f>
        <v/>
      </c>
    </row>
    <row r="8" spans="1:5" ht="21" customHeight="1">
      <c r="A8" s="1409" t="str">
        <f>IF(AND(无限期结转扣除项目审核表!$F$7=0,无限期结转扣除项目审核表!I7=0),"",无限期结转扣除项目审核表!A7)</f>
        <v/>
      </c>
      <c r="B8" s="1409" t="str">
        <f>IF(AND(无限期结转扣除项目审核表!$F$7=0,无限期结转扣除项目审核表!I7=0),"",无限期结转扣除项目审核表!C7)</f>
        <v/>
      </c>
      <c r="C8" s="1409" t="str">
        <f>IF(AND(无限期结转扣除项目审核表!$F$7=0,无限期结转扣除项目审核表!I7=0),"",无限期结转扣除项目审核表!F7)</f>
        <v/>
      </c>
      <c r="D8" s="1409" t="str">
        <f>IF(AND(无限期结转扣除项目审核表!$F$7=0,无限期结转扣除项目审核表!I7=0),"",无限期结转扣除项目审核表!I7)</f>
        <v/>
      </c>
      <c r="E8" s="1409" t="str">
        <f>IF(AND(无限期结转扣除项目审核表!$F$7=0,无限期结转扣除项目审核表!I7=0),"",无限期结转扣除项目审核表!L7)</f>
        <v/>
      </c>
    </row>
    <row r="9" spans="1:5" ht="21" customHeight="1">
      <c r="A9" s="1409" t="str">
        <f>IF(AND(无限期结转扣除项目审核表!$F$8=0,无限期结转扣除项目审核表!I8=0),"",无限期结转扣除项目审核表!A8)</f>
        <v/>
      </c>
      <c r="B9" s="1409" t="str">
        <f>IF(AND(无限期结转扣除项目审核表!$F$7=0,无限期结转扣除项目审核表!I8=0),"",无限期结转扣除项目审核表!C8)</f>
        <v/>
      </c>
      <c r="C9" s="1409" t="str">
        <f>IF(AND(无限期结转扣除项目审核表!$F$7=0,无限期结转扣除项目审核表!I8=0),"",无限期结转扣除项目审核表!F8)</f>
        <v/>
      </c>
      <c r="D9" s="1409" t="str">
        <f>IF(AND(无限期结转扣除项目审核表!$F$7=0,无限期结转扣除项目审核表!I8=0),"",无限期结转扣除项目审核表!I8)</f>
        <v/>
      </c>
      <c r="E9" s="1409" t="str">
        <f>IF(AND(无限期结转扣除项目审核表!$F$7=0,无限期结转扣除项目审核表!I8=0),"",无限期结转扣除项目审核表!L8)</f>
        <v/>
      </c>
    </row>
    <row r="10" spans="1:5" ht="21" customHeight="1">
      <c r="A10" s="1409" t="str">
        <f>IF(AND(无限期结转扣除项目审核表!$F$9=0,无限期结转扣除项目审核表!I9=0),"",无限期结转扣除项目审核表!A9)</f>
        <v/>
      </c>
      <c r="B10" s="1409" t="str">
        <f>IF(AND(无限期结转扣除项目审核表!$F$7=0,无限期结转扣除项目审核表!I9=0),"",无限期结转扣除项目审核表!C9)</f>
        <v/>
      </c>
      <c r="C10" s="1409" t="str">
        <f>IF(AND(无限期结转扣除项目审核表!$F$7=0,无限期结转扣除项目审核表!I9=0),"",无限期结转扣除项目审核表!F9)</f>
        <v/>
      </c>
      <c r="D10" s="1409" t="str">
        <f>IF(AND(无限期结转扣除项目审核表!$F$7=0,无限期结转扣除项目审核表!I9=0),"",无限期结转扣除项目审核表!I9)</f>
        <v/>
      </c>
      <c r="E10" s="1409" t="str">
        <f>IF(AND(无限期结转扣除项目审核表!$F$7=0,无限期结转扣除项目审核表!I9=0),"",无限期结转扣除项目审核表!L9)</f>
        <v/>
      </c>
    </row>
    <row r="11" spans="1:5" ht="21" customHeight="1">
      <c r="A11" s="1410"/>
      <c r="B11" s="1411"/>
      <c r="C11" s="1411"/>
      <c r="D11" s="1411"/>
      <c r="E11" s="1387"/>
    </row>
    <row r="12" spans="1:5" ht="21" customHeight="1">
      <c r="A12" s="1410"/>
      <c r="B12" s="1411"/>
      <c r="C12" s="1411"/>
      <c r="D12" s="1411"/>
      <c r="E12" s="1387"/>
    </row>
    <row r="13" spans="1:5" ht="21" customHeight="1">
      <c r="A13" s="1410"/>
      <c r="B13" s="1411"/>
      <c r="C13" s="1411"/>
      <c r="D13" s="1411"/>
      <c r="E13" s="1387"/>
    </row>
    <row r="14" spans="1:5" ht="21" customHeight="1">
      <c r="A14" s="1410"/>
      <c r="B14" s="1411"/>
      <c r="C14" s="1411"/>
      <c r="D14" s="1411"/>
      <c r="E14" s="1387"/>
    </row>
    <row r="15" spans="1:5" ht="21" customHeight="1">
      <c r="A15" s="1410"/>
      <c r="B15" s="1411"/>
      <c r="C15" s="1411"/>
      <c r="D15" s="1411"/>
      <c r="E15" s="1387"/>
    </row>
    <row r="16" spans="1:5" ht="21" customHeight="1">
      <c r="A16" s="1410"/>
      <c r="B16" s="1411"/>
      <c r="C16" s="1411"/>
      <c r="D16" s="1411"/>
      <c r="E16" s="1387"/>
    </row>
    <row r="17" spans="1:5" ht="21" customHeight="1">
      <c r="A17" s="1410"/>
      <c r="B17" s="1411"/>
      <c r="C17" s="1411"/>
      <c r="D17" s="1411"/>
      <c r="E17" s="1387"/>
    </row>
    <row r="18" spans="1:5" ht="21" customHeight="1">
      <c r="A18" s="1410"/>
      <c r="B18" s="1411"/>
      <c r="C18" s="1411"/>
      <c r="D18" s="1411"/>
      <c r="E18" s="1387"/>
    </row>
    <row r="19" spans="1:5" ht="27" customHeight="1">
      <c r="A19" s="1410"/>
      <c r="B19" s="1411"/>
      <c r="C19" s="1411"/>
      <c r="D19" s="1411"/>
      <c r="E19" s="1387"/>
    </row>
    <row r="20" spans="1:5" ht="12.75" customHeight="1">
      <c r="A20" s="1410"/>
      <c r="B20" s="1411"/>
      <c r="C20" s="1411"/>
      <c r="D20" s="1411"/>
      <c r="E20" s="1387"/>
    </row>
    <row r="21" spans="1:5" ht="21" customHeight="1">
      <c r="A21" s="1406"/>
      <c r="B21" s="1407"/>
      <c r="C21" s="1407"/>
      <c r="D21" s="1407"/>
    </row>
    <row r="22" spans="1:5" ht="21" customHeight="1">
      <c r="A22" s="1406"/>
      <c r="B22" s="1407"/>
      <c r="C22" s="1407"/>
      <c r="D22" s="1407"/>
    </row>
    <row r="23" spans="1:5" ht="21" customHeight="1">
      <c r="A23" s="1406"/>
      <c r="B23" s="1407"/>
      <c r="C23" s="1407"/>
      <c r="D23" s="1407"/>
    </row>
  </sheetData>
  <mergeCells count="2">
    <mergeCell ref="A1:D1"/>
    <mergeCell ref="A2:E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tabColor rgb="FF00B050"/>
  </sheetPr>
  <dimension ref="A1:F41"/>
  <sheetViews>
    <sheetView workbookViewId="0">
      <selection activeCell="M25" sqref="M25"/>
    </sheetView>
  </sheetViews>
  <sheetFormatPr defaultRowHeight="23.25" customHeight="1"/>
  <cols>
    <col min="1" max="1" width="26.19921875" style="1390" customWidth="1"/>
    <col min="2" max="2" width="15.3984375" style="1390" customWidth="1"/>
    <col min="3" max="3" width="17.59765625" style="1426" customWidth="1"/>
    <col min="4" max="4" width="17.59765625" style="1427" customWidth="1"/>
    <col min="5" max="5" width="15.59765625" style="1426" customWidth="1"/>
    <col min="6" max="6" width="18" style="1390" customWidth="1"/>
    <col min="7" max="256" width="9" style="1400"/>
    <col min="257" max="257" width="26.19921875" style="1400" customWidth="1"/>
    <col min="258" max="258" width="15.3984375" style="1400" customWidth="1"/>
    <col min="259" max="260" width="17.59765625" style="1400" customWidth="1"/>
    <col min="261" max="261" width="15.59765625" style="1400" customWidth="1"/>
    <col min="262" max="262" width="18" style="1400" customWidth="1"/>
    <col min="263" max="512" width="9" style="1400"/>
    <col min="513" max="513" width="26.19921875" style="1400" customWidth="1"/>
    <col min="514" max="514" width="15.3984375" style="1400" customWidth="1"/>
    <col min="515" max="516" width="17.59765625" style="1400" customWidth="1"/>
    <col min="517" max="517" width="15.59765625" style="1400" customWidth="1"/>
    <col min="518" max="518" width="18" style="1400" customWidth="1"/>
    <col min="519" max="768" width="9" style="1400"/>
    <col min="769" max="769" width="26.19921875" style="1400" customWidth="1"/>
    <col min="770" max="770" width="15.3984375" style="1400" customWidth="1"/>
    <col min="771" max="772" width="17.59765625" style="1400" customWidth="1"/>
    <col min="773" max="773" width="15.59765625" style="1400" customWidth="1"/>
    <col min="774" max="774" width="18" style="1400" customWidth="1"/>
    <col min="775" max="1024" width="9" style="1400"/>
    <col min="1025" max="1025" width="26.19921875" style="1400" customWidth="1"/>
    <col min="1026" max="1026" width="15.3984375" style="1400" customWidth="1"/>
    <col min="1027" max="1028" width="17.59765625" style="1400" customWidth="1"/>
    <col min="1029" max="1029" width="15.59765625" style="1400" customWidth="1"/>
    <col min="1030" max="1030" width="18" style="1400" customWidth="1"/>
    <col min="1031" max="1280" width="9" style="1400"/>
    <col min="1281" max="1281" width="26.19921875" style="1400" customWidth="1"/>
    <col min="1282" max="1282" width="15.3984375" style="1400" customWidth="1"/>
    <col min="1283" max="1284" width="17.59765625" style="1400" customWidth="1"/>
    <col min="1285" max="1285" width="15.59765625" style="1400" customWidth="1"/>
    <col min="1286" max="1286" width="18" style="1400" customWidth="1"/>
    <col min="1287" max="1536" width="9" style="1400"/>
    <col min="1537" max="1537" width="26.19921875" style="1400" customWidth="1"/>
    <col min="1538" max="1538" width="15.3984375" style="1400" customWidth="1"/>
    <col min="1539" max="1540" width="17.59765625" style="1400" customWidth="1"/>
    <col min="1541" max="1541" width="15.59765625" style="1400" customWidth="1"/>
    <col min="1542" max="1542" width="18" style="1400" customWidth="1"/>
    <col min="1543" max="1792" width="9" style="1400"/>
    <col min="1793" max="1793" width="26.19921875" style="1400" customWidth="1"/>
    <col min="1794" max="1794" width="15.3984375" style="1400" customWidth="1"/>
    <col min="1795" max="1796" width="17.59765625" style="1400" customWidth="1"/>
    <col min="1797" max="1797" width="15.59765625" style="1400" customWidth="1"/>
    <col min="1798" max="1798" width="18" style="1400" customWidth="1"/>
    <col min="1799" max="2048" width="9" style="1400"/>
    <col min="2049" max="2049" width="26.19921875" style="1400" customWidth="1"/>
    <col min="2050" max="2050" width="15.3984375" style="1400" customWidth="1"/>
    <col min="2051" max="2052" width="17.59765625" style="1400" customWidth="1"/>
    <col min="2053" max="2053" width="15.59765625" style="1400" customWidth="1"/>
    <col min="2054" max="2054" width="18" style="1400" customWidth="1"/>
    <col min="2055" max="2304" width="9" style="1400"/>
    <col min="2305" max="2305" width="26.19921875" style="1400" customWidth="1"/>
    <col min="2306" max="2306" width="15.3984375" style="1400" customWidth="1"/>
    <col min="2307" max="2308" width="17.59765625" style="1400" customWidth="1"/>
    <col min="2309" max="2309" width="15.59765625" style="1400" customWidth="1"/>
    <col min="2310" max="2310" width="18" style="1400" customWidth="1"/>
    <col min="2311" max="2560" width="9" style="1400"/>
    <col min="2561" max="2561" width="26.19921875" style="1400" customWidth="1"/>
    <col min="2562" max="2562" width="15.3984375" style="1400" customWidth="1"/>
    <col min="2563" max="2564" width="17.59765625" style="1400" customWidth="1"/>
    <col min="2565" max="2565" width="15.59765625" style="1400" customWidth="1"/>
    <col min="2566" max="2566" width="18" style="1400" customWidth="1"/>
    <col min="2567" max="2816" width="9" style="1400"/>
    <col min="2817" max="2817" width="26.19921875" style="1400" customWidth="1"/>
    <col min="2818" max="2818" width="15.3984375" style="1400" customWidth="1"/>
    <col min="2819" max="2820" width="17.59765625" style="1400" customWidth="1"/>
    <col min="2821" max="2821" width="15.59765625" style="1400" customWidth="1"/>
    <col min="2822" max="2822" width="18" style="1400" customWidth="1"/>
    <col min="2823" max="3072" width="9" style="1400"/>
    <col min="3073" max="3073" width="26.19921875" style="1400" customWidth="1"/>
    <col min="3074" max="3074" width="15.3984375" style="1400" customWidth="1"/>
    <col min="3075" max="3076" width="17.59765625" style="1400" customWidth="1"/>
    <col min="3077" max="3077" width="15.59765625" style="1400" customWidth="1"/>
    <col min="3078" max="3078" width="18" style="1400" customWidth="1"/>
    <col min="3079" max="3328" width="9" style="1400"/>
    <col min="3329" max="3329" width="26.19921875" style="1400" customWidth="1"/>
    <col min="3330" max="3330" width="15.3984375" style="1400" customWidth="1"/>
    <col min="3331" max="3332" width="17.59765625" style="1400" customWidth="1"/>
    <col min="3333" max="3333" width="15.59765625" style="1400" customWidth="1"/>
    <col min="3334" max="3334" width="18" style="1400" customWidth="1"/>
    <col min="3335" max="3584" width="9" style="1400"/>
    <col min="3585" max="3585" width="26.19921875" style="1400" customWidth="1"/>
    <col min="3586" max="3586" width="15.3984375" style="1400" customWidth="1"/>
    <col min="3587" max="3588" width="17.59765625" style="1400" customWidth="1"/>
    <col min="3589" max="3589" width="15.59765625" style="1400" customWidth="1"/>
    <col min="3590" max="3590" width="18" style="1400" customWidth="1"/>
    <col min="3591" max="3840" width="9" style="1400"/>
    <col min="3841" max="3841" width="26.19921875" style="1400" customWidth="1"/>
    <col min="3842" max="3842" width="15.3984375" style="1400" customWidth="1"/>
    <col min="3843" max="3844" width="17.59765625" style="1400" customWidth="1"/>
    <col min="3845" max="3845" width="15.59765625" style="1400" customWidth="1"/>
    <col min="3846" max="3846" width="18" style="1400" customWidth="1"/>
    <col min="3847" max="4096" width="9" style="1400"/>
    <col min="4097" max="4097" width="26.19921875" style="1400" customWidth="1"/>
    <col min="4098" max="4098" width="15.3984375" style="1400" customWidth="1"/>
    <col min="4099" max="4100" width="17.59765625" style="1400" customWidth="1"/>
    <col min="4101" max="4101" width="15.59765625" style="1400" customWidth="1"/>
    <col min="4102" max="4102" width="18" style="1400" customWidth="1"/>
    <col min="4103" max="4352" width="9" style="1400"/>
    <col min="4353" max="4353" width="26.19921875" style="1400" customWidth="1"/>
    <col min="4354" max="4354" width="15.3984375" style="1400" customWidth="1"/>
    <col min="4355" max="4356" width="17.59765625" style="1400" customWidth="1"/>
    <col min="4357" max="4357" width="15.59765625" style="1400" customWidth="1"/>
    <col min="4358" max="4358" width="18" style="1400" customWidth="1"/>
    <col min="4359" max="4608" width="9" style="1400"/>
    <col min="4609" max="4609" width="26.19921875" style="1400" customWidth="1"/>
    <col min="4610" max="4610" width="15.3984375" style="1400" customWidth="1"/>
    <col min="4611" max="4612" width="17.59765625" style="1400" customWidth="1"/>
    <col min="4613" max="4613" width="15.59765625" style="1400" customWidth="1"/>
    <col min="4614" max="4614" width="18" style="1400" customWidth="1"/>
    <col min="4615" max="4864" width="9" style="1400"/>
    <col min="4865" max="4865" width="26.19921875" style="1400" customWidth="1"/>
    <col min="4866" max="4866" width="15.3984375" style="1400" customWidth="1"/>
    <col min="4867" max="4868" width="17.59765625" style="1400" customWidth="1"/>
    <col min="4869" max="4869" width="15.59765625" style="1400" customWidth="1"/>
    <col min="4870" max="4870" width="18" style="1400" customWidth="1"/>
    <col min="4871" max="5120" width="9" style="1400"/>
    <col min="5121" max="5121" width="26.19921875" style="1400" customWidth="1"/>
    <col min="5122" max="5122" width="15.3984375" style="1400" customWidth="1"/>
    <col min="5123" max="5124" width="17.59765625" style="1400" customWidth="1"/>
    <col min="5125" max="5125" width="15.59765625" style="1400" customWidth="1"/>
    <col min="5126" max="5126" width="18" style="1400" customWidth="1"/>
    <col min="5127" max="5376" width="9" style="1400"/>
    <col min="5377" max="5377" width="26.19921875" style="1400" customWidth="1"/>
    <col min="5378" max="5378" width="15.3984375" style="1400" customWidth="1"/>
    <col min="5379" max="5380" width="17.59765625" style="1400" customWidth="1"/>
    <col min="5381" max="5381" width="15.59765625" style="1400" customWidth="1"/>
    <col min="5382" max="5382" width="18" style="1400" customWidth="1"/>
    <col min="5383" max="5632" width="9" style="1400"/>
    <col min="5633" max="5633" width="26.19921875" style="1400" customWidth="1"/>
    <col min="5634" max="5634" width="15.3984375" style="1400" customWidth="1"/>
    <col min="5635" max="5636" width="17.59765625" style="1400" customWidth="1"/>
    <col min="5637" max="5637" width="15.59765625" style="1400" customWidth="1"/>
    <col min="5638" max="5638" width="18" style="1400" customWidth="1"/>
    <col min="5639" max="5888" width="9" style="1400"/>
    <col min="5889" max="5889" width="26.19921875" style="1400" customWidth="1"/>
    <col min="5890" max="5890" width="15.3984375" style="1400" customWidth="1"/>
    <col min="5891" max="5892" width="17.59765625" style="1400" customWidth="1"/>
    <col min="5893" max="5893" width="15.59765625" style="1400" customWidth="1"/>
    <col min="5894" max="5894" width="18" style="1400" customWidth="1"/>
    <col min="5895" max="6144" width="9" style="1400"/>
    <col min="6145" max="6145" width="26.19921875" style="1400" customWidth="1"/>
    <col min="6146" max="6146" width="15.3984375" style="1400" customWidth="1"/>
    <col min="6147" max="6148" width="17.59765625" style="1400" customWidth="1"/>
    <col min="6149" max="6149" width="15.59765625" style="1400" customWidth="1"/>
    <col min="6150" max="6150" width="18" style="1400" customWidth="1"/>
    <col min="6151" max="6400" width="9" style="1400"/>
    <col min="6401" max="6401" width="26.19921875" style="1400" customWidth="1"/>
    <col min="6402" max="6402" width="15.3984375" style="1400" customWidth="1"/>
    <col min="6403" max="6404" width="17.59765625" style="1400" customWidth="1"/>
    <col min="6405" max="6405" width="15.59765625" style="1400" customWidth="1"/>
    <col min="6406" max="6406" width="18" style="1400" customWidth="1"/>
    <col min="6407" max="6656" width="9" style="1400"/>
    <col min="6657" max="6657" width="26.19921875" style="1400" customWidth="1"/>
    <col min="6658" max="6658" width="15.3984375" style="1400" customWidth="1"/>
    <col min="6659" max="6660" width="17.59765625" style="1400" customWidth="1"/>
    <col min="6661" max="6661" width="15.59765625" style="1400" customWidth="1"/>
    <col min="6662" max="6662" width="18" style="1400" customWidth="1"/>
    <col min="6663" max="6912" width="9" style="1400"/>
    <col min="6913" max="6913" width="26.19921875" style="1400" customWidth="1"/>
    <col min="6914" max="6914" width="15.3984375" style="1400" customWidth="1"/>
    <col min="6915" max="6916" width="17.59765625" style="1400" customWidth="1"/>
    <col min="6917" max="6917" width="15.59765625" style="1400" customWidth="1"/>
    <col min="6918" max="6918" width="18" style="1400" customWidth="1"/>
    <col min="6919" max="7168" width="9" style="1400"/>
    <col min="7169" max="7169" width="26.19921875" style="1400" customWidth="1"/>
    <col min="7170" max="7170" width="15.3984375" style="1400" customWidth="1"/>
    <col min="7171" max="7172" width="17.59765625" style="1400" customWidth="1"/>
    <col min="7173" max="7173" width="15.59765625" style="1400" customWidth="1"/>
    <col min="7174" max="7174" width="18" style="1400" customWidth="1"/>
    <col min="7175" max="7424" width="9" style="1400"/>
    <col min="7425" max="7425" width="26.19921875" style="1400" customWidth="1"/>
    <col min="7426" max="7426" width="15.3984375" style="1400" customWidth="1"/>
    <col min="7427" max="7428" width="17.59765625" style="1400" customWidth="1"/>
    <col min="7429" max="7429" width="15.59765625" style="1400" customWidth="1"/>
    <col min="7430" max="7430" width="18" style="1400" customWidth="1"/>
    <col min="7431" max="7680" width="9" style="1400"/>
    <col min="7681" max="7681" width="26.19921875" style="1400" customWidth="1"/>
    <col min="7682" max="7682" width="15.3984375" style="1400" customWidth="1"/>
    <col min="7683" max="7684" width="17.59765625" style="1400" customWidth="1"/>
    <col min="7685" max="7685" width="15.59765625" style="1400" customWidth="1"/>
    <col min="7686" max="7686" width="18" style="1400" customWidth="1"/>
    <col min="7687" max="7936" width="9" style="1400"/>
    <col min="7937" max="7937" width="26.19921875" style="1400" customWidth="1"/>
    <col min="7938" max="7938" width="15.3984375" style="1400" customWidth="1"/>
    <col min="7939" max="7940" width="17.59765625" style="1400" customWidth="1"/>
    <col min="7941" max="7941" width="15.59765625" style="1400" customWidth="1"/>
    <col min="7942" max="7942" width="18" style="1400" customWidth="1"/>
    <col min="7943" max="8192" width="9" style="1400"/>
    <col min="8193" max="8193" width="26.19921875" style="1400" customWidth="1"/>
    <col min="8194" max="8194" width="15.3984375" style="1400" customWidth="1"/>
    <col min="8195" max="8196" width="17.59765625" style="1400" customWidth="1"/>
    <col min="8197" max="8197" width="15.59765625" style="1400" customWidth="1"/>
    <col min="8198" max="8198" width="18" style="1400" customWidth="1"/>
    <col min="8199" max="8448" width="9" style="1400"/>
    <col min="8449" max="8449" width="26.19921875" style="1400" customWidth="1"/>
    <col min="8450" max="8450" width="15.3984375" style="1400" customWidth="1"/>
    <col min="8451" max="8452" width="17.59765625" style="1400" customWidth="1"/>
    <col min="8453" max="8453" width="15.59765625" style="1400" customWidth="1"/>
    <col min="8454" max="8454" width="18" style="1400" customWidth="1"/>
    <col min="8455" max="8704" width="9" style="1400"/>
    <col min="8705" max="8705" width="26.19921875" style="1400" customWidth="1"/>
    <col min="8706" max="8706" width="15.3984375" style="1400" customWidth="1"/>
    <col min="8707" max="8708" width="17.59765625" style="1400" customWidth="1"/>
    <col min="8709" max="8709" width="15.59765625" style="1400" customWidth="1"/>
    <col min="8710" max="8710" width="18" style="1400" customWidth="1"/>
    <col min="8711" max="8960" width="9" style="1400"/>
    <col min="8961" max="8961" width="26.19921875" style="1400" customWidth="1"/>
    <col min="8962" max="8962" width="15.3984375" style="1400" customWidth="1"/>
    <col min="8963" max="8964" width="17.59765625" style="1400" customWidth="1"/>
    <col min="8965" max="8965" width="15.59765625" style="1400" customWidth="1"/>
    <col min="8966" max="8966" width="18" style="1400" customWidth="1"/>
    <col min="8967" max="9216" width="9" style="1400"/>
    <col min="9217" max="9217" width="26.19921875" style="1400" customWidth="1"/>
    <col min="9218" max="9218" width="15.3984375" style="1400" customWidth="1"/>
    <col min="9219" max="9220" width="17.59765625" style="1400" customWidth="1"/>
    <col min="9221" max="9221" width="15.59765625" style="1400" customWidth="1"/>
    <col min="9222" max="9222" width="18" style="1400" customWidth="1"/>
    <col min="9223" max="9472" width="9" style="1400"/>
    <col min="9473" max="9473" width="26.19921875" style="1400" customWidth="1"/>
    <col min="9474" max="9474" width="15.3984375" style="1400" customWidth="1"/>
    <col min="9475" max="9476" width="17.59765625" style="1400" customWidth="1"/>
    <col min="9477" max="9477" width="15.59765625" style="1400" customWidth="1"/>
    <col min="9478" max="9478" width="18" style="1400" customWidth="1"/>
    <col min="9479" max="9728" width="9" style="1400"/>
    <col min="9729" max="9729" width="26.19921875" style="1400" customWidth="1"/>
    <col min="9730" max="9730" width="15.3984375" style="1400" customWidth="1"/>
    <col min="9731" max="9732" width="17.59765625" style="1400" customWidth="1"/>
    <col min="9733" max="9733" width="15.59765625" style="1400" customWidth="1"/>
    <col min="9734" max="9734" width="18" style="1400" customWidth="1"/>
    <col min="9735" max="9984" width="9" style="1400"/>
    <col min="9985" max="9985" width="26.19921875" style="1400" customWidth="1"/>
    <col min="9986" max="9986" width="15.3984375" style="1400" customWidth="1"/>
    <col min="9987" max="9988" width="17.59765625" style="1400" customWidth="1"/>
    <col min="9989" max="9989" width="15.59765625" style="1400" customWidth="1"/>
    <col min="9990" max="9990" width="18" style="1400" customWidth="1"/>
    <col min="9991" max="10240" width="9" style="1400"/>
    <col min="10241" max="10241" width="26.19921875" style="1400" customWidth="1"/>
    <col min="10242" max="10242" width="15.3984375" style="1400" customWidth="1"/>
    <col min="10243" max="10244" width="17.59765625" style="1400" customWidth="1"/>
    <col min="10245" max="10245" width="15.59765625" style="1400" customWidth="1"/>
    <col min="10246" max="10246" width="18" style="1400" customWidth="1"/>
    <col min="10247" max="10496" width="9" style="1400"/>
    <col min="10497" max="10497" width="26.19921875" style="1400" customWidth="1"/>
    <col min="10498" max="10498" width="15.3984375" style="1400" customWidth="1"/>
    <col min="10499" max="10500" width="17.59765625" style="1400" customWidth="1"/>
    <col min="10501" max="10501" width="15.59765625" style="1400" customWidth="1"/>
    <col min="10502" max="10502" width="18" style="1400" customWidth="1"/>
    <col min="10503" max="10752" width="9" style="1400"/>
    <col min="10753" max="10753" width="26.19921875" style="1400" customWidth="1"/>
    <col min="10754" max="10754" width="15.3984375" style="1400" customWidth="1"/>
    <col min="10755" max="10756" width="17.59765625" style="1400" customWidth="1"/>
    <col min="10757" max="10757" width="15.59765625" style="1400" customWidth="1"/>
    <col min="10758" max="10758" width="18" style="1400" customWidth="1"/>
    <col min="10759" max="11008" width="9" style="1400"/>
    <col min="11009" max="11009" width="26.19921875" style="1400" customWidth="1"/>
    <col min="11010" max="11010" width="15.3984375" style="1400" customWidth="1"/>
    <col min="11011" max="11012" width="17.59765625" style="1400" customWidth="1"/>
    <col min="11013" max="11013" width="15.59765625" style="1400" customWidth="1"/>
    <col min="11014" max="11014" width="18" style="1400" customWidth="1"/>
    <col min="11015" max="11264" width="9" style="1400"/>
    <col min="11265" max="11265" width="26.19921875" style="1400" customWidth="1"/>
    <col min="11266" max="11266" width="15.3984375" style="1400" customWidth="1"/>
    <col min="11267" max="11268" width="17.59765625" style="1400" customWidth="1"/>
    <col min="11269" max="11269" width="15.59765625" style="1400" customWidth="1"/>
    <col min="11270" max="11270" width="18" style="1400" customWidth="1"/>
    <col min="11271" max="11520" width="9" style="1400"/>
    <col min="11521" max="11521" width="26.19921875" style="1400" customWidth="1"/>
    <col min="11522" max="11522" width="15.3984375" style="1400" customWidth="1"/>
    <col min="11523" max="11524" width="17.59765625" style="1400" customWidth="1"/>
    <col min="11525" max="11525" width="15.59765625" style="1400" customWidth="1"/>
    <col min="11526" max="11526" width="18" style="1400" customWidth="1"/>
    <col min="11527" max="11776" width="9" style="1400"/>
    <col min="11777" max="11777" width="26.19921875" style="1400" customWidth="1"/>
    <col min="11778" max="11778" width="15.3984375" style="1400" customWidth="1"/>
    <col min="11779" max="11780" width="17.59765625" style="1400" customWidth="1"/>
    <col min="11781" max="11781" width="15.59765625" style="1400" customWidth="1"/>
    <col min="11782" max="11782" width="18" style="1400" customWidth="1"/>
    <col min="11783" max="12032" width="9" style="1400"/>
    <col min="12033" max="12033" width="26.19921875" style="1400" customWidth="1"/>
    <col min="12034" max="12034" width="15.3984375" style="1400" customWidth="1"/>
    <col min="12035" max="12036" width="17.59765625" style="1400" customWidth="1"/>
    <col min="12037" max="12037" width="15.59765625" style="1400" customWidth="1"/>
    <col min="12038" max="12038" width="18" style="1400" customWidth="1"/>
    <col min="12039" max="12288" width="9" style="1400"/>
    <col min="12289" max="12289" width="26.19921875" style="1400" customWidth="1"/>
    <col min="12290" max="12290" width="15.3984375" style="1400" customWidth="1"/>
    <col min="12291" max="12292" width="17.59765625" style="1400" customWidth="1"/>
    <col min="12293" max="12293" width="15.59765625" style="1400" customWidth="1"/>
    <col min="12294" max="12294" width="18" style="1400" customWidth="1"/>
    <col min="12295" max="12544" width="9" style="1400"/>
    <col min="12545" max="12545" width="26.19921875" style="1400" customWidth="1"/>
    <col min="12546" max="12546" width="15.3984375" style="1400" customWidth="1"/>
    <col min="12547" max="12548" width="17.59765625" style="1400" customWidth="1"/>
    <col min="12549" max="12549" width="15.59765625" style="1400" customWidth="1"/>
    <col min="12550" max="12550" width="18" style="1400" customWidth="1"/>
    <col min="12551" max="12800" width="9" style="1400"/>
    <col min="12801" max="12801" width="26.19921875" style="1400" customWidth="1"/>
    <col min="12802" max="12802" width="15.3984375" style="1400" customWidth="1"/>
    <col min="12803" max="12804" width="17.59765625" style="1400" customWidth="1"/>
    <col min="12805" max="12805" width="15.59765625" style="1400" customWidth="1"/>
    <col min="12806" max="12806" width="18" style="1400" customWidth="1"/>
    <col min="12807" max="13056" width="9" style="1400"/>
    <col min="13057" max="13057" width="26.19921875" style="1400" customWidth="1"/>
    <col min="13058" max="13058" width="15.3984375" style="1400" customWidth="1"/>
    <col min="13059" max="13060" width="17.59765625" style="1400" customWidth="1"/>
    <col min="13061" max="13061" width="15.59765625" style="1400" customWidth="1"/>
    <col min="13062" max="13062" width="18" style="1400" customWidth="1"/>
    <col min="13063" max="13312" width="9" style="1400"/>
    <col min="13313" max="13313" width="26.19921875" style="1400" customWidth="1"/>
    <col min="13314" max="13314" width="15.3984375" style="1400" customWidth="1"/>
    <col min="13315" max="13316" width="17.59765625" style="1400" customWidth="1"/>
    <col min="13317" max="13317" width="15.59765625" style="1400" customWidth="1"/>
    <col min="13318" max="13318" width="18" style="1400" customWidth="1"/>
    <col min="13319" max="13568" width="9" style="1400"/>
    <col min="13569" max="13569" width="26.19921875" style="1400" customWidth="1"/>
    <col min="13570" max="13570" width="15.3984375" style="1400" customWidth="1"/>
    <col min="13571" max="13572" width="17.59765625" style="1400" customWidth="1"/>
    <col min="13573" max="13573" width="15.59765625" style="1400" customWidth="1"/>
    <col min="13574" max="13574" width="18" style="1400" customWidth="1"/>
    <col min="13575" max="13824" width="9" style="1400"/>
    <col min="13825" max="13825" width="26.19921875" style="1400" customWidth="1"/>
    <col min="13826" max="13826" width="15.3984375" style="1400" customWidth="1"/>
    <col min="13827" max="13828" width="17.59765625" style="1400" customWidth="1"/>
    <col min="13829" max="13829" width="15.59765625" style="1400" customWidth="1"/>
    <col min="13830" max="13830" width="18" style="1400" customWidth="1"/>
    <col min="13831" max="14080" width="9" style="1400"/>
    <col min="14081" max="14081" width="26.19921875" style="1400" customWidth="1"/>
    <col min="14082" max="14082" width="15.3984375" style="1400" customWidth="1"/>
    <col min="14083" max="14084" width="17.59765625" style="1400" customWidth="1"/>
    <col min="14085" max="14085" width="15.59765625" style="1400" customWidth="1"/>
    <col min="14086" max="14086" width="18" style="1400" customWidth="1"/>
    <col min="14087" max="14336" width="9" style="1400"/>
    <col min="14337" max="14337" width="26.19921875" style="1400" customWidth="1"/>
    <col min="14338" max="14338" width="15.3984375" style="1400" customWidth="1"/>
    <col min="14339" max="14340" width="17.59765625" style="1400" customWidth="1"/>
    <col min="14341" max="14341" width="15.59765625" style="1400" customWidth="1"/>
    <col min="14342" max="14342" width="18" style="1400" customWidth="1"/>
    <col min="14343" max="14592" width="9" style="1400"/>
    <col min="14593" max="14593" width="26.19921875" style="1400" customWidth="1"/>
    <col min="14594" max="14594" width="15.3984375" style="1400" customWidth="1"/>
    <col min="14595" max="14596" width="17.59765625" style="1400" customWidth="1"/>
    <col min="14597" max="14597" width="15.59765625" style="1400" customWidth="1"/>
    <col min="14598" max="14598" width="18" style="1400" customWidth="1"/>
    <col min="14599" max="14848" width="9" style="1400"/>
    <col min="14849" max="14849" width="26.19921875" style="1400" customWidth="1"/>
    <col min="14850" max="14850" width="15.3984375" style="1400" customWidth="1"/>
    <col min="14851" max="14852" width="17.59765625" style="1400" customWidth="1"/>
    <col min="14853" max="14853" width="15.59765625" style="1400" customWidth="1"/>
    <col min="14854" max="14854" width="18" style="1400" customWidth="1"/>
    <col min="14855" max="15104" width="9" style="1400"/>
    <col min="15105" max="15105" width="26.19921875" style="1400" customWidth="1"/>
    <col min="15106" max="15106" width="15.3984375" style="1400" customWidth="1"/>
    <col min="15107" max="15108" width="17.59765625" style="1400" customWidth="1"/>
    <col min="15109" max="15109" width="15.59765625" style="1400" customWidth="1"/>
    <col min="15110" max="15110" width="18" style="1400" customWidth="1"/>
    <col min="15111" max="15360" width="9" style="1400"/>
    <col min="15361" max="15361" width="26.19921875" style="1400" customWidth="1"/>
    <col min="15362" max="15362" width="15.3984375" style="1400" customWidth="1"/>
    <col min="15363" max="15364" width="17.59765625" style="1400" customWidth="1"/>
    <col min="15365" max="15365" width="15.59765625" style="1400" customWidth="1"/>
    <col min="15366" max="15366" width="18" style="1400" customWidth="1"/>
    <col min="15367" max="15616" width="9" style="1400"/>
    <col min="15617" max="15617" width="26.19921875" style="1400" customWidth="1"/>
    <col min="15618" max="15618" width="15.3984375" style="1400" customWidth="1"/>
    <col min="15619" max="15620" width="17.59765625" style="1400" customWidth="1"/>
    <col min="15621" max="15621" width="15.59765625" style="1400" customWidth="1"/>
    <col min="15622" max="15622" width="18" style="1400" customWidth="1"/>
    <col min="15623" max="15872" width="9" style="1400"/>
    <col min="15873" max="15873" width="26.19921875" style="1400" customWidth="1"/>
    <col min="15874" max="15874" width="15.3984375" style="1400" customWidth="1"/>
    <col min="15875" max="15876" width="17.59765625" style="1400" customWidth="1"/>
    <col min="15877" max="15877" width="15.59765625" style="1400" customWidth="1"/>
    <col min="15878" max="15878" width="18" style="1400" customWidth="1"/>
    <col min="15879" max="16128" width="9" style="1400"/>
    <col min="16129" max="16129" width="26.19921875" style="1400" customWidth="1"/>
    <col min="16130" max="16130" width="15.3984375" style="1400" customWidth="1"/>
    <col min="16131" max="16132" width="17.59765625" style="1400" customWidth="1"/>
    <col min="16133" max="16133" width="15.59765625" style="1400" customWidth="1"/>
    <col min="16134" max="16134" width="18" style="1400" customWidth="1"/>
    <col min="16135" max="16384" width="9" style="1400"/>
  </cols>
  <sheetData>
    <row r="1" spans="1:6" ht="23.25" customHeight="1">
      <c r="A1" s="3849" t="s">
        <v>1430</v>
      </c>
      <c r="B1" s="3849"/>
      <c r="C1" s="3849"/>
      <c r="D1" s="3849"/>
      <c r="E1" s="3849"/>
      <c r="F1" s="1413"/>
    </row>
    <row r="2" spans="1:6" s="1352" customFormat="1" ht="38.25" customHeight="1">
      <c r="A2" s="3850" t="s">
        <v>2347</v>
      </c>
      <c r="B2" s="3851"/>
      <c r="C2" s="3851"/>
      <c r="D2" s="3851"/>
      <c r="E2" s="3851"/>
      <c r="F2" s="3851"/>
    </row>
    <row r="3" spans="1:6" s="1352" customFormat="1" ht="32.25" customHeight="1">
      <c r="A3" s="3851"/>
      <c r="B3" s="3851"/>
      <c r="C3" s="3851"/>
      <c r="D3" s="3851"/>
      <c r="E3" s="3851"/>
      <c r="F3" s="3851"/>
    </row>
    <row r="4" spans="1:6" s="1352" customFormat="1" ht="23.25" customHeight="1">
      <c r="A4" s="3852" t="s">
        <v>2348</v>
      </c>
      <c r="B4" s="3852"/>
      <c r="C4" s="3852"/>
      <c r="D4" s="3852"/>
      <c r="E4" s="3852"/>
      <c r="F4" s="1414"/>
    </row>
    <row r="5" spans="1:6" s="1352" customFormat="1" ht="23.25" customHeight="1">
      <c r="A5" s="3853" t="s">
        <v>2349</v>
      </c>
      <c r="B5" s="3853" t="s">
        <v>1431</v>
      </c>
      <c r="C5" s="3854" t="s">
        <v>2350</v>
      </c>
      <c r="D5" s="3855" t="s">
        <v>1433</v>
      </c>
      <c r="E5" s="3855"/>
      <c r="F5" s="3856" t="s">
        <v>2351</v>
      </c>
    </row>
    <row r="6" spans="1:6" s="1352" customFormat="1" ht="36" customHeight="1">
      <c r="A6" s="3853"/>
      <c r="B6" s="3853"/>
      <c r="C6" s="3854"/>
      <c r="D6" s="1415" t="s">
        <v>2352</v>
      </c>
      <c r="E6" s="1416" t="s">
        <v>2353</v>
      </c>
      <c r="F6" s="3856"/>
    </row>
    <row r="7" spans="1:6" s="1352" customFormat="1" ht="23.25" customHeight="1">
      <c r="A7" s="1417" t="str">
        <f>IF(AND(跨年度确认所得情况表!$D8=0,跨年度确认所得情况表!$F8=0),"",跨年度确认所得情况表!A8)</f>
        <v/>
      </c>
      <c r="B7" s="1417" t="str">
        <f>IF(AND(跨年度确认所得情况表!$D$8=0,跨年度确认所得情况表!$F$8=0),"",跨年度确认所得情况表!C8)</f>
        <v/>
      </c>
      <c r="C7" s="1417" t="str">
        <f>IF(AND(跨年度确认所得情况表!$D$8=0,跨年度确认所得情况表!$F$8=0),"",跨年度确认所得情况表!D8)</f>
        <v/>
      </c>
      <c r="D7" s="1417" t="str">
        <f>IF(AND(跨年度确认所得情况表!$D$8=0,跨年度确认所得情况表!$F$8=0),"",跨年度确认所得情况表!E8)</f>
        <v/>
      </c>
      <c r="E7" s="1417" t="str">
        <f>IF(AND(跨年度确认所得情况表!$D$8=0,跨年度确认所得情况表!$F$8=0),"",跨年度确认所得情况表!F8)</f>
        <v/>
      </c>
      <c r="F7" s="1417" t="str">
        <f>IF(AND(跨年度确认所得情况表!$D$8=0,跨年度确认所得情况表!$F$8=0),"",跨年度确认所得情况表!G8)</f>
        <v/>
      </c>
    </row>
    <row r="8" spans="1:6" s="1352" customFormat="1" ht="23.25" customHeight="1">
      <c r="A8" s="1417" t="str">
        <f>IF(AND(跨年度确认所得情况表!$D$9=0,跨年度确认所得情况表!$F$9=0),"",跨年度确认所得情况表!A9)</f>
        <v/>
      </c>
      <c r="B8" s="1417" t="str">
        <f>IF(AND(跨年度确认所得情况表!$D$9=0,跨年度确认所得情况表!$F$9=0),"",跨年度确认所得情况表!B9)</f>
        <v/>
      </c>
      <c r="C8" s="1417" t="str">
        <f>IF(AND(跨年度确认所得情况表!$D$9=0,跨年度确认所得情况表!$F$9=0),"",跨年度确认所得情况表!C9)</f>
        <v/>
      </c>
      <c r="D8" s="1417" t="str">
        <f>IF(AND(跨年度确认所得情况表!$D$9=0,跨年度确认所得情况表!$F$9=0),"",跨年度确认所得情况表!D9)</f>
        <v/>
      </c>
      <c r="E8" s="1417" t="str">
        <f>IF(AND(跨年度确认所得情况表!$D$9=0,跨年度确认所得情况表!$F$9=0),"",跨年度确认所得情况表!E9)</f>
        <v/>
      </c>
      <c r="F8" s="1417" t="str">
        <f>IF(AND(跨年度确认所得情况表!$D$9=0,跨年度确认所得情况表!$F$9=0),"",跨年度确认所得情况表!F9)</f>
        <v/>
      </c>
    </row>
    <row r="9" spans="1:6" s="1352" customFormat="1" ht="23.25" customHeight="1">
      <c r="A9" s="1417" t="str">
        <f>IF(AND(跨年度确认所得情况表!$D$10=0,跨年度确认所得情况表!$F$10=0),"",跨年度确认所得情况表!A10)</f>
        <v/>
      </c>
      <c r="B9" s="1417" t="str">
        <f>IF(AND(跨年度确认所得情况表!$D$10=0,跨年度确认所得情况表!$F$10=0),"",跨年度确认所得情况表!B10)</f>
        <v/>
      </c>
      <c r="C9" s="1417" t="str">
        <f>IF(AND(跨年度确认所得情况表!$D$10=0,跨年度确认所得情况表!$F$10=0),"",跨年度确认所得情况表!C10)</f>
        <v/>
      </c>
      <c r="D9" s="1417" t="str">
        <f>IF(AND(跨年度确认所得情况表!$D$10=0,跨年度确认所得情况表!$F$10=0),"",跨年度确认所得情况表!D10)</f>
        <v/>
      </c>
      <c r="E9" s="1417" t="str">
        <f>IF(AND(跨年度确认所得情况表!$D$10=0,跨年度确认所得情况表!$F$10=0),"",跨年度确认所得情况表!E10)</f>
        <v/>
      </c>
      <c r="F9" s="1417" t="str">
        <f>IF(AND(跨年度确认所得情况表!$D$10=0,跨年度确认所得情况表!$F$10=0),"",跨年度确认所得情况表!F10)</f>
        <v/>
      </c>
    </row>
    <row r="10" spans="1:6" s="1352" customFormat="1" ht="23.25" customHeight="1">
      <c r="A10" s="1417" t="str">
        <f>IF(AND(跨年度确认所得情况表!$D$11=0,跨年度确认所得情况表!$F$11=0),"",跨年度确认所得情况表!A11)</f>
        <v/>
      </c>
      <c r="B10" s="1417" t="str">
        <f>IF(AND(跨年度确认所得情况表!$D$11=0,跨年度确认所得情况表!$F$11=0),"",跨年度确认所得情况表!B11)</f>
        <v/>
      </c>
      <c r="C10" s="1417" t="str">
        <f>IF(AND(跨年度确认所得情况表!$D$11=0,跨年度确认所得情况表!$F$11=0),"",跨年度确认所得情况表!C11)</f>
        <v/>
      </c>
      <c r="D10" s="1417" t="str">
        <f>IF(AND(跨年度确认所得情况表!$D$11=0,跨年度确认所得情况表!$F$11=0),"",跨年度确认所得情况表!D11)</f>
        <v/>
      </c>
      <c r="E10" s="1417" t="str">
        <f>IF(AND(跨年度确认所得情况表!$D$11=0,跨年度确认所得情况表!$F$11=0),"",跨年度确认所得情况表!E11)</f>
        <v/>
      </c>
      <c r="F10" s="1417" t="str">
        <f>IF(AND(跨年度确认所得情况表!$D$11=0,跨年度确认所得情况表!$F$11=0),"",跨年度确认所得情况表!F11)</f>
        <v/>
      </c>
    </row>
    <row r="11" spans="1:6" s="1352" customFormat="1" ht="23.25" customHeight="1">
      <c r="A11" s="1417" t="str">
        <f>IF(AND(跨年度确认所得情况表!$D$12=0,跨年度确认所得情况表!$F$12=0),"",跨年度确认所得情况表!A12)</f>
        <v/>
      </c>
      <c r="B11" s="1417" t="str">
        <f>IF(AND(跨年度确认所得情况表!$D$12=0,跨年度确认所得情况表!$F$12=0),"",跨年度确认所得情况表!B12)</f>
        <v/>
      </c>
      <c r="C11" s="1417" t="str">
        <f>IF(AND(跨年度确认所得情况表!$D$12=0,跨年度确认所得情况表!$F$12=0),"",跨年度确认所得情况表!C12)</f>
        <v/>
      </c>
      <c r="D11" s="1417" t="str">
        <f>IF(AND(跨年度确认所得情况表!$D$12=0,跨年度确认所得情况表!$F$12=0),"",跨年度确认所得情况表!D12)</f>
        <v/>
      </c>
      <c r="E11" s="1417" t="str">
        <f>IF(AND(跨年度确认所得情况表!$D$12=0,跨年度确认所得情况表!$F$12=0),"",跨年度确认所得情况表!E12)</f>
        <v/>
      </c>
      <c r="F11" s="1417" t="str">
        <f>IF(AND(跨年度确认所得情况表!$D$12=0,跨年度确认所得情况表!$F$12=0),"",跨年度确认所得情况表!F12)</f>
        <v/>
      </c>
    </row>
    <row r="12" spans="1:6" s="1352" customFormat="1" ht="23.25" customHeight="1">
      <c r="A12" s="1417" t="str">
        <f>IF(AND(跨年度确认所得情况表!$D$13=0,跨年度确认所得情况表!$F$13=0),"",跨年度确认所得情况表!A13)</f>
        <v/>
      </c>
      <c r="B12" s="1417" t="str">
        <f>IF(AND(跨年度确认所得情况表!$D$13=0,跨年度确认所得情况表!$F$13=0),"",跨年度确认所得情况表!B13)</f>
        <v/>
      </c>
      <c r="C12" s="1417" t="str">
        <f>IF(AND(跨年度确认所得情况表!$D$13=0,跨年度确认所得情况表!$F$13=0),"",跨年度确认所得情况表!C13)</f>
        <v/>
      </c>
      <c r="D12" s="1417" t="str">
        <f>IF(AND(跨年度确认所得情况表!$D$13=0,跨年度确认所得情况表!$F$13=0),"",跨年度确认所得情况表!D13)</f>
        <v/>
      </c>
      <c r="E12" s="1417" t="str">
        <f>IF(AND(跨年度确认所得情况表!$D$13=0,跨年度确认所得情况表!$F$13=0),"",跨年度确认所得情况表!E13)</f>
        <v/>
      </c>
      <c r="F12" s="1417" t="str">
        <f>IF(AND(跨年度确认所得情况表!$D$13=0,跨年度确认所得情况表!$F$13=0),"",跨年度确认所得情况表!F13)</f>
        <v/>
      </c>
    </row>
    <row r="13" spans="1:6" s="1352" customFormat="1" ht="23.25" customHeight="1">
      <c r="A13" s="1417" t="str">
        <f>IF(AND(跨年度确认所得情况表!$D$14=0,跨年度确认所得情况表!$F$14=0),"",跨年度确认所得情况表!A14)</f>
        <v/>
      </c>
      <c r="B13" s="1417" t="str">
        <f>IF(AND(跨年度确认所得情况表!$D$14=0,跨年度确认所得情况表!$F$14=0),"",跨年度确认所得情况表!B14)</f>
        <v/>
      </c>
      <c r="C13" s="1417" t="str">
        <f>IF(AND(跨年度确认所得情况表!$D$14=0,跨年度确认所得情况表!$F$14=0),"",跨年度确认所得情况表!C14)</f>
        <v/>
      </c>
      <c r="D13" s="1417" t="str">
        <f>IF(AND(跨年度确认所得情况表!$D$14=0,跨年度确认所得情况表!$F$14=0),"",跨年度确认所得情况表!D14)</f>
        <v/>
      </c>
      <c r="E13" s="1417" t="str">
        <f>IF(AND(跨年度确认所得情况表!$D$14=0,跨年度确认所得情况表!$F$14=0),"",跨年度确认所得情况表!E14)</f>
        <v/>
      </c>
      <c r="F13" s="1417" t="str">
        <f>IF(AND(跨年度确认所得情况表!$D$14=0,跨年度确认所得情况表!$F$14=0),"",跨年度确认所得情况表!F14)</f>
        <v/>
      </c>
    </row>
    <row r="14" spans="1:6" ht="23.25" customHeight="1">
      <c r="A14" s="1417" t="str">
        <f>IF(AND(跨年度确认所得情况表!$D$15=0,跨年度确认所得情况表!$F$15=0),"",跨年度确认所得情况表!A15)</f>
        <v/>
      </c>
      <c r="B14" s="1417" t="str">
        <f>IF(AND(跨年度确认所得情况表!$D$15=0,跨年度确认所得情况表!$F$15=0),"",跨年度确认所得情况表!B15)</f>
        <v/>
      </c>
      <c r="C14" s="1417" t="str">
        <f>IF(AND(跨年度确认所得情况表!$D$15=0,跨年度确认所得情况表!$F$15=0),"",跨年度确认所得情况表!C15)</f>
        <v/>
      </c>
      <c r="D14" s="1417" t="str">
        <f>IF(AND(跨年度确认所得情况表!$D$15=0,跨年度确认所得情况表!$F$15=0),"",跨年度确认所得情况表!D15)</f>
        <v/>
      </c>
      <c r="E14" s="1417" t="str">
        <f>IF(AND(跨年度确认所得情况表!$D$15=0,跨年度确认所得情况表!$F$15=0),"",跨年度确认所得情况表!E15)</f>
        <v/>
      </c>
      <c r="F14" s="1417" t="str">
        <f>IF(AND(跨年度确认所得情况表!$D$15=0,跨年度确认所得情况表!$F$15=0),"",跨年度确认所得情况表!F15)</f>
        <v/>
      </c>
    </row>
    <row r="15" spans="1:6" ht="23.25" customHeight="1">
      <c r="A15" s="1417" t="str">
        <f>IF(AND(跨年度确认所得情况表!$D$16=0,跨年度确认所得情况表!$F$16=0),"",跨年度确认所得情况表!A16)</f>
        <v/>
      </c>
      <c r="B15" s="1417" t="str">
        <f>IF(AND(跨年度确认所得情况表!$D$16=0,跨年度确认所得情况表!$F$16=0),"",跨年度确认所得情况表!B16)</f>
        <v/>
      </c>
      <c r="C15" s="1417" t="str">
        <f>IF(AND(跨年度确认所得情况表!$D$16=0,跨年度确认所得情况表!$F$16=0),"",跨年度确认所得情况表!C16)</f>
        <v/>
      </c>
      <c r="D15" s="1417" t="str">
        <f>IF(AND(跨年度确认所得情况表!$D$16=0,跨年度确认所得情况表!$F$16=0),"",跨年度确认所得情况表!D16)</f>
        <v/>
      </c>
      <c r="E15" s="1417" t="str">
        <f>IF(AND(跨年度确认所得情况表!$D$16=0,跨年度确认所得情况表!$F$16=0),"",跨年度确认所得情况表!E16)</f>
        <v/>
      </c>
      <c r="F15" s="1417" t="str">
        <f>IF(AND(跨年度确认所得情况表!$D$16=0,跨年度确认所得情况表!$F$16=0),"",跨年度确认所得情况表!F16)</f>
        <v/>
      </c>
    </row>
    <row r="16" spans="1:6" ht="23.25" customHeight="1">
      <c r="A16" s="1418"/>
      <c r="B16" s="1418"/>
      <c r="C16" s="1419"/>
      <c r="D16" s="1420"/>
      <c r="E16" s="1419"/>
      <c r="F16" s="1387"/>
    </row>
    <row r="17" spans="1:6" ht="23.25" customHeight="1">
      <c r="A17" s="1418"/>
      <c r="B17" s="1421"/>
      <c r="C17" s="1422"/>
      <c r="D17" s="1423"/>
      <c r="E17" s="1422"/>
      <c r="F17" s="1387"/>
    </row>
    <row r="18" spans="1:6" ht="23.25" customHeight="1">
      <c r="A18" s="1421"/>
      <c r="B18" s="1421"/>
      <c r="C18" s="1422"/>
      <c r="D18" s="1423"/>
      <c r="E18" s="1422"/>
      <c r="F18" s="1387"/>
    </row>
    <row r="19" spans="1:6" ht="23.25" customHeight="1">
      <c r="A19" s="1421"/>
      <c r="B19" s="1421"/>
      <c r="C19" s="1422"/>
      <c r="D19" s="1423"/>
      <c r="E19" s="1422"/>
      <c r="F19" s="1387"/>
    </row>
    <row r="20" spans="1:6" ht="23.25" customHeight="1">
      <c r="A20" s="1421"/>
      <c r="B20" s="1421"/>
      <c r="C20" s="1422"/>
      <c r="D20" s="1423"/>
      <c r="E20" s="1422"/>
      <c r="F20" s="1387"/>
    </row>
    <row r="21" spans="1:6" ht="23.25" customHeight="1">
      <c r="A21" s="1421"/>
      <c r="B21" s="1421"/>
      <c r="C21" s="1422"/>
      <c r="D21" s="1423"/>
      <c r="E21" s="1422"/>
      <c r="F21" s="1387"/>
    </row>
    <row r="22" spans="1:6" ht="23.25" customHeight="1">
      <c r="A22" s="1387"/>
      <c r="B22" s="1387"/>
      <c r="C22" s="1424"/>
      <c r="D22" s="1425"/>
      <c r="E22" s="1424"/>
      <c r="F22" s="1387"/>
    </row>
    <row r="23" spans="1:6" ht="23.25" customHeight="1">
      <c r="A23" s="1387"/>
      <c r="B23" s="1387"/>
      <c r="C23" s="1424"/>
      <c r="D23" s="1425"/>
      <c r="E23" s="1424"/>
      <c r="F23" s="1387"/>
    </row>
    <row r="24" spans="1:6" ht="23.25" customHeight="1">
      <c r="A24" s="1387"/>
      <c r="B24" s="1387"/>
      <c r="C24" s="1424"/>
      <c r="D24" s="1425"/>
      <c r="E24" s="1424"/>
      <c r="F24" s="1387"/>
    </row>
    <row r="25" spans="1:6" ht="23.25" customHeight="1">
      <c r="A25" s="1387"/>
      <c r="B25" s="1387"/>
      <c r="C25" s="1424"/>
      <c r="D25" s="1425"/>
      <c r="E25" s="1424"/>
      <c r="F25" s="1387"/>
    </row>
    <row r="26" spans="1:6" ht="23.25" customHeight="1">
      <c r="A26" s="1387"/>
      <c r="B26" s="1387"/>
      <c r="C26" s="1424"/>
      <c r="D26" s="1425"/>
      <c r="E26" s="1424"/>
      <c r="F26" s="1387"/>
    </row>
    <row r="27" spans="1:6" ht="23.25" customHeight="1">
      <c r="A27" s="1387"/>
      <c r="B27" s="1387"/>
      <c r="C27" s="1424"/>
      <c r="D27" s="1425"/>
      <c r="E27" s="1424"/>
      <c r="F27" s="1387"/>
    </row>
    <row r="28" spans="1:6" ht="23.25" customHeight="1">
      <c r="A28" s="1387"/>
      <c r="B28" s="1387"/>
      <c r="C28" s="1424"/>
      <c r="D28" s="1425"/>
      <c r="E28" s="1424"/>
      <c r="F28" s="1387"/>
    </row>
    <row r="29" spans="1:6" ht="23.25" customHeight="1">
      <c r="A29" s="1387"/>
      <c r="B29" s="1387"/>
      <c r="C29" s="1424"/>
      <c r="D29" s="1425"/>
      <c r="E29" s="1424"/>
      <c r="F29" s="1387"/>
    </row>
    <row r="30" spans="1:6" ht="23.25" customHeight="1">
      <c r="A30" s="1387"/>
      <c r="B30" s="1387"/>
      <c r="C30" s="1424"/>
      <c r="D30" s="1425"/>
      <c r="E30" s="1424"/>
      <c r="F30" s="1387"/>
    </row>
    <row r="31" spans="1:6" ht="23.25" customHeight="1">
      <c r="A31" s="1387"/>
      <c r="B31" s="1387"/>
      <c r="C31" s="1424"/>
      <c r="D31" s="1425"/>
      <c r="E31" s="1424"/>
      <c r="F31" s="1387"/>
    </row>
    <row r="32" spans="1:6" ht="23.25" customHeight="1">
      <c r="A32" s="1387"/>
      <c r="B32" s="1387"/>
      <c r="C32" s="1424"/>
      <c r="D32" s="1425"/>
      <c r="E32" s="1424"/>
      <c r="F32" s="1387"/>
    </row>
    <row r="33" spans="1:6" ht="23.25" customHeight="1">
      <c r="A33" s="1387"/>
      <c r="B33" s="1387"/>
      <c r="C33" s="1424"/>
      <c r="D33" s="1425"/>
      <c r="E33" s="1424"/>
      <c r="F33" s="1387"/>
    </row>
    <row r="34" spans="1:6" ht="23.25" customHeight="1">
      <c r="A34" s="1387"/>
      <c r="B34" s="1387"/>
      <c r="C34" s="1424"/>
      <c r="D34" s="1425"/>
      <c r="E34" s="1424"/>
      <c r="F34" s="1387"/>
    </row>
    <row r="35" spans="1:6" ht="23.25" customHeight="1">
      <c r="A35" s="1387"/>
      <c r="B35" s="1387"/>
      <c r="C35" s="1424"/>
      <c r="D35" s="1425"/>
      <c r="E35" s="1424"/>
      <c r="F35" s="1387"/>
    </row>
    <row r="36" spans="1:6" ht="23.25" customHeight="1">
      <c r="A36" s="1387"/>
      <c r="B36" s="1387"/>
      <c r="C36" s="1424"/>
      <c r="D36" s="1425"/>
      <c r="E36" s="1424"/>
      <c r="F36" s="1387"/>
    </row>
    <row r="37" spans="1:6" ht="23.25" customHeight="1">
      <c r="A37" s="1387"/>
      <c r="B37" s="1387"/>
      <c r="C37" s="1424"/>
      <c r="D37" s="1425"/>
      <c r="E37" s="1424"/>
      <c r="F37" s="1387"/>
    </row>
    <row r="38" spans="1:6" ht="23.25" customHeight="1">
      <c r="A38" s="1387"/>
      <c r="B38" s="1387"/>
      <c r="C38" s="1424"/>
      <c r="D38" s="1425"/>
      <c r="E38" s="1424"/>
      <c r="F38" s="1387"/>
    </row>
    <row r="39" spans="1:6" ht="23.25" customHeight="1">
      <c r="A39" s="1387"/>
      <c r="B39" s="1387"/>
      <c r="C39" s="1424"/>
      <c r="D39" s="1425"/>
      <c r="E39" s="1424"/>
      <c r="F39" s="1387"/>
    </row>
    <row r="40" spans="1:6" ht="23.25" customHeight="1">
      <c r="A40" s="1387"/>
      <c r="B40" s="1387"/>
      <c r="C40" s="1424"/>
      <c r="D40" s="1425"/>
      <c r="E40" s="1424"/>
      <c r="F40" s="1387"/>
    </row>
    <row r="41" spans="1:6" ht="23.25" customHeight="1">
      <c r="A41" s="1387"/>
      <c r="B41" s="1387"/>
      <c r="C41" s="1424"/>
      <c r="D41" s="1425"/>
      <c r="E41" s="1424"/>
      <c r="F41" s="1387"/>
    </row>
  </sheetData>
  <mergeCells count="8">
    <mergeCell ref="A1:E1"/>
    <mergeCell ref="A2:F3"/>
    <mergeCell ref="A4:E4"/>
    <mergeCell ref="A5:A6"/>
    <mergeCell ref="B5:B6"/>
    <mergeCell ref="C5:C6"/>
    <mergeCell ref="D5:E5"/>
    <mergeCell ref="F5:F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E42"/>
  <sheetViews>
    <sheetView workbookViewId="0">
      <selection activeCell="B12" sqref="B12"/>
    </sheetView>
  </sheetViews>
  <sheetFormatPr defaultRowHeight="19.5" customHeight="1"/>
  <cols>
    <col min="1" max="1" width="21.3984375" style="1350" customWidth="1"/>
    <col min="2" max="2" width="55.69921875" style="1351" customWidth="1"/>
    <col min="3" max="3" width="24.3984375" style="1350" customWidth="1"/>
    <col min="4" max="255" width="9" style="1336"/>
    <col min="256" max="256" width="21.3984375" style="1336" customWidth="1"/>
    <col min="257" max="257" width="55.69921875" style="1336" customWidth="1"/>
    <col min="258" max="258" width="24.3984375" style="1336" customWidth="1"/>
    <col min="259" max="259" width="9" style="1336"/>
    <col min="260" max="260" width="20.5" style="1336" bestFit="1" customWidth="1"/>
    <col min="261" max="511" width="9" style="1336"/>
    <col min="512" max="512" width="21.3984375" style="1336" customWidth="1"/>
    <col min="513" max="513" width="55.69921875" style="1336" customWidth="1"/>
    <col min="514" max="514" width="24.3984375" style="1336" customWidth="1"/>
    <col min="515" max="515" width="9" style="1336"/>
    <col min="516" max="516" width="20.5" style="1336" bestFit="1" customWidth="1"/>
    <col min="517" max="767" width="9" style="1336"/>
    <col min="768" max="768" width="21.3984375" style="1336" customWidth="1"/>
    <col min="769" max="769" width="55.69921875" style="1336" customWidth="1"/>
    <col min="770" max="770" width="24.3984375" style="1336" customWidth="1"/>
    <col min="771" max="771" width="9" style="1336"/>
    <col min="772" max="772" width="20.5" style="1336" bestFit="1" customWidth="1"/>
    <col min="773" max="1023" width="9" style="1336"/>
    <col min="1024" max="1024" width="21.3984375" style="1336" customWidth="1"/>
    <col min="1025" max="1025" width="55.69921875" style="1336" customWidth="1"/>
    <col min="1026" max="1026" width="24.3984375" style="1336" customWidth="1"/>
    <col min="1027" max="1027" width="9" style="1336"/>
    <col min="1028" max="1028" width="20.5" style="1336" bestFit="1" customWidth="1"/>
    <col min="1029" max="1279" width="9" style="1336"/>
    <col min="1280" max="1280" width="21.3984375" style="1336" customWidth="1"/>
    <col min="1281" max="1281" width="55.69921875" style="1336" customWidth="1"/>
    <col min="1282" max="1282" width="24.3984375" style="1336" customWidth="1"/>
    <col min="1283" max="1283" width="9" style="1336"/>
    <col min="1284" max="1284" width="20.5" style="1336" bestFit="1" customWidth="1"/>
    <col min="1285" max="1535" width="9" style="1336"/>
    <col min="1536" max="1536" width="21.3984375" style="1336" customWidth="1"/>
    <col min="1537" max="1537" width="55.69921875" style="1336" customWidth="1"/>
    <col min="1538" max="1538" width="24.3984375" style="1336" customWidth="1"/>
    <col min="1539" max="1539" width="9" style="1336"/>
    <col min="1540" max="1540" width="20.5" style="1336" bestFit="1" customWidth="1"/>
    <col min="1541" max="1791" width="9" style="1336"/>
    <col min="1792" max="1792" width="21.3984375" style="1336" customWidth="1"/>
    <col min="1793" max="1793" width="55.69921875" style="1336" customWidth="1"/>
    <col min="1794" max="1794" width="24.3984375" style="1336" customWidth="1"/>
    <col min="1795" max="1795" width="9" style="1336"/>
    <col min="1796" max="1796" width="20.5" style="1336" bestFit="1" customWidth="1"/>
    <col min="1797" max="2047" width="9" style="1336"/>
    <col min="2048" max="2048" width="21.3984375" style="1336" customWidth="1"/>
    <col min="2049" max="2049" width="55.69921875" style="1336" customWidth="1"/>
    <col min="2050" max="2050" width="24.3984375" style="1336" customWidth="1"/>
    <col min="2051" max="2051" width="9" style="1336"/>
    <col min="2052" max="2052" width="20.5" style="1336" bestFit="1" customWidth="1"/>
    <col min="2053" max="2303" width="9" style="1336"/>
    <col min="2304" max="2304" width="21.3984375" style="1336" customWidth="1"/>
    <col min="2305" max="2305" width="55.69921875" style="1336" customWidth="1"/>
    <col min="2306" max="2306" width="24.3984375" style="1336" customWidth="1"/>
    <col min="2307" max="2307" width="9" style="1336"/>
    <col min="2308" max="2308" width="20.5" style="1336" bestFit="1" customWidth="1"/>
    <col min="2309" max="2559" width="9" style="1336"/>
    <col min="2560" max="2560" width="21.3984375" style="1336" customWidth="1"/>
    <col min="2561" max="2561" width="55.69921875" style="1336" customWidth="1"/>
    <col min="2562" max="2562" width="24.3984375" style="1336" customWidth="1"/>
    <col min="2563" max="2563" width="9" style="1336"/>
    <col min="2564" max="2564" width="20.5" style="1336" bestFit="1" customWidth="1"/>
    <col min="2565" max="2815" width="9" style="1336"/>
    <col min="2816" max="2816" width="21.3984375" style="1336" customWidth="1"/>
    <col min="2817" max="2817" width="55.69921875" style="1336" customWidth="1"/>
    <col min="2818" max="2818" width="24.3984375" style="1336" customWidth="1"/>
    <col min="2819" max="2819" width="9" style="1336"/>
    <col min="2820" max="2820" width="20.5" style="1336" bestFit="1" customWidth="1"/>
    <col min="2821" max="3071" width="9" style="1336"/>
    <col min="3072" max="3072" width="21.3984375" style="1336" customWidth="1"/>
    <col min="3073" max="3073" width="55.69921875" style="1336" customWidth="1"/>
    <col min="3074" max="3074" width="24.3984375" style="1336" customWidth="1"/>
    <col min="3075" max="3075" width="9" style="1336"/>
    <col min="3076" max="3076" width="20.5" style="1336" bestFit="1" customWidth="1"/>
    <col min="3077" max="3327" width="9" style="1336"/>
    <col min="3328" max="3328" width="21.3984375" style="1336" customWidth="1"/>
    <col min="3329" max="3329" width="55.69921875" style="1336" customWidth="1"/>
    <col min="3330" max="3330" width="24.3984375" style="1336" customWidth="1"/>
    <col min="3331" max="3331" width="9" style="1336"/>
    <col min="3332" max="3332" width="20.5" style="1336" bestFit="1" customWidth="1"/>
    <col min="3333" max="3583" width="9" style="1336"/>
    <col min="3584" max="3584" width="21.3984375" style="1336" customWidth="1"/>
    <col min="3585" max="3585" width="55.69921875" style="1336" customWidth="1"/>
    <col min="3586" max="3586" width="24.3984375" style="1336" customWidth="1"/>
    <col min="3587" max="3587" width="9" style="1336"/>
    <col min="3588" max="3588" width="20.5" style="1336" bestFit="1" customWidth="1"/>
    <col min="3589" max="3839" width="9" style="1336"/>
    <col min="3840" max="3840" width="21.3984375" style="1336" customWidth="1"/>
    <col min="3841" max="3841" width="55.69921875" style="1336" customWidth="1"/>
    <col min="3842" max="3842" width="24.3984375" style="1336" customWidth="1"/>
    <col min="3843" max="3843" width="9" style="1336"/>
    <col min="3844" max="3844" width="20.5" style="1336" bestFit="1" customWidth="1"/>
    <col min="3845" max="4095" width="9" style="1336"/>
    <col min="4096" max="4096" width="21.3984375" style="1336" customWidth="1"/>
    <col min="4097" max="4097" width="55.69921875" style="1336" customWidth="1"/>
    <col min="4098" max="4098" width="24.3984375" style="1336" customWidth="1"/>
    <col min="4099" max="4099" width="9" style="1336"/>
    <col min="4100" max="4100" width="20.5" style="1336" bestFit="1" customWidth="1"/>
    <col min="4101" max="4351" width="9" style="1336"/>
    <col min="4352" max="4352" width="21.3984375" style="1336" customWidth="1"/>
    <col min="4353" max="4353" width="55.69921875" style="1336" customWidth="1"/>
    <col min="4354" max="4354" width="24.3984375" style="1336" customWidth="1"/>
    <col min="4355" max="4355" width="9" style="1336"/>
    <col min="4356" max="4356" width="20.5" style="1336" bestFit="1" customWidth="1"/>
    <col min="4357" max="4607" width="9" style="1336"/>
    <col min="4608" max="4608" width="21.3984375" style="1336" customWidth="1"/>
    <col min="4609" max="4609" width="55.69921875" style="1336" customWidth="1"/>
    <col min="4610" max="4610" width="24.3984375" style="1336" customWidth="1"/>
    <col min="4611" max="4611" width="9" style="1336"/>
    <col min="4612" max="4612" width="20.5" style="1336" bestFit="1" customWidth="1"/>
    <col min="4613" max="4863" width="9" style="1336"/>
    <col min="4864" max="4864" width="21.3984375" style="1336" customWidth="1"/>
    <col min="4865" max="4865" width="55.69921875" style="1336" customWidth="1"/>
    <col min="4866" max="4866" width="24.3984375" style="1336" customWidth="1"/>
    <col min="4867" max="4867" width="9" style="1336"/>
    <col min="4868" max="4868" width="20.5" style="1336" bestFit="1" customWidth="1"/>
    <col min="4869" max="5119" width="9" style="1336"/>
    <col min="5120" max="5120" width="21.3984375" style="1336" customWidth="1"/>
    <col min="5121" max="5121" width="55.69921875" style="1336" customWidth="1"/>
    <col min="5122" max="5122" width="24.3984375" style="1336" customWidth="1"/>
    <col min="5123" max="5123" width="9" style="1336"/>
    <col min="5124" max="5124" width="20.5" style="1336" bestFit="1" customWidth="1"/>
    <col min="5125" max="5375" width="9" style="1336"/>
    <col min="5376" max="5376" width="21.3984375" style="1336" customWidth="1"/>
    <col min="5377" max="5377" width="55.69921875" style="1336" customWidth="1"/>
    <col min="5378" max="5378" width="24.3984375" style="1336" customWidth="1"/>
    <col min="5379" max="5379" width="9" style="1336"/>
    <col min="5380" max="5380" width="20.5" style="1336" bestFit="1" customWidth="1"/>
    <col min="5381" max="5631" width="9" style="1336"/>
    <col min="5632" max="5632" width="21.3984375" style="1336" customWidth="1"/>
    <col min="5633" max="5633" width="55.69921875" style="1336" customWidth="1"/>
    <col min="5634" max="5634" width="24.3984375" style="1336" customWidth="1"/>
    <col min="5635" max="5635" width="9" style="1336"/>
    <col min="5636" max="5636" width="20.5" style="1336" bestFit="1" customWidth="1"/>
    <col min="5637" max="5887" width="9" style="1336"/>
    <col min="5888" max="5888" width="21.3984375" style="1336" customWidth="1"/>
    <col min="5889" max="5889" width="55.69921875" style="1336" customWidth="1"/>
    <col min="5890" max="5890" width="24.3984375" style="1336" customWidth="1"/>
    <col min="5891" max="5891" width="9" style="1336"/>
    <col min="5892" max="5892" width="20.5" style="1336" bestFit="1" customWidth="1"/>
    <col min="5893" max="6143" width="9" style="1336"/>
    <col min="6144" max="6144" width="21.3984375" style="1336" customWidth="1"/>
    <col min="6145" max="6145" width="55.69921875" style="1336" customWidth="1"/>
    <col min="6146" max="6146" width="24.3984375" style="1336" customWidth="1"/>
    <col min="6147" max="6147" width="9" style="1336"/>
    <col min="6148" max="6148" width="20.5" style="1336" bestFit="1" customWidth="1"/>
    <col min="6149" max="6399" width="9" style="1336"/>
    <col min="6400" max="6400" width="21.3984375" style="1336" customWidth="1"/>
    <col min="6401" max="6401" width="55.69921875" style="1336" customWidth="1"/>
    <col min="6402" max="6402" width="24.3984375" style="1336" customWidth="1"/>
    <col min="6403" max="6403" width="9" style="1336"/>
    <col min="6404" max="6404" width="20.5" style="1336" bestFit="1" customWidth="1"/>
    <col min="6405" max="6655" width="9" style="1336"/>
    <col min="6656" max="6656" width="21.3984375" style="1336" customWidth="1"/>
    <col min="6657" max="6657" width="55.69921875" style="1336" customWidth="1"/>
    <col min="6658" max="6658" width="24.3984375" style="1336" customWidth="1"/>
    <col min="6659" max="6659" width="9" style="1336"/>
    <col min="6660" max="6660" width="20.5" style="1336" bestFit="1" customWidth="1"/>
    <col min="6661" max="6911" width="9" style="1336"/>
    <col min="6912" max="6912" width="21.3984375" style="1336" customWidth="1"/>
    <col min="6913" max="6913" width="55.69921875" style="1336" customWidth="1"/>
    <col min="6914" max="6914" width="24.3984375" style="1336" customWidth="1"/>
    <col min="6915" max="6915" width="9" style="1336"/>
    <col min="6916" max="6916" width="20.5" style="1336" bestFit="1" customWidth="1"/>
    <col min="6917" max="7167" width="9" style="1336"/>
    <col min="7168" max="7168" width="21.3984375" style="1336" customWidth="1"/>
    <col min="7169" max="7169" width="55.69921875" style="1336" customWidth="1"/>
    <col min="7170" max="7170" width="24.3984375" style="1336" customWidth="1"/>
    <col min="7171" max="7171" width="9" style="1336"/>
    <col min="7172" max="7172" width="20.5" style="1336" bestFit="1" customWidth="1"/>
    <col min="7173" max="7423" width="9" style="1336"/>
    <col min="7424" max="7424" width="21.3984375" style="1336" customWidth="1"/>
    <col min="7425" max="7425" width="55.69921875" style="1336" customWidth="1"/>
    <col min="7426" max="7426" width="24.3984375" style="1336" customWidth="1"/>
    <col min="7427" max="7427" width="9" style="1336"/>
    <col min="7428" max="7428" width="20.5" style="1336" bestFit="1" customWidth="1"/>
    <col min="7429" max="7679" width="9" style="1336"/>
    <col min="7680" max="7680" width="21.3984375" style="1336" customWidth="1"/>
    <col min="7681" max="7681" width="55.69921875" style="1336" customWidth="1"/>
    <col min="7682" max="7682" width="24.3984375" style="1336" customWidth="1"/>
    <col min="7683" max="7683" width="9" style="1336"/>
    <col min="7684" max="7684" width="20.5" style="1336" bestFit="1" customWidth="1"/>
    <col min="7685" max="7935" width="9" style="1336"/>
    <col min="7936" max="7936" width="21.3984375" style="1336" customWidth="1"/>
    <col min="7937" max="7937" width="55.69921875" style="1336" customWidth="1"/>
    <col min="7938" max="7938" width="24.3984375" style="1336" customWidth="1"/>
    <col min="7939" max="7939" width="9" style="1336"/>
    <col min="7940" max="7940" width="20.5" style="1336" bestFit="1" customWidth="1"/>
    <col min="7941" max="8191" width="9" style="1336"/>
    <col min="8192" max="8192" width="21.3984375" style="1336" customWidth="1"/>
    <col min="8193" max="8193" width="55.69921875" style="1336" customWidth="1"/>
    <col min="8194" max="8194" width="24.3984375" style="1336" customWidth="1"/>
    <col min="8195" max="8195" width="9" style="1336"/>
    <col min="8196" max="8196" width="20.5" style="1336" bestFit="1" customWidth="1"/>
    <col min="8197" max="8447" width="9" style="1336"/>
    <col min="8448" max="8448" width="21.3984375" style="1336" customWidth="1"/>
    <col min="8449" max="8449" width="55.69921875" style="1336" customWidth="1"/>
    <col min="8450" max="8450" width="24.3984375" style="1336" customWidth="1"/>
    <col min="8451" max="8451" width="9" style="1336"/>
    <col min="8452" max="8452" width="20.5" style="1336" bestFit="1" customWidth="1"/>
    <col min="8453" max="8703" width="9" style="1336"/>
    <col min="8704" max="8704" width="21.3984375" style="1336" customWidth="1"/>
    <col min="8705" max="8705" width="55.69921875" style="1336" customWidth="1"/>
    <col min="8706" max="8706" width="24.3984375" style="1336" customWidth="1"/>
    <col min="8707" max="8707" width="9" style="1336"/>
    <col min="8708" max="8708" width="20.5" style="1336" bestFit="1" customWidth="1"/>
    <col min="8709" max="8959" width="9" style="1336"/>
    <col min="8960" max="8960" width="21.3984375" style="1336" customWidth="1"/>
    <col min="8961" max="8961" width="55.69921875" style="1336" customWidth="1"/>
    <col min="8962" max="8962" width="24.3984375" style="1336" customWidth="1"/>
    <col min="8963" max="8963" width="9" style="1336"/>
    <col min="8964" max="8964" width="20.5" style="1336" bestFit="1" customWidth="1"/>
    <col min="8965" max="9215" width="9" style="1336"/>
    <col min="9216" max="9216" width="21.3984375" style="1336" customWidth="1"/>
    <col min="9217" max="9217" width="55.69921875" style="1336" customWidth="1"/>
    <col min="9218" max="9218" width="24.3984375" style="1336" customWidth="1"/>
    <col min="9219" max="9219" width="9" style="1336"/>
    <col min="9220" max="9220" width="20.5" style="1336" bestFit="1" customWidth="1"/>
    <col min="9221" max="9471" width="9" style="1336"/>
    <col min="9472" max="9472" width="21.3984375" style="1336" customWidth="1"/>
    <col min="9473" max="9473" width="55.69921875" style="1336" customWidth="1"/>
    <col min="9474" max="9474" width="24.3984375" style="1336" customWidth="1"/>
    <col min="9475" max="9475" width="9" style="1336"/>
    <col min="9476" max="9476" width="20.5" style="1336" bestFit="1" customWidth="1"/>
    <col min="9477" max="9727" width="9" style="1336"/>
    <col min="9728" max="9728" width="21.3984375" style="1336" customWidth="1"/>
    <col min="9729" max="9729" width="55.69921875" style="1336" customWidth="1"/>
    <col min="9730" max="9730" width="24.3984375" style="1336" customWidth="1"/>
    <col min="9731" max="9731" width="9" style="1336"/>
    <col min="9732" max="9732" width="20.5" style="1336" bestFit="1" customWidth="1"/>
    <col min="9733" max="9983" width="9" style="1336"/>
    <col min="9984" max="9984" width="21.3984375" style="1336" customWidth="1"/>
    <col min="9985" max="9985" width="55.69921875" style="1336" customWidth="1"/>
    <col min="9986" max="9986" width="24.3984375" style="1336" customWidth="1"/>
    <col min="9987" max="9987" width="9" style="1336"/>
    <col min="9988" max="9988" width="20.5" style="1336" bestFit="1" customWidth="1"/>
    <col min="9989" max="10239" width="9" style="1336"/>
    <col min="10240" max="10240" width="21.3984375" style="1336" customWidth="1"/>
    <col min="10241" max="10241" width="55.69921875" style="1336" customWidth="1"/>
    <col min="10242" max="10242" width="24.3984375" style="1336" customWidth="1"/>
    <col min="10243" max="10243" width="9" style="1336"/>
    <col min="10244" max="10244" width="20.5" style="1336" bestFit="1" customWidth="1"/>
    <col min="10245" max="10495" width="9" style="1336"/>
    <col min="10496" max="10496" width="21.3984375" style="1336" customWidth="1"/>
    <col min="10497" max="10497" width="55.69921875" style="1336" customWidth="1"/>
    <col min="10498" max="10498" width="24.3984375" style="1336" customWidth="1"/>
    <col min="10499" max="10499" width="9" style="1336"/>
    <col min="10500" max="10500" width="20.5" style="1336" bestFit="1" customWidth="1"/>
    <col min="10501" max="10751" width="9" style="1336"/>
    <col min="10752" max="10752" width="21.3984375" style="1336" customWidth="1"/>
    <col min="10753" max="10753" width="55.69921875" style="1336" customWidth="1"/>
    <col min="10754" max="10754" width="24.3984375" style="1336" customWidth="1"/>
    <col min="10755" max="10755" width="9" style="1336"/>
    <col min="10756" max="10756" width="20.5" style="1336" bestFit="1" customWidth="1"/>
    <col min="10757" max="11007" width="9" style="1336"/>
    <col min="11008" max="11008" width="21.3984375" style="1336" customWidth="1"/>
    <col min="11009" max="11009" width="55.69921875" style="1336" customWidth="1"/>
    <col min="11010" max="11010" width="24.3984375" style="1336" customWidth="1"/>
    <col min="11011" max="11011" width="9" style="1336"/>
    <col min="11012" max="11012" width="20.5" style="1336" bestFit="1" customWidth="1"/>
    <col min="11013" max="11263" width="9" style="1336"/>
    <col min="11264" max="11264" width="21.3984375" style="1336" customWidth="1"/>
    <col min="11265" max="11265" width="55.69921875" style="1336" customWidth="1"/>
    <col min="11266" max="11266" width="24.3984375" style="1336" customWidth="1"/>
    <col min="11267" max="11267" width="9" style="1336"/>
    <col min="11268" max="11268" width="20.5" style="1336" bestFit="1" customWidth="1"/>
    <col min="11269" max="11519" width="9" style="1336"/>
    <col min="11520" max="11520" width="21.3984375" style="1336" customWidth="1"/>
    <col min="11521" max="11521" width="55.69921875" style="1336" customWidth="1"/>
    <col min="11522" max="11522" width="24.3984375" style="1336" customWidth="1"/>
    <col min="11523" max="11523" width="9" style="1336"/>
    <col min="11524" max="11524" width="20.5" style="1336" bestFit="1" customWidth="1"/>
    <col min="11525" max="11775" width="9" style="1336"/>
    <col min="11776" max="11776" width="21.3984375" style="1336" customWidth="1"/>
    <col min="11777" max="11777" width="55.69921875" style="1336" customWidth="1"/>
    <col min="11778" max="11778" width="24.3984375" style="1336" customWidth="1"/>
    <col min="11779" max="11779" width="9" style="1336"/>
    <col min="11780" max="11780" width="20.5" style="1336" bestFit="1" customWidth="1"/>
    <col min="11781" max="12031" width="9" style="1336"/>
    <col min="12032" max="12032" width="21.3984375" style="1336" customWidth="1"/>
    <col min="12033" max="12033" width="55.69921875" style="1336" customWidth="1"/>
    <col min="12034" max="12034" width="24.3984375" style="1336" customWidth="1"/>
    <col min="12035" max="12035" width="9" style="1336"/>
    <col min="12036" max="12036" width="20.5" style="1336" bestFit="1" customWidth="1"/>
    <col min="12037" max="12287" width="9" style="1336"/>
    <col min="12288" max="12288" width="21.3984375" style="1336" customWidth="1"/>
    <col min="12289" max="12289" width="55.69921875" style="1336" customWidth="1"/>
    <col min="12290" max="12290" width="24.3984375" style="1336" customWidth="1"/>
    <col min="12291" max="12291" width="9" style="1336"/>
    <col min="12292" max="12292" width="20.5" style="1336" bestFit="1" customWidth="1"/>
    <col min="12293" max="12543" width="9" style="1336"/>
    <col min="12544" max="12544" width="21.3984375" style="1336" customWidth="1"/>
    <col min="12545" max="12545" width="55.69921875" style="1336" customWidth="1"/>
    <col min="12546" max="12546" width="24.3984375" style="1336" customWidth="1"/>
    <col min="12547" max="12547" width="9" style="1336"/>
    <col min="12548" max="12548" width="20.5" style="1336" bestFit="1" customWidth="1"/>
    <col min="12549" max="12799" width="9" style="1336"/>
    <col min="12800" max="12800" width="21.3984375" style="1336" customWidth="1"/>
    <col min="12801" max="12801" width="55.69921875" style="1336" customWidth="1"/>
    <col min="12802" max="12802" width="24.3984375" style="1336" customWidth="1"/>
    <col min="12803" max="12803" width="9" style="1336"/>
    <col min="12804" max="12804" width="20.5" style="1336" bestFit="1" customWidth="1"/>
    <col min="12805" max="13055" width="9" style="1336"/>
    <col min="13056" max="13056" width="21.3984375" style="1336" customWidth="1"/>
    <col min="13057" max="13057" width="55.69921875" style="1336" customWidth="1"/>
    <col min="13058" max="13058" width="24.3984375" style="1336" customWidth="1"/>
    <col min="13059" max="13059" width="9" style="1336"/>
    <col min="13060" max="13060" width="20.5" style="1336" bestFit="1" customWidth="1"/>
    <col min="13061" max="13311" width="9" style="1336"/>
    <col min="13312" max="13312" width="21.3984375" style="1336" customWidth="1"/>
    <col min="13313" max="13313" width="55.69921875" style="1336" customWidth="1"/>
    <col min="13314" max="13314" width="24.3984375" style="1336" customWidth="1"/>
    <col min="13315" max="13315" width="9" style="1336"/>
    <col min="13316" max="13316" width="20.5" style="1336" bestFit="1" customWidth="1"/>
    <col min="13317" max="13567" width="9" style="1336"/>
    <col min="13568" max="13568" width="21.3984375" style="1336" customWidth="1"/>
    <col min="13569" max="13569" width="55.69921875" style="1336" customWidth="1"/>
    <col min="13570" max="13570" width="24.3984375" style="1336" customWidth="1"/>
    <col min="13571" max="13571" width="9" style="1336"/>
    <col min="13572" max="13572" width="20.5" style="1336" bestFit="1" customWidth="1"/>
    <col min="13573" max="13823" width="9" style="1336"/>
    <col min="13824" max="13824" width="21.3984375" style="1336" customWidth="1"/>
    <col min="13825" max="13825" width="55.69921875" style="1336" customWidth="1"/>
    <col min="13826" max="13826" width="24.3984375" style="1336" customWidth="1"/>
    <col min="13827" max="13827" width="9" style="1336"/>
    <col min="13828" max="13828" width="20.5" style="1336" bestFit="1" customWidth="1"/>
    <col min="13829" max="14079" width="9" style="1336"/>
    <col min="14080" max="14080" width="21.3984375" style="1336" customWidth="1"/>
    <col min="14081" max="14081" width="55.69921875" style="1336" customWidth="1"/>
    <col min="14082" max="14082" width="24.3984375" style="1336" customWidth="1"/>
    <col min="14083" max="14083" width="9" style="1336"/>
    <col min="14084" max="14084" width="20.5" style="1336" bestFit="1" customWidth="1"/>
    <col min="14085" max="14335" width="9" style="1336"/>
    <col min="14336" max="14336" width="21.3984375" style="1336" customWidth="1"/>
    <col min="14337" max="14337" width="55.69921875" style="1336" customWidth="1"/>
    <col min="14338" max="14338" width="24.3984375" style="1336" customWidth="1"/>
    <col min="14339" max="14339" width="9" style="1336"/>
    <col min="14340" max="14340" width="20.5" style="1336" bestFit="1" customWidth="1"/>
    <col min="14341" max="14591" width="9" style="1336"/>
    <col min="14592" max="14592" width="21.3984375" style="1336" customWidth="1"/>
    <col min="14593" max="14593" width="55.69921875" style="1336" customWidth="1"/>
    <col min="14594" max="14594" width="24.3984375" style="1336" customWidth="1"/>
    <col min="14595" max="14595" width="9" style="1336"/>
    <col min="14596" max="14596" width="20.5" style="1336" bestFit="1" customWidth="1"/>
    <col min="14597" max="14847" width="9" style="1336"/>
    <col min="14848" max="14848" width="21.3984375" style="1336" customWidth="1"/>
    <col min="14849" max="14849" width="55.69921875" style="1336" customWidth="1"/>
    <col min="14850" max="14850" width="24.3984375" style="1336" customWidth="1"/>
    <col min="14851" max="14851" width="9" style="1336"/>
    <col min="14852" max="14852" width="20.5" style="1336" bestFit="1" customWidth="1"/>
    <col min="14853" max="15103" width="9" style="1336"/>
    <col min="15104" max="15104" width="21.3984375" style="1336" customWidth="1"/>
    <col min="15105" max="15105" width="55.69921875" style="1336" customWidth="1"/>
    <col min="15106" max="15106" width="24.3984375" style="1336" customWidth="1"/>
    <col min="15107" max="15107" width="9" style="1336"/>
    <col min="15108" max="15108" width="20.5" style="1336" bestFit="1" customWidth="1"/>
    <col min="15109" max="15359" width="9" style="1336"/>
    <col min="15360" max="15360" width="21.3984375" style="1336" customWidth="1"/>
    <col min="15361" max="15361" width="55.69921875" style="1336" customWidth="1"/>
    <col min="15362" max="15362" width="24.3984375" style="1336" customWidth="1"/>
    <col min="15363" max="15363" width="9" style="1336"/>
    <col min="15364" max="15364" width="20.5" style="1336" bestFit="1" customWidth="1"/>
    <col min="15365" max="15615" width="9" style="1336"/>
    <col min="15616" max="15616" width="21.3984375" style="1336" customWidth="1"/>
    <col min="15617" max="15617" width="55.69921875" style="1336" customWidth="1"/>
    <col min="15618" max="15618" width="24.3984375" style="1336" customWidth="1"/>
    <col min="15619" max="15619" width="9" style="1336"/>
    <col min="15620" max="15620" width="20.5" style="1336" bestFit="1" customWidth="1"/>
    <col min="15621" max="15871" width="9" style="1336"/>
    <col min="15872" max="15872" width="21.3984375" style="1336" customWidth="1"/>
    <col min="15873" max="15873" width="55.69921875" style="1336" customWidth="1"/>
    <col min="15874" max="15874" width="24.3984375" style="1336" customWidth="1"/>
    <col min="15875" max="15875" width="9" style="1336"/>
    <col min="15876" max="15876" width="20.5" style="1336" bestFit="1" customWidth="1"/>
    <col min="15877" max="16127" width="9" style="1336"/>
    <col min="16128" max="16128" width="21.3984375" style="1336" customWidth="1"/>
    <col min="16129" max="16129" width="55.69921875" style="1336" customWidth="1"/>
    <col min="16130" max="16130" width="24.3984375" style="1336" customWidth="1"/>
    <col min="16131" max="16131" width="9" style="1336"/>
    <col min="16132" max="16132" width="20.5" style="1336" bestFit="1" customWidth="1"/>
    <col min="16133" max="16383" width="9" style="1336"/>
    <col min="16384" max="16384" width="9" style="1336" customWidth="1"/>
  </cols>
  <sheetData>
    <row r="1" spans="1:3" ht="26.25" customHeight="1">
      <c r="A1" s="3857" t="s">
        <v>10097</v>
      </c>
      <c r="B1" s="3857"/>
      <c r="C1" s="1335" t="s">
        <v>7682</v>
      </c>
    </row>
    <row r="2" spans="1:3" ht="19.5" customHeight="1">
      <c r="A2" s="3858" t="s">
        <v>10098</v>
      </c>
      <c r="B2" s="3858"/>
      <c r="C2" s="1337" t="s">
        <v>832</v>
      </c>
    </row>
    <row r="3" spans="1:3" ht="19.5" customHeight="1">
      <c r="A3" s="1338" t="s">
        <v>1693</v>
      </c>
      <c r="B3" s="1345">
        <f>基本情况!B44</f>
        <v>0</v>
      </c>
      <c r="C3" s="1340" t="s">
        <v>1694</v>
      </c>
    </row>
    <row r="4" spans="1:3" ht="19.5" customHeight="1">
      <c r="A4" s="1338" t="s">
        <v>1695</v>
      </c>
      <c r="B4" s="1339">
        <f>基本情况!B2</f>
        <v>0</v>
      </c>
      <c r="C4" s="1340" t="s">
        <v>1696</v>
      </c>
    </row>
    <row r="5" spans="1:3" ht="19.5" customHeight="1">
      <c r="A5" s="1338" t="s">
        <v>10099</v>
      </c>
      <c r="B5" s="1339">
        <f>[0]!本年度</f>
        <v>2016</v>
      </c>
      <c r="C5" s="1340" t="s">
        <v>1697</v>
      </c>
    </row>
    <row r="6" spans="1:3" ht="19.5" customHeight="1">
      <c r="A6" s="1338" t="s">
        <v>10100</v>
      </c>
      <c r="B6" s="1339" t="str">
        <f>基本情况!F21</f>
        <v>2017-03-16</v>
      </c>
      <c r="C6" s="3860" t="s">
        <v>7421</v>
      </c>
    </row>
    <row r="7" spans="1:3" ht="19.5" customHeight="1">
      <c r="A7" s="1338" t="s">
        <v>10101</v>
      </c>
      <c r="B7" s="1339" t="str">
        <f>基本情况!F20</f>
        <v>2017-05-04</v>
      </c>
      <c r="C7" s="3861"/>
    </row>
    <row r="8" spans="1:3" ht="19.5" customHeight="1">
      <c r="A8" s="1338" t="s">
        <v>10102</v>
      </c>
      <c r="B8" s="1339">
        <f>基本情况!B18</f>
        <v>0</v>
      </c>
      <c r="C8" s="1340" t="s">
        <v>1694</v>
      </c>
    </row>
    <row r="9" spans="1:3" ht="75" customHeight="1">
      <c r="A9" s="1338" t="s">
        <v>10082</v>
      </c>
      <c r="B9" s="1339">
        <f>基本情况!B30</f>
        <v>3</v>
      </c>
      <c r="C9" s="1341" t="s">
        <v>1698</v>
      </c>
    </row>
    <row r="10" spans="1:3" ht="19.5" customHeight="1">
      <c r="A10" s="1338" t="s">
        <v>1699</v>
      </c>
      <c r="B10" s="1339" t="str">
        <f>IFERROR(VLOOKUP('基本情况（封面）'!B11,IF(基本情况!B8="中汇百邦（厦门）税务师事务所有限公司",首页!C:D,首页!E:F),2,0),"")</f>
        <v/>
      </c>
      <c r="C10" s="1340" t="s">
        <v>1694</v>
      </c>
    </row>
    <row r="11" spans="1:3" ht="19.5" customHeight="1">
      <c r="A11" s="1338" t="s">
        <v>1700</v>
      </c>
      <c r="B11" s="1339">
        <f>基本情况!B11</f>
        <v>0</v>
      </c>
      <c r="C11" s="1340" t="s">
        <v>1696</v>
      </c>
    </row>
    <row r="12" spans="1:3" ht="19.5" customHeight="1">
      <c r="A12" s="1342" t="s">
        <v>1701</v>
      </c>
      <c r="B12" s="1343" t="str">
        <f>IFERROR(VLOOKUP('基本情况（封面）'!B13,IF(基本情况!B8="中汇百邦（厦门）税务师事务所有限公司",首页!C:D,首页!E:F),2,0),"")</f>
        <v/>
      </c>
      <c r="C12" s="1342" t="s">
        <v>1702</v>
      </c>
    </row>
    <row r="13" spans="1:3" ht="19.5" customHeight="1">
      <c r="A13" s="1342" t="s">
        <v>1703</v>
      </c>
      <c r="B13" s="1343" t="str">
        <f>IF(基本情况!B10=0,"",基本情况!B10)</f>
        <v/>
      </c>
      <c r="C13" s="1342" t="s">
        <v>1704</v>
      </c>
    </row>
    <row r="14" spans="1:3" ht="19.5" customHeight="1">
      <c r="A14" s="3858" t="s">
        <v>1705</v>
      </c>
      <c r="B14" s="3858"/>
      <c r="C14" s="1344"/>
    </row>
    <row r="15" spans="1:3" ht="19.5" customHeight="1">
      <c r="A15" s="1338" t="s">
        <v>1706</v>
      </c>
      <c r="B15" s="2616" t="str">
        <f>INDEX(首页!$B:$B,MATCH($B$16,首页!$B:$B,0)+12)</f>
        <v>91350200776046719Q</v>
      </c>
      <c r="C15" s="1340" t="s">
        <v>1696</v>
      </c>
    </row>
    <row r="16" spans="1:3" ht="19.5" customHeight="1">
      <c r="A16" s="1338" t="s">
        <v>1707</v>
      </c>
      <c r="B16" s="2617" t="str">
        <f>基本情况!B8</f>
        <v>中汇百邦（厦门）税务师事务所有限公司</v>
      </c>
      <c r="C16" s="1340" t="s">
        <v>1696</v>
      </c>
    </row>
    <row r="17" spans="1:5" ht="19.5" customHeight="1">
      <c r="A17" s="1338" t="s">
        <v>1708</v>
      </c>
      <c r="B17" s="2616" t="str">
        <f>INDEX(首页!$B:$B,MATCH($B$16,首页!$B:$B,0)+11)</f>
        <v>陈元庆</v>
      </c>
      <c r="C17" s="1340" t="s">
        <v>1696</v>
      </c>
      <c r="E17" s="2058"/>
    </row>
    <row r="18" spans="1:5" ht="19.5" customHeight="1">
      <c r="A18" s="1338" t="s">
        <v>1710</v>
      </c>
      <c r="B18" s="2616" t="str">
        <f>INDEX(首页!$B:$B,MATCH($B$16,首页!$B:$B,0)+10)</f>
        <v>16023</v>
      </c>
      <c r="C18" s="1340" t="s">
        <v>1696</v>
      </c>
      <c r="E18" s="2058"/>
    </row>
    <row r="19" spans="1:5" ht="19.5" customHeight="1">
      <c r="A19" s="1340" t="s">
        <v>1712</v>
      </c>
      <c r="B19" s="2616" t="str">
        <f>INDEX(首页!$B:$B,MATCH($B$16,首页!$B:$B,0)+16)</f>
        <v>0592-5881050</v>
      </c>
      <c r="C19" s="1340" t="s">
        <v>1702</v>
      </c>
      <c r="E19" s="2058"/>
    </row>
    <row r="20" spans="1:5" ht="19.5" customHeight="1">
      <c r="A20" s="1340" t="s">
        <v>1713</v>
      </c>
      <c r="B20" s="2616" t="str">
        <f>INDEX(首页!$B:$B,MATCH($B$16,首页!$B:$B,0)+15)</f>
        <v>0592-5881033</v>
      </c>
      <c r="C20" s="1340" t="s">
        <v>1702</v>
      </c>
      <c r="E20" s="2058"/>
    </row>
    <row r="21" spans="1:5" ht="19.5" customHeight="1">
      <c r="A21" s="1340" t="s">
        <v>1714</v>
      </c>
      <c r="B21" s="2616" t="str">
        <f>INDEX(首页!$B:$B,MATCH($B$16,首页!$B:$B,0)+17)</f>
        <v>厦门市思明区湖滨南路388号国贸大厦41楼B、C单元</v>
      </c>
      <c r="C21" s="1340" t="s">
        <v>1702</v>
      </c>
      <c r="E21" s="2058"/>
    </row>
    <row r="22" spans="1:5" ht="19.5" customHeight="1">
      <c r="A22" s="1340" t="s">
        <v>1715</v>
      </c>
      <c r="B22" s="2616" t="str">
        <f>INDEX(首页!$B:$B,MATCH($B$16,首页!$B:$B,0)+13)</f>
        <v>xm-baibang@163.com</v>
      </c>
      <c r="C22" s="1340" t="s">
        <v>1702</v>
      </c>
      <c r="E22" s="2058"/>
    </row>
    <row r="23" spans="1:5" ht="19.5" customHeight="1">
      <c r="A23" s="1340" t="s">
        <v>1716</v>
      </c>
      <c r="B23" s="2616" t="str">
        <f>INDEX(首页!$B:$B,MATCH($B$16,首页!$B:$B,0)+14)</f>
        <v>www.baibangcpa.com</v>
      </c>
      <c r="C23" s="1340" t="s">
        <v>1702</v>
      </c>
      <c r="E23" s="2058"/>
    </row>
    <row r="24" spans="1:5" ht="19.5" customHeight="1">
      <c r="A24" s="3858" t="s">
        <v>10094</v>
      </c>
      <c r="B24" s="3858"/>
      <c r="C24" s="1340"/>
      <c r="E24" s="2058"/>
    </row>
    <row r="25" spans="1:5" ht="19.5" customHeight="1">
      <c r="A25" s="1340" t="s">
        <v>10095</v>
      </c>
      <c r="B25" s="1345" t="s">
        <v>1692</v>
      </c>
      <c r="C25" s="1340" t="s">
        <v>1702</v>
      </c>
      <c r="E25" s="2058"/>
    </row>
    <row r="26" spans="1:5" ht="19.5" customHeight="1">
      <c r="A26" s="1338" t="s">
        <v>10096</v>
      </c>
      <c r="B26" s="1346">
        <f>基本情况!B17</f>
        <v>1500</v>
      </c>
      <c r="C26" s="1340" t="s">
        <v>1694</v>
      </c>
      <c r="E26" s="2058"/>
    </row>
    <row r="27" spans="1:5" ht="19.5" customHeight="1">
      <c r="A27" s="1347"/>
      <c r="B27" s="1348"/>
      <c r="C27" s="1349"/>
      <c r="E27" s="2058"/>
    </row>
    <row r="28" spans="1:5" ht="62.25" customHeight="1">
      <c r="A28" s="3859" t="s">
        <v>2472</v>
      </c>
      <c r="B28" s="3859"/>
      <c r="C28" s="3859"/>
      <c r="E28" s="2058"/>
    </row>
    <row r="29" spans="1:5" ht="19.5" customHeight="1">
      <c r="E29" s="2058"/>
    </row>
    <row r="30" spans="1:5" ht="19.5" customHeight="1">
      <c r="E30" s="2058"/>
    </row>
    <row r="31" spans="1:5" ht="19.5" customHeight="1">
      <c r="E31" s="2058"/>
    </row>
    <row r="32" spans="1:5" ht="19.5" customHeight="1">
      <c r="E32" s="2058"/>
    </row>
    <row r="33" spans="5:5" ht="19.5" customHeight="1">
      <c r="E33" s="2058"/>
    </row>
    <row r="34" spans="5:5" ht="19.5" customHeight="1">
      <c r="E34" s="2058"/>
    </row>
    <row r="35" spans="5:5" ht="19.5" customHeight="1">
      <c r="E35" s="2058"/>
    </row>
    <row r="36" spans="5:5" ht="19.5" customHeight="1">
      <c r="E36" s="2058"/>
    </row>
    <row r="37" spans="5:5" ht="19.5" customHeight="1">
      <c r="E37" s="2058"/>
    </row>
    <row r="38" spans="5:5" ht="19.5" customHeight="1">
      <c r="E38" s="2058"/>
    </row>
    <row r="39" spans="5:5" ht="19.5" customHeight="1">
      <c r="E39" s="2058"/>
    </row>
    <row r="40" spans="5:5" ht="19.5" customHeight="1">
      <c r="E40" s="2058"/>
    </row>
    <row r="41" spans="5:5" ht="19.5" customHeight="1">
      <c r="E41" s="2058"/>
    </row>
    <row r="42" spans="5:5" ht="19.5" customHeight="1">
      <c r="E42" s="2058"/>
    </row>
  </sheetData>
  <mergeCells count="6">
    <mergeCell ref="A1:B1"/>
    <mergeCell ref="A2:B2"/>
    <mergeCell ref="A14:B14"/>
    <mergeCell ref="A24:B24"/>
    <mergeCell ref="A28:C28"/>
    <mergeCell ref="C6:C7"/>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C10"/>
  <sheetViews>
    <sheetView workbookViewId="0">
      <selection sqref="A1:C1"/>
    </sheetView>
  </sheetViews>
  <sheetFormatPr defaultRowHeight="14.4"/>
  <cols>
    <col min="1" max="1" width="23.19921875" style="1352" customWidth="1"/>
    <col min="2" max="2" width="72.3984375" style="1357" customWidth="1"/>
    <col min="3" max="3" width="13.09765625" style="1358" customWidth="1"/>
    <col min="4" max="256" width="9" style="1352"/>
    <col min="257" max="257" width="23.19921875" style="1352" customWidth="1"/>
    <col min="258" max="258" width="72.3984375" style="1352" customWidth="1"/>
    <col min="259" max="259" width="13.09765625" style="1352" customWidth="1"/>
    <col min="260" max="512" width="9" style="1352"/>
    <col min="513" max="513" width="23.19921875" style="1352" customWidth="1"/>
    <col min="514" max="514" width="72.3984375" style="1352" customWidth="1"/>
    <col min="515" max="515" width="13.09765625" style="1352" customWidth="1"/>
    <col min="516" max="768" width="9" style="1352"/>
    <col min="769" max="769" width="23.19921875" style="1352" customWidth="1"/>
    <col min="770" max="770" width="72.3984375" style="1352" customWidth="1"/>
    <col min="771" max="771" width="13.09765625" style="1352" customWidth="1"/>
    <col min="772" max="1024" width="9" style="1352"/>
    <col min="1025" max="1025" width="23.19921875" style="1352" customWidth="1"/>
    <col min="1026" max="1026" width="72.3984375" style="1352" customWidth="1"/>
    <col min="1027" max="1027" width="13.09765625" style="1352" customWidth="1"/>
    <col min="1028" max="1280" width="9" style="1352"/>
    <col min="1281" max="1281" width="23.19921875" style="1352" customWidth="1"/>
    <col min="1282" max="1282" width="72.3984375" style="1352" customWidth="1"/>
    <col min="1283" max="1283" width="13.09765625" style="1352" customWidth="1"/>
    <col min="1284" max="1536" width="9" style="1352"/>
    <col min="1537" max="1537" width="23.19921875" style="1352" customWidth="1"/>
    <col min="1538" max="1538" width="72.3984375" style="1352" customWidth="1"/>
    <col min="1539" max="1539" width="13.09765625" style="1352" customWidth="1"/>
    <col min="1540" max="1792" width="9" style="1352"/>
    <col min="1793" max="1793" width="23.19921875" style="1352" customWidth="1"/>
    <col min="1794" max="1794" width="72.3984375" style="1352" customWidth="1"/>
    <col min="1795" max="1795" width="13.09765625" style="1352" customWidth="1"/>
    <col min="1796" max="2048" width="9" style="1352"/>
    <col min="2049" max="2049" width="23.19921875" style="1352" customWidth="1"/>
    <col min="2050" max="2050" width="72.3984375" style="1352" customWidth="1"/>
    <col min="2051" max="2051" width="13.09765625" style="1352" customWidth="1"/>
    <col min="2052" max="2304" width="9" style="1352"/>
    <col min="2305" max="2305" width="23.19921875" style="1352" customWidth="1"/>
    <col min="2306" max="2306" width="72.3984375" style="1352" customWidth="1"/>
    <col min="2307" max="2307" width="13.09765625" style="1352" customWidth="1"/>
    <col min="2308" max="2560" width="9" style="1352"/>
    <col min="2561" max="2561" width="23.19921875" style="1352" customWidth="1"/>
    <col min="2562" max="2562" width="72.3984375" style="1352" customWidth="1"/>
    <col min="2563" max="2563" width="13.09765625" style="1352" customWidth="1"/>
    <col min="2564" max="2816" width="9" style="1352"/>
    <col min="2817" max="2817" width="23.19921875" style="1352" customWidth="1"/>
    <col min="2818" max="2818" width="72.3984375" style="1352" customWidth="1"/>
    <col min="2819" max="2819" width="13.09765625" style="1352" customWidth="1"/>
    <col min="2820" max="3072" width="9" style="1352"/>
    <col min="3073" max="3073" width="23.19921875" style="1352" customWidth="1"/>
    <col min="3074" max="3074" width="72.3984375" style="1352" customWidth="1"/>
    <col min="3075" max="3075" width="13.09765625" style="1352" customWidth="1"/>
    <col min="3076" max="3328" width="9" style="1352"/>
    <col min="3329" max="3329" width="23.19921875" style="1352" customWidth="1"/>
    <col min="3330" max="3330" width="72.3984375" style="1352" customWidth="1"/>
    <col min="3331" max="3331" width="13.09765625" style="1352" customWidth="1"/>
    <col min="3332" max="3584" width="9" style="1352"/>
    <col min="3585" max="3585" width="23.19921875" style="1352" customWidth="1"/>
    <col min="3586" max="3586" width="72.3984375" style="1352" customWidth="1"/>
    <col min="3587" max="3587" width="13.09765625" style="1352" customWidth="1"/>
    <col min="3588" max="3840" width="9" style="1352"/>
    <col min="3841" max="3841" width="23.19921875" style="1352" customWidth="1"/>
    <col min="3842" max="3842" width="72.3984375" style="1352" customWidth="1"/>
    <col min="3843" max="3843" width="13.09765625" style="1352" customWidth="1"/>
    <col min="3844" max="4096" width="9" style="1352"/>
    <col min="4097" max="4097" width="23.19921875" style="1352" customWidth="1"/>
    <col min="4098" max="4098" width="72.3984375" style="1352" customWidth="1"/>
    <col min="4099" max="4099" width="13.09765625" style="1352" customWidth="1"/>
    <col min="4100" max="4352" width="9" style="1352"/>
    <col min="4353" max="4353" width="23.19921875" style="1352" customWidth="1"/>
    <col min="4354" max="4354" width="72.3984375" style="1352" customWidth="1"/>
    <col min="4355" max="4355" width="13.09765625" style="1352" customWidth="1"/>
    <col min="4356" max="4608" width="9" style="1352"/>
    <col min="4609" max="4609" width="23.19921875" style="1352" customWidth="1"/>
    <col min="4610" max="4610" width="72.3984375" style="1352" customWidth="1"/>
    <col min="4611" max="4611" width="13.09765625" style="1352" customWidth="1"/>
    <col min="4612" max="4864" width="9" style="1352"/>
    <col min="4865" max="4865" width="23.19921875" style="1352" customWidth="1"/>
    <col min="4866" max="4866" width="72.3984375" style="1352" customWidth="1"/>
    <col min="4867" max="4867" width="13.09765625" style="1352" customWidth="1"/>
    <col min="4868" max="5120" width="9" style="1352"/>
    <col min="5121" max="5121" width="23.19921875" style="1352" customWidth="1"/>
    <col min="5122" max="5122" width="72.3984375" style="1352" customWidth="1"/>
    <col min="5123" max="5123" width="13.09765625" style="1352" customWidth="1"/>
    <col min="5124" max="5376" width="9" style="1352"/>
    <col min="5377" max="5377" width="23.19921875" style="1352" customWidth="1"/>
    <col min="5378" max="5378" width="72.3984375" style="1352" customWidth="1"/>
    <col min="5379" max="5379" width="13.09765625" style="1352" customWidth="1"/>
    <col min="5380" max="5632" width="9" style="1352"/>
    <col min="5633" max="5633" width="23.19921875" style="1352" customWidth="1"/>
    <col min="5634" max="5634" width="72.3984375" style="1352" customWidth="1"/>
    <col min="5635" max="5635" width="13.09765625" style="1352" customWidth="1"/>
    <col min="5636" max="5888" width="9" style="1352"/>
    <col min="5889" max="5889" width="23.19921875" style="1352" customWidth="1"/>
    <col min="5890" max="5890" width="72.3984375" style="1352" customWidth="1"/>
    <col min="5891" max="5891" width="13.09765625" style="1352" customWidth="1"/>
    <col min="5892" max="6144" width="9" style="1352"/>
    <col min="6145" max="6145" width="23.19921875" style="1352" customWidth="1"/>
    <col min="6146" max="6146" width="72.3984375" style="1352" customWidth="1"/>
    <col min="6147" max="6147" width="13.09765625" style="1352" customWidth="1"/>
    <col min="6148" max="6400" width="9" style="1352"/>
    <col min="6401" max="6401" width="23.19921875" style="1352" customWidth="1"/>
    <col min="6402" max="6402" width="72.3984375" style="1352" customWidth="1"/>
    <col min="6403" max="6403" width="13.09765625" style="1352" customWidth="1"/>
    <col min="6404" max="6656" width="9" style="1352"/>
    <col min="6657" max="6657" width="23.19921875" style="1352" customWidth="1"/>
    <col min="6658" max="6658" width="72.3984375" style="1352" customWidth="1"/>
    <col min="6659" max="6659" width="13.09765625" style="1352" customWidth="1"/>
    <col min="6660" max="6912" width="9" style="1352"/>
    <col min="6913" max="6913" width="23.19921875" style="1352" customWidth="1"/>
    <col min="6914" max="6914" width="72.3984375" style="1352" customWidth="1"/>
    <col min="6915" max="6915" width="13.09765625" style="1352" customWidth="1"/>
    <col min="6916" max="7168" width="9" style="1352"/>
    <col min="7169" max="7169" width="23.19921875" style="1352" customWidth="1"/>
    <col min="7170" max="7170" width="72.3984375" style="1352" customWidth="1"/>
    <col min="7171" max="7171" width="13.09765625" style="1352" customWidth="1"/>
    <col min="7172" max="7424" width="9" style="1352"/>
    <col min="7425" max="7425" width="23.19921875" style="1352" customWidth="1"/>
    <col min="7426" max="7426" width="72.3984375" style="1352" customWidth="1"/>
    <col min="7427" max="7427" width="13.09765625" style="1352" customWidth="1"/>
    <col min="7428" max="7680" width="9" style="1352"/>
    <col min="7681" max="7681" width="23.19921875" style="1352" customWidth="1"/>
    <col min="7682" max="7682" width="72.3984375" style="1352" customWidth="1"/>
    <col min="7683" max="7683" width="13.09765625" style="1352" customWidth="1"/>
    <col min="7684" max="7936" width="9" style="1352"/>
    <col min="7937" max="7937" width="23.19921875" style="1352" customWidth="1"/>
    <col min="7938" max="7938" width="72.3984375" style="1352" customWidth="1"/>
    <col min="7939" max="7939" width="13.09765625" style="1352" customWidth="1"/>
    <col min="7940" max="8192" width="9" style="1352"/>
    <col min="8193" max="8193" width="23.19921875" style="1352" customWidth="1"/>
    <col min="8194" max="8194" width="72.3984375" style="1352" customWidth="1"/>
    <col min="8195" max="8195" width="13.09765625" style="1352" customWidth="1"/>
    <col min="8196" max="8448" width="9" style="1352"/>
    <col min="8449" max="8449" width="23.19921875" style="1352" customWidth="1"/>
    <col min="8450" max="8450" width="72.3984375" style="1352" customWidth="1"/>
    <col min="8451" max="8451" width="13.09765625" style="1352" customWidth="1"/>
    <col min="8452" max="8704" width="9" style="1352"/>
    <col min="8705" max="8705" width="23.19921875" style="1352" customWidth="1"/>
    <col min="8706" max="8706" width="72.3984375" style="1352" customWidth="1"/>
    <col min="8707" max="8707" width="13.09765625" style="1352" customWidth="1"/>
    <col min="8708" max="8960" width="9" style="1352"/>
    <col min="8961" max="8961" width="23.19921875" style="1352" customWidth="1"/>
    <col min="8962" max="8962" width="72.3984375" style="1352" customWidth="1"/>
    <col min="8963" max="8963" width="13.09765625" style="1352" customWidth="1"/>
    <col min="8964" max="9216" width="9" style="1352"/>
    <col min="9217" max="9217" width="23.19921875" style="1352" customWidth="1"/>
    <col min="9218" max="9218" width="72.3984375" style="1352" customWidth="1"/>
    <col min="9219" max="9219" width="13.09765625" style="1352" customWidth="1"/>
    <col min="9220" max="9472" width="9" style="1352"/>
    <col min="9473" max="9473" width="23.19921875" style="1352" customWidth="1"/>
    <col min="9474" max="9474" width="72.3984375" style="1352" customWidth="1"/>
    <col min="9475" max="9475" width="13.09765625" style="1352" customWidth="1"/>
    <col min="9476" max="9728" width="9" style="1352"/>
    <col min="9729" max="9729" width="23.19921875" style="1352" customWidth="1"/>
    <col min="9730" max="9730" width="72.3984375" style="1352" customWidth="1"/>
    <col min="9731" max="9731" width="13.09765625" style="1352" customWidth="1"/>
    <col min="9732" max="9984" width="9" style="1352"/>
    <col min="9985" max="9985" width="23.19921875" style="1352" customWidth="1"/>
    <col min="9986" max="9986" width="72.3984375" style="1352" customWidth="1"/>
    <col min="9987" max="9987" width="13.09765625" style="1352" customWidth="1"/>
    <col min="9988" max="10240" width="9" style="1352"/>
    <col min="10241" max="10241" width="23.19921875" style="1352" customWidth="1"/>
    <col min="10242" max="10242" width="72.3984375" style="1352" customWidth="1"/>
    <col min="10243" max="10243" width="13.09765625" style="1352" customWidth="1"/>
    <col min="10244" max="10496" width="9" style="1352"/>
    <col min="10497" max="10497" width="23.19921875" style="1352" customWidth="1"/>
    <col min="10498" max="10498" width="72.3984375" style="1352" customWidth="1"/>
    <col min="10499" max="10499" width="13.09765625" style="1352" customWidth="1"/>
    <col min="10500" max="10752" width="9" style="1352"/>
    <col min="10753" max="10753" width="23.19921875" style="1352" customWidth="1"/>
    <col min="10754" max="10754" width="72.3984375" style="1352" customWidth="1"/>
    <col min="10755" max="10755" width="13.09765625" style="1352" customWidth="1"/>
    <col min="10756" max="11008" width="9" style="1352"/>
    <col min="11009" max="11009" width="23.19921875" style="1352" customWidth="1"/>
    <col min="11010" max="11010" width="72.3984375" style="1352" customWidth="1"/>
    <col min="11011" max="11011" width="13.09765625" style="1352" customWidth="1"/>
    <col min="11012" max="11264" width="9" style="1352"/>
    <col min="11265" max="11265" width="23.19921875" style="1352" customWidth="1"/>
    <col min="11266" max="11266" width="72.3984375" style="1352" customWidth="1"/>
    <col min="11267" max="11267" width="13.09765625" style="1352" customWidth="1"/>
    <col min="11268" max="11520" width="9" style="1352"/>
    <col min="11521" max="11521" width="23.19921875" style="1352" customWidth="1"/>
    <col min="11522" max="11522" width="72.3984375" style="1352" customWidth="1"/>
    <col min="11523" max="11523" width="13.09765625" style="1352" customWidth="1"/>
    <col min="11524" max="11776" width="9" style="1352"/>
    <col min="11777" max="11777" width="23.19921875" style="1352" customWidth="1"/>
    <col min="11778" max="11778" width="72.3984375" style="1352" customWidth="1"/>
    <col min="11779" max="11779" width="13.09765625" style="1352" customWidth="1"/>
    <col min="11780" max="12032" width="9" style="1352"/>
    <col min="12033" max="12033" width="23.19921875" style="1352" customWidth="1"/>
    <col min="12034" max="12034" width="72.3984375" style="1352" customWidth="1"/>
    <col min="12035" max="12035" width="13.09765625" style="1352" customWidth="1"/>
    <col min="12036" max="12288" width="9" style="1352"/>
    <col min="12289" max="12289" width="23.19921875" style="1352" customWidth="1"/>
    <col min="12290" max="12290" width="72.3984375" style="1352" customWidth="1"/>
    <col min="12291" max="12291" width="13.09765625" style="1352" customWidth="1"/>
    <col min="12292" max="12544" width="9" style="1352"/>
    <col min="12545" max="12545" width="23.19921875" style="1352" customWidth="1"/>
    <col min="12546" max="12546" width="72.3984375" style="1352" customWidth="1"/>
    <col min="12547" max="12547" width="13.09765625" style="1352" customWidth="1"/>
    <col min="12548" max="12800" width="9" style="1352"/>
    <col min="12801" max="12801" width="23.19921875" style="1352" customWidth="1"/>
    <col min="12802" max="12802" width="72.3984375" style="1352" customWidth="1"/>
    <col min="12803" max="12803" width="13.09765625" style="1352" customWidth="1"/>
    <col min="12804" max="13056" width="9" style="1352"/>
    <col min="13057" max="13057" width="23.19921875" style="1352" customWidth="1"/>
    <col min="13058" max="13058" width="72.3984375" style="1352" customWidth="1"/>
    <col min="13059" max="13059" width="13.09765625" style="1352" customWidth="1"/>
    <col min="13060" max="13312" width="9" style="1352"/>
    <col min="13313" max="13313" width="23.19921875" style="1352" customWidth="1"/>
    <col min="13314" max="13314" width="72.3984375" style="1352" customWidth="1"/>
    <col min="13315" max="13315" width="13.09765625" style="1352" customWidth="1"/>
    <col min="13316" max="13568" width="9" style="1352"/>
    <col min="13569" max="13569" width="23.19921875" style="1352" customWidth="1"/>
    <col min="13570" max="13570" width="72.3984375" style="1352" customWidth="1"/>
    <col min="13571" max="13571" width="13.09765625" style="1352" customWidth="1"/>
    <col min="13572" max="13824" width="9" style="1352"/>
    <col min="13825" max="13825" width="23.19921875" style="1352" customWidth="1"/>
    <col min="13826" max="13826" width="72.3984375" style="1352" customWidth="1"/>
    <col min="13827" max="13827" width="13.09765625" style="1352" customWidth="1"/>
    <col min="13828" max="14080" width="9" style="1352"/>
    <col min="14081" max="14081" width="23.19921875" style="1352" customWidth="1"/>
    <col min="14082" max="14082" width="72.3984375" style="1352" customWidth="1"/>
    <col min="14083" max="14083" width="13.09765625" style="1352" customWidth="1"/>
    <col min="14084" max="14336" width="9" style="1352"/>
    <col min="14337" max="14337" width="23.19921875" style="1352" customWidth="1"/>
    <col min="14338" max="14338" width="72.3984375" style="1352" customWidth="1"/>
    <col min="14339" max="14339" width="13.09765625" style="1352" customWidth="1"/>
    <col min="14340" max="14592" width="9" style="1352"/>
    <col min="14593" max="14593" width="23.19921875" style="1352" customWidth="1"/>
    <col min="14594" max="14594" width="72.3984375" style="1352" customWidth="1"/>
    <col min="14595" max="14595" width="13.09765625" style="1352" customWidth="1"/>
    <col min="14596" max="14848" width="9" style="1352"/>
    <col min="14849" max="14849" width="23.19921875" style="1352" customWidth="1"/>
    <col min="14850" max="14850" width="72.3984375" style="1352" customWidth="1"/>
    <col min="14851" max="14851" width="13.09765625" style="1352" customWidth="1"/>
    <col min="14852" max="15104" width="9" style="1352"/>
    <col min="15105" max="15105" width="23.19921875" style="1352" customWidth="1"/>
    <col min="15106" max="15106" width="72.3984375" style="1352" customWidth="1"/>
    <col min="15107" max="15107" width="13.09765625" style="1352" customWidth="1"/>
    <col min="15108" max="15360" width="9" style="1352"/>
    <col min="15361" max="15361" width="23.19921875" style="1352" customWidth="1"/>
    <col min="15362" max="15362" width="72.3984375" style="1352" customWidth="1"/>
    <col min="15363" max="15363" width="13.09765625" style="1352" customWidth="1"/>
    <col min="15364" max="15616" width="9" style="1352"/>
    <col min="15617" max="15617" width="23.19921875" style="1352" customWidth="1"/>
    <col min="15618" max="15618" width="72.3984375" style="1352" customWidth="1"/>
    <col min="15619" max="15619" width="13.09765625" style="1352" customWidth="1"/>
    <col min="15620" max="15872" width="9" style="1352"/>
    <col min="15873" max="15873" width="23.19921875" style="1352" customWidth="1"/>
    <col min="15874" max="15874" width="72.3984375" style="1352" customWidth="1"/>
    <col min="15875" max="15875" width="13.09765625" style="1352" customWidth="1"/>
    <col min="15876" max="16128" width="9" style="1352"/>
    <col min="16129" max="16129" width="23.19921875" style="1352" customWidth="1"/>
    <col min="16130" max="16130" width="72.3984375" style="1352" customWidth="1"/>
    <col min="16131" max="16131" width="13.09765625" style="1352" customWidth="1"/>
    <col min="16132" max="16384" width="9" style="1352"/>
  </cols>
  <sheetData>
    <row r="1" spans="1:3" ht="22.5" customHeight="1">
      <c r="A1" s="3857" t="s">
        <v>10104</v>
      </c>
      <c r="B1" s="3857"/>
      <c r="C1" s="3857"/>
    </row>
    <row r="2" spans="1:3" ht="24" customHeight="1">
      <c r="A2" s="3862" t="s">
        <v>1717</v>
      </c>
      <c r="B2" s="3863"/>
      <c r="C2" s="1340" t="s">
        <v>1718</v>
      </c>
    </row>
    <row r="3" spans="1:3" ht="108.75" customHeight="1">
      <c r="A3" s="1353" t="s">
        <v>1719</v>
      </c>
      <c r="B3" s="1354"/>
      <c r="C3" s="1340" t="s">
        <v>1720</v>
      </c>
    </row>
    <row r="4" spans="1:3" ht="108.75" customHeight="1">
      <c r="A4" s="1353" t="s">
        <v>1721</v>
      </c>
      <c r="B4" s="1354"/>
      <c r="C4" s="1340" t="s">
        <v>1720</v>
      </c>
    </row>
    <row r="5" spans="1:3" ht="108.75" customHeight="1">
      <c r="A5" s="1355" t="s">
        <v>1722</v>
      </c>
      <c r="B5" s="1354"/>
      <c r="C5" s="1340" t="s">
        <v>1720</v>
      </c>
    </row>
    <row r="6" spans="1:3" ht="21" customHeight="1">
      <c r="A6" s="3862" t="s">
        <v>10103</v>
      </c>
      <c r="B6" s="3863"/>
      <c r="C6" s="1340"/>
    </row>
    <row r="7" spans="1:3" ht="30.75" customHeight="1">
      <c r="A7" s="3864" t="s">
        <v>1723</v>
      </c>
      <c r="B7" s="3865"/>
      <c r="C7" s="1356" t="s">
        <v>1724</v>
      </c>
    </row>
    <row r="8" spans="1:3" ht="22.5" customHeight="1">
      <c r="A8" s="3862" t="s">
        <v>1725</v>
      </c>
      <c r="B8" s="3863"/>
      <c r="C8" s="1340"/>
    </row>
    <row r="9" spans="1:3" ht="82.5" customHeight="1">
      <c r="A9" s="1353" t="s">
        <v>1726</v>
      </c>
      <c r="B9" s="1354"/>
      <c r="C9" s="1340" t="s">
        <v>1720</v>
      </c>
    </row>
    <row r="10" spans="1:3" ht="114.75" customHeight="1">
      <c r="A10" s="1353" t="s">
        <v>1727</v>
      </c>
      <c r="B10" s="1354"/>
      <c r="C10" s="1340" t="s">
        <v>1720</v>
      </c>
    </row>
  </sheetData>
  <mergeCells count="5">
    <mergeCell ref="A1:C1"/>
    <mergeCell ref="A2:B2"/>
    <mergeCell ref="A6:B6"/>
    <mergeCell ref="A7:B7"/>
    <mergeCell ref="A8:B8"/>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C7"/>
  <sheetViews>
    <sheetView workbookViewId="0">
      <selection sqref="A1:C1"/>
    </sheetView>
  </sheetViews>
  <sheetFormatPr defaultRowHeight="27" customHeight="1"/>
  <cols>
    <col min="1" max="1" width="19.69921875" style="1361" customWidth="1"/>
    <col min="2" max="2" width="80.09765625" style="1362" customWidth="1"/>
    <col min="3" max="3" width="13.3984375" style="1352" customWidth="1"/>
    <col min="4" max="256" width="9" style="1352"/>
    <col min="257" max="257" width="19.69921875" style="1352" customWidth="1"/>
    <col min="258" max="258" width="80.09765625" style="1352" customWidth="1"/>
    <col min="259" max="259" width="13.3984375" style="1352" customWidth="1"/>
    <col min="260" max="512" width="9" style="1352"/>
    <col min="513" max="513" width="19.69921875" style="1352" customWidth="1"/>
    <col min="514" max="514" width="80.09765625" style="1352" customWidth="1"/>
    <col min="515" max="515" width="13.3984375" style="1352" customWidth="1"/>
    <col min="516" max="768" width="9" style="1352"/>
    <col min="769" max="769" width="19.69921875" style="1352" customWidth="1"/>
    <col min="770" max="770" width="80.09765625" style="1352" customWidth="1"/>
    <col min="771" max="771" width="13.3984375" style="1352" customWidth="1"/>
    <col min="772" max="1024" width="9" style="1352"/>
    <col min="1025" max="1025" width="19.69921875" style="1352" customWidth="1"/>
    <col min="1026" max="1026" width="80.09765625" style="1352" customWidth="1"/>
    <col min="1027" max="1027" width="13.3984375" style="1352" customWidth="1"/>
    <col min="1028" max="1280" width="9" style="1352"/>
    <col min="1281" max="1281" width="19.69921875" style="1352" customWidth="1"/>
    <col min="1282" max="1282" width="80.09765625" style="1352" customWidth="1"/>
    <col min="1283" max="1283" width="13.3984375" style="1352" customWidth="1"/>
    <col min="1284" max="1536" width="9" style="1352"/>
    <col min="1537" max="1537" width="19.69921875" style="1352" customWidth="1"/>
    <col min="1538" max="1538" width="80.09765625" style="1352" customWidth="1"/>
    <col min="1539" max="1539" width="13.3984375" style="1352" customWidth="1"/>
    <col min="1540" max="1792" width="9" style="1352"/>
    <col min="1793" max="1793" width="19.69921875" style="1352" customWidth="1"/>
    <col min="1794" max="1794" width="80.09765625" style="1352" customWidth="1"/>
    <col min="1795" max="1795" width="13.3984375" style="1352" customWidth="1"/>
    <col min="1796" max="2048" width="9" style="1352"/>
    <col min="2049" max="2049" width="19.69921875" style="1352" customWidth="1"/>
    <col min="2050" max="2050" width="80.09765625" style="1352" customWidth="1"/>
    <col min="2051" max="2051" width="13.3984375" style="1352" customWidth="1"/>
    <col min="2052" max="2304" width="9" style="1352"/>
    <col min="2305" max="2305" width="19.69921875" style="1352" customWidth="1"/>
    <col min="2306" max="2306" width="80.09765625" style="1352" customWidth="1"/>
    <col min="2307" max="2307" width="13.3984375" style="1352" customWidth="1"/>
    <col min="2308" max="2560" width="9" style="1352"/>
    <col min="2561" max="2561" width="19.69921875" style="1352" customWidth="1"/>
    <col min="2562" max="2562" width="80.09765625" style="1352" customWidth="1"/>
    <col min="2563" max="2563" width="13.3984375" style="1352" customWidth="1"/>
    <col min="2564" max="2816" width="9" style="1352"/>
    <col min="2817" max="2817" width="19.69921875" style="1352" customWidth="1"/>
    <col min="2818" max="2818" width="80.09765625" style="1352" customWidth="1"/>
    <col min="2819" max="2819" width="13.3984375" style="1352" customWidth="1"/>
    <col min="2820" max="3072" width="9" style="1352"/>
    <col min="3073" max="3073" width="19.69921875" style="1352" customWidth="1"/>
    <col min="3074" max="3074" width="80.09765625" style="1352" customWidth="1"/>
    <col min="3075" max="3075" width="13.3984375" style="1352" customWidth="1"/>
    <col min="3076" max="3328" width="9" style="1352"/>
    <col min="3329" max="3329" width="19.69921875" style="1352" customWidth="1"/>
    <col min="3330" max="3330" width="80.09765625" style="1352" customWidth="1"/>
    <col min="3331" max="3331" width="13.3984375" style="1352" customWidth="1"/>
    <col min="3332" max="3584" width="9" style="1352"/>
    <col min="3585" max="3585" width="19.69921875" style="1352" customWidth="1"/>
    <col min="3586" max="3586" width="80.09765625" style="1352" customWidth="1"/>
    <col min="3587" max="3587" width="13.3984375" style="1352" customWidth="1"/>
    <col min="3588" max="3840" width="9" style="1352"/>
    <col min="3841" max="3841" width="19.69921875" style="1352" customWidth="1"/>
    <col min="3842" max="3842" width="80.09765625" style="1352" customWidth="1"/>
    <col min="3843" max="3843" width="13.3984375" style="1352" customWidth="1"/>
    <col min="3844" max="4096" width="9" style="1352"/>
    <col min="4097" max="4097" width="19.69921875" style="1352" customWidth="1"/>
    <col min="4098" max="4098" width="80.09765625" style="1352" customWidth="1"/>
    <col min="4099" max="4099" width="13.3984375" style="1352" customWidth="1"/>
    <col min="4100" max="4352" width="9" style="1352"/>
    <col min="4353" max="4353" width="19.69921875" style="1352" customWidth="1"/>
    <col min="4354" max="4354" width="80.09765625" style="1352" customWidth="1"/>
    <col min="4355" max="4355" width="13.3984375" style="1352" customWidth="1"/>
    <col min="4356" max="4608" width="9" style="1352"/>
    <col min="4609" max="4609" width="19.69921875" style="1352" customWidth="1"/>
    <col min="4610" max="4610" width="80.09765625" style="1352" customWidth="1"/>
    <col min="4611" max="4611" width="13.3984375" style="1352" customWidth="1"/>
    <col min="4612" max="4864" width="9" style="1352"/>
    <col min="4865" max="4865" width="19.69921875" style="1352" customWidth="1"/>
    <col min="4866" max="4866" width="80.09765625" style="1352" customWidth="1"/>
    <col min="4867" max="4867" width="13.3984375" style="1352" customWidth="1"/>
    <col min="4868" max="5120" width="9" style="1352"/>
    <col min="5121" max="5121" width="19.69921875" style="1352" customWidth="1"/>
    <col min="5122" max="5122" width="80.09765625" style="1352" customWidth="1"/>
    <col min="5123" max="5123" width="13.3984375" style="1352" customWidth="1"/>
    <col min="5124" max="5376" width="9" style="1352"/>
    <col min="5377" max="5377" width="19.69921875" style="1352" customWidth="1"/>
    <col min="5378" max="5378" width="80.09765625" style="1352" customWidth="1"/>
    <col min="5379" max="5379" width="13.3984375" style="1352" customWidth="1"/>
    <col min="5380" max="5632" width="9" style="1352"/>
    <col min="5633" max="5633" width="19.69921875" style="1352" customWidth="1"/>
    <col min="5634" max="5634" width="80.09765625" style="1352" customWidth="1"/>
    <col min="5635" max="5635" width="13.3984375" style="1352" customWidth="1"/>
    <col min="5636" max="5888" width="9" style="1352"/>
    <col min="5889" max="5889" width="19.69921875" style="1352" customWidth="1"/>
    <col min="5890" max="5890" width="80.09765625" style="1352" customWidth="1"/>
    <col min="5891" max="5891" width="13.3984375" style="1352" customWidth="1"/>
    <col min="5892" max="6144" width="9" style="1352"/>
    <col min="6145" max="6145" width="19.69921875" style="1352" customWidth="1"/>
    <col min="6146" max="6146" width="80.09765625" style="1352" customWidth="1"/>
    <col min="6147" max="6147" width="13.3984375" style="1352" customWidth="1"/>
    <col min="6148" max="6400" width="9" style="1352"/>
    <col min="6401" max="6401" width="19.69921875" style="1352" customWidth="1"/>
    <col min="6402" max="6402" width="80.09765625" style="1352" customWidth="1"/>
    <col min="6403" max="6403" width="13.3984375" style="1352" customWidth="1"/>
    <col min="6404" max="6656" width="9" style="1352"/>
    <col min="6657" max="6657" width="19.69921875" style="1352" customWidth="1"/>
    <col min="6658" max="6658" width="80.09765625" style="1352" customWidth="1"/>
    <col min="6659" max="6659" width="13.3984375" style="1352" customWidth="1"/>
    <col min="6660" max="6912" width="9" style="1352"/>
    <col min="6913" max="6913" width="19.69921875" style="1352" customWidth="1"/>
    <col min="6914" max="6914" width="80.09765625" style="1352" customWidth="1"/>
    <col min="6915" max="6915" width="13.3984375" style="1352" customWidth="1"/>
    <col min="6916" max="7168" width="9" style="1352"/>
    <col min="7169" max="7169" width="19.69921875" style="1352" customWidth="1"/>
    <col min="7170" max="7170" width="80.09765625" style="1352" customWidth="1"/>
    <col min="7171" max="7171" width="13.3984375" style="1352" customWidth="1"/>
    <col min="7172" max="7424" width="9" style="1352"/>
    <col min="7425" max="7425" width="19.69921875" style="1352" customWidth="1"/>
    <col min="7426" max="7426" width="80.09765625" style="1352" customWidth="1"/>
    <col min="7427" max="7427" width="13.3984375" style="1352" customWidth="1"/>
    <col min="7428" max="7680" width="9" style="1352"/>
    <col min="7681" max="7681" width="19.69921875" style="1352" customWidth="1"/>
    <col min="7682" max="7682" width="80.09765625" style="1352" customWidth="1"/>
    <col min="7683" max="7683" width="13.3984375" style="1352" customWidth="1"/>
    <col min="7684" max="7936" width="9" style="1352"/>
    <col min="7937" max="7937" width="19.69921875" style="1352" customWidth="1"/>
    <col min="7938" max="7938" width="80.09765625" style="1352" customWidth="1"/>
    <col min="7939" max="7939" width="13.3984375" style="1352" customWidth="1"/>
    <col min="7940" max="8192" width="9" style="1352"/>
    <col min="8193" max="8193" width="19.69921875" style="1352" customWidth="1"/>
    <col min="8194" max="8194" width="80.09765625" style="1352" customWidth="1"/>
    <col min="8195" max="8195" width="13.3984375" style="1352" customWidth="1"/>
    <col min="8196" max="8448" width="9" style="1352"/>
    <col min="8449" max="8449" width="19.69921875" style="1352" customWidth="1"/>
    <col min="8450" max="8450" width="80.09765625" style="1352" customWidth="1"/>
    <col min="8451" max="8451" width="13.3984375" style="1352" customWidth="1"/>
    <col min="8452" max="8704" width="9" style="1352"/>
    <col min="8705" max="8705" width="19.69921875" style="1352" customWidth="1"/>
    <col min="8706" max="8706" width="80.09765625" style="1352" customWidth="1"/>
    <col min="8707" max="8707" width="13.3984375" style="1352" customWidth="1"/>
    <col min="8708" max="8960" width="9" style="1352"/>
    <col min="8961" max="8961" width="19.69921875" style="1352" customWidth="1"/>
    <col min="8962" max="8962" width="80.09765625" style="1352" customWidth="1"/>
    <col min="8963" max="8963" width="13.3984375" style="1352" customWidth="1"/>
    <col min="8964" max="9216" width="9" style="1352"/>
    <col min="9217" max="9217" width="19.69921875" style="1352" customWidth="1"/>
    <col min="9218" max="9218" width="80.09765625" style="1352" customWidth="1"/>
    <col min="9219" max="9219" width="13.3984375" style="1352" customWidth="1"/>
    <col min="9220" max="9472" width="9" style="1352"/>
    <col min="9473" max="9473" width="19.69921875" style="1352" customWidth="1"/>
    <col min="9474" max="9474" width="80.09765625" style="1352" customWidth="1"/>
    <col min="9475" max="9475" width="13.3984375" style="1352" customWidth="1"/>
    <col min="9476" max="9728" width="9" style="1352"/>
    <col min="9729" max="9729" width="19.69921875" style="1352" customWidth="1"/>
    <col min="9730" max="9730" width="80.09765625" style="1352" customWidth="1"/>
    <col min="9731" max="9731" width="13.3984375" style="1352" customWidth="1"/>
    <col min="9732" max="9984" width="9" style="1352"/>
    <col min="9985" max="9985" width="19.69921875" style="1352" customWidth="1"/>
    <col min="9986" max="9986" width="80.09765625" style="1352" customWidth="1"/>
    <col min="9987" max="9987" width="13.3984375" style="1352" customWidth="1"/>
    <col min="9988" max="10240" width="9" style="1352"/>
    <col min="10241" max="10241" width="19.69921875" style="1352" customWidth="1"/>
    <col min="10242" max="10242" width="80.09765625" style="1352" customWidth="1"/>
    <col min="10243" max="10243" width="13.3984375" style="1352" customWidth="1"/>
    <col min="10244" max="10496" width="9" style="1352"/>
    <col min="10497" max="10497" width="19.69921875" style="1352" customWidth="1"/>
    <col min="10498" max="10498" width="80.09765625" style="1352" customWidth="1"/>
    <col min="10499" max="10499" width="13.3984375" style="1352" customWidth="1"/>
    <col min="10500" max="10752" width="9" style="1352"/>
    <col min="10753" max="10753" width="19.69921875" style="1352" customWidth="1"/>
    <col min="10754" max="10754" width="80.09765625" style="1352" customWidth="1"/>
    <col min="10755" max="10755" width="13.3984375" style="1352" customWidth="1"/>
    <col min="10756" max="11008" width="9" style="1352"/>
    <col min="11009" max="11009" width="19.69921875" style="1352" customWidth="1"/>
    <col min="11010" max="11010" width="80.09765625" style="1352" customWidth="1"/>
    <col min="11011" max="11011" width="13.3984375" style="1352" customWidth="1"/>
    <col min="11012" max="11264" width="9" style="1352"/>
    <col min="11265" max="11265" width="19.69921875" style="1352" customWidth="1"/>
    <col min="11266" max="11266" width="80.09765625" style="1352" customWidth="1"/>
    <col min="11267" max="11267" width="13.3984375" style="1352" customWidth="1"/>
    <col min="11268" max="11520" width="9" style="1352"/>
    <col min="11521" max="11521" width="19.69921875" style="1352" customWidth="1"/>
    <col min="11522" max="11522" width="80.09765625" style="1352" customWidth="1"/>
    <col min="11523" max="11523" width="13.3984375" style="1352" customWidth="1"/>
    <col min="11524" max="11776" width="9" style="1352"/>
    <col min="11777" max="11777" width="19.69921875" style="1352" customWidth="1"/>
    <col min="11778" max="11778" width="80.09765625" style="1352" customWidth="1"/>
    <col min="11779" max="11779" width="13.3984375" style="1352" customWidth="1"/>
    <col min="11780" max="12032" width="9" style="1352"/>
    <col min="12033" max="12033" width="19.69921875" style="1352" customWidth="1"/>
    <col min="12034" max="12034" width="80.09765625" style="1352" customWidth="1"/>
    <col min="12035" max="12035" width="13.3984375" style="1352" customWidth="1"/>
    <col min="12036" max="12288" width="9" style="1352"/>
    <col min="12289" max="12289" width="19.69921875" style="1352" customWidth="1"/>
    <col min="12290" max="12290" width="80.09765625" style="1352" customWidth="1"/>
    <col min="12291" max="12291" width="13.3984375" style="1352" customWidth="1"/>
    <col min="12292" max="12544" width="9" style="1352"/>
    <col min="12545" max="12545" width="19.69921875" style="1352" customWidth="1"/>
    <col min="12546" max="12546" width="80.09765625" style="1352" customWidth="1"/>
    <col min="12547" max="12547" width="13.3984375" style="1352" customWidth="1"/>
    <col min="12548" max="12800" width="9" style="1352"/>
    <col min="12801" max="12801" width="19.69921875" style="1352" customWidth="1"/>
    <col min="12802" max="12802" width="80.09765625" style="1352" customWidth="1"/>
    <col min="12803" max="12803" width="13.3984375" style="1352" customWidth="1"/>
    <col min="12804" max="13056" width="9" style="1352"/>
    <col min="13057" max="13057" width="19.69921875" style="1352" customWidth="1"/>
    <col min="13058" max="13058" width="80.09765625" style="1352" customWidth="1"/>
    <col min="13059" max="13059" width="13.3984375" style="1352" customWidth="1"/>
    <col min="13060" max="13312" width="9" style="1352"/>
    <col min="13313" max="13313" width="19.69921875" style="1352" customWidth="1"/>
    <col min="13314" max="13314" width="80.09765625" style="1352" customWidth="1"/>
    <col min="13315" max="13315" width="13.3984375" style="1352" customWidth="1"/>
    <col min="13316" max="13568" width="9" style="1352"/>
    <col min="13569" max="13569" width="19.69921875" style="1352" customWidth="1"/>
    <col min="13570" max="13570" width="80.09765625" style="1352" customWidth="1"/>
    <col min="13571" max="13571" width="13.3984375" style="1352" customWidth="1"/>
    <col min="13572" max="13824" width="9" style="1352"/>
    <col min="13825" max="13825" width="19.69921875" style="1352" customWidth="1"/>
    <col min="13826" max="13826" width="80.09765625" style="1352" customWidth="1"/>
    <col min="13827" max="13827" width="13.3984375" style="1352" customWidth="1"/>
    <col min="13828" max="14080" width="9" style="1352"/>
    <col min="14081" max="14081" width="19.69921875" style="1352" customWidth="1"/>
    <col min="14082" max="14082" width="80.09765625" style="1352" customWidth="1"/>
    <col min="14083" max="14083" width="13.3984375" style="1352" customWidth="1"/>
    <col min="14084" max="14336" width="9" style="1352"/>
    <col min="14337" max="14337" width="19.69921875" style="1352" customWidth="1"/>
    <col min="14338" max="14338" width="80.09765625" style="1352" customWidth="1"/>
    <col min="14339" max="14339" width="13.3984375" style="1352" customWidth="1"/>
    <col min="14340" max="14592" width="9" style="1352"/>
    <col min="14593" max="14593" width="19.69921875" style="1352" customWidth="1"/>
    <col min="14594" max="14594" width="80.09765625" style="1352" customWidth="1"/>
    <col min="14595" max="14595" width="13.3984375" style="1352" customWidth="1"/>
    <col min="14596" max="14848" width="9" style="1352"/>
    <col min="14849" max="14849" width="19.69921875" style="1352" customWidth="1"/>
    <col min="14850" max="14850" width="80.09765625" style="1352" customWidth="1"/>
    <col min="14851" max="14851" width="13.3984375" style="1352" customWidth="1"/>
    <col min="14852" max="15104" width="9" style="1352"/>
    <col min="15105" max="15105" width="19.69921875" style="1352" customWidth="1"/>
    <col min="15106" max="15106" width="80.09765625" style="1352" customWidth="1"/>
    <col min="15107" max="15107" width="13.3984375" style="1352" customWidth="1"/>
    <col min="15108" max="15360" width="9" style="1352"/>
    <col min="15361" max="15361" width="19.69921875" style="1352" customWidth="1"/>
    <col min="15362" max="15362" width="80.09765625" style="1352" customWidth="1"/>
    <col min="15363" max="15363" width="13.3984375" style="1352" customWidth="1"/>
    <col min="15364" max="15616" width="9" style="1352"/>
    <col min="15617" max="15617" width="19.69921875" style="1352" customWidth="1"/>
    <col min="15618" max="15618" width="80.09765625" style="1352" customWidth="1"/>
    <col min="15619" max="15619" width="13.3984375" style="1352" customWidth="1"/>
    <col min="15620" max="15872" width="9" style="1352"/>
    <col min="15873" max="15873" width="19.69921875" style="1352" customWidth="1"/>
    <col min="15874" max="15874" width="80.09765625" style="1352" customWidth="1"/>
    <col min="15875" max="15875" width="13.3984375" style="1352" customWidth="1"/>
    <col min="15876" max="16128" width="9" style="1352"/>
    <col min="16129" max="16129" width="19.69921875" style="1352" customWidth="1"/>
    <col min="16130" max="16130" width="80.09765625" style="1352" customWidth="1"/>
    <col min="16131" max="16131" width="13.3984375" style="1352" customWidth="1"/>
    <col min="16132" max="16384" width="9" style="1352"/>
  </cols>
  <sheetData>
    <row r="1" spans="1:3" ht="27" customHeight="1">
      <c r="A1" s="3857" t="s">
        <v>10106</v>
      </c>
      <c r="B1" s="3857"/>
      <c r="C1" s="3857"/>
    </row>
    <row r="2" spans="1:3" ht="30" customHeight="1">
      <c r="A2" s="3866" t="s">
        <v>1717</v>
      </c>
      <c r="B2" s="3866"/>
      <c r="C2" s="1340" t="s">
        <v>1069</v>
      </c>
    </row>
    <row r="3" spans="1:3" ht="71.25" customHeight="1">
      <c r="A3" s="1353" t="s">
        <v>1719</v>
      </c>
      <c r="B3" s="1359"/>
      <c r="C3" s="1340" t="s">
        <v>1720</v>
      </c>
    </row>
    <row r="4" spans="1:3" ht="72.75" customHeight="1">
      <c r="A4" s="1353" t="s">
        <v>1721</v>
      </c>
      <c r="B4" s="1359"/>
      <c r="C4" s="1340" t="s">
        <v>1720</v>
      </c>
    </row>
    <row r="5" spans="1:3" ht="60.75" customHeight="1">
      <c r="A5" s="1353" t="s">
        <v>1722</v>
      </c>
      <c r="B5" s="1359"/>
      <c r="C5" s="1340" t="s">
        <v>1720</v>
      </c>
    </row>
    <row r="6" spans="1:3" ht="21.75" customHeight="1">
      <c r="A6" s="3866" t="s">
        <v>10105</v>
      </c>
      <c r="B6" s="3866"/>
      <c r="C6" s="1340"/>
    </row>
    <row r="7" spans="1:3" ht="189.75" customHeight="1">
      <c r="A7" s="1360" t="s">
        <v>1728</v>
      </c>
      <c r="B7" s="1359"/>
      <c r="C7" s="1340" t="s">
        <v>1729</v>
      </c>
    </row>
  </sheetData>
  <mergeCells count="3">
    <mergeCell ref="A1:C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C6"/>
  <sheetViews>
    <sheetView workbookViewId="0">
      <selection sqref="A1:C1"/>
    </sheetView>
  </sheetViews>
  <sheetFormatPr defaultRowHeight="14.4"/>
  <cols>
    <col min="1" max="1" width="27.59765625" style="1336" customWidth="1"/>
    <col min="2" max="2" width="73.3984375" style="1364" customWidth="1"/>
    <col min="3" max="3" width="12.8984375" style="1365" customWidth="1"/>
    <col min="4" max="256" width="9" style="1336"/>
    <col min="257" max="257" width="27.59765625" style="1336" customWidth="1"/>
    <col min="258" max="258" width="73.3984375" style="1336" customWidth="1"/>
    <col min="259" max="259" width="12.8984375" style="1336" customWidth="1"/>
    <col min="260" max="512" width="9" style="1336"/>
    <col min="513" max="513" width="27.59765625" style="1336" customWidth="1"/>
    <col min="514" max="514" width="73.3984375" style="1336" customWidth="1"/>
    <col min="515" max="515" width="12.8984375" style="1336" customWidth="1"/>
    <col min="516" max="768" width="9" style="1336"/>
    <col min="769" max="769" width="27.59765625" style="1336" customWidth="1"/>
    <col min="770" max="770" width="73.3984375" style="1336" customWidth="1"/>
    <col min="771" max="771" width="12.8984375" style="1336" customWidth="1"/>
    <col min="772" max="1024" width="9" style="1336"/>
    <col min="1025" max="1025" width="27.59765625" style="1336" customWidth="1"/>
    <col min="1026" max="1026" width="73.3984375" style="1336" customWidth="1"/>
    <col min="1027" max="1027" width="12.8984375" style="1336" customWidth="1"/>
    <col min="1028" max="1280" width="9" style="1336"/>
    <col min="1281" max="1281" width="27.59765625" style="1336" customWidth="1"/>
    <col min="1282" max="1282" width="73.3984375" style="1336" customWidth="1"/>
    <col min="1283" max="1283" width="12.8984375" style="1336" customWidth="1"/>
    <col min="1284" max="1536" width="9" style="1336"/>
    <col min="1537" max="1537" width="27.59765625" style="1336" customWidth="1"/>
    <col min="1538" max="1538" width="73.3984375" style="1336" customWidth="1"/>
    <col min="1539" max="1539" width="12.8984375" style="1336" customWidth="1"/>
    <col min="1540" max="1792" width="9" style="1336"/>
    <col min="1793" max="1793" width="27.59765625" style="1336" customWidth="1"/>
    <col min="1794" max="1794" width="73.3984375" style="1336" customWidth="1"/>
    <col min="1795" max="1795" width="12.8984375" style="1336" customWidth="1"/>
    <col min="1796" max="2048" width="9" style="1336"/>
    <col min="2049" max="2049" width="27.59765625" style="1336" customWidth="1"/>
    <col min="2050" max="2050" width="73.3984375" style="1336" customWidth="1"/>
    <col min="2051" max="2051" width="12.8984375" style="1336" customWidth="1"/>
    <col min="2052" max="2304" width="9" style="1336"/>
    <col min="2305" max="2305" width="27.59765625" style="1336" customWidth="1"/>
    <col min="2306" max="2306" width="73.3984375" style="1336" customWidth="1"/>
    <col min="2307" max="2307" width="12.8984375" style="1336" customWidth="1"/>
    <col min="2308" max="2560" width="9" style="1336"/>
    <col min="2561" max="2561" width="27.59765625" style="1336" customWidth="1"/>
    <col min="2562" max="2562" width="73.3984375" style="1336" customWidth="1"/>
    <col min="2563" max="2563" width="12.8984375" style="1336" customWidth="1"/>
    <col min="2564" max="2816" width="9" style="1336"/>
    <col min="2817" max="2817" width="27.59765625" style="1336" customWidth="1"/>
    <col min="2818" max="2818" width="73.3984375" style="1336" customWidth="1"/>
    <col min="2819" max="2819" width="12.8984375" style="1336" customWidth="1"/>
    <col min="2820" max="3072" width="9" style="1336"/>
    <col min="3073" max="3073" width="27.59765625" style="1336" customWidth="1"/>
    <col min="3074" max="3074" width="73.3984375" style="1336" customWidth="1"/>
    <col min="3075" max="3075" width="12.8984375" style="1336" customWidth="1"/>
    <col min="3076" max="3328" width="9" style="1336"/>
    <col min="3329" max="3329" width="27.59765625" style="1336" customWidth="1"/>
    <col min="3330" max="3330" width="73.3984375" style="1336" customWidth="1"/>
    <col min="3331" max="3331" width="12.8984375" style="1336" customWidth="1"/>
    <col min="3332" max="3584" width="9" style="1336"/>
    <col min="3585" max="3585" width="27.59765625" style="1336" customWidth="1"/>
    <col min="3586" max="3586" width="73.3984375" style="1336" customWidth="1"/>
    <col min="3587" max="3587" width="12.8984375" style="1336" customWidth="1"/>
    <col min="3588" max="3840" width="9" style="1336"/>
    <col min="3841" max="3841" width="27.59765625" style="1336" customWidth="1"/>
    <col min="3842" max="3842" width="73.3984375" style="1336" customWidth="1"/>
    <col min="3843" max="3843" width="12.8984375" style="1336" customWidth="1"/>
    <col min="3844" max="4096" width="9" style="1336"/>
    <col min="4097" max="4097" width="27.59765625" style="1336" customWidth="1"/>
    <col min="4098" max="4098" width="73.3984375" style="1336" customWidth="1"/>
    <col min="4099" max="4099" width="12.8984375" style="1336" customWidth="1"/>
    <col min="4100" max="4352" width="9" style="1336"/>
    <col min="4353" max="4353" width="27.59765625" style="1336" customWidth="1"/>
    <col min="4354" max="4354" width="73.3984375" style="1336" customWidth="1"/>
    <col min="4355" max="4355" width="12.8984375" style="1336" customWidth="1"/>
    <col min="4356" max="4608" width="9" style="1336"/>
    <col min="4609" max="4609" width="27.59765625" style="1336" customWidth="1"/>
    <col min="4610" max="4610" width="73.3984375" style="1336" customWidth="1"/>
    <col min="4611" max="4611" width="12.8984375" style="1336" customWidth="1"/>
    <col min="4612" max="4864" width="9" style="1336"/>
    <col min="4865" max="4865" width="27.59765625" style="1336" customWidth="1"/>
    <col min="4866" max="4866" width="73.3984375" style="1336" customWidth="1"/>
    <col min="4867" max="4867" width="12.8984375" style="1336" customWidth="1"/>
    <col min="4868" max="5120" width="9" style="1336"/>
    <col min="5121" max="5121" width="27.59765625" style="1336" customWidth="1"/>
    <col min="5122" max="5122" width="73.3984375" style="1336" customWidth="1"/>
    <col min="5123" max="5123" width="12.8984375" style="1336" customWidth="1"/>
    <col min="5124" max="5376" width="9" style="1336"/>
    <col min="5377" max="5377" width="27.59765625" style="1336" customWidth="1"/>
    <col min="5378" max="5378" width="73.3984375" style="1336" customWidth="1"/>
    <col min="5379" max="5379" width="12.8984375" style="1336" customWidth="1"/>
    <col min="5380" max="5632" width="9" style="1336"/>
    <col min="5633" max="5633" width="27.59765625" style="1336" customWidth="1"/>
    <col min="5634" max="5634" width="73.3984375" style="1336" customWidth="1"/>
    <col min="5635" max="5635" width="12.8984375" style="1336" customWidth="1"/>
    <col min="5636" max="5888" width="9" style="1336"/>
    <col min="5889" max="5889" width="27.59765625" style="1336" customWidth="1"/>
    <col min="5890" max="5890" width="73.3984375" style="1336" customWidth="1"/>
    <col min="5891" max="5891" width="12.8984375" style="1336" customWidth="1"/>
    <col min="5892" max="6144" width="9" style="1336"/>
    <col min="6145" max="6145" width="27.59765625" style="1336" customWidth="1"/>
    <col min="6146" max="6146" width="73.3984375" style="1336" customWidth="1"/>
    <col min="6147" max="6147" width="12.8984375" style="1336" customWidth="1"/>
    <col min="6148" max="6400" width="9" style="1336"/>
    <col min="6401" max="6401" width="27.59765625" style="1336" customWidth="1"/>
    <col min="6402" max="6402" width="73.3984375" style="1336" customWidth="1"/>
    <col min="6403" max="6403" width="12.8984375" style="1336" customWidth="1"/>
    <col min="6404" max="6656" width="9" style="1336"/>
    <col min="6657" max="6657" width="27.59765625" style="1336" customWidth="1"/>
    <col min="6658" max="6658" width="73.3984375" style="1336" customWidth="1"/>
    <col min="6659" max="6659" width="12.8984375" style="1336" customWidth="1"/>
    <col min="6660" max="6912" width="9" style="1336"/>
    <col min="6913" max="6913" width="27.59765625" style="1336" customWidth="1"/>
    <col min="6914" max="6914" width="73.3984375" style="1336" customWidth="1"/>
    <col min="6915" max="6915" width="12.8984375" style="1336" customWidth="1"/>
    <col min="6916" max="7168" width="9" style="1336"/>
    <col min="7169" max="7169" width="27.59765625" style="1336" customWidth="1"/>
    <col min="7170" max="7170" width="73.3984375" style="1336" customWidth="1"/>
    <col min="7171" max="7171" width="12.8984375" style="1336" customWidth="1"/>
    <col min="7172" max="7424" width="9" style="1336"/>
    <col min="7425" max="7425" width="27.59765625" style="1336" customWidth="1"/>
    <col min="7426" max="7426" width="73.3984375" style="1336" customWidth="1"/>
    <col min="7427" max="7427" width="12.8984375" style="1336" customWidth="1"/>
    <col min="7428" max="7680" width="9" style="1336"/>
    <col min="7681" max="7681" width="27.59765625" style="1336" customWidth="1"/>
    <col min="7682" max="7682" width="73.3984375" style="1336" customWidth="1"/>
    <col min="7683" max="7683" width="12.8984375" style="1336" customWidth="1"/>
    <col min="7684" max="7936" width="9" style="1336"/>
    <col min="7937" max="7937" width="27.59765625" style="1336" customWidth="1"/>
    <col min="7938" max="7938" width="73.3984375" style="1336" customWidth="1"/>
    <col min="7939" max="7939" width="12.8984375" style="1336" customWidth="1"/>
    <col min="7940" max="8192" width="9" style="1336"/>
    <col min="8193" max="8193" width="27.59765625" style="1336" customWidth="1"/>
    <col min="8194" max="8194" width="73.3984375" style="1336" customWidth="1"/>
    <col min="8195" max="8195" width="12.8984375" style="1336" customWidth="1"/>
    <col min="8196" max="8448" width="9" style="1336"/>
    <col min="8449" max="8449" width="27.59765625" style="1336" customWidth="1"/>
    <col min="8450" max="8450" width="73.3984375" style="1336" customWidth="1"/>
    <col min="8451" max="8451" width="12.8984375" style="1336" customWidth="1"/>
    <col min="8452" max="8704" width="9" style="1336"/>
    <col min="8705" max="8705" width="27.59765625" style="1336" customWidth="1"/>
    <col min="8706" max="8706" width="73.3984375" style="1336" customWidth="1"/>
    <col min="8707" max="8707" width="12.8984375" style="1336" customWidth="1"/>
    <col min="8708" max="8960" width="9" style="1336"/>
    <col min="8961" max="8961" width="27.59765625" style="1336" customWidth="1"/>
    <col min="8962" max="8962" width="73.3984375" style="1336" customWidth="1"/>
    <col min="8963" max="8963" width="12.8984375" style="1336" customWidth="1"/>
    <col min="8964" max="9216" width="9" style="1336"/>
    <col min="9217" max="9217" width="27.59765625" style="1336" customWidth="1"/>
    <col min="9218" max="9218" width="73.3984375" style="1336" customWidth="1"/>
    <col min="9219" max="9219" width="12.8984375" style="1336" customWidth="1"/>
    <col min="9220" max="9472" width="9" style="1336"/>
    <col min="9473" max="9473" width="27.59765625" style="1336" customWidth="1"/>
    <col min="9474" max="9474" width="73.3984375" style="1336" customWidth="1"/>
    <col min="9475" max="9475" width="12.8984375" style="1336" customWidth="1"/>
    <col min="9476" max="9728" width="9" style="1336"/>
    <col min="9729" max="9729" width="27.59765625" style="1336" customWidth="1"/>
    <col min="9730" max="9730" width="73.3984375" style="1336" customWidth="1"/>
    <col min="9731" max="9731" width="12.8984375" style="1336" customWidth="1"/>
    <col min="9732" max="9984" width="9" style="1336"/>
    <col min="9985" max="9985" width="27.59765625" style="1336" customWidth="1"/>
    <col min="9986" max="9986" width="73.3984375" style="1336" customWidth="1"/>
    <col min="9987" max="9987" width="12.8984375" style="1336" customWidth="1"/>
    <col min="9988" max="10240" width="9" style="1336"/>
    <col min="10241" max="10241" width="27.59765625" style="1336" customWidth="1"/>
    <col min="10242" max="10242" width="73.3984375" style="1336" customWidth="1"/>
    <col min="10243" max="10243" width="12.8984375" style="1336" customWidth="1"/>
    <col min="10244" max="10496" width="9" style="1336"/>
    <col min="10497" max="10497" width="27.59765625" style="1336" customWidth="1"/>
    <col min="10498" max="10498" width="73.3984375" style="1336" customWidth="1"/>
    <col min="10499" max="10499" width="12.8984375" style="1336" customWidth="1"/>
    <col min="10500" max="10752" width="9" style="1336"/>
    <col min="10753" max="10753" width="27.59765625" style="1336" customWidth="1"/>
    <col min="10754" max="10754" width="73.3984375" style="1336" customWidth="1"/>
    <col min="10755" max="10755" width="12.8984375" style="1336" customWidth="1"/>
    <col min="10756" max="11008" width="9" style="1336"/>
    <col min="11009" max="11009" width="27.59765625" style="1336" customWidth="1"/>
    <col min="11010" max="11010" width="73.3984375" style="1336" customWidth="1"/>
    <col min="11011" max="11011" width="12.8984375" style="1336" customWidth="1"/>
    <col min="11012" max="11264" width="9" style="1336"/>
    <col min="11265" max="11265" width="27.59765625" style="1336" customWidth="1"/>
    <col min="11266" max="11266" width="73.3984375" style="1336" customWidth="1"/>
    <col min="11267" max="11267" width="12.8984375" style="1336" customWidth="1"/>
    <col min="11268" max="11520" width="9" style="1336"/>
    <col min="11521" max="11521" width="27.59765625" style="1336" customWidth="1"/>
    <col min="11522" max="11522" width="73.3984375" style="1336" customWidth="1"/>
    <col min="11523" max="11523" width="12.8984375" style="1336" customWidth="1"/>
    <col min="11524" max="11776" width="9" style="1336"/>
    <col min="11777" max="11777" width="27.59765625" style="1336" customWidth="1"/>
    <col min="11778" max="11778" width="73.3984375" style="1336" customWidth="1"/>
    <col min="11779" max="11779" width="12.8984375" style="1336" customWidth="1"/>
    <col min="11780" max="12032" width="9" style="1336"/>
    <col min="12033" max="12033" width="27.59765625" style="1336" customWidth="1"/>
    <col min="12034" max="12034" width="73.3984375" style="1336" customWidth="1"/>
    <col min="12035" max="12035" width="12.8984375" style="1336" customWidth="1"/>
    <col min="12036" max="12288" width="9" style="1336"/>
    <col min="12289" max="12289" width="27.59765625" style="1336" customWidth="1"/>
    <col min="12290" max="12290" width="73.3984375" style="1336" customWidth="1"/>
    <col min="12291" max="12291" width="12.8984375" style="1336" customWidth="1"/>
    <col min="12292" max="12544" width="9" style="1336"/>
    <col min="12545" max="12545" width="27.59765625" style="1336" customWidth="1"/>
    <col min="12546" max="12546" width="73.3984375" style="1336" customWidth="1"/>
    <col min="12547" max="12547" width="12.8984375" style="1336" customWidth="1"/>
    <col min="12548" max="12800" width="9" style="1336"/>
    <col min="12801" max="12801" width="27.59765625" style="1336" customWidth="1"/>
    <col min="12802" max="12802" width="73.3984375" style="1336" customWidth="1"/>
    <col min="12803" max="12803" width="12.8984375" style="1336" customWidth="1"/>
    <col min="12804" max="13056" width="9" style="1336"/>
    <col min="13057" max="13057" width="27.59765625" style="1336" customWidth="1"/>
    <col min="13058" max="13058" width="73.3984375" style="1336" customWidth="1"/>
    <col min="13059" max="13059" width="12.8984375" style="1336" customWidth="1"/>
    <col min="13060" max="13312" width="9" style="1336"/>
    <col min="13313" max="13313" width="27.59765625" style="1336" customWidth="1"/>
    <col min="13314" max="13314" width="73.3984375" style="1336" customWidth="1"/>
    <col min="13315" max="13315" width="12.8984375" style="1336" customWidth="1"/>
    <col min="13316" max="13568" width="9" style="1336"/>
    <col min="13569" max="13569" width="27.59765625" style="1336" customWidth="1"/>
    <col min="13570" max="13570" width="73.3984375" style="1336" customWidth="1"/>
    <col min="13571" max="13571" width="12.8984375" style="1336" customWidth="1"/>
    <col min="13572" max="13824" width="9" style="1336"/>
    <col min="13825" max="13825" width="27.59765625" style="1336" customWidth="1"/>
    <col min="13826" max="13826" width="73.3984375" style="1336" customWidth="1"/>
    <col min="13827" max="13827" width="12.8984375" style="1336" customWidth="1"/>
    <col min="13828" max="14080" width="9" style="1336"/>
    <col min="14081" max="14081" width="27.59765625" style="1336" customWidth="1"/>
    <col min="14082" max="14082" width="73.3984375" style="1336" customWidth="1"/>
    <col min="14083" max="14083" width="12.8984375" style="1336" customWidth="1"/>
    <col min="14084" max="14336" width="9" style="1336"/>
    <col min="14337" max="14337" width="27.59765625" style="1336" customWidth="1"/>
    <col min="14338" max="14338" width="73.3984375" style="1336" customWidth="1"/>
    <col min="14339" max="14339" width="12.8984375" style="1336" customWidth="1"/>
    <col min="14340" max="14592" width="9" style="1336"/>
    <col min="14593" max="14593" width="27.59765625" style="1336" customWidth="1"/>
    <col min="14594" max="14594" width="73.3984375" style="1336" customWidth="1"/>
    <col min="14595" max="14595" width="12.8984375" style="1336" customWidth="1"/>
    <col min="14596" max="14848" width="9" style="1336"/>
    <col min="14849" max="14849" width="27.59765625" style="1336" customWidth="1"/>
    <col min="14850" max="14850" width="73.3984375" style="1336" customWidth="1"/>
    <col min="14851" max="14851" width="12.8984375" style="1336" customWidth="1"/>
    <col min="14852" max="15104" width="9" style="1336"/>
    <col min="15105" max="15105" width="27.59765625" style="1336" customWidth="1"/>
    <col min="15106" max="15106" width="73.3984375" style="1336" customWidth="1"/>
    <col min="15107" max="15107" width="12.8984375" style="1336" customWidth="1"/>
    <col min="15108" max="15360" width="9" style="1336"/>
    <col min="15361" max="15361" width="27.59765625" style="1336" customWidth="1"/>
    <col min="15362" max="15362" width="73.3984375" style="1336" customWidth="1"/>
    <col min="15363" max="15363" width="12.8984375" style="1336" customWidth="1"/>
    <col min="15364" max="15616" width="9" style="1336"/>
    <col min="15617" max="15617" width="27.59765625" style="1336" customWidth="1"/>
    <col min="15618" max="15618" width="73.3984375" style="1336" customWidth="1"/>
    <col min="15619" max="15619" width="12.8984375" style="1336" customWidth="1"/>
    <col min="15620" max="15872" width="9" style="1336"/>
    <col min="15873" max="15873" width="27.59765625" style="1336" customWidth="1"/>
    <col min="15874" max="15874" width="73.3984375" style="1336" customWidth="1"/>
    <col min="15875" max="15875" width="12.8984375" style="1336" customWidth="1"/>
    <col min="15876" max="16128" width="9" style="1336"/>
    <col min="16129" max="16129" width="27.59765625" style="1336" customWidth="1"/>
    <col min="16130" max="16130" width="73.3984375" style="1336" customWidth="1"/>
    <col min="16131" max="16131" width="12.8984375" style="1336" customWidth="1"/>
    <col min="16132" max="16384" width="9" style="1336"/>
  </cols>
  <sheetData>
    <row r="1" spans="1:3" ht="26.25" customHeight="1">
      <c r="A1" s="3867" t="s">
        <v>10109</v>
      </c>
      <c r="B1" s="3867"/>
      <c r="C1" s="3867"/>
    </row>
    <row r="2" spans="1:3" s="1352" customFormat="1" ht="24.75" customHeight="1">
      <c r="A2" s="3866" t="s">
        <v>1717</v>
      </c>
      <c r="B2" s="3866"/>
      <c r="C2" s="1340"/>
    </row>
    <row r="3" spans="1:3" ht="101.25" customHeight="1">
      <c r="A3" s="1353" t="s">
        <v>1719</v>
      </c>
      <c r="B3" s="1485" t="str">
        <f>"     贵单位已按《会计法》和《"&amp;基本情况!B38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C3" s="1340" t="s">
        <v>1720</v>
      </c>
    </row>
    <row r="4" spans="1:3" s="1352" customFormat="1" ht="101.25" customHeight="1">
      <c r="A4" s="1353" t="s">
        <v>1721</v>
      </c>
      <c r="B4" s="1363" t="s">
        <v>1730</v>
      </c>
      <c r="C4" s="1340" t="s">
        <v>1720</v>
      </c>
    </row>
    <row r="5" spans="1:3" s="1352" customFormat="1" ht="101.25" customHeight="1">
      <c r="A5" s="1355" t="s">
        <v>1722</v>
      </c>
      <c r="B5" s="1363" t="s">
        <v>10107</v>
      </c>
      <c r="C5" s="1340" t="s">
        <v>1720</v>
      </c>
    </row>
    <row r="6" spans="1:3" s="1352" customFormat="1" ht="48" customHeight="1">
      <c r="A6" s="3868" t="s">
        <v>10108</v>
      </c>
      <c r="B6" s="3869"/>
      <c r="C6" s="1356" t="s">
        <v>1724</v>
      </c>
    </row>
  </sheetData>
  <mergeCells count="3">
    <mergeCell ref="A1:C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C7"/>
  <sheetViews>
    <sheetView workbookViewId="0">
      <selection sqref="A1:B1"/>
    </sheetView>
  </sheetViews>
  <sheetFormatPr defaultRowHeight="14.4"/>
  <cols>
    <col min="1" max="1" width="18.5" style="1336" customWidth="1"/>
    <col min="2" max="2" width="74.5" style="1369" customWidth="1"/>
    <col min="3" max="3" width="13.09765625" style="1365" customWidth="1"/>
    <col min="4" max="256" width="9" style="1336"/>
    <col min="257" max="257" width="18.5" style="1336" customWidth="1"/>
    <col min="258" max="258" width="74.5" style="1336" customWidth="1"/>
    <col min="259" max="259" width="13.09765625" style="1336" customWidth="1"/>
    <col min="260" max="512" width="9" style="1336"/>
    <col min="513" max="513" width="18.5" style="1336" customWidth="1"/>
    <col min="514" max="514" width="74.5" style="1336" customWidth="1"/>
    <col min="515" max="515" width="13.09765625" style="1336" customWidth="1"/>
    <col min="516" max="768" width="9" style="1336"/>
    <col min="769" max="769" width="18.5" style="1336" customWidth="1"/>
    <col min="770" max="770" width="74.5" style="1336" customWidth="1"/>
    <col min="771" max="771" width="13.09765625" style="1336" customWidth="1"/>
    <col min="772" max="1024" width="9" style="1336"/>
    <col min="1025" max="1025" width="18.5" style="1336" customWidth="1"/>
    <col min="1026" max="1026" width="74.5" style="1336" customWidth="1"/>
    <col min="1027" max="1027" width="13.09765625" style="1336" customWidth="1"/>
    <col min="1028" max="1280" width="9" style="1336"/>
    <col min="1281" max="1281" width="18.5" style="1336" customWidth="1"/>
    <col min="1282" max="1282" width="74.5" style="1336" customWidth="1"/>
    <col min="1283" max="1283" width="13.09765625" style="1336" customWidth="1"/>
    <col min="1284" max="1536" width="9" style="1336"/>
    <col min="1537" max="1537" width="18.5" style="1336" customWidth="1"/>
    <col min="1538" max="1538" width="74.5" style="1336" customWidth="1"/>
    <col min="1539" max="1539" width="13.09765625" style="1336" customWidth="1"/>
    <col min="1540" max="1792" width="9" style="1336"/>
    <col min="1793" max="1793" width="18.5" style="1336" customWidth="1"/>
    <col min="1794" max="1794" width="74.5" style="1336" customWidth="1"/>
    <col min="1795" max="1795" width="13.09765625" style="1336" customWidth="1"/>
    <col min="1796" max="2048" width="9" style="1336"/>
    <col min="2049" max="2049" width="18.5" style="1336" customWidth="1"/>
    <col min="2050" max="2050" width="74.5" style="1336" customWidth="1"/>
    <col min="2051" max="2051" width="13.09765625" style="1336" customWidth="1"/>
    <col min="2052" max="2304" width="9" style="1336"/>
    <col min="2305" max="2305" width="18.5" style="1336" customWidth="1"/>
    <col min="2306" max="2306" width="74.5" style="1336" customWidth="1"/>
    <col min="2307" max="2307" width="13.09765625" style="1336" customWidth="1"/>
    <col min="2308" max="2560" width="9" style="1336"/>
    <col min="2561" max="2561" width="18.5" style="1336" customWidth="1"/>
    <col min="2562" max="2562" width="74.5" style="1336" customWidth="1"/>
    <col min="2563" max="2563" width="13.09765625" style="1336" customWidth="1"/>
    <col min="2564" max="2816" width="9" style="1336"/>
    <col min="2817" max="2817" width="18.5" style="1336" customWidth="1"/>
    <col min="2818" max="2818" width="74.5" style="1336" customWidth="1"/>
    <col min="2819" max="2819" width="13.09765625" style="1336" customWidth="1"/>
    <col min="2820" max="3072" width="9" style="1336"/>
    <col min="3073" max="3073" width="18.5" style="1336" customWidth="1"/>
    <col min="3074" max="3074" width="74.5" style="1336" customWidth="1"/>
    <col min="3075" max="3075" width="13.09765625" style="1336" customWidth="1"/>
    <col min="3076" max="3328" width="9" style="1336"/>
    <col min="3329" max="3329" width="18.5" style="1336" customWidth="1"/>
    <col min="3330" max="3330" width="74.5" style="1336" customWidth="1"/>
    <col min="3331" max="3331" width="13.09765625" style="1336" customWidth="1"/>
    <col min="3332" max="3584" width="9" style="1336"/>
    <col min="3585" max="3585" width="18.5" style="1336" customWidth="1"/>
    <col min="3586" max="3586" width="74.5" style="1336" customWidth="1"/>
    <col min="3587" max="3587" width="13.09765625" style="1336" customWidth="1"/>
    <col min="3588" max="3840" width="9" style="1336"/>
    <col min="3841" max="3841" width="18.5" style="1336" customWidth="1"/>
    <col min="3842" max="3842" width="74.5" style="1336" customWidth="1"/>
    <col min="3843" max="3843" width="13.09765625" style="1336" customWidth="1"/>
    <col min="3844" max="4096" width="9" style="1336"/>
    <col min="4097" max="4097" width="18.5" style="1336" customWidth="1"/>
    <col min="4098" max="4098" width="74.5" style="1336" customWidth="1"/>
    <col min="4099" max="4099" width="13.09765625" style="1336" customWidth="1"/>
    <col min="4100" max="4352" width="9" style="1336"/>
    <col min="4353" max="4353" width="18.5" style="1336" customWidth="1"/>
    <col min="4354" max="4354" width="74.5" style="1336" customWidth="1"/>
    <col min="4355" max="4355" width="13.09765625" style="1336" customWidth="1"/>
    <col min="4356" max="4608" width="9" style="1336"/>
    <col min="4609" max="4609" width="18.5" style="1336" customWidth="1"/>
    <col min="4610" max="4610" width="74.5" style="1336" customWidth="1"/>
    <col min="4611" max="4611" width="13.09765625" style="1336" customWidth="1"/>
    <col min="4612" max="4864" width="9" style="1336"/>
    <col min="4865" max="4865" width="18.5" style="1336" customWidth="1"/>
    <col min="4866" max="4866" width="74.5" style="1336" customWidth="1"/>
    <col min="4867" max="4867" width="13.09765625" style="1336" customWidth="1"/>
    <col min="4868" max="5120" width="9" style="1336"/>
    <col min="5121" max="5121" width="18.5" style="1336" customWidth="1"/>
    <col min="5122" max="5122" width="74.5" style="1336" customWidth="1"/>
    <col min="5123" max="5123" width="13.09765625" style="1336" customWidth="1"/>
    <col min="5124" max="5376" width="9" style="1336"/>
    <col min="5377" max="5377" width="18.5" style="1336" customWidth="1"/>
    <col min="5378" max="5378" width="74.5" style="1336" customWidth="1"/>
    <col min="5379" max="5379" width="13.09765625" style="1336" customWidth="1"/>
    <col min="5380" max="5632" width="9" style="1336"/>
    <col min="5633" max="5633" width="18.5" style="1336" customWidth="1"/>
    <col min="5634" max="5634" width="74.5" style="1336" customWidth="1"/>
    <col min="5635" max="5635" width="13.09765625" style="1336" customWidth="1"/>
    <col min="5636" max="5888" width="9" style="1336"/>
    <col min="5889" max="5889" width="18.5" style="1336" customWidth="1"/>
    <col min="5890" max="5890" width="74.5" style="1336" customWidth="1"/>
    <col min="5891" max="5891" width="13.09765625" style="1336" customWidth="1"/>
    <col min="5892" max="6144" width="9" style="1336"/>
    <col min="6145" max="6145" width="18.5" style="1336" customWidth="1"/>
    <col min="6146" max="6146" width="74.5" style="1336" customWidth="1"/>
    <col min="6147" max="6147" width="13.09765625" style="1336" customWidth="1"/>
    <col min="6148" max="6400" width="9" style="1336"/>
    <col min="6401" max="6401" width="18.5" style="1336" customWidth="1"/>
    <col min="6402" max="6402" width="74.5" style="1336" customWidth="1"/>
    <col min="6403" max="6403" width="13.09765625" style="1336" customWidth="1"/>
    <col min="6404" max="6656" width="9" style="1336"/>
    <col min="6657" max="6657" width="18.5" style="1336" customWidth="1"/>
    <col min="6658" max="6658" width="74.5" style="1336" customWidth="1"/>
    <col min="6659" max="6659" width="13.09765625" style="1336" customWidth="1"/>
    <col min="6660" max="6912" width="9" style="1336"/>
    <col min="6913" max="6913" width="18.5" style="1336" customWidth="1"/>
    <col min="6914" max="6914" width="74.5" style="1336" customWidth="1"/>
    <col min="6915" max="6915" width="13.09765625" style="1336" customWidth="1"/>
    <col min="6916" max="7168" width="9" style="1336"/>
    <col min="7169" max="7169" width="18.5" style="1336" customWidth="1"/>
    <col min="7170" max="7170" width="74.5" style="1336" customWidth="1"/>
    <col min="7171" max="7171" width="13.09765625" style="1336" customWidth="1"/>
    <col min="7172" max="7424" width="9" style="1336"/>
    <col min="7425" max="7425" width="18.5" style="1336" customWidth="1"/>
    <col min="7426" max="7426" width="74.5" style="1336" customWidth="1"/>
    <col min="7427" max="7427" width="13.09765625" style="1336" customWidth="1"/>
    <col min="7428" max="7680" width="9" style="1336"/>
    <col min="7681" max="7681" width="18.5" style="1336" customWidth="1"/>
    <col min="7682" max="7682" width="74.5" style="1336" customWidth="1"/>
    <col min="7683" max="7683" width="13.09765625" style="1336" customWidth="1"/>
    <col min="7684" max="7936" width="9" style="1336"/>
    <col min="7937" max="7937" width="18.5" style="1336" customWidth="1"/>
    <col min="7938" max="7938" width="74.5" style="1336" customWidth="1"/>
    <col min="7939" max="7939" width="13.09765625" style="1336" customWidth="1"/>
    <col min="7940" max="8192" width="9" style="1336"/>
    <col min="8193" max="8193" width="18.5" style="1336" customWidth="1"/>
    <col min="8194" max="8194" width="74.5" style="1336" customWidth="1"/>
    <col min="8195" max="8195" width="13.09765625" style="1336" customWidth="1"/>
    <col min="8196" max="8448" width="9" style="1336"/>
    <col min="8449" max="8449" width="18.5" style="1336" customWidth="1"/>
    <col min="8450" max="8450" width="74.5" style="1336" customWidth="1"/>
    <col min="8451" max="8451" width="13.09765625" style="1336" customWidth="1"/>
    <col min="8452" max="8704" width="9" style="1336"/>
    <col min="8705" max="8705" width="18.5" style="1336" customWidth="1"/>
    <col min="8706" max="8706" width="74.5" style="1336" customWidth="1"/>
    <col min="8707" max="8707" width="13.09765625" style="1336" customWidth="1"/>
    <col min="8708" max="8960" width="9" style="1336"/>
    <col min="8961" max="8961" width="18.5" style="1336" customWidth="1"/>
    <col min="8962" max="8962" width="74.5" style="1336" customWidth="1"/>
    <col min="8963" max="8963" width="13.09765625" style="1336" customWidth="1"/>
    <col min="8964" max="9216" width="9" style="1336"/>
    <col min="9217" max="9217" width="18.5" style="1336" customWidth="1"/>
    <col min="9218" max="9218" width="74.5" style="1336" customWidth="1"/>
    <col min="9219" max="9219" width="13.09765625" style="1336" customWidth="1"/>
    <col min="9220" max="9472" width="9" style="1336"/>
    <col min="9473" max="9473" width="18.5" style="1336" customWidth="1"/>
    <col min="9474" max="9474" width="74.5" style="1336" customWidth="1"/>
    <col min="9475" max="9475" width="13.09765625" style="1336" customWidth="1"/>
    <col min="9476" max="9728" width="9" style="1336"/>
    <col min="9729" max="9729" width="18.5" style="1336" customWidth="1"/>
    <col min="9730" max="9730" width="74.5" style="1336" customWidth="1"/>
    <col min="9731" max="9731" width="13.09765625" style="1336" customWidth="1"/>
    <col min="9732" max="9984" width="9" style="1336"/>
    <col min="9985" max="9985" width="18.5" style="1336" customWidth="1"/>
    <col min="9986" max="9986" width="74.5" style="1336" customWidth="1"/>
    <col min="9987" max="9987" width="13.09765625" style="1336" customWidth="1"/>
    <col min="9988" max="10240" width="9" style="1336"/>
    <col min="10241" max="10241" width="18.5" style="1336" customWidth="1"/>
    <col min="10242" max="10242" width="74.5" style="1336" customWidth="1"/>
    <col min="10243" max="10243" width="13.09765625" style="1336" customWidth="1"/>
    <col min="10244" max="10496" width="9" style="1336"/>
    <col min="10497" max="10497" width="18.5" style="1336" customWidth="1"/>
    <col min="10498" max="10498" width="74.5" style="1336" customWidth="1"/>
    <col min="10499" max="10499" width="13.09765625" style="1336" customWidth="1"/>
    <col min="10500" max="10752" width="9" style="1336"/>
    <col min="10753" max="10753" width="18.5" style="1336" customWidth="1"/>
    <col min="10754" max="10754" width="74.5" style="1336" customWidth="1"/>
    <col min="10755" max="10755" width="13.09765625" style="1336" customWidth="1"/>
    <col min="10756" max="11008" width="9" style="1336"/>
    <col min="11009" max="11009" width="18.5" style="1336" customWidth="1"/>
    <col min="11010" max="11010" width="74.5" style="1336" customWidth="1"/>
    <col min="11011" max="11011" width="13.09765625" style="1336" customWidth="1"/>
    <col min="11012" max="11264" width="9" style="1336"/>
    <col min="11265" max="11265" width="18.5" style="1336" customWidth="1"/>
    <col min="11266" max="11266" width="74.5" style="1336" customWidth="1"/>
    <col min="11267" max="11267" width="13.09765625" style="1336" customWidth="1"/>
    <col min="11268" max="11520" width="9" style="1336"/>
    <col min="11521" max="11521" width="18.5" style="1336" customWidth="1"/>
    <col min="11522" max="11522" width="74.5" style="1336" customWidth="1"/>
    <col min="11523" max="11523" width="13.09765625" style="1336" customWidth="1"/>
    <col min="11524" max="11776" width="9" style="1336"/>
    <col min="11777" max="11777" width="18.5" style="1336" customWidth="1"/>
    <col min="11778" max="11778" width="74.5" style="1336" customWidth="1"/>
    <col min="11779" max="11779" width="13.09765625" style="1336" customWidth="1"/>
    <col min="11780" max="12032" width="9" style="1336"/>
    <col min="12033" max="12033" width="18.5" style="1336" customWidth="1"/>
    <col min="12034" max="12034" width="74.5" style="1336" customWidth="1"/>
    <col min="12035" max="12035" width="13.09765625" style="1336" customWidth="1"/>
    <col min="12036" max="12288" width="9" style="1336"/>
    <col min="12289" max="12289" width="18.5" style="1336" customWidth="1"/>
    <col min="12290" max="12290" width="74.5" style="1336" customWidth="1"/>
    <col min="12291" max="12291" width="13.09765625" style="1336" customWidth="1"/>
    <col min="12292" max="12544" width="9" style="1336"/>
    <col min="12545" max="12545" width="18.5" style="1336" customWidth="1"/>
    <col min="12546" max="12546" width="74.5" style="1336" customWidth="1"/>
    <col min="12547" max="12547" width="13.09765625" style="1336" customWidth="1"/>
    <col min="12548" max="12800" width="9" style="1336"/>
    <col min="12801" max="12801" width="18.5" style="1336" customWidth="1"/>
    <col min="12802" max="12802" width="74.5" style="1336" customWidth="1"/>
    <col min="12803" max="12803" width="13.09765625" style="1336" customWidth="1"/>
    <col min="12804" max="13056" width="9" style="1336"/>
    <col min="13057" max="13057" width="18.5" style="1336" customWidth="1"/>
    <col min="13058" max="13058" width="74.5" style="1336" customWidth="1"/>
    <col min="13059" max="13059" width="13.09765625" style="1336" customWidth="1"/>
    <col min="13060" max="13312" width="9" style="1336"/>
    <col min="13313" max="13313" width="18.5" style="1336" customWidth="1"/>
    <col min="13314" max="13314" width="74.5" style="1336" customWidth="1"/>
    <col min="13315" max="13315" width="13.09765625" style="1336" customWidth="1"/>
    <col min="13316" max="13568" width="9" style="1336"/>
    <col min="13569" max="13569" width="18.5" style="1336" customWidth="1"/>
    <col min="13570" max="13570" width="74.5" style="1336" customWidth="1"/>
    <col min="13571" max="13571" width="13.09765625" style="1336" customWidth="1"/>
    <col min="13572" max="13824" width="9" style="1336"/>
    <col min="13825" max="13825" width="18.5" style="1336" customWidth="1"/>
    <col min="13826" max="13826" width="74.5" style="1336" customWidth="1"/>
    <col min="13827" max="13827" width="13.09765625" style="1336" customWidth="1"/>
    <col min="13828" max="14080" width="9" style="1336"/>
    <col min="14081" max="14081" width="18.5" style="1336" customWidth="1"/>
    <col min="14082" max="14082" width="74.5" style="1336" customWidth="1"/>
    <col min="14083" max="14083" width="13.09765625" style="1336" customWidth="1"/>
    <col min="14084" max="14336" width="9" style="1336"/>
    <col min="14337" max="14337" width="18.5" style="1336" customWidth="1"/>
    <col min="14338" max="14338" width="74.5" style="1336" customWidth="1"/>
    <col min="14339" max="14339" width="13.09765625" style="1336" customWidth="1"/>
    <col min="14340" max="14592" width="9" style="1336"/>
    <col min="14593" max="14593" width="18.5" style="1336" customWidth="1"/>
    <col min="14594" max="14594" width="74.5" style="1336" customWidth="1"/>
    <col min="14595" max="14595" width="13.09765625" style="1336" customWidth="1"/>
    <col min="14596" max="14848" width="9" style="1336"/>
    <col min="14849" max="14849" width="18.5" style="1336" customWidth="1"/>
    <col min="14850" max="14850" width="74.5" style="1336" customWidth="1"/>
    <col min="14851" max="14851" width="13.09765625" style="1336" customWidth="1"/>
    <col min="14852" max="15104" width="9" style="1336"/>
    <col min="15105" max="15105" width="18.5" style="1336" customWidth="1"/>
    <col min="15106" max="15106" width="74.5" style="1336" customWidth="1"/>
    <col min="15107" max="15107" width="13.09765625" style="1336" customWidth="1"/>
    <col min="15108" max="15360" width="9" style="1336"/>
    <col min="15361" max="15361" width="18.5" style="1336" customWidth="1"/>
    <col min="15362" max="15362" width="74.5" style="1336" customWidth="1"/>
    <col min="15363" max="15363" width="13.09765625" style="1336" customWidth="1"/>
    <col min="15364" max="15616" width="9" style="1336"/>
    <col min="15617" max="15617" width="18.5" style="1336" customWidth="1"/>
    <col min="15618" max="15618" width="74.5" style="1336" customWidth="1"/>
    <col min="15619" max="15619" width="13.09765625" style="1336" customWidth="1"/>
    <col min="15620" max="15872" width="9" style="1336"/>
    <col min="15873" max="15873" width="18.5" style="1336" customWidth="1"/>
    <col min="15874" max="15874" width="74.5" style="1336" customWidth="1"/>
    <col min="15875" max="15875" width="13.09765625" style="1336" customWidth="1"/>
    <col min="15876" max="16128" width="9" style="1336"/>
    <col min="16129" max="16129" width="18.5" style="1336" customWidth="1"/>
    <col min="16130" max="16130" width="74.5" style="1336" customWidth="1"/>
    <col min="16131" max="16131" width="13.09765625" style="1336" customWidth="1"/>
    <col min="16132" max="16384" width="9" style="1336"/>
  </cols>
  <sheetData>
    <row r="1" spans="1:3" ht="20.399999999999999">
      <c r="A1" s="3870" t="s">
        <v>10111</v>
      </c>
      <c r="B1" s="3870"/>
    </row>
    <row r="2" spans="1:3" s="1361" customFormat="1" ht="15.75" customHeight="1">
      <c r="A2" s="3862" t="s">
        <v>1717</v>
      </c>
      <c r="B2" s="3863"/>
      <c r="C2" s="1340" t="s">
        <v>1069</v>
      </c>
    </row>
    <row r="3" spans="1:3" s="1367" customFormat="1" ht="75.75" customHeight="1">
      <c r="A3" s="1353" t="s">
        <v>1719</v>
      </c>
      <c r="B3" s="1354"/>
      <c r="C3" s="1366" t="s">
        <v>1720</v>
      </c>
    </row>
    <row r="4" spans="1:3" s="1367" customFormat="1" ht="87" customHeight="1">
      <c r="A4" s="1353" t="s">
        <v>1721</v>
      </c>
      <c r="B4" s="1354"/>
      <c r="C4" s="1366" t="s">
        <v>1720</v>
      </c>
    </row>
    <row r="5" spans="1:3" s="1367" customFormat="1" ht="84" customHeight="1">
      <c r="A5" s="1355" t="s">
        <v>1722</v>
      </c>
      <c r="B5" s="1354"/>
      <c r="C5" s="1366" t="s">
        <v>1720</v>
      </c>
    </row>
    <row r="6" spans="1:3" s="1367" customFormat="1" ht="21" customHeight="1">
      <c r="A6" s="3871" t="s">
        <v>10110</v>
      </c>
      <c r="B6" s="3872"/>
      <c r="C6" s="1340"/>
    </row>
    <row r="7" spans="1:3" s="1367" customFormat="1" ht="162" customHeight="1">
      <c r="A7" s="1368" t="s">
        <v>1731</v>
      </c>
      <c r="B7" s="1354"/>
      <c r="C7" s="1340" t="s">
        <v>1732</v>
      </c>
    </row>
  </sheetData>
  <mergeCells count="3">
    <mergeCell ref="A1:B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E97"/>
  <sheetViews>
    <sheetView workbookViewId="0">
      <selection activeCell="A11" sqref="A11:B11"/>
    </sheetView>
  </sheetViews>
  <sheetFormatPr defaultRowHeight="12"/>
  <cols>
    <col min="1" max="1" width="20.3984375" style="1370" customWidth="1"/>
    <col min="2" max="2" width="13.8984375" style="1370" customWidth="1"/>
    <col min="3" max="3" width="37" style="1370" customWidth="1"/>
    <col min="4" max="4" width="23.19921875" style="1370" customWidth="1"/>
    <col min="5" max="5" width="25" style="1377" customWidth="1"/>
    <col min="6" max="256" width="9" style="1370"/>
    <col min="257" max="257" width="20.3984375" style="1370" customWidth="1"/>
    <col min="258" max="258" width="13.8984375" style="1370" customWidth="1"/>
    <col min="259" max="259" width="37" style="1370" customWidth="1"/>
    <col min="260" max="260" width="23.19921875" style="1370" customWidth="1"/>
    <col min="261" max="261" width="25" style="1370" customWidth="1"/>
    <col min="262" max="512" width="9" style="1370"/>
    <col min="513" max="513" width="20.3984375" style="1370" customWidth="1"/>
    <col min="514" max="514" width="13.8984375" style="1370" customWidth="1"/>
    <col min="515" max="515" width="37" style="1370" customWidth="1"/>
    <col min="516" max="516" width="23.19921875" style="1370" customWidth="1"/>
    <col min="517" max="517" width="25" style="1370" customWidth="1"/>
    <col min="518" max="768" width="9" style="1370"/>
    <col min="769" max="769" width="20.3984375" style="1370" customWidth="1"/>
    <col min="770" max="770" width="13.8984375" style="1370" customWidth="1"/>
    <col min="771" max="771" width="37" style="1370" customWidth="1"/>
    <col min="772" max="772" width="23.19921875" style="1370" customWidth="1"/>
    <col min="773" max="773" width="25" style="1370" customWidth="1"/>
    <col min="774" max="1024" width="9" style="1370"/>
    <col min="1025" max="1025" width="20.3984375" style="1370" customWidth="1"/>
    <col min="1026" max="1026" width="13.8984375" style="1370" customWidth="1"/>
    <col min="1027" max="1027" width="37" style="1370" customWidth="1"/>
    <col min="1028" max="1028" width="23.19921875" style="1370" customWidth="1"/>
    <col min="1029" max="1029" width="25" style="1370" customWidth="1"/>
    <col min="1030" max="1280" width="9" style="1370"/>
    <col min="1281" max="1281" width="20.3984375" style="1370" customWidth="1"/>
    <col min="1282" max="1282" width="13.8984375" style="1370" customWidth="1"/>
    <col min="1283" max="1283" width="37" style="1370" customWidth="1"/>
    <col min="1284" max="1284" width="23.19921875" style="1370" customWidth="1"/>
    <col min="1285" max="1285" width="25" style="1370" customWidth="1"/>
    <col min="1286" max="1536" width="9" style="1370"/>
    <col min="1537" max="1537" width="20.3984375" style="1370" customWidth="1"/>
    <col min="1538" max="1538" width="13.8984375" style="1370" customWidth="1"/>
    <col min="1539" max="1539" width="37" style="1370" customWidth="1"/>
    <col min="1540" max="1540" width="23.19921875" style="1370" customWidth="1"/>
    <col min="1541" max="1541" width="25" style="1370" customWidth="1"/>
    <col min="1542" max="1792" width="9" style="1370"/>
    <col min="1793" max="1793" width="20.3984375" style="1370" customWidth="1"/>
    <col min="1794" max="1794" width="13.8984375" style="1370" customWidth="1"/>
    <col min="1795" max="1795" width="37" style="1370" customWidth="1"/>
    <col min="1796" max="1796" width="23.19921875" style="1370" customWidth="1"/>
    <col min="1797" max="1797" width="25" style="1370" customWidth="1"/>
    <col min="1798" max="2048" width="9" style="1370"/>
    <col min="2049" max="2049" width="20.3984375" style="1370" customWidth="1"/>
    <col min="2050" max="2050" width="13.8984375" style="1370" customWidth="1"/>
    <col min="2051" max="2051" width="37" style="1370" customWidth="1"/>
    <col min="2052" max="2052" width="23.19921875" style="1370" customWidth="1"/>
    <col min="2053" max="2053" width="25" style="1370" customWidth="1"/>
    <col min="2054" max="2304" width="9" style="1370"/>
    <col min="2305" max="2305" width="20.3984375" style="1370" customWidth="1"/>
    <col min="2306" max="2306" width="13.8984375" style="1370" customWidth="1"/>
    <col min="2307" max="2307" width="37" style="1370" customWidth="1"/>
    <col min="2308" max="2308" width="23.19921875" style="1370" customWidth="1"/>
    <col min="2309" max="2309" width="25" style="1370" customWidth="1"/>
    <col min="2310" max="2560" width="9" style="1370"/>
    <col min="2561" max="2561" width="20.3984375" style="1370" customWidth="1"/>
    <col min="2562" max="2562" width="13.8984375" style="1370" customWidth="1"/>
    <col min="2563" max="2563" width="37" style="1370" customWidth="1"/>
    <col min="2564" max="2564" width="23.19921875" style="1370" customWidth="1"/>
    <col min="2565" max="2565" width="25" style="1370" customWidth="1"/>
    <col min="2566" max="2816" width="9" style="1370"/>
    <col min="2817" max="2817" width="20.3984375" style="1370" customWidth="1"/>
    <col min="2818" max="2818" width="13.8984375" style="1370" customWidth="1"/>
    <col min="2819" max="2819" width="37" style="1370" customWidth="1"/>
    <col min="2820" max="2820" width="23.19921875" style="1370" customWidth="1"/>
    <col min="2821" max="2821" width="25" style="1370" customWidth="1"/>
    <col min="2822" max="3072" width="9" style="1370"/>
    <col min="3073" max="3073" width="20.3984375" style="1370" customWidth="1"/>
    <col min="3074" max="3074" width="13.8984375" style="1370" customWidth="1"/>
    <col min="3075" max="3075" width="37" style="1370" customWidth="1"/>
    <col min="3076" max="3076" width="23.19921875" style="1370" customWidth="1"/>
    <col min="3077" max="3077" width="25" style="1370" customWidth="1"/>
    <col min="3078" max="3328" width="9" style="1370"/>
    <col min="3329" max="3329" width="20.3984375" style="1370" customWidth="1"/>
    <col min="3330" max="3330" width="13.8984375" style="1370" customWidth="1"/>
    <col min="3331" max="3331" width="37" style="1370" customWidth="1"/>
    <col min="3332" max="3332" width="23.19921875" style="1370" customWidth="1"/>
    <col min="3333" max="3333" width="25" style="1370" customWidth="1"/>
    <col min="3334" max="3584" width="9" style="1370"/>
    <col min="3585" max="3585" width="20.3984375" style="1370" customWidth="1"/>
    <col min="3586" max="3586" width="13.8984375" style="1370" customWidth="1"/>
    <col min="3587" max="3587" width="37" style="1370" customWidth="1"/>
    <col min="3588" max="3588" width="23.19921875" style="1370" customWidth="1"/>
    <col min="3589" max="3589" width="25" style="1370" customWidth="1"/>
    <col min="3590" max="3840" width="9" style="1370"/>
    <col min="3841" max="3841" width="20.3984375" style="1370" customWidth="1"/>
    <col min="3842" max="3842" width="13.8984375" style="1370" customWidth="1"/>
    <col min="3843" max="3843" width="37" style="1370" customWidth="1"/>
    <col min="3844" max="3844" width="23.19921875" style="1370" customWidth="1"/>
    <col min="3845" max="3845" width="25" style="1370" customWidth="1"/>
    <col min="3846" max="4096" width="9" style="1370"/>
    <col min="4097" max="4097" width="20.3984375" style="1370" customWidth="1"/>
    <col min="4098" max="4098" width="13.8984375" style="1370" customWidth="1"/>
    <col min="4099" max="4099" width="37" style="1370" customWidth="1"/>
    <col min="4100" max="4100" width="23.19921875" style="1370" customWidth="1"/>
    <col min="4101" max="4101" width="25" style="1370" customWidth="1"/>
    <col min="4102" max="4352" width="9" style="1370"/>
    <col min="4353" max="4353" width="20.3984375" style="1370" customWidth="1"/>
    <col min="4354" max="4354" width="13.8984375" style="1370" customWidth="1"/>
    <col min="4355" max="4355" width="37" style="1370" customWidth="1"/>
    <col min="4356" max="4356" width="23.19921875" style="1370" customWidth="1"/>
    <col min="4357" max="4357" width="25" style="1370" customWidth="1"/>
    <col min="4358" max="4608" width="9" style="1370"/>
    <col min="4609" max="4609" width="20.3984375" style="1370" customWidth="1"/>
    <col min="4610" max="4610" width="13.8984375" style="1370" customWidth="1"/>
    <col min="4611" max="4611" width="37" style="1370" customWidth="1"/>
    <col min="4612" max="4612" width="23.19921875" style="1370" customWidth="1"/>
    <col min="4613" max="4613" width="25" style="1370" customWidth="1"/>
    <col min="4614" max="4864" width="9" style="1370"/>
    <col min="4865" max="4865" width="20.3984375" style="1370" customWidth="1"/>
    <col min="4866" max="4866" width="13.8984375" style="1370" customWidth="1"/>
    <col min="4867" max="4867" width="37" style="1370" customWidth="1"/>
    <col min="4868" max="4868" width="23.19921875" style="1370" customWidth="1"/>
    <col min="4869" max="4869" width="25" style="1370" customWidth="1"/>
    <col min="4870" max="5120" width="9" style="1370"/>
    <col min="5121" max="5121" width="20.3984375" style="1370" customWidth="1"/>
    <col min="5122" max="5122" width="13.8984375" style="1370" customWidth="1"/>
    <col min="5123" max="5123" width="37" style="1370" customWidth="1"/>
    <col min="5124" max="5124" width="23.19921875" style="1370" customWidth="1"/>
    <col min="5125" max="5125" width="25" style="1370" customWidth="1"/>
    <col min="5126" max="5376" width="9" style="1370"/>
    <col min="5377" max="5377" width="20.3984375" style="1370" customWidth="1"/>
    <col min="5378" max="5378" width="13.8984375" style="1370" customWidth="1"/>
    <col min="5379" max="5379" width="37" style="1370" customWidth="1"/>
    <col min="5380" max="5380" width="23.19921875" style="1370" customWidth="1"/>
    <col min="5381" max="5381" width="25" style="1370" customWidth="1"/>
    <col min="5382" max="5632" width="9" style="1370"/>
    <col min="5633" max="5633" width="20.3984375" style="1370" customWidth="1"/>
    <col min="5634" max="5634" width="13.8984375" style="1370" customWidth="1"/>
    <col min="5635" max="5635" width="37" style="1370" customWidth="1"/>
    <col min="5636" max="5636" width="23.19921875" style="1370" customWidth="1"/>
    <col min="5637" max="5637" width="25" style="1370" customWidth="1"/>
    <col min="5638" max="5888" width="9" style="1370"/>
    <col min="5889" max="5889" width="20.3984375" style="1370" customWidth="1"/>
    <col min="5890" max="5890" width="13.8984375" style="1370" customWidth="1"/>
    <col min="5891" max="5891" width="37" style="1370" customWidth="1"/>
    <col min="5892" max="5892" width="23.19921875" style="1370" customWidth="1"/>
    <col min="5893" max="5893" width="25" style="1370" customWidth="1"/>
    <col min="5894" max="6144" width="9" style="1370"/>
    <col min="6145" max="6145" width="20.3984375" style="1370" customWidth="1"/>
    <col min="6146" max="6146" width="13.8984375" style="1370" customWidth="1"/>
    <col min="6147" max="6147" width="37" style="1370" customWidth="1"/>
    <col min="6148" max="6148" width="23.19921875" style="1370" customWidth="1"/>
    <col min="6149" max="6149" width="25" style="1370" customWidth="1"/>
    <col min="6150" max="6400" width="9" style="1370"/>
    <col min="6401" max="6401" width="20.3984375" style="1370" customWidth="1"/>
    <col min="6402" max="6402" width="13.8984375" style="1370" customWidth="1"/>
    <col min="6403" max="6403" width="37" style="1370" customWidth="1"/>
    <col min="6404" max="6404" width="23.19921875" style="1370" customWidth="1"/>
    <col min="6405" max="6405" width="25" style="1370" customWidth="1"/>
    <col min="6406" max="6656" width="9" style="1370"/>
    <col min="6657" max="6657" width="20.3984375" style="1370" customWidth="1"/>
    <col min="6658" max="6658" width="13.8984375" style="1370" customWidth="1"/>
    <col min="6659" max="6659" width="37" style="1370" customWidth="1"/>
    <col min="6660" max="6660" width="23.19921875" style="1370" customWidth="1"/>
    <col min="6661" max="6661" width="25" style="1370" customWidth="1"/>
    <col min="6662" max="6912" width="9" style="1370"/>
    <col min="6913" max="6913" width="20.3984375" style="1370" customWidth="1"/>
    <col min="6914" max="6914" width="13.8984375" style="1370" customWidth="1"/>
    <col min="6915" max="6915" width="37" style="1370" customWidth="1"/>
    <col min="6916" max="6916" width="23.19921875" style="1370" customWidth="1"/>
    <col min="6917" max="6917" width="25" style="1370" customWidth="1"/>
    <col min="6918" max="7168" width="9" style="1370"/>
    <col min="7169" max="7169" width="20.3984375" style="1370" customWidth="1"/>
    <col min="7170" max="7170" width="13.8984375" style="1370" customWidth="1"/>
    <col min="7171" max="7171" width="37" style="1370" customWidth="1"/>
    <col min="7172" max="7172" width="23.19921875" style="1370" customWidth="1"/>
    <col min="7173" max="7173" width="25" style="1370" customWidth="1"/>
    <col min="7174" max="7424" width="9" style="1370"/>
    <col min="7425" max="7425" width="20.3984375" style="1370" customWidth="1"/>
    <col min="7426" max="7426" width="13.8984375" style="1370" customWidth="1"/>
    <col min="7427" max="7427" width="37" style="1370" customWidth="1"/>
    <col min="7428" max="7428" width="23.19921875" style="1370" customWidth="1"/>
    <col min="7429" max="7429" width="25" style="1370" customWidth="1"/>
    <col min="7430" max="7680" width="9" style="1370"/>
    <col min="7681" max="7681" width="20.3984375" style="1370" customWidth="1"/>
    <col min="7682" max="7682" width="13.8984375" style="1370" customWidth="1"/>
    <col min="7683" max="7683" width="37" style="1370" customWidth="1"/>
    <col min="7684" max="7684" width="23.19921875" style="1370" customWidth="1"/>
    <col min="7685" max="7685" width="25" style="1370" customWidth="1"/>
    <col min="7686" max="7936" width="9" style="1370"/>
    <col min="7937" max="7937" width="20.3984375" style="1370" customWidth="1"/>
    <col min="7938" max="7938" width="13.8984375" style="1370" customWidth="1"/>
    <col min="7939" max="7939" width="37" style="1370" customWidth="1"/>
    <col min="7940" max="7940" width="23.19921875" style="1370" customWidth="1"/>
    <col min="7941" max="7941" width="25" style="1370" customWidth="1"/>
    <col min="7942" max="8192" width="9" style="1370"/>
    <col min="8193" max="8193" width="20.3984375" style="1370" customWidth="1"/>
    <col min="8194" max="8194" width="13.8984375" style="1370" customWidth="1"/>
    <col min="8195" max="8195" width="37" style="1370" customWidth="1"/>
    <col min="8196" max="8196" width="23.19921875" style="1370" customWidth="1"/>
    <col min="8197" max="8197" width="25" style="1370" customWidth="1"/>
    <col min="8198" max="8448" width="9" style="1370"/>
    <col min="8449" max="8449" width="20.3984375" style="1370" customWidth="1"/>
    <col min="8450" max="8450" width="13.8984375" style="1370" customWidth="1"/>
    <col min="8451" max="8451" width="37" style="1370" customWidth="1"/>
    <col min="8452" max="8452" width="23.19921875" style="1370" customWidth="1"/>
    <col min="8453" max="8453" width="25" style="1370" customWidth="1"/>
    <col min="8454" max="8704" width="9" style="1370"/>
    <col min="8705" max="8705" width="20.3984375" style="1370" customWidth="1"/>
    <col min="8706" max="8706" width="13.8984375" style="1370" customWidth="1"/>
    <col min="8707" max="8707" width="37" style="1370" customWidth="1"/>
    <col min="8708" max="8708" width="23.19921875" style="1370" customWidth="1"/>
    <col min="8709" max="8709" width="25" style="1370" customWidth="1"/>
    <col min="8710" max="8960" width="9" style="1370"/>
    <col min="8961" max="8961" width="20.3984375" style="1370" customWidth="1"/>
    <col min="8962" max="8962" width="13.8984375" style="1370" customWidth="1"/>
    <col min="8963" max="8963" width="37" style="1370" customWidth="1"/>
    <col min="8964" max="8964" width="23.19921875" style="1370" customWidth="1"/>
    <col min="8965" max="8965" width="25" style="1370" customWidth="1"/>
    <col min="8966" max="9216" width="9" style="1370"/>
    <col min="9217" max="9217" width="20.3984375" style="1370" customWidth="1"/>
    <col min="9218" max="9218" width="13.8984375" style="1370" customWidth="1"/>
    <col min="9219" max="9219" width="37" style="1370" customWidth="1"/>
    <col min="9220" max="9220" width="23.19921875" style="1370" customWidth="1"/>
    <col min="9221" max="9221" width="25" style="1370" customWidth="1"/>
    <col min="9222" max="9472" width="9" style="1370"/>
    <col min="9473" max="9473" width="20.3984375" style="1370" customWidth="1"/>
    <col min="9474" max="9474" width="13.8984375" style="1370" customWidth="1"/>
    <col min="9475" max="9475" width="37" style="1370" customWidth="1"/>
    <col min="9476" max="9476" width="23.19921875" style="1370" customWidth="1"/>
    <col min="9477" max="9477" width="25" style="1370" customWidth="1"/>
    <col min="9478" max="9728" width="9" style="1370"/>
    <col min="9729" max="9729" width="20.3984375" style="1370" customWidth="1"/>
    <col min="9730" max="9730" width="13.8984375" style="1370" customWidth="1"/>
    <col min="9731" max="9731" width="37" style="1370" customWidth="1"/>
    <col min="9732" max="9732" width="23.19921875" style="1370" customWidth="1"/>
    <col min="9733" max="9733" width="25" style="1370" customWidth="1"/>
    <col min="9734" max="9984" width="9" style="1370"/>
    <col min="9985" max="9985" width="20.3984375" style="1370" customWidth="1"/>
    <col min="9986" max="9986" width="13.8984375" style="1370" customWidth="1"/>
    <col min="9987" max="9987" width="37" style="1370" customWidth="1"/>
    <col min="9988" max="9988" width="23.19921875" style="1370" customWidth="1"/>
    <col min="9989" max="9989" width="25" style="1370" customWidth="1"/>
    <col min="9990" max="10240" width="9" style="1370"/>
    <col min="10241" max="10241" width="20.3984375" style="1370" customWidth="1"/>
    <col min="10242" max="10242" width="13.8984375" style="1370" customWidth="1"/>
    <col min="10243" max="10243" width="37" style="1370" customWidth="1"/>
    <col min="10244" max="10244" width="23.19921875" style="1370" customWidth="1"/>
    <col min="10245" max="10245" width="25" style="1370" customWidth="1"/>
    <col min="10246" max="10496" width="9" style="1370"/>
    <col min="10497" max="10497" width="20.3984375" style="1370" customWidth="1"/>
    <col min="10498" max="10498" width="13.8984375" style="1370" customWidth="1"/>
    <col min="10499" max="10499" width="37" style="1370" customWidth="1"/>
    <col min="10500" max="10500" width="23.19921875" style="1370" customWidth="1"/>
    <col min="10501" max="10501" width="25" style="1370" customWidth="1"/>
    <col min="10502" max="10752" width="9" style="1370"/>
    <col min="10753" max="10753" width="20.3984375" style="1370" customWidth="1"/>
    <col min="10754" max="10754" width="13.8984375" style="1370" customWidth="1"/>
    <col min="10755" max="10755" width="37" style="1370" customWidth="1"/>
    <col min="10756" max="10756" width="23.19921875" style="1370" customWidth="1"/>
    <col min="10757" max="10757" width="25" style="1370" customWidth="1"/>
    <col min="10758" max="11008" width="9" style="1370"/>
    <col min="11009" max="11009" width="20.3984375" style="1370" customWidth="1"/>
    <col min="11010" max="11010" width="13.8984375" style="1370" customWidth="1"/>
    <col min="11011" max="11011" width="37" style="1370" customWidth="1"/>
    <col min="11012" max="11012" width="23.19921875" style="1370" customWidth="1"/>
    <col min="11013" max="11013" width="25" style="1370" customWidth="1"/>
    <col min="11014" max="11264" width="9" style="1370"/>
    <col min="11265" max="11265" width="20.3984375" style="1370" customWidth="1"/>
    <col min="11266" max="11266" width="13.8984375" style="1370" customWidth="1"/>
    <col min="11267" max="11267" width="37" style="1370" customWidth="1"/>
    <col min="11268" max="11268" width="23.19921875" style="1370" customWidth="1"/>
    <col min="11269" max="11269" width="25" style="1370" customWidth="1"/>
    <col min="11270" max="11520" width="9" style="1370"/>
    <col min="11521" max="11521" width="20.3984375" style="1370" customWidth="1"/>
    <col min="11522" max="11522" width="13.8984375" style="1370" customWidth="1"/>
    <col min="11523" max="11523" width="37" style="1370" customWidth="1"/>
    <col min="11524" max="11524" width="23.19921875" style="1370" customWidth="1"/>
    <col min="11525" max="11525" width="25" style="1370" customWidth="1"/>
    <col min="11526" max="11776" width="9" style="1370"/>
    <col min="11777" max="11777" width="20.3984375" style="1370" customWidth="1"/>
    <col min="11778" max="11778" width="13.8984375" style="1370" customWidth="1"/>
    <col min="11779" max="11779" width="37" style="1370" customWidth="1"/>
    <col min="11780" max="11780" width="23.19921875" style="1370" customWidth="1"/>
    <col min="11781" max="11781" width="25" style="1370" customWidth="1"/>
    <col min="11782" max="12032" width="9" style="1370"/>
    <col min="12033" max="12033" width="20.3984375" style="1370" customWidth="1"/>
    <col min="12034" max="12034" width="13.8984375" style="1370" customWidth="1"/>
    <col min="12035" max="12035" width="37" style="1370" customWidth="1"/>
    <col min="12036" max="12036" width="23.19921875" style="1370" customWidth="1"/>
    <col min="12037" max="12037" width="25" style="1370" customWidth="1"/>
    <col min="12038" max="12288" width="9" style="1370"/>
    <col min="12289" max="12289" width="20.3984375" style="1370" customWidth="1"/>
    <col min="12290" max="12290" width="13.8984375" style="1370" customWidth="1"/>
    <col min="12291" max="12291" width="37" style="1370" customWidth="1"/>
    <col min="12292" max="12292" width="23.19921875" style="1370" customWidth="1"/>
    <col min="12293" max="12293" width="25" style="1370" customWidth="1"/>
    <col min="12294" max="12544" width="9" style="1370"/>
    <col min="12545" max="12545" width="20.3984375" style="1370" customWidth="1"/>
    <col min="12546" max="12546" width="13.8984375" style="1370" customWidth="1"/>
    <col min="12547" max="12547" width="37" style="1370" customWidth="1"/>
    <col min="12548" max="12548" width="23.19921875" style="1370" customWidth="1"/>
    <col min="12549" max="12549" width="25" style="1370" customWidth="1"/>
    <col min="12550" max="12800" width="9" style="1370"/>
    <col min="12801" max="12801" width="20.3984375" style="1370" customWidth="1"/>
    <col min="12802" max="12802" width="13.8984375" style="1370" customWidth="1"/>
    <col min="12803" max="12803" width="37" style="1370" customWidth="1"/>
    <col min="12804" max="12804" width="23.19921875" style="1370" customWidth="1"/>
    <col min="12805" max="12805" width="25" style="1370" customWidth="1"/>
    <col min="12806" max="13056" width="9" style="1370"/>
    <col min="13057" max="13057" width="20.3984375" style="1370" customWidth="1"/>
    <col min="13058" max="13058" width="13.8984375" style="1370" customWidth="1"/>
    <col min="13059" max="13059" width="37" style="1370" customWidth="1"/>
    <col min="13060" max="13060" width="23.19921875" style="1370" customWidth="1"/>
    <col min="13061" max="13061" width="25" style="1370" customWidth="1"/>
    <col min="13062" max="13312" width="9" style="1370"/>
    <col min="13313" max="13313" width="20.3984375" style="1370" customWidth="1"/>
    <col min="13314" max="13314" width="13.8984375" style="1370" customWidth="1"/>
    <col min="13315" max="13315" width="37" style="1370" customWidth="1"/>
    <col min="13316" max="13316" width="23.19921875" style="1370" customWidth="1"/>
    <col min="13317" max="13317" width="25" style="1370" customWidth="1"/>
    <col min="13318" max="13568" width="9" style="1370"/>
    <col min="13569" max="13569" width="20.3984375" style="1370" customWidth="1"/>
    <col min="13570" max="13570" width="13.8984375" style="1370" customWidth="1"/>
    <col min="13571" max="13571" width="37" style="1370" customWidth="1"/>
    <col min="13572" max="13572" width="23.19921875" style="1370" customWidth="1"/>
    <col min="13573" max="13573" width="25" style="1370" customWidth="1"/>
    <col min="13574" max="13824" width="9" style="1370"/>
    <col min="13825" max="13825" width="20.3984375" style="1370" customWidth="1"/>
    <col min="13826" max="13826" width="13.8984375" style="1370" customWidth="1"/>
    <col min="13827" max="13827" width="37" style="1370" customWidth="1"/>
    <col min="13828" max="13828" width="23.19921875" style="1370" customWidth="1"/>
    <col min="13829" max="13829" width="25" style="1370" customWidth="1"/>
    <col min="13830" max="14080" width="9" style="1370"/>
    <col min="14081" max="14081" width="20.3984375" style="1370" customWidth="1"/>
    <col min="14082" max="14082" width="13.8984375" style="1370" customWidth="1"/>
    <col min="14083" max="14083" width="37" style="1370" customWidth="1"/>
    <col min="14084" max="14084" width="23.19921875" style="1370" customWidth="1"/>
    <col min="14085" max="14085" width="25" style="1370" customWidth="1"/>
    <col min="14086" max="14336" width="9" style="1370"/>
    <col min="14337" max="14337" width="20.3984375" style="1370" customWidth="1"/>
    <col min="14338" max="14338" width="13.8984375" style="1370" customWidth="1"/>
    <col min="14339" max="14339" width="37" style="1370" customWidth="1"/>
    <col min="14340" max="14340" width="23.19921875" style="1370" customWidth="1"/>
    <col min="14341" max="14341" width="25" style="1370" customWidth="1"/>
    <col min="14342" max="14592" width="9" style="1370"/>
    <col min="14593" max="14593" width="20.3984375" style="1370" customWidth="1"/>
    <col min="14594" max="14594" width="13.8984375" style="1370" customWidth="1"/>
    <col min="14595" max="14595" width="37" style="1370" customWidth="1"/>
    <col min="14596" max="14596" width="23.19921875" style="1370" customWidth="1"/>
    <col min="14597" max="14597" width="25" style="1370" customWidth="1"/>
    <col min="14598" max="14848" width="9" style="1370"/>
    <col min="14849" max="14849" width="20.3984375" style="1370" customWidth="1"/>
    <col min="14850" max="14850" width="13.8984375" style="1370" customWidth="1"/>
    <col min="14851" max="14851" width="37" style="1370" customWidth="1"/>
    <col min="14852" max="14852" width="23.19921875" style="1370" customWidth="1"/>
    <col min="14853" max="14853" width="25" style="1370" customWidth="1"/>
    <col min="14854" max="15104" width="9" style="1370"/>
    <col min="15105" max="15105" width="20.3984375" style="1370" customWidth="1"/>
    <col min="15106" max="15106" width="13.8984375" style="1370" customWidth="1"/>
    <col min="15107" max="15107" width="37" style="1370" customWidth="1"/>
    <col min="15108" max="15108" width="23.19921875" style="1370" customWidth="1"/>
    <col min="15109" max="15109" width="25" style="1370" customWidth="1"/>
    <col min="15110" max="15360" width="9" style="1370"/>
    <col min="15361" max="15361" width="20.3984375" style="1370" customWidth="1"/>
    <col min="15362" max="15362" width="13.8984375" style="1370" customWidth="1"/>
    <col min="15363" max="15363" width="37" style="1370" customWidth="1"/>
    <col min="15364" max="15364" width="23.19921875" style="1370" customWidth="1"/>
    <col min="15365" max="15365" width="25" style="1370" customWidth="1"/>
    <col min="15366" max="15616" width="9" style="1370"/>
    <col min="15617" max="15617" width="20.3984375" style="1370" customWidth="1"/>
    <col min="15618" max="15618" width="13.8984375" style="1370" customWidth="1"/>
    <col min="15619" max="15619" width="37" style="1370" customWidth="1"/>
    <col min="15620" max="15620" width="23.19921875" style="1370" customWidth="1"/>
    <col min="15621" max="15621" width="25" style="1370" customWidth="1"/>
    <col min="15622" max="15872" width="9" style="1370"/>
    <col min="15873" max="15873" width="20.3984375" style="1370" customWidth="1"/>
    <col min="15874" max="15874" width="13.8984375" style="1370" customWidth="1"/>
    <col min="15875" max="15875" width="37" style="1370" customWidth="1"/>
    <col min="15876" max="15876" width="23.19921875" style="1370" customWidth="1"/>
    <col min="15877" max="15877" width="25" style="1370" customWidth="1"/>
    <col min="15878" max="16128" width="9" style="1370"/>
    <col min="16129" max="16129" width="20.3984375" style="1370" customWidth="1"/>
    <col min="16130" max="16130" width="13.8984375" style="1370" customWidth="1"/>
    <col min="16131" max="16131" width="37" style="1370" customWidth="1"/>
    <col min="16132" max="16132" width="23.19921875" style="1370" customWidth="1"/>
    <col min="16133" max="16133" width="25" style="1370" customWidth="1"/>
    <col min="16134" max="16384" width="9" style="1370"/>
  </cols>
  <sheetData>
    <row r="1" spans="1:5" ht="25.5" customHeight="1">
      <c r="A1" s="3873" t="s">
        <v>1733</v>
      </c>
      <c r="B1" s="3873"/>
      <c r="C1" s="3873"/>
      <c r="D1" s="3873"/>
      <c r="E1" s="3873"/>
    </row>
    <row r="2" spans="1:5" ht="22.5" customHeight="1">
      <c r="A2" s="3868" t="s">
        <v>1734</v>
      </c>
      <c r="B2" s="3874"/>
      <c r="C2" s="3874"/>
      <c r="D2" s="3869"/>
      <c r="E2" s="1371" t="s">
        <v>832</v>
      </c>
    </row>
    <row r="3" spans="1:5" ht="22.5" customHeight="1">
      <c r="A3" s="3875" t="s">
        <v>1735</v>
      </c>
      <c r="B3" s="3875"/>
      <c r="C3" s="3876" t="str">
        <f>TEXT(基本情况!B45,"yyyy-mm-dd")</f>
        <v>1900-01-00</v>
      </c>
      <c r="D3" s="3876"/>
      <c r="E3" s="1371" t="s">
        <v>1736</v>
      </c>
    </row>
    <row r="4" spans="1:5" ht="22.5" customHeight="1">
      <c r="A4" s="3875" t="s">
        <v>1737</v>
      </c>
      <c r="B4" s="3875"/>
      <c r="C4" s="3876">
        <f>基本情况!B31</f>
        <v>0</v>
      </c>
      <c r="D4" s="3876"/>
      <c r="E4" s="1371" t="s">
        <v>1694</v>
      </c>
    </row>
    <row r="5" spans="1:5" ht="22.5" customHeight="1">
      <c r="A5" s="3875" t="s">
        <v>1738</v>
      </c>
      <c r="B5" s="3875"/>
      <c r="C5" s="3876">
        <f>基本情况!B32</f>
        <v>0</v>
      </c>
      <c r="D5" s="3876"/>
      <c r="E5" s="1371" t="s">
        <v>1694</v>
      </c>
    </row>
    <row r="6" spans="1:5" ht="22.5" customHeight="1">
      <c r="A6" s="3875" t="s">
        <v>1739</v>
      </c>
      <c r="B6" s="3875"/>
      <c r="C6" s="3876">
        <f>基本情况!B35</f>
        <v>0</v>
      </c>
      <c r="D6" s="3876"/>
      <c r="E6" s="1371" t="s">
        <v>1694</v>
      </c>
    </row>
    <row r="7" spans="1:5" ht="22.5" customHeight="1">
      <c r="A7" s="3875" t="s">
        <v>6789</v>
      </c>
      <c r="B7" s="3875"/>
      <c r="C7" s="3876">
        <f>ROUND(基本情况!B57/10000,2)</f>
        <v>0</v>
      </c>
      <c r="D7" s="3876"/>
      <c r="E7" s="1371" t="s">
        <v>1694</v>
      </c>
    </row>
    <row r="8" spans="1:5" ht="22.5" customHeight="1">
      <c r="A8" s="3875" t="s">
        <v>6790</v>
      </c>
      <c r="B8" s="3875"/>
      <c r="C8" s="3876">
        <f>ROUND(基本情况!B58/10000,2)</f>
        <v>0</v>
      </c>
      <c r="D8" s="3876"/>
      <c r="E8" s="1371" t="s">
        <v>1694</v>
      </c>
    </row>
    <row r="9" spans="1:5" ht="26.25" customHeight="1">
      <c r="A9" s="3875" t="s">
        <v>1740</v>
      </c>
      <c r="B9" s="3875"/>
      <c r="C9" s="3876" t="str">
        <f>LEFT(基本情况!B41,3)</f>
        <v>0</v>
      </c>
      <c r="D9" s="3876"/>
      <c r="E9" s="1371" t="s">
        <v>1741</v>
      </c>
    </row>
    <row r="10" spans="1:5" ht="22.5" customHeight="1">
      <c r="A10" s="3875" t="s">
        <v>1742</v>
      </c>
      <c r="B10" s="3875"/>
      <c r="C10" s="3876">
        <f>基本情况!B46</f>
        <v>0</v>
      </c>
      <c r="D10" s="3876"/>
      <c r="E10" s="1371" t="s">
        <v>1694</v>
      </c>
    </row>
    <row r="11" spans="1:5" ht="30" customHeight="1">
      <c r="A11" s="3875" t="s">
        <v>1743</v>
      </c>
      <c r="B11" s="3875"/>
      <c r="C11" s="3876" t="str">
        <f>LEFT(基本情况!B42)</f>
        <v>0</v>
      </c>
      <c r="D11" s="3876"/>
      <c r="E11" s="1371" t="s">
        <v>1741</v>
      </c>
    </row>
    <row r="12" spans="1:5" ht="22.5" customHeight="1">
      <c r="A12" s="3880" t="s">
        <v>1744</v>
      </c>
      <c r="B12" s="3880"/>
      <c r="C12" s="3881"/>
      <c r="D12" s="3881"/>
      <c r="E12" s="1371" t="s">
        <v>1702</v>
      </c>
    </row>
    <row r="13" spans="1:5" ht="22.5" customHeight="1">
      <c r="A13" s="3868" t="s">
        <v>1745</v>
      </c>
      <c r="B13" s="3874"/>
      <c r="C13" s="3874"/>
      <c r="D13" s="3869"/>
      <c r="E13" s="1371"/>
    </row>
    <row r="14" spans="1:5" ht="58.5" customHeight="1">
      <c r="A14" s="3875" t="s">
        <v>1746</v>
      </c>
      <c r="B14" s="3875"/>
      <c r="C14" s="3882" t="str">
        <f>A000000企业基础信息表!B11</f>
        <v>小企业会计准则</v>
      </c>
      <c r="D14" s="3883"/>
      <c r="E14" s="1356" t="s">
        <v>1747</v>
      </c>
    </row>
    <row r="15" spans="1:5" ht="42.75" customHeight="1">
      <c r="A15" s="1372" t="s">
        <v>1748</v>
      </c>
      <c r="B15" s="1373" t="str">
        <f>[0]!本年度&amp;"-"&amp;[0]!起始月&amp;"-"&amp;[0]!起始日</f>
        <v>2016-01-01</v>
      </c>
      <c r="C15" s="1372" t="s">
        <v>1749</v>
      </c>
      <c r="D15" s="1374" t="str">
        <f>[0]!本年度&amp;"-"&amp;[0]!截止月&amp;"-"&amp;[0]!截止日</f>
        <v>2016-12-31</v>
      </c>
      <c r="E15" s="1356" t="s">
        <v>1750</v>
      </c>
    </row>
    <row r="16" spans="1:5" ht="118.5" customHeight="1">
      <c r="A16" s="3884" t="s">
        <v>1751</v>
      </c>
      <c r="B16" s="3885"/>
      <c r="C16" s="3886" t="str">
        <f>"以权责发生制为记账原则，以历史成本为计价基础。其中：记帐本位币：以"&amp;A000000企业基础信息表!B13&amp;"为记账本位币； 存货核算方法: 存货按"&amp;A000000企业基础信息表!B15&amp;"核算；固定资产及折旧核算方法：固定资产以历史成本计价、折旧采用"&amp;A000000企业基础信息表!B14&amp;"方法核算；坏帐准备计提方法及比例："&amp;A000000企业基础信息表!B16&amp;"；所得税计算方法："&amp;A000000企业基础信息表!B17&amp;"。"</f>
        <v>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v>
      </c>
      <c r="D16" s="3886"/>
      <c r="E16" s="1356" t="s">
        <v>1752</v>
      </c>
    </row>
    <row r="17" spans="1:5" ht="30.75" customHeight="1">
      <c r="A17" s="3887" t="s">
        <v>1753</v>
      </c>
      <c r="B17" s="3888"/>
      <c r="C17" s="3888"/>
      <c r="D17" s="3889"/>
      <c r="E17" s="1375" t="s">
        <v>1754</v>
      </c>
    </row>
    <row r="18" spans="1:5" ht="72" customHeight="1">
      <c r="A18" s="3887" t="s">
        <v>1755</v>
      </c>
      <c r="B18" s="3889"/>
      <c r="C18" s="3890"/>
      <c r="D18" s="3891"/>
      <c r="E18" s="1371" t="s">
        <v>1702</v>
      </c>
    </row>
    <row r="19" spans="1:5" ht="42.75" customHeight="1">
      <c r="A19" s="3877" t="s">
        <v>1756</v>
      </c>
      <c r="B19" s="3878"/>
      <c r="C19" s="3878"/>
      <c r="D19" s="3879"/>
      <c r="E19" s="1375" t="s">
        <v>1757</v>
      </c>
    </row>
    <row r="20" spans="1:5" ht="19.5" customHeight="1">
      <c r="A20" s="3868" t="s">
        <v>1758</v>
      </c>
      <c r="B20" s="3874"/>
      <c r="C20" s="3874"/>
      <c r="D20" s="3869"/>
      <c r="E20" s="1371"/>
    </row>
    <row r="21" spans="1:5" ht="35.25" customHeight="1">
      <c r="A21" s="1308" t="s">
        <v>828</v>
      </c>
      <c r="B21" s="1309" t="s">
        <v>829</v>
      </c>
      <c r="C21" s="1309" t="s">
        <v>830</v>
      </c>
      <c r="D21" s="1309" t="s">
        <v>831</v>
      </c>
      <c r="E21" s="1371" t="s">
        <v>832</v>
      </c>
    </row>
    <row r="22" spans="1:5" ht="69" customHeight="1">
      <c r="A22" s="1308" t="s">
        <v>819</v>
      </c>
      <c r="B22" s="1376" t="str">
        <f>基本情况!B60</f>
        <v>否</v>
      </c>
      <c r="C22" s="1376" t="str">
        <f>基本情况!C60</f>
        <v>0</v>
      </c>
      <c r="D22" s="1376">
        <f>基本情况!D60</f>
        <v>0</v>
      </c>
      <c r="E22" s="1307" t="s">
        <v>7422</v>
      </c>
    </row>
    <row r="23" spans="1:5" ht="69" customHeight="1">
      <c r="A23" s="1308" t="s">
        <v>821</v>
      </c>
      <c r="B23" s="1376" t="str">
        <f>基本情况!B61</f>
        <v>否</v>
      </c>
      <c r="C23" s="1376" t="str">
        <f>基本情况!C61</f>
        <v>0</v>
      </c>
      <c r="D23" s="1376">
        <f>基本情况!D61</f>
        <v>0</v>
      </c>
      <c r="E23" s="1371" t="s">
        <v>822</v>
      </c>
    </row>
    <row r="24" spans="1:5" ht="69" customHeight="1">
      <c r="A24" s="1308" t="s">
        <v>823</v>
      </c>
      <c r="B24" s="1376" t="str">
        <f>基本情况!B62</f>
        <v>否</v>
      </c>
      <c r="C24" s="1376" t="str">
        <f>基本情况!C62</f>
        <v>0</v>
      </c>
      <c r="D24" s="1376">
        <f>基本情况!D62</f>
        <v>0</v>
      </c>
      <c r="E24" s="1371" t="s">
        <v>824</v>
      </c>
    </row>
    <row r="25" spans="1:5" ht="69" customHeight="1">
      <c r="A25" s="1308" t="s">
        <v>825</v>
      </c>
      <c r="B25" s="1376" t="str">
        <f>基本情况!B63</f>
        <v>否</v>
      </c>
      <c r="C25" s="1376" t="str">
        <f>基本情况!C63</f>
        <v>0</v>
      </c>
      <c r="D25" s="1376">
        <f>基本情况!D63</f>
        <v>0</v>
      </c>
      <c r="E25" s="1371" t="s">
        <v>826</v>
      </c>
    </row>
    <row r="26" spans="1:5" ht="296.25" customHeight="1">
      <c r="A26" s="1308" t="s">
        <v>83</v>
      </c>
      <c r="B26" s="1376" t="str">
        <f>基本情况!B64</f>
        <v>是</v>
      </c>
      <c r="C26" s="3892" t="str">
        <f>基本情况!C64</f>
        <v>1、本报告仅供贵单位向主管税务机关办理企业所得税年度纳税申报时使用，不作其他用途。因使用不当造成的后果，与执行本审核业务的税务师事务所及其注册税务师无关。</v>
      </c>
      <c r="D26" s="3886"/>
      <c r="E26" s="1371" t="s">
        <v>827</v>
      </c>
    </row>
    <row r="27" spans="1:5" ht="10.5" customHeight="1"/>
    <row r="28" spans="1:5" ht="10.5" customHeight="1"/>
    <row r="29" spans="1:5" ht="10.5" customHeight="1"/>
    <row r="30" spans="1:5" ht="5.25" customHeight="1"/>
    <row r="31" spans="1:5" ht="17.25" customHeight="1">
      <c r="A31" s="3893" t="s">
        <v>1759</v>
      </c>
      <c r="B31" s="3893"/>
      <c r="C31" s="3893"/>
      <c r="D31" s="3893"/>
      <c r="E31" s="3893"/>
    </row>
    <row r="32" spans="1:5" ht="21" customHeight="1">
      <c r="A32" s="2816" t="s">
        <v>718</v>
      </c>
      <c r="B32" s="2816"/>
      <c r="D32" s="2816" t="s">
        <v>719</v>
      </c>
      <c r="E32" s="2816"/>
    </row>
    <row r="33" spans="1:5" ht="21" customHeight="1">
      <c r="A33" s="1378">
        <v>100</v>
      </c>
      <c r="B33" s="1379" t="s">
        <v>1760</v>
      </c>
      <c r="D33" s="1378" t="s">
        <v>720</v>
      </c>
      <c r="E33" s="1379" t="s">
        <v>1761</v>
      </c>
    </row>
    <row r="34" spans="1:5" ht="21" customHeight="1">
      <c r="A34" s="1378">
        <v>110</v>
      </c>
      <c r="B34" s="1379" t="s">
        <v>1762</v>
      </c>
      <c r="D34" s="1378" t="s">
        <v>1600</v>
      </c>
      <c r="E34" s="1379" t="s">
        <v>1763</v>
      </c>
    </row>
    <row r="35" spans="1:5" ht="21" customHeight="1">
      <c r="A35" s="1378">
        <v>120</v>
      </c>
      <c r="B35" s="1379" t="s">
        <v>1764</v>
      </c>
      <c r="D35" s="1378" t="s">
        <v>1616</v>
      </c>
      <c r="E35" s="1379" t="s">
        <v>1765</v>
      </c>
    </row>
    <row r="36" spans="1:5" ht="21" customHeight="1">
      <c r="A36" s="1378">
        <v>130</v>
      </c>
      <c r="B36" s="1379" t="s">
        <v>1766</v>
      </c>
      <c r="D36" s="1378" t="s">
        <v>721</v>
      </c>
      <c r="E36" s="1379" t="s">
        <v>1767</v>
      </c>
    </row>
    <row r="37" spans="1:5" ht="21" customHeight="1">
      <c r="A37" s="1378">
        <v>140</v>
      </c>
      <c r="B37" s="1379" t="s">
        <v>1768</v>
      </c>
      <c r="D37" s="1378" t="s">
        <v>505</v>
      </c>
      <c r="E37" s="1379" t="s">
        <v>1769</v>
      </c>
    </row>
    <row r="38" spans="1:5" ht="21" customHeight="1">
      <c r="A38" s="1378">
        <v>141</v>
      </c>
      <c r="B38" s="1379" t="s">
        <v>1770</v>
      </c>
      <c r="D38" s="1378" t="s">
        <v>722</v>
      </c>
      <c r="E38" s="1379" t="s">
        <v>1771</v>
      </c>
    </row>
    <row r="39" spans="1:5" ht="21" customHeight="1">
      <c r="A39" s="1378">
        <v>142</v>
      </c>
      <c r="B39" s="1379" t="s">
        <v>1772</v>
      </c>
      <c r="D39" s="1378" t="s">
        <v>1608</v>
      </c>
      <c r="E39" s="1379" t="s">
        <v>1773</v>
      </c>
    </row>
    <row r="40" spans="1:5" ht="21" customHeight="1">
      <c r="A40" s="1378">
        <v>143</v>
      </c>
      <c r="B40" s="1379" t="s">
        <v>1774</v>
      </c>
      <c r="D40" s="1378" t="s">
        <v>723</v>
      </c>
      <c r="E40" s="1379" t="s">
        <v>1775</v>
      </c>
    </row>
    <row r="41" spans="1:5" ht="21" customHeight="1">
      <c r="A41" s="1378">
        <v>149</v>
      </c>
      <c r="B41" s="1379" t="s">
        <v>1776</v>
      </c>
      <c r="D41" s="1378" t="s">
        <v>724</v>
      </c>
      <c r="E41" s="1379" t="s">
        <v>1777</v>
      </c>
    </row>
    <row r="42" spans="1:5" ht="21" customHeight="1">
      <c r="A42" s="1378">
        <v>150</v>
      </c>
      <c r="B42" s="1379" t="s">
        <v>1778</v>
      </c>
      <c r="D42" s="1378" t="s">
        <v>725</v>
      </c>
      <c r="E42" s="1379" t="s">
        <v>1779</v>
      </c>
    </row>
    <row r="43" spans="1:5" ht="21" customHeight="1">
      <c r="A43" s="1378">
        <v>151</v>
      </c>
      <c r="B43" s="1379" t="s">
        <v>1780</v>
      </c>
      <c r="D43" s="1378" t="s">
        <v>726</v>
      </c>
      <c r="E43" s="1379" t="s">
        <v>1781</v>
      </c>
    </row>
    <row r="44" spans="1:5" ht="21" customHeight="1">
      <c r="A44" s="1378">
        <v>159</v>
      </c>
      <c r="B44" s="1379" t="s">
        <v>1655</v>
      </c>
      <c r="D44" s="1378" t="s">
        <v>727</v>
      </c>
      <c r="E44" s="1379" t="s">
        <v>1654</v>
      </c>
    </row>
    <row r="45" spans="1:5" ht="21" customHeight="1">
      <c r="A45" s="1378">
        <v>160</v>
      </c>
      <c r="B45" s="1379" t="s">
        <v>1782</v>
      </c>
      <c r="D45" s="1378" t="s">
        <v>728</v>
      </c>
      <c r="E45" s="1379" t="s">
        <v>1783</v>
      </c>
    </row>
    <row r="46" spans="1:5" ht="21" customHeight="1">
      <c r="A46" s="1378">
        <v>170</v>
      </c>
      <c r="B46" s="1379" t="s">
        <v>1784</v>
      </c>
      <c r="D46" s="1378" t="s">
        <v>729</v>
      </c>
      <c r="E46" s="1379" t="s">
        <v>1785</v>
      </c>
    </row>
    <row r="47" spans="1:5" ht="21" customHeight="1">
      <c r="A47" s="1378">
        <v>171</v>
      </c>
      <c r="B47" s="1379" t="s">
        <v>1786</v>
      </c>
      <c r="D47" s="1378" t="s">
        <v>730</v>
      </c>
      <c r="E47" s="1379" t="s">
        <v>1787</v>
      </c>
    </row>
    <row r="48" spans="1:5" ht="21" customHeight="1">
      <c r="A48" s="1378">
        <v>172</v>
      </c>
      <c r="B48" s="1379" t="s">
        <v>1788</v>
      </c>
      <c r="D48" s="1378" t="s">
        <v>731</v>
      </c>
      <c r="E48" s="1379" t="s">
        <v>1789</v>
      </c>
    </row>
    <row r="49" spans="1:5" ht="21" customHeight="1">
      <c r="A49" s="1378">
        <v>173</v>
      </c>
      <c r="B49" s="1379" t="s">
        <v>1790</v>
      </c>
      <c r="D49" s="1378" t="s">
        <v>732</v>
      </c>
      <c r="E49" s="1379" t="s">
        <v>1791</v>
      </c>
    </row>
    <row r="50" spans="1:5" ht="21" customHeight="1">
      <c r="A50" s="1378">
        <v>174</v>
      </c>
      <c r="B50" s="1379" t="s">
        <v>1792</v>
      </c>
      <c r="D50" s="1378" t="s">
        <v>733</v>
      </c>
      <c r="E50" s="1379" t="s">
        <v>1793</v>
      </c>
    </row>
    <row r="51" spans="1:5" ht="21" customHeight="1">
      <c r="A51" s="1378">
        <v>175</v>
      </c>
      <c r="B51" s="1379" t="s">
        <v>1794</v>
      </c>
      <c r="D51" s="1378" t="s">
        <v>1612</v>
      </c>
      <c r="E51" s="1379" t="s">
        <v>1795</v>
      </c>
    </row>
    <row r="52" spans="1:5" ht="21" customHeight="1">
      <c r="A52" s="1378">
        <v>190</v>
      </c>
      <c r="B52" s="1379" t="s">
        <v>1796</v>
      </c>
      <c r="D52" s="1378" t="s">
        <v>1604</v>
      </c>
      <c r="E52" s="1379" t="s">
        <v>1797</v>
      </c>
    </row>
    <row r="53" spans="1:5" ht="21" customHeight="1">
      <c r="A53" s="1378">
        <v>200</v>
      </c>
      <c r="B53" s="1379" t="s">
        <v>1798</v>
      </c>
    </row>
    <row r="54" spans="1:5" ht="21" customHeight="1">
      <c r="A54" s="1378">
        <v>210</v>
      </c>
      <c r="B54" s="1379" t="s">
        <v>1799</v>
      </c>
    </row>
    <row r="55" spans="1:5" ht="21" customHeight="1">
      <c r="A55" s="1378">
        <v>220</v>
      </c>
      <c r="B55" s="1379" t="s">
        <v>1800</v>
      </c>
    </row>
    <row r="56" spans="1:5" ht="21" customHeight="1">
      <c r="A56" s="1378">
        <v>230</v>
      </c>
      <c r="B56" s="1379" t="s">
        <v>1801</v>
      </c>
    </row>
    <row r="57" spans="1:5" ht="21" customHeight="1">
      <c r="A57" s="1378">
        <v>240</v>
      </c>
      <c r="B57" s="1379" t="s">
        <v>1802</v>
      </c>
    </row>
    <row r="58" spans="1:5" ht="21" customHeight="1">
      <c r="A58" s="1378">
        <v>250</v>
      </c>
      <c r="B58" s="1379" t="s">
        <v>1803</v>
      </c>
    </row>
    <row r="59" spans="1:5" ht="21" customHeight="1">
      <c r="A59" s="1378">
        <v>251</v>
      </c>
      <c r="B59" s="1379" t="s">
        <v>1804</v>
      </c>
    </row>
    <row r="60" spans="1:5" ht="21" customHeight="1">
      <c r="A60" s="1378">
        <v>252</v>
      </c>
      <c r="B60" s="1379" t="s">
        <v>1805</v>
      </c>
    </row>
    <row r="61" spans="1:5" ht="21" customHeight="1">
      <c r="A61" s="1378">
        <v>253</v>
      </c>
      <c r="B61" s="1379" t="s">
        <v>1806</v>
      </c>
    </row>
    <row r="62" spans="1:5" ht="21" customHeight="1">
      <c r="A62" s="1378">
        <v>254</v>
      </c>
      <c r="B62" s="1379" t="s">
        <v>1807</v>
      </c>
    </row>
    <row r="63" spans="1:5" ht="21" customHeight="1">
      <c r="A63" s="1378">
        <v>259</v>
      </c>
      <c r="B63" s="1379" t="s">
        <v>1808</v>
      </c>
    </row>
    <row r="64" spans="1:5" ht="21" customHeight="1">
      <c r="A64" s="1378">
        <v>300</v>
      </c>
      <c r="B64" s="1379" t="s">
        <v>1809</v>
      </c>
    </row>
    <row r="65" spans="1:2" ht="21" customHeight="1">
      <c r="A65" s="1378">
        <v>310</v>
      </c>
      <c r="B65" s="1379" t="s">
        <v>1810</v>
      </c>
    </row>
    <row r="66" spans="1:2" ht="21" customHeight="1">
      <c r="A66" s="1378">
        <v>320</v>
      </c>
      <c r="B66" s="1379" t="s">
        <v>1811</v>
      </c>
    </row>
    <row r="67" spans="1:2" ht="21" customHeight="1">
      <c r="A67" s="1378">
        <v>330</v>
      </c>
      <c r="B67" s="1379" t="s">
        <v>1812</v>
      </c>
    </row>
    <row r="68" spans="1:2" ht="21" customHeight="1">
      <c r="A68" s="1378">
        <v>340</v>
      </c>
      <c r="B68" s="1379" t="s">
        <v>1813</v>
      </c>
    </row>
    <row r="69" spans="1:2" ht="21" customHeight="1">
      <c r="A69" s="1378">
        <v>350</v>
      </c>
      <c r="B69" s="1379" t="s">
        <v>1814</v>
      </c>
    </row>
    <row r="70" spans="1:2" ht="21" customHeight="1">
      <c r="A70" s="1378">
        <v>351</v>
      </c>
      <c r="B70" s="1379" t="s">
        <v>1815</v>
      </c>
    </row>
    <row r="71" spans="1:2" ht="21" customHeight="1">
      <c r="A71" s="1378">
        <v>352</v>
      </c>
      <c r="B71" s="1379" t="s">
        <v>1816</v>
      </c>
    </row>
    <row r="72" spans="1:2" ht="21" customHeight="1">
      <c r="A72" s="1378">
        <v>353</v>
      </c>
      <c r="B72" s="1379" t="s">
        <v>1817</v>
      </c>
    </row>
    <row r="73" spans="1:2" ht="21" customHeight="1">
      <c r="A73" s="1378">
        <v>354</v>
      </c>
      <c r="B73" s="1379" t="s">
        <v>1818</v>
      </c>
    </row>
    <row r="74" spans="1:2" ht="21" customHeight="1">
      <c r="A74" s="1378">
        <v>359</v>
      </c>
      <c r="B74" s="1379" t="s">
        <v>1819</v>
      </c>
    </row>
    <row r="75" spans="1:2" ht="21" customHeight="1">
      <c r="A75" s="1378">
        <v>400</v>
      </c>
      <c r="B75" s="1379" t="s">
        <v>1820</v>
      </c>
    </row>
    <row r="76" spans="1:2" ht="21" customHeight="1">
      <c r="A76" s="1378">
        <v>410</v>
      </c>
      <c r="B76" s="1379" t="s">
        <v>1821</v>
      </c>
    </row>
    <row r="77" spans="1:2" ht="21" customHeight="1">
      <c r="A77" s="1378">
        <v>411</v>
      </c>
      <c r="B77" s="1379" t="s">
        <v>1822</v>
      </c>
    </row>
    <row r="78" spans="1:2" ht="21" customHeight="1">
      <c r="A78" s="1378">
        <v>412</v>
      </c>
      <c r="B78" s="1379" t="s">
        <v>1823</v>
      </c>
    </row>
    <row r="79" spans="1:2" ht="21" customHeight="1">
      <c r="A79" s="1378">
        <v>413</v>
      </c>
      <c r="B79" s="1379" t="s">
        <v>1824</v>
      </c>
    </row>
    <row r="80" spans="1:2" ht="21" customHeight="1">
      <c r="A80" s="1378">
        <v>420</v>
      </c>
      <c r="B80" s="1379" t="s">
        <v>1825</v>
      </c>
    </row>
    <row r="81" spans="1:2" ht="21" customHeight="1">
      <c r="A81" s="1378">
        <v>421</v>
      </c>
      <c r="B81" s="1379" t="s">
        <v>1826</v>
      </c>
    </row>
    <row r="82" spans="1:2" ht="21" customHeight="1">
      <c r="A82" s="1378">
        <v>422</v>
      </c>
      <c r="B82" s="1379" t="s">
        <v>1827</v>
      </c>
    </row>
    <row r="83" spans="1:2" ht="21" customHeight="1">
      <c r="A83" s="1378">
        <v>423</v>
      </c>
      <c r="B83" s="1379" t="s">
        <v>1828</v>
      </c>
    </row>
    <row r="84" spans="1:2" ht="21" customHeight="1">
      <c r="A84" s="1378">
        <v>430</v>
      </c>
      <c r="B84" s="1379" t="s">
        <v>1483</v>
      </c>
    </row>
    <row r="85" spans="1:2" ht="21" customHeight="1">
      <c r="A85" s="1378">
        <v>431</v>
      </c>
      <c r="B85" s="1379" t="s">
        <v>1829</v>
      </c>
    </row>
    <row r="86" spans="1:2" ht="21" customHeight="1">
      <c r="A86" s="1378">
        <v>432</v>
      </c>
      <c r="B86" s="1379" t="s">
        <v>1830</v>
      </c>
    </row>
    <row r="87" spans="1:2" ht="21" customHeight="1">
      <c r="A87" s="1378">
        <v>433</v>
      </c>
      <c r="B87" s="1379" t="s">
        <v>1831</v>
      </c>
    </row>
    <row r="88" spans="1:2" ht="21" customHeight="1">
      <c r="A88" s="1378">
        <v>500</v>
      </c>
      <c r="B88" s="1379" t="s">
        <v>1832</v>
      </c>
    </row>
    <row r="89" spans="1:2" ht="21" customHeight="1">
      <c r="A89" s="1378">
        <v>510</v>
      </c>
      <c r="B89" s="1379" t="s">
        <v>1833</v>
      </c>
    </row>
    <row r="90" spans="1:2" ht="21" customHeight="1">
      <c r="A90" s="1378">
        <v>520</v>
      </c>
      <c r="B90" s="1379" t="s">
        <v>1834</v>
      </c>
    </row>
    <row r="91" spans="1:2" ht="21" customHeight="1">
      <c r="A91" s="1378">
        <v>521</v>
      </c>
      <c r="B91" s="1379" t="s">
        <v>1835</v>
      </c>
    </row>
    <row r="92" spans="1:2" ht="21" customHeight="1">
      <c r="A92" s="1378">
        <v>522</v>
      </c>
      <c r="B92" s="1379" t="s">
        <v>1836</v>
      </c>
    </row>
    <row r="93" spans="1:2" ht="21" customHeight="1">
      <c r="A93" s="1378">
        <v>523</v>
      </c>
      <c r="B93" s="1379" t="s">
        <v>1837</v>
      </c>
    </row>
    <row r="94" spans="1:2" ht="21" customHeight="1">
      <c r="A94" s="1378">
        <v>530</v>
      </c>
      <c r="B94" s="1379" t="s">
        <v>1838</v>
      </c>
    </row>
    <row r="95" spans="1:2" ht="21" customHeight="1">
      <c r="A95" s="1378">
        <v>540</v>
      </c>
      <c r="B95" s="1379" t="s">
        <v>1839</v>
      </c>
    </row>
    <row r="96" spans="1:2" ht="21" customHeight="1">
      <c r="A96" s="1378">
        <v>550</v>
      </c>
      <c r="B96" s="1379" t="s">
        <v>1840</v>
      </c>
    </row>
    <row r="97" spans="1:2" ht="21" customHeight="1">
      <c r="A97" s="1378">
        <v>560</v>
      </c>
      <c r="B97" s="1379" t="s">
        <v>1841</v>
      </c>
    </row>
  </sheetData>
  <mergeCells count="36">
    <mergeCell ref="A20:D20"/>
    <mergeCell ref="C26:D26"/>
    <mergeCell ref="A31:E31"/>
    <mergeCell ref="A32:B32"/>
    <mergeCell ref="D32:E32"/>
    <mergeCell ref="A19:D19"/>
    <mergeCell ref="A11:B11"/>
    <mergeCell ref="C11:D11"/>
    <mergeCell ref="A12:B12"/>
    <mergeCell ref="C12:D12"/>
    <mergeCell ref="A13:D13"/>
    <mergeCell ref="A14:B14"/>
    <mergeCell ref="C14:D14"/>
    <mergeCell ref="A16:B16"/>
    <mergeCell ref="C16:D16"/>
    <mergeCell ref="A17:D17"/>
    <mergeCell ref="A18:B18"/>
    <mergeCell ref="C18:D18"/>
    <mergeCell ref="A8:B8"/>
    <mergeCell ref="C8:D8"/>
    <mergeCell ref="A9:B9"/>
    <mergeCell ref="C9:D9"/>
    <mergeCell ref="A10:B10"/>
    <mergeCell ref="C10:D10"/>
    <mergeCell ref="A5:B5"/>
    <mergeCell ref="C5:D5"/>
    <mergeCell ref="A6:B6"/>
    <mergeCell ref="C6:D6"/>
    <mergeCell ref="A7:B7"/>
    <mergeCell ref="C7:D7"/>
    <mergeCell ref="A1:E1"/>
    <mergeCell ref="A2:D2"/>
    <mergeCell ref="A3:B3"/>
    <mergeCell ref="C3:D3"/>
    <mergeCell ref="A4:B4"/>
    <mergeCell ref="C4:D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H25"/>
  <sheetViews>
    <sheetView workbookViewId="0">
      <selection activeCell="C10" sqref="C10"/>
    </sheetView>
  </sheetViews>
  <sheetFormatPr defaultRowHeight="27.75" customHeight="1"/>
  <cols>
    <col min="1" max="2" width="25.5" style="1390" customWidth="1"/>
    <col min="3" max="3" width="25.5" style="1391" customWidth="1"/>
    <col min="4" max="4" width="25.5" style="1390" customWidth="1"/>
    <col min="5" max="256" width="9" style="1381"/>
    <col min="257" max="260" width="25.5" style="1381" customWidth="1"/>
    <col min="261" max="512" width="9" style="1381"/>
    <col min="513" max="516" width="25.5" style="1381" customWidth="1"/>
    <col min="517" max="768" width="9" style="1381"/>
    <col min="769" max="772" width="25.5" style="1381" customWidth="1"/>
    <col min="773" max="1024" width="9" style="1381"/>
    <col min="1025" max="1028" width="25.5" style="1381" customWidth="1"/>
    <col min="1029" max="1280" width="9" style="1381"/>
    <col min="1281" max="1284" width="25.5" style="1381" customWidth="1"/>
    <col min="1285" max="1536" width="9" style="1381"/>
    <col min="1537" max="1540" width="25.5" style="1381" customWidth="1"/>
    <col min="1541" max="1792" width="9" style="1381"/>
    <col min="1793" max="1796" width="25.5" style="1381" customWidth="1"/>
    <col min="1797" max="2048" width="9" style="1381"/>
    <col min="2049" max="2052" width="25.5" style="1381" customWidth="1"/>
    <col min="2053" max="2304" width="9" style="1381"/>
    <col min="2305" max="2308" width="25.5" style="1381" customWidth="1"/>
    <col min="2309" max="2560" width="9" style="1381"/>
    <col min="2561" max="2564" width="25.5" style="1381" customWidth="1"/>
    <col min="2565" max="2816" width="9" style="1381"/>
    <col min="2817" max="2820" width="25.5" style="1381" customWidth="1"/>
    <col min="2821" max="3072" width="9" style="1381"/>
    <col min="3073" max="3076" width="25.5" style="1381" customWidth="1"/>
    <col min="3077" max="3328" width="9" style="1381"/>
    <col min="3329" max="3332" width="25.5" style="1381" customWidth="1"/>
    <col min="3333" max="3584" width="9" style="1381"/>
    <col min="3585" max="3588" width="25.5" style="1381" customWidth="1"/>
    <col min="3589" max="3840" width="9" style="1381"/>
    <col min="3841" max="3844" width="25.5" style="1381" customWidth="1"/>
    <col min="3845" max="4096" width="9" style="1381"/>
    <col min="4097" max="4100" width="25.5" style="1381" customWidth="1"/>
    <col min="4101" max="4352" width="9" style="1381"/>
    <col min="4353" max="4356" width="25.5" style="1381" customWidth="1"/>
    <col min="4357" max="4608" width="9" style="1381"/>
    <col min="4609" max="4612" width="25.5" style="1381" customWidth="1"/>
    <col min="4613" max="4864" width="9" style="1381"/>
    <col min="4865" max="4868" width="25.5" style="1381" customWidth="1"/>
    <col min="4869" max="5120" width="9" style="1381"/>
    <col min="5121" max="5124" width="25.5" style="1381" customWidth="1"/>
    <col min="5125" max="5376" width="9" style="1381"/>
    <col min="5377" max="5380" width="25.5" style="1381" customWidth="1"/>
    <col min="5381" max="5632" width="9" style="1381"/>
    <col min="5633" max="5636" width="25.5" style="1381" customWidth="1"/>
    <col min="5637" max="5888" width="9" style="1381"/>
    <col min="5889" max="5892" width="25.5" style="1381" customWidth="1"/>
    <col min="5893" max="6144" width="9" style="1381"/>
    <col min="6145" max="6148" width="25.5" style="1381" customWidth="1"/>
    <col min="6149" max="6400" width="9" style="1381"/>
    <col min="6401" max="6404" width="25.5" style="1381" customWidth="1"/>
    <col min="6405" max="6656" width="9" style="1381"/>
    <col min="6657" max="6660" width="25.5" style="1381" customWidth="1"/>
    <col min="6661" max="6912" width="9" style="1381"/>
    <col min="6913" max="6916" width="25.5" style="1381" customWidth="1"/>
    <col min="6917" max="7168" width="9" style="1381"/>
    <col min="7169" max="7172" width="25.5" style="1381" customWidth="1"/>
    <col min="7173" max="7424" width="9" style="1381"/>
    <col min="7425" max="7428" width="25.5" style="1381" customWidth="1"/>
    <col min="7429" max="7680" width="9" style="1381"/>
    <col min="7681" max="7684" width="25.5" style="1381" customWidth="1"/>
    <col min="7685" max="7936" width="9" style="1381"/>
    <col min="7937" max="7940" width="25.5" style="1381" customWidth="1"/>
    <col min="7941" max="8192" width="9" style="1381"/>
    <col min="8193" max="8196" width="25.5" style="1381" customWidth="1"/>
    <col min="8197" max="8448" width="9" style="1381"/>
    <col min="8449" max="8452" width="25.5" style="1381" customWidth="1"/>
    <col min="8453" max="8704" width="9" style="1381"/>
    <col min="8705" max="8708" width="25.5" style="1381" customWidth="1"/>
    <col min="8709" max="8960" width="9" style="1381"/>
    <col min="8961" max="8964" width="25.5" style="1381" customWidth="1"/>
    <col min="8965" max="9216" width="9" style="1381"/>
    <col min="9217" max="9220" width="25.5" style="1381" customWidth="1"/>
    <col min="9221" max="9472" width="9" style="1381"/>
    <col min="9473" max="9476" width="25.5" style="1381" customWidth="1"/>
    <col min="9477" max="9728" width="9" style="1381"/>
    <col min="9729" max="9732" width="25.5" style="1381" customWidth="1"/>
    <col min="9733" max="9984" width="9" style="1381"/>
    <col min="9985" max="9988" width="25.5" style="1381" customWidth="1"/>
    <col min="9989" max="10240" width="9" style="1381"/>
    <col min="10241" max="10244" width="25.5" style="1381" customWidth="1"/>
    <col min="10245" max="10496" width="9" style="1381"/>
    <col min="10497" max="10500" width="25.5" style="1381" customWidth="1"/>
    <col min="10501" max="10752" width="9" style="1381"/>
    <col min="10753" max="10756" width="25.5" style="1381" customWidth="1"/>
    <col min="10757" max="11008" width="9" style="1381"/>
    <col min="11009" max="11012" width="25.5" style="1381" customWidth="1"/>
    <col min="11013" max="11264" width="9" style="1381"/>
    <col min="11265" max="11268" width="25.5" style="1381" customWidth="1"/>
    <col min="11269" max="11520" width="9" style="1381"/>
    <col min="11521" max="11524" width="25.5" style="1381" customWidth="1"/>
    <col min="11525" max="11776" width="9" style="1381"/>
    <col min="11777" max="11780" width="25.5" style="1381" customWidth="1"/>
    <col min="11781" max="12032" width="9" style="1381"/>
    <col min="12033" max="12036" width="25.5" style="1381" customWidth="1"/>
    <col min="12037" max="12288" width="9" style="1381"/>
    <col min="12289" max="12292" width="25.5" style="1381" customWidth="1"/>
    <col min="12293" max="12544" width="9" style="1381"/>
    <col min="12545" max="12548" width="25.5" style="1381" customWidth="1"/>
    <col min="12549" max="12800" width="9" style="1381"/>
    <col min="12801" max="12804" width="25.5" style="1381" customWidth="1"/>
    <col min="12805" max="13056" width="9" style="1381"/>
    <col min="13057" max="13060" width="25.5" style="1381" customWidth="1"/>
    <col min="13061" max="13312" width="9" style="1381"/>
    <col min="13313" max="13316" width="25.5" style="1381" customWidth="1"/>
    <col min="13317" max="13568" width="9" style="1381"/>
    <col min="13569" max="13572" width="25.5" style="1381" customWidth="1"/>
    <col min="13573" max="13824" width="9" style="1381"/>
    <col min="13825" max="13828" width="25.5" style="1381" customWidth="1"/>
    <col min="13829" max="14080" width="9" style="1381"/>
    <col min="14081" max="14084" width="25.5" style="1381" customWidth="1"/>
    <col min="14085" max="14336" width="9" style="1381"/>
    <col min="14337" max="14340" width="25.5" style="1381" customWidth="1"/>
    <col min="14341" max="14592" width="9" style="1381"/>
    <col min="14593" max="14596" width="25.5" style="1381" customWidth="1"/>
    <col min="14597" max="14848" width="9" style="1381"/>
    <col min="14849" max="14852" width="25.5" style="1381" customWidth="1"/>
    <col min="14853" max="15104" width="9" style="1381"/>
    <col min="15105" max="15108" width="25.5" style="1381" customWidth="1"/>
    <col min="15109" max="15360" width="9" style="1381"/>
    <col min="15361" max="15364" width="25.5" style="1381" customWidth="1"/>
    <col min="15365" max="15616" width="9" style="1381"/>
    <col min="15617" max="15620" width="25.5" style="1381" customWidth="1"/>
    <col min="15621" max="15872" width="9" style="1381"/>
    <col min="15873" max="15876" width="25.5" style="1381" customWidth="1"/>
    <col min="15877" max="16128" width="9" style="1381"/>
    <col min="16129" max="16132" width="25.5" style="1381" customWidth="1"/>
    <col min="16133" max="16384" width="9" style="1381"/>
  </cols>
  <sheetData>
    <row r="1" spans="1:5" s="1370" customFormat="1" ht="25.5" customHeight="1">
      <c r="A1" s="3894" t="s">
        <v>1842</v>
      </c>
      <c r="B1" s="3894"/>
      <c r="C1" s="3894"/>
      <c r="D1" s="3894"/>
      <c r="E1" s="1380"/>
    </row>
    <row r="2" spans="1:5" ht="23.25" customHeight="1">
      <c r="A2" s="3895" t="s">
        <v>1843</v>
      </c>
      <c r="B2" s="3896"/>
      <c r="C2" s="3896"/>
      <c r="D2" s="3896"/>
    </row>
    <row r="3" spans="1:5" ht="23.25" customHeight="1">
      <c r="A3" s="3896"/>
      <c r="B3" s="3896"/>
      <c r="C3" s="3896"/>
      <c r="D3" s="3896"/>
    </row>
    <row r="4" spans="1:5" ht="23.25" customHeight="1">
      <c r="A4" s="3896"/>
      <c r="B4" s="3896"/>
      <c r="C4" s="3896"/>
      <c r="D4" s="3896"/>
    </row>
    <row r="5" spans="1:5" ht="23.25" customHeight="1">
      <c r="A5" s="3896"/>
      <c r="B5" s="3896"/>
      <c r="C5" s="3896"/>
      <c r="D5" s="3896"/>
    </row>
    <row r="6" spans="1:5" ht="23.25" customHeight="1">
      <c r="A6" s="3896"/>
      <c r="B6" s="3896"/>
      <c r="C6" s="3896"/>
      <c r="D6" s="3896"/>
    </row>
    <row r="7" spans="1:5" ht="27.75" customHeight="1">
      <c r="A7" s="3897" t="s">
        <v>1844</v>
      </c>
      <c r="B7" s="3897"/>
      <c r="C7" s="3897"/>
      <c r="D7" s="3897"/>
    </row>
    <row r="8" spans="1:5" ht="27.75" customHeight="1">
      <c r="A8" s="1382" t="s">
        <v>1845</v>
      </c>
      <c r="B8" s="1382" t="s">
        <v>556</v>
      </c>
      <c r="C8" s="1383" t="s">
        <v>1846</v>
      </c>
      <c r="D8" s="1384" t="s">
        <v>1069</v>
      </c>
    </row>
    <row r="9" spans="1:5" ht="27.75" customHeight="1">
      <c r="A9" s="1385"/>
      <c r="B9" s="1385"/>
      <c r="C9" s="1386"/>
      <c r="D9" s="1385"/>
    </row>
    <row r="10" spans="1:5" ht="27.75" customHeight="1">
      <c r="A10" s="1385"/>
      <c r="B10" s="1385"/>
      <c r="C10" s="1386"/>
      <c r="D10" s="1385"/>
    </row>
    <row r="11" spans="1:5" ht="27.75" customHeight="1">
      <c r="A11" s="1385"/>
      <c r="B11" s="1385"/>
      <c r="C11" s="1386"/>
      <c r="D11" s="1385"/>
    </row>
    <row r="12" spans="1:5" ht="27.75" customHeight="1">
      <c r="A12" s="1385"/>
      <c r="B12" s="1385"/>
      <c r="C12" s="1386"/>
      <c r="D12" s="1385"/>
    </row>
    <row r="13" spans="1:5" ht="27.75" customHeight="1">
      <c r="A13" s="1385"/>
      <c r="B13" s="1385"/>
      <c r="C13" s="1386"/>
      <c r="D13" s="1385"/>
    </row>
    <row r="14" spans="1:5" ht="27.75" customHeight="1">
      <c r="A14" s="1385"/>
      <c r="B14" s="1385"/>
      <c r="C14" s="1386"/>
      <c r="D14" s="1385"/>
    </row>
    <row r="15" spans="1:5" ht="27.75" customHeight="1">
      <c r="A15" s="1385"/>
      <c r="B15" s="1385"/>
      <c r="C15" s="1386"/>
      <c r="D15" s="1385"/>
    </row>
    <row r="16" spans="1:5" ht="27.75" customHeight="1">
      <c r="A16" s="1385"/>
      <c r="B16" s="1385"/>
      <c r="C16" s="1386"/>
      <c r="D16" s="1385"/>
    </row>
    <row r="17" spans="1:8" ht="27.75" customHeight="1">
      <c r="A17" s="1385"/>
      <c r="B17" s="1385"/>
      <c r="C17" s="1386"/>
      <c r="D17" s="1385"/>
    </row>
    <row r="18" spans="1:8" ht="27.75" customHeight="1">
      <c r="A18" s="1385"/>
      <c r="B18" s="1385"/>
      <c r="C18" s="1386"/>
      <c r="D18" s="1385"/>
    </row>
    <row r="19" spans="1:8" ht="27.75" customHeight="1">
      <c r="A19" s="1385"/>
      <c r="B19" s="1385"/>
      <c r="C19" s="1386"/>
      <c r="D19" s="1385"/>
    </row>
    <row r="20" spans="1:8" ht="27.75" customHeight="1">
      <c r="A20" s="1387"/>
      <c r="B20" s="1387"/>
      <c r="C20" s="1388"/>
      <c r="D20" s="1387"/>
    </row>
    <row r="21" spans="1:8" ht="27.75" customHeight="1">
      <c r="A21" s="1387"/>
      <c r="B21" s="1387"/>
      <c r="C21" s="1388"/>
      <c r="D21" s="1387"/>
      <c r="E21" s="1389"/>
      <c r="F21" s="1389"/>
      <c r="G21" s="1389"/>
      <c r="H21" s="1389"/>
    </row>
    <row r="22" spans="1:8" ht="27.75" customHeight="1">
      <c r="A22" s="1387"/>
      <c r="B22" s="1387"/>
      <c r="C22" s="1388"/>
      <c r="D22" s="1387"/>
      <c r="E22" s="1389"/>
      <c r="F22" s="1389"/>
      <c r="G22" s="1389"/>
      <c r="H22" s="1389"/>
    </row>
    <row r="23" spans="1:8" ht="27.75" customHeight="1">
      <c r="A23" s="1387"/>
      <c r="B23" s="1387"/>
      <c r="C23" s="1388"/>
      <c r="D23" s="1387"/>
      <c r="E23" s="1389"/>
      <c r="F23" s="1389"/>
      <c r="G23" s="1389"/>
      <c r="H23" s="1389"/>
    </row>
    <row r="24" spans="1:8" ht="27.75" customHeight="1">
      <c r="A24" s="1387"/>
      <c r="B24" s="1387"/>
      <c r="C24" s="1388"/>
      <c r="D24" s="1387"/>
    </row>
    <row r="25" spans="1:8" ht="27.75" customHeight="1">
      <c r="A25" s="1387"/>
      <c r="B25" s="1387"/>
      <c r="C25" s="1388"/>
      <c r="D25" s="1387"/>
    </row>
  </sheetData>
  <mergeCells count="3">
    <mergeCell ref="A1:D1"/>
    <mergeCell ref="A2:D6"/>
    <mergeCell ref="A7:D7"/>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rgb="FFFF0000"/>
  </sheetPr>
  <dimension ref="A1:E23"/>
  <sheetViews>
    <sheetView workbookViewId="0">
      <selection activeCell="C11" sqref="C11"/>
    </sheetView>
  </sheetViews>
  <sheetFormatPr defaultRowHeight="27.75" customHeight="1"/>
  <cols>
    <col min="1" max="1" width="25.5" style="1396" customWidth="1"/>
    <col min="2" max="4" width="19.69921875" style="1397" customWidth="1"/>
    <col min="5" max="5" width="19.69921875" style="1390" customWidth="1"/>
    <col min="6" max="256" width="9" style="1381"/>
    <col min="257" max="257" width="25.5" style="1381" customWidth="1"/>
    <col min="258" max="261" width="19.69921875" style="1381" customWidth="1"/>
    <col min="262" max="512" width="9" style="1381"/>
    <col min="513" max="513" width="25.5" style="1381" customWidth="1"/>
    <col min="514" max="517" width="19.69921875" style="1381" customWidth="1"/>
    <col min="518" max="768" width="9" style="1381"/>
    <col min="769" max="769" width="25.5" style="1381" customWidth="1"/>
    <col min="770" max="773" width="19.69921875" style="1381" customWidth="1"/>
    <col min="774" max="1024" width="9" style="1381"/>
    <col min="1025" max="1025" width="25.5" style="1381" customWidth="1"/>
    <col min="1026" max="1029" width="19.69921875" style="1381" customWidth="1"/>
    <col min="1030" max="1280" width="9" style="1381"/>
    <col min="1281" max="1281" width="25.5" style="1381" customWidth="1"/>
    <col min="1282" max="1285" width="19.69921875" style="1381" customWidth="1"/>
    <col min="1286" max="1536" width="9" style="1381"/>
    <col min="1537" max="1537" width="25.5" style="1381" customWidth="1"/>
    <col min="1538" max="1541" width="19.69921875" style="1381" customWidth="1"/>
    <col min="1542" max="1792" width="9" style="1381"/>
    <col min="1793" max="1793" width="25.5" style="1381" customWidth="1"/>
    <col min="1794" max="1797" width="19.69921875" style="1381" customWidth="1"/>
    <col min="1798" max="2048" width="9" style="1381"/>
    <col min="2049" max="2049" width="25.5" style="1381" customWidth="1"/>
    <col min="2050" max="2053" width="19.69921875" style="1381" customWidth="1"/>
    <col min="2054" max="2304" width="9" style="1381"/>
    <col min="2305" max="2305" width="25.5" style="1381" customWidth="1"/>
    <col min="2306" max="2309" width="19.69921875" style="1381" customWidth="1"/>
    <col min="2310" max="2560" width="9" style="1381"/>
    <col min="2561" max="2561" width="25.5" style="1381" customWidth="1"/>
    <col min="2562" max="2565" width="19.69921875" style="1381" customWidth="1"/>
    <col min="2566" max="2816" width="9" style="1381"/>
    <col min="2817" max="2817" width="25.5" style="1381" customWidth="1"/>
    <col min="2818" max="2821" width="19.69921875" style="1381" customWidth="1"/>
    <col min="2822" max="3072" width="9" style="1381"/>
    <col min="3073" max="3073" width="25.5" style="1381" customWidth="1"/>
    <col min="3074" max="3077" width="19.69921875" style="1381" customWidth="1"/>
    <col min="3078" max="3328" width="9" style="1381"/>
    <col min="3329" max="3329" width="25.5" style="1381" customWidth="1"/>
    <col min="3330" max="3333" width="19.69921875" style="1381" customWidth="1"/>
    <col min="3334" max="3584" width="9" style="1381"/>
    <col min="3585" max="3585" width="25.5" style="1381" customWidth="1"/>
    <col min="3586" max="3589" width="19.69921875" style="1381" customWidth="1"/>
    <col min="3590" max="3840" width="9" style="1381"/>
    <col min="3841" max="3841" width="25.5" style="1381" customWidth="1"/>
    <col min="3842" max="3845" width="19.69921875" style="1381" customWidth="1"/>
    <col min="3846" max="4096" width="9" style="1381"/>
    <col min="4097" max="4097" width="25.5" style="1381" customWidth="1"/>
    <col min="4098" max="4101" width="19.69921875" style="1381" customWidth="1"/>
    <col min="4102" max="4352" width="9" style="1381"/>
    <col min="4353" max="4353" width="25.5" style="1381" customWidth="1"/>
    <col min="4354" max="4357" width="19.69921875" style="1381" customWidth="1"/>
    <col min="4358" max="4608" width="9" style="1381"/>
    <col min="4609" max="4609" width="25.5" style="1381" customWidth="1"/>
    <col min="4610" max="4613" width="19.69921875" style="1381" customWidth="1"/>
    <col min="4614" max="4864" width="9" style="1381"/>
    <col min="4865" max="4865" width="25.5" style="1381" customWidth="1"/>
    <col min="4866" max="4869" width="19.69921875" style="1381" customWidth="1"/>
    <col min="4870" max="5120" width="9" style="1381"/>
    <col min="5121" max="5121" width="25.5" style="1381" customWidth="1"/>
    <col min="5122" max="5125" width="19.69921875" style="1381" customWidth="1"/>
    <col min="5126" max="5376" width="9" style="1381"/>
    <col min="5377" max="5377" width="25.5" style="1381" customWidth="1"/>
    <col min="5378" max="5381" width="19.69921875" style="1381" customWidth="1"/>
    <col min="5382" max="5632" width="9" style="1381"/>
    <col min="5633" max="5633" width="25.5" style="1381" customWidth="1"/>
    <col min="5634" max="5637" width="19.69921875" style="1381" customWidth="1"/>
    <col min="5638" max="5888" width="9" style="1381"/>
    <col min="5889" max="5889" width="25.5" style="1381" customWidth="1"/>
    <col min="5890" max="5893" width="19.69921875" style="1381" customWidth="1"/>
    <col min="5894" max="6144" width="9" style="1381"/>
    <col min="6145" max="6145" width="25.5" style="1381" customWidth="1"/>
    <col min="6146" max="6149" width="19.69921875" style="1381" customWidth="1"/>
    <col min="6150" max="6400" width="9" style="1381"/>
    <col min="6401" max="6401" width="25.5" style="1381" customWidth="1"/>
    <col min="6402" max="6405" width="19.69921875" style="1381" customWidth="1"/>
    <col min="6406" max="6656" width="9" style="1381"/>
    <col min="6657" max="6657" width="25.5" style="1381" customWidth="1"/>
    <col min="6658" max="6661" width="19.69921875" style="1381" customWidth="1"/>
    <col min="6662" max="6912" width="9" style="1381"/>
    <col min="6913" max="6913" width="25.5" style="1381" customWidth="1"/>
    <col min="6914" max="6917" width="19.69921875" style="1381" customWidth="1"/>
    <col min="6918" max="7168" width="9" style="1381"/>
    <col min="7169" max="7169" width="25.5" style="1381" customWidth="1"/>
    <col min="7170" max="7173" width="19.69921875" style="1381" customWidth="1"/>
    <col min="7174" max="7424" width="9" style="1381"/>
    <col min="7425" max="7425" width="25.5" style="1381" customWidth="1"/>
    <col min="7426" max="7429" width="19.69921875" style="1381" customWidth="1"/>
    <col min="7430" max="7680" width="9" style="1381"/>
    <col min="7681" max="7681" width="25.5" style="1381" customWidth="1"/>
    <col min="7682" max="7685" width="19.69921875" style="1381" customWidth="1"/>
    <col min="7686" max="7936" width="9" style="1381"/>
    <col min="7937" max="7937" width="25.5" style="1381" customWidth="1"/>
    <col min="7938" max="7941" width="19.69921875" style="1381" customWidth="1"/>
    <col min="7942" max="8192" width="9" style="1381"/>
    <col min="8193" max="8193" width="25.5" style="1381" customWidth="1"/>
    <col min="8194" max="8197" width="19.69921875" style="1381" customWidth="1"/>
    <col min="8198" max="8448" width="9" style="1381"/>
    <col min="8449" max="8449" width="25.5" style="1381" customWidth="1"/>
    <col min="8450" max="8453" width="19.69921875" style="1381" customWidth="1"/>
    <col min="8454" max="8704" width="9" style="1381"/>
    <col min="8705" max="8705" width="25.5" style="1381" customWidth="1"/>
    <col min="8706" max="8709" width="19.69921875" style="1381" customWidth="1"/>
    <col min="8710" max="8960" width="9" style="1381"/>
    <col min="8961" max="8961" width="25.5" style="1381" customWidth="1"/>
    <col min="8962" max="8965" width="19.69921875" style="1381" customWidth="1"/>
    <col min="8966" max="9216" width="9" style="1381"/>
    <col min="9217" max="9217" width="25.5" style="1381" customWidth="1"/>
    <col min="9218" max="9221" width="19.69921875" style="1381" customWidth="1"/>
    <col min="9222" max="9472" width="9" style="1381"/>
    <col min="9473" max="9473" width="25.5" style="1381" customWidth="1"/>
    <col min="9474" max="9477" width="19.69921875" style="1381" customWidth="1"/>
    <col min="9478" max="9728" width="9" style="1381"/>
    <col min="9729" max="9729" width="25.5" style="1381" customWidth="1"/>
    <col min="9730" max="9733" width="19.69921875" style="1381" customWidth="1"/>
    <col min="9734" max="9984" width="9" style="1381"/>
    <col min="9985" max="9985" width="25.5" style="1381" customWidth="1"/>
    <col min="9986" max="9989" width="19.69921875" style="1381" customWidth="1"/>
    <col min="9990" max="10240" width="9" style="1381"/>
    <col min="10241" max="10241" width="25.5" style="1381" customWidth="1"/>
    <col min="10242" max="10245" width="19.69921875" style="1381" customWidth="1"/>
    <col min="10246" max="10496" width="9" style="1381"/>
    <col min="10497" max="10497" width="25.5" style="1381" customWidth="1"/>
    <col min="10498" max="10501" width="19.69921875" style="1381" customWidth="1"/>
    <col min="10502" max="10752" width="9" style="1381"/>
    <col min="10753" max="10753" width="25.5" style="1381" customWidth="1"/>
    <col min="10754" max="10757" width="19.69921875" style="1381" customWidth="1"/>
    <col min="10758" max="11008" width="9" style="1381"/>
    <col min="11009" max="11009" width="25.5" style="1381" customWidth="1"/>
    <col min="11010" max="11013" width="19.69921875" style="1381" customWidth="1"/>
    <col min="11014" max="11264" width="9" style="1381"/>
    <col min="11265" max="11265" width="25.5" style="1381" customWidth="1"/>
    <col min="11266" max="11269" width="19.69921875" style="1381" customWidth="1"/>
    <col min="11270" max="11520" width="9" style="1381"/>
    <col min="11521" max="11521" width="25.5" style="1381" customWidth="1"/>
    <col min="11522" max="11525" width="19.69921875" style="1381" customWidth="1"/>
    <col min="11526" max="11776" width="9" style="1381"/>
    <col min="11777" max="11777" width="25.5" style="1381" customWidth="1"/>
    <col min="11778" max="11781" width="19.69921875" style="1381" customWidth="1"/>
    <col min="11782" max="12032" width="9" style="1381"/>
    <col min="12033" max="12033" width="25.5" style="1381" customWidth="1"/>
    <col min="12034" max="12037" width="19.69921875" style="1381" customWidth="1"/>
    <col min="12038" max="12288" width="9" style="1381"/>
    <col min="12289" max="12289" width="25.5" style="1381" customWidth="1"/>
    <col min="12290" max="12293" width="19.69921875" style="1381" customWidth="1"/>
    <col min="12294" max="12544" width="9" style="1381"/>
    <col min="12545" max="12545" width="25.5" style="1381" customWidth="1"/>
    <col min="12546" max="12549" width="19.69921875" style="1381" customWidth="1"/>
    <col min="12550" max="12800" width="9" style="1381"/>
    <col min="12801" max="12801" width="25.5" style="1381" customWidth="1"/>
    <col min="12802" max="12805" width="19.69921875" style="1381" customWidth="1"/>
    <col min="12806" max="13056" width="9" style="1381"/>
    <col min="13057" max="13057" width="25.5" style="1381" customWidth="1"/>
    <col min="13058" max="13061" width="19.69921875" style="1381" customWidth="1"/>
    <col min="13062" max="13312" width="9" style="1381"/>
    <col min="13313" max="13313" width="25.5" style="1381" customWidth="1"/>
    <col min="13314" max="13317" width="19.69921875" style="1381" customWidth="1"/>
    <col min="13318" max="13568" width="9" style="1381"/>
    <col min="13569" max="13569" width="25.5" style="1381" customWidth="1"/>
    <col min="13570" max="13573" width="19.69921875" style="1381" customWidth="1"/>
    <col min="13574" max="13824" width="9" style="1381"/>
    <col min="13825" max="13825" width="25.5" style="1381" customWidth="1"/>
    <col min="13826" max="13829" width="19.69921875" style="1381" customWidth="1"/>
    <col min="13830" max="14080" width="9" style="1381"/>
    <col min="14081" max="14081" width="25.5" style="1381" customWidth="1"/>
    <col min="14082" max="14085" width="19.69921875" style="1381" customWidth="1"/>
    <col min="14086" max="14336" width="9" style="1381"/>
    <col min="14337" max="14337" width="25.5" style="1381" customWidth="1"/>
    <col min="14338" max="14341" width="19.69921875" style="1381" customWidth="1"/>
    <col min="14342" max="14592" width="9" style="1381"/>
    <col min="14593" max="14593" width="25.5" style="1381" customWidth="1"/>
    <col min="14594" max="14597" width="19.69921875" style="1381" customWidth="1"/>
    <col min="14598" max="14848" width="9" style="1381"/>
    <col min="14849" max="14849" width="25.5" style="1381" customWidth="1"/>
    <col min="14850" max="14853" width="19.69921875" style="1381" customWidth="1"/>
    <col min="14854" max="15104" width="9" style="1381"/>
    <col min="15105" max="15105" width="25.5" style="1381" customWidth="1"/>
    <col min="15106" max="15109" width="19.69921875" style="1381" customWidth="1"/>
    <col min="15110" max="15360" width="9" style="1381"/>
    <col min="15361" max="15361" width="25.5" style="1381" customWidth="1"/>
    <col min="15362" max="15365" width="19.69921875" style="1381" customWidth="1"/>
    <col min="15366" max="15616" width="9" style="1381"/>
    <col min="15617" max="15617" width="25.5" style="1381" customWidth="1"/>
    <col min="15618" max="15621" width="19.69921875" style="1381" customWidth="1"/>
    <col min="15622" max="15872" width="9" style="1381"/>
    <col min="15873" max="15873" width="25.5" style="1381" customWidth="1"/>
    <col min="15874" max="15877" width="19.69921875" style="1381" customWidth="1"/>
    <col min="15878" max="16128" width="9" style="1381"/>
    <col min="16129" max="16129" width="25.5" style="1381" customWidth="1"/>
    <col min="16130" max="16133" width="19.69921875" style="1381" customWidth="1"/>
    <col min="16134" max="16384" width="9" style="1381"/>
  </cols>
  <sheetData>
    <row r="1" spans="1:5" s="1370" customFormat="1" ht="25.5" customHeight="1">
      <c r="A1" s="3898" t="s">
        <v>1847</v>
      </c>
      <c r="B1" s="3898"/>
      <c r="C1" s="3898"/>
      <c r="D1" s="3898"/>
      <c r="E1" s="3898"/>
    </row>
    <row r="2" spans="1:5" ht="23.25" customHeight="1">
      <c r="A2" s="3899" t="s">
        <v>7423</v>
      </c>
      <c r="B2" s="3900"/>
      <c r="C2" s="3900"/>
      <c r="D2" s="3900"/>
      <c r="E2" s="3900"/>
    </row>
    <row r="3" spans="1:5" ht="24" customHeight="1">
      <c r="A3" s="3900"/>
      <c r="B3" s="3900"/>
      <c r="C3" s="3900"/>
      <c r="D3" s="3900"/>
      <c r="E3" s="3900"/>
    </row>
    <row r="4" spans="1:5" ht="21" customHeight="1">
      <c r="A4" s="3900"/>
      <c r="B4" s="3900"/>
      <c r="C4" s="3900"/>
      <c r="D4" s="3900"/>
      <c r="E4" s="3900"/>
    </row>
    <row r="5" spans="1:5" ht="27.75" customHeight="1">
      <c r="A5" s="3901" t="s">
        <v>1848</v>
      </c>
      <c r="B5" s="3901"/>
      <c r="C5" s="3901"/>
      <c r="D5" s="3901"/>
      <c r="E5" s="3901"/>
    </row>
    <row r="6" spans="1:5" ht="40.5" customHeight="1">
      <c r="A6" s="1392" t="s">
        <v>1849</v>
      </c>
      <c r="B6" s="1393" t="s">
        <v>1850</v>
      </c>
      <c r="C6" s="1393" t="s">
        <v>1851</v>
      </c>
      <c r="D6" s="2557" t="s">
        <v>7424</v>
      </c>
      <c r="E6" s="1392" t="s">
        <v>1852</v>
      </c>
    </row>
    <row r="7" spans="1:5" ht="40.5" customHeight="1">
      <c r="A7" s="1394" t="s">
        <v>1692</v>
      </c>
      <c r="B7" s="1386" t="s">
        <v>1692</v>
      </c>
      <c r="C7" s="1386" t="s">
        <v>1692</v>
      </c>
      <c r="D7" s="1386" t="s">
        <v>1692</v>
      </c>
      <c r="E7" s="1387" t="s">
        <v>1692</v>
      </c>
    </row>
    <row r="8" spans="1:5" ht="40.5" customHeight="1">
      <c r="A8" s="1394"/>
      <c r="B8" s="1386"/>
      <c r="C8" s="1386"/>
      <c r="D8" s="1386"/>
      <c r="E8" s="1387"/>
    </row>
    <row r="9" spans="1:5" ht="40.5" customHeight="1">
      <c r="A9" s="1394"/>
      <c r="B9" s="1386"/>
      <c r="C9" s="1386"/>
      <c r="D9" s="1386"/>
      <c r="E9" s="1387"/>
    </row>
    <row r="10" spans="1:5" ht="40.5" customHeight="1">
      <c r="A10" s="1394"/>
      <c r="B10" s="1386"/>
      <c r="C10" s="1386"/>
      <c r="D10" s="1386"/>
      <c r="E10" s="1387"/>
    </row>
    <row r="11" spans="1:5" ht="40.5" customHeight="1">
      <c r="A11" s="1394"/>
      <c r="B11" s="1386"/>
      <c r="C11" s="1386"/>
      <c r="D11" s="1386"/>
      <c r="E11" s="1387"/>
    </row>
    <row r="12" spans="1:5" ht="40.5" customHeight="1">
      <c r="A12" s="1394"/>
      <c r="B12" s="1386"/>
      <c r="C12" s="1386"/>
      <c r="D12" s="1386"/>
      <c r="E12" s="1387"/>
    </row>
    <row r="13" spans="1:5" ht="40.5" customHeight="1">
      <c r="A13" s="1394"/>
      <c r="B13" s="1386"/>
      <c r="C13" s="1386"/>
      <c r="D13" s="1386"/>
      <c r="E13" s="1387"/>
    </row>
    <row r="14" spans="1:5" ht="40.5" customHeight="1">
      <c r="A14" s="1394"/>
      <c r="B14" s="1386"/>
      <c r="C14" s="1386"/>
      <c r="D14" s="1386"/>
      <c r="E14" s="1387"/>
    </row>
    <row r="15" spans="1:5" ht="40.5" customHeight="1">
      <c r="A15" s="1394"/>
      <c r="B15" s="1386"/>
      <c r="C15" s="1386"/>
      <c r="D15" s="1386"/>
      <c r="E15" s="1387"/>
    </row>
    <row r="16" spans="1:5" ht="40.5" customHeight="1">
      <c r="A16" s="1394"/>
      <c r="B16" s="1386"/>
      <c r="C16" s="1386"/>
      <c r="D16" s="1386"/>
      <c r="E16" s="1387"/>
    </row>
    <row r="17" spans="1:5" ht="40.5" customHeight="1">
      <c r="A17" s="1394"/>
      <c r="B17" s="1386"/>
      <c r="C17" s="1386"/>
      <c r="D17" s="1386"/>
      <c r="E17" s="1387"/>
    </row>
    <row r="18" spans="1:5" ht="40.5" customHeight="1">
      <c r="A18" s="1395"/>
      <c r="B18" s="1388"/>
      <c r="C18" s="1388"/>
      <c r="D18" s="1388"/>
      <c r="E18" s="1387"/>
    </row>
    <row r="19" spans="1:5" ht="40.5" customHeight="1">
      <c r="A19" s="1395"/>
      <c r="B19" s="1388"/>
      <c r="C19" s="1388"/>
      <c r="D19" s="1388"/>
      <c r="E19" s="1387"/>
    </row>
    <row r="20" spans="1:5" ht="40.5" customHeight="1">
      <c r="A20" s="1395"/>
      <c r="B20" s="1388"/>
      <c r="C20" s="1388"/>
      <c r="D20" s="1388"/>
      <c r="E20" s="1387"/>
    </row>
    <row r="21" spans="1:5" ht="40.5" customHeight="1">
      <c r="A21" s="1395"/>
      <c r="B21" s="1388"/>
      <c r="C21" s="1388"/>
      <c r="D21" s="1388"/>
      <c r="E21" s="1387"/>
    </row>
    <row r="22" spans="1:5" ht="40.5" customHeight="1">
      <c r="A22" s="1395"/>
      <c r="B22" s="1388"/>
      <c r="C22" s="1388"/>
      <c r="D22" s="1388"/>
      <c r="E22" s="1387"/>
    </row>
    <row r="23" spans="1:5" ht="40.5" customHeight="1">
      <c r="A23" s="1395"/>
      <c r="B23" s="1388"/>
      <c r="C23" s="1388"/>
      <c r="D23" s="1388"/>
      <c r="E23" s="1387"/>
    </row>
  </sheetData>
  <mergeCells count="3">
    <mergeCell ref="A1:E1"/>
    <mergeCell ref="A2:E4"/>
    <mergeCell ref="A5:E5"/>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4"/>
  <dimension ref="A1:G49"/>
  <sheetViews>
    <sheetView workbookViewId="0">
      <selection activeCell="B10" sqref="B10"/>
    </sheetView>
  </sheetViews>
  <sheetFormatPr defaultColWidth="8.8984375" defaultRowHeight="12"/>
  <cols>
    <col min="1" max="1" width="8.5" style="1521" bestFit="1" customWidth="1"/>
    <col min="2" max="2" width="60.19921875" style="1517" customWidth="1"/>
    <col min="3" max="3" width="11.69921875" style="1521" bestFit="1" customWidth="1"/>
    <col min="4" max="5" width="8.8984375" style="1517"/>
    <col min="6" max="6" width="13" style="1517" customWidth="1"/>
    <col min="7" max="7" width="14.5" style="1517" customWidth="1"/>
    <col min="8" max="256" width="8.8984375" style="1517"/>
    <col min="257" max="257" width="8.5" style="1517" bestFit="1" customWidth="1"/>
    <col min="258" max="258" width="60.19921875" style="1517" customWidth="1"/>
    <col min="259" max="259" width="10.09765625" style="1517" customWidth="1"/>
    <col min="260" max="512" width="8.8984375" style="1517"/>
    <col min="513" max="513" width="8.5" style="1517" bestFit="1" customWidth="1"/>
    <col min="514" max="514" width="60.19921875" style="1517" customWidth="1"/>
    <col min="515" max="515" width="10.09765625" style="1517" customWidth="1"/>
    <col min="516" max="768" width="8.8984375" style="1517"/>
    <col min="769" max="769" width="8.5" style="1517" bestFit="1" customWidth="1"/>
    <col min="770" max="770" width="60.19921875" style="1517" customWidth="1"/>
    <col min="771" max="771" width="10.09765625" style="1517" customWidth="1"/>
    <col min="772" max="1024" width="8.8984375" style="1517"/>
    <col min="1025" max="1025" width="8.5" style="1517" bestFit="1" customWidth="1"/>
    <col min="1026" max="1026" width="60.19921875" style="1517" customWidth="1"/>
    <col min="1027" max="1027" width="10.09765625" style="1517" customWidth="1"/>
    <col min="1028" max="1280" width="8.8984375" style="1517"/>
    <col min="1281" max="1281" width="8.5" style="1517" bestFit="1" customWidth="1"/>
    <col min="1282" max="1282" width="60.19921875" style="1517" customWidth="1"/>
    <col min="1283" max="1283" width="10.09765625" style="1517" customWidth="1"/>
    <col min="1284" max="1536" width="8.8984375" style="1517"/>
    <col min="1537" max="1537" width="8.5" style="1517" bestFit="1" customWidth="1"/>
    <col min="1538" max="1538" width="60.19921875" style="1517" customWidth="1"/>
    <col min="1539" max="1539" width="10.09765625" style="1517" customWidth="1"/>
    <col min="1540" max="1792" width="8.8984375" style="1517"/>
    <col min="1793" max="1793" width="8.5" style="1517" bestFit="1" customWidth="1"/>
    <col min="1794" max="1794" width="60.19921875" style="1517" customWidth="1"/>
    <col min="1795" max="1795" width="10.09765625" style="1517" customWidth="1"/>
    <col min="1796" max="2048" width="8.8984375" style="1517"/>
    <col min="2049" max="2049" width="8.5" style="1517" bestFit="1" customWidth="1"/>
    <col min="2050" max="2050" width="60.19921875" style="1517" customWidth="1"/>
    <col min="2051" max="2051" width="10.09765625" style="1517" customWidth="1"/>
    <col min="2052" max="2304" width="8.8984375" style="1517"/>
    <col min="2305" max="2305" width="8.5" style="1517" bestFit="1" customWidth="1"/>
    <col min="2306" max="2306" width="60.19921875" style="1517" customWidth="1"/>
    <col min="2307" max="2307" width="10.09765625" style="1517" customWidth="1"/>
    <col min="2308" max="2560" width="8.8984375" style="1517"/>
    <col min="2561" max="2561" width="8.5" style="1517" bestFit="1" customWidth="1"/>
    <col min="2562" max="2562" width="60.19921875" style="1517" customWidth="1"/>
    <col min="2563" max="2563" width="10.09765625" style="1517" customWidth="1"/>
    <col min="2564" max="2816" width="8.8984375" style="1517"/>
    <col min="2817" max="2817" width="8.5" style="1517" bestFit="1" customWidth="1"/>
    <col min="2818" max="2818" width="60.19921875" style="1517" customWidth="1"/>
    <col min="2819" max="2819" width="10.09765625" style="1517" customWidth="1"/>
    <col min="2820" max="3072" width="8.8984375" style="1517"/>
    <col min="3073" max="3073" width="8.5" style="1517" bestFit="1" customWidth="1"/>
    <col min="3074" max="3074" width="60.19921875" style="1517" customWidth="1"/>
    <col min="3075" max="3075" width="10.09765625" style="1517" customWidth="1"/>
    <col min="3076" max="3328" width="8.8984375" style="1517"/>
    <col min="3329" max="3329" width="8.5" style="1517" bestFit="1" customWidth="1"/>
    <col min="3330" max="3330" width="60.19921875" style="1517" customWidth="1"/>
    <col min="3331" max="3331" width="10.09765625" style="1517" customWidth="1"/>
    <col min="3332" max="3584" width="8.8984375" style="1517"/>
    <col min="3585" max="3585" width="8.5" style="1517" bestFit="1" customWidth="1"/>
    <col min="3586" max="3586" width="60.19921875" style="1517" customWidth="1"/>
    <col min="3587" max="3587" width="10.09765625" style="1517" customWidth="1"/>
    <col min="3588" max="3840" width="8.8984375" style="1517"/>
    <col min="3841" max="3841" width="8.5" style="1517" bestFit="1" customWidth="1"/>
    <col min="3842" max="3842" width="60.19921875" style="1517" customWidth="1"/>
    <col min="3843" max="3843" width="10.09765625" style="1517" customWidth="1"/>
    <col min="3844" max="4096" width="8.8984375" style="1517"/>
    <col min="4097" max="4097" width="8.5" style="1517" bestFit="1" customWidth="1"/>
    <col min="4098" max="4098" width="60.19921875" style="1517" customWidth="1"/>
    <col min="4099" max="4099" width="10.09765625" style="1517" customWidth="1"/>
    <col min="4100" max="4352" width="8.8984375" style="1517"/>
    <col min="4353" max="4353" width="8.5" style="1517" bestFit="1" customWidth="1"/>
    <col min="4354" max="4354" width="60.19921875" style="1517" customWidth="1"/>
    <col min="4355" max="4355" width="10.09765625" style="1517" customWidth="1"/>
    <col min="4356" max="4608" width="8.8984375" style="1517"/>
    <col min="4609" max="4609" width="8.5" style="1517" bestFit="1" customWidth="1"/>
    <col min="4610" max="4610" width="60.19921875" style="1517" customWidth="1"/>
    <col min="4611" max="4611" width="10.09765625" style="1517" customWidth="1"/>
    <col min="4612" max="4864" width="8.8984375" style="1517"/>
    <col min="4865" max="4865" width="8.5" style="1517" bestFit="1" customWidth="1"/>
    <col min="4866" max="4866" width="60.19921875" style="1517" customWidth="1"/>
    <col min="4867" max="4867" width="10.09765625" style="1517" customWidth="1"/>
    <col min="4868" max="5120" width="8.8984375" style="1517"/>
    <col min="5121" max="5121" width="8.5" style="1517" bestFit="1" customWidth="1"/>
    <col min="5122" max="5122" width="60.19921875" style="1517" customWidth="1"/>
    <col min="5123" max="5123" width="10.09765625" style="1517" customWidth="1"/>
    <col min="5124" max="5376" width="8.8984375" style="1517"/>
    <col min="5377" max="5377" width="8.5" style="1517" bestFit="1" customWidth="1"/>
    <col min="5378" max="5378" width="60.19921875" style="1517" customWidth="1"/>
    <col min="5379" max="5379" width="10.09765625" style="1517" customWidth="1"/>
    <col min="5380" max="5632" width="8.8984375" style="1517"/>
    <col min="5633" max="5633" width="8.5" style="1517" bestFit="1" customWidth="1"/>
    <col min="5634" max="5634" width="60.19921875" style="1517" customWidth="1"/>
    <col min="5635" max="5635" width="10.09765625" style="1517" customWidth="1"/>
    <col min="5636" max="5888" width="8.8984375" style="1517"/>
    <col min="5889" max="5889" width="8.5" style="1517" bestFit="1" customWidth="1"/>
    <col min="5890" max="5890" width="60.19921875" style="1517" customWidth="1"/>
    <col min="5891" max="5891" width="10.09765625" style="1517" customWidth="1"/>
    <col min="5892" max="6144" width="8.8984375" style="1517"/>
    <col min="6145" max="6145" width="8.5" style="1517" bestFit="1" customWidth="1"/>
    <col min="6146" max="6146" width="60.19921875" style="1517" customWidth="1"/>
    <col min="6147" max="6147" width="10.09765625" style="1517" customWidth="1"/>
    <col min="6148" max="6400" width="8.8984375" style="1517"/>
    <col min="6401" max="6401" width="8.5" style="1517" bestFit="1" customWidth="1"/>
    <col min="6402" max="6402" width="60.19921875" style="1517" customWidth="1"/>
    <col min="6403" max="6403" width="10.09765625" style="1517" customWidth="1"/>
    <col min="6404" max="6656" width="8.8984375" style="1517"/>
    <col min="6657" max="6657" width="8.5" style="1517" bestFit="1" customWidth="1"/>
    <col min="6658" max="6658" width="60.19921875" style="1517" customWidth="1"/>
    <col min="6659" max="6659" width="10.09765625" style="1517" customWidth="1"/>
    <col min="6660" max="6912" width="8.8984375" style="1517"/>
    <col min="6913" max="6913" width="8.5" style="1517" bestFit="1" customWidth="1"/>
    <col min="6914" max="6914" width="60.19921875" style="1517" customWidth="1"/>
    <col min="6915" max="6915" width="10.09765625" style="1517" customWidth="1"/>
    <col min="6916" max="7168" width="8.8984375" style="1517"/>
    <col min="7169" max="7169" width="8.5" style="1517" bestFit="1" customWidth="1"/>
    <col min="7170" max="7170" width="60.19921875" style="1517" customWidth="1"/>
    <col min="7171" max="7171" width="10.09765625" style="1517" customWidth="1"/>
    <col min="7172" max="7424" width="8.8984375" style="1517"/>
    <col min="7425" max="7425" width="8.5" style="1517" bestFit="1" customWidth="1"/>
    <col min="7426" max="7426" width="60.19921875" style="1517" customWidth="1"/>
    <col min="7427" max="7427" width="10.09765625" style="1517" customWidth="1"/>
    <col min="7428" max="7680" width="8.8984375" style="1517"/>
    <col min="7681" max="7681" width="8.5" style="1517" bestFit="1" customWidth="1"/>
    <col min="7682" max="7682" width="60.19921875" style="1517" customWidth="1"/>
    <col min="7683" max="7683" width="10.09765625" style="1517" customWidth="1"/>
    <col min="7684" max="7936" width="8.8984375" style="1517"/>
    <col min="7937" max="7937" width="8.5" style="1517" bestFit="1" customWidth="1"/>
    <col min="7938" max="7938" width="60.19921875" style="1517" customWidth="1"/>
    <col min="7939" max="7939" width="10.09765625" style="1517" customWidth="1"/>
    <col min="7940" max="8192" width="8.8984375" style="1517"/>
    <col min="8193" max="8193" width="8.5" style="1517" bestFit="1" customWidth="1"/>
    <col min="8194" max="8194" width="60.19921875" style="1517" customWidth="1"/>
    <col min="8195" max="8195" width="10.09765625" style="1517" customWidth="1"/>
    <col min="8196" max="8448" width="8.8984375" style="1517"/>
    <col min="8449" max="8449" width="8.5" style="1517" bestFit="1" customWidth="1"/>
    <col min="8450" max="8450" width="60.19921875" style="1517" customWidth="1"/>
    <col min="8451" max="8451" width="10.09765625" style="1517" customWidth="1"/>
    <col min="8452" max="8704" width="8.8984375" style="1517"/>
    <col min="8705" max="8705" width="8.5" style="1517" bestFit="1" customWidth="1"/>
    <col min="8706" max="8706" width="60.19921875" style="1517" customWidth="1"/>
    <col min="8707" max="8707" width="10.09765625" style="1517" customWidth="1"/>
    <col min="8708" max="8960" width="8.8984375" style="1517"/>
    <col min="8961" max="8961" width="8.5" style="1517" bestFit="1" customWidth="1"/>
    <col min="8962" max="8962" width="60.19921875" style="1517" customWidth="1"/>
    <col min="8963" max="8963" width="10.09765625" style="1517" customWidth="1"/>
    <col min="8964" max="9216" width="8.8984375" style="1517"/>
    <col min="9217" max="9217" width="8.5" style="1517" bestFit="1" customWidth="1"/>
    <col min="9218" max="9218" width="60.19921875" style="1517" customWidth="1"/>
    <col min="9219" max="9219" width="10.09765625" style="1517" customWidth="1"/>
    <col min="9220" max="9472" width="8.8984375" style="1517"/>
    <col min="9473" max="9473" width="8.5" style="1517" bestFit="1" customWidth="1"/>
    <col min="9474" max="9474" width="60.19921875" style="1517" customWidth="1"/>
    <col min="9475" max="9475" width="10.09765625" style="1517" customWidth="1"/>
    <col min="9476" max="9728" width="8.8984375" style="1517"/>
    <col min="9729" max="9729" width="8.5" style="1517" bestFit="1" customWidth="1"/>
    <col min="9730" max="9730" width="60.19921875" style="1517" customWidth="1"/>
    <col min="9731" max="9731" width="10.09765625" style="1517" customWidth="1"/>
    <col min="9732" max="9984" width="8.8984375" style="1517"/>
    <col min="9985" max="9985" width="8.5" style="1517" bestFit="1" customWidth="1"/>
    <col min="9986" max="9986" width="60.19921875" style="1517" customWidth="1"/>
    <col min="9987" max="9987" width="10.09765625" style="1517" customWidth="1"/>
    <col min="9988" max="10240" width="8.8984375" style="1517"/>
    <col min="10241" max="10241" width="8.5" style="1517" bestFit="1" customWidth="1"/>
    <col min="10242" max="10242" width="60.19921875" style="1517" customWidth="1"/>
    <col min="10243" max="10243" width="10.09765625" style="1517" customWidth="1"/>
    <col min="10244" max="10496" width="8.8984375" style="1517"/>
    <col min="10497" max="10497" width="8.5" style="1517" bestFit="1" customWidth="1"/>
    <col min="10498" max="10498" width="60.19921875" style="1517" customWidth="1"/>
    <col min="10499" max="10499" width="10.09765625" style="1517" customWidth="1"/>
    <col min="10500" max="10752" width="8.8984375" style="1517"/>
    <col min="10753" max="10753" width="8.5" style="1517" bestFit="1" customWidth="1"/>
    <col min="10754" max="10754" width="60.19921875" style="1517" customWidth="1"/>
    <col min="10755" max="10755" width="10.09765625" style="1517" customWidth="1"/>
    <col min="10756" max="11008" width="8.8984375" style="1517"/>
    <col min="11009" max="11009" width="8.5" style="1517" bestFit="1" customWidth="1"/>
    <col min="11010" max="11010" width="60.19921875" style="1517" customWidth="1"/>
    <col min="11011" max="11011" width="10.09765625" style="1517" customWidth="1"/>
    <col min="11012" max="11264" width="8.8984375" style="1517"/>
    <col min="11265" max="11265" width="8.5" style="1517" bestFit="1" customWidth="1"/>
    <col min="11266" max="11266" width="60.19921875" style="1517" customWidth="1"/>
    <col min="11267" max="11267" width="10.09765625" style="1517" customWidth="1"/>
    <col min="11268" max="11520" width="8.8984375" style="1517"/>
    <col min="11521" max="11521" width="8.5" style="1517" bestFit="1" customWidth="1"/>
    <col min="11522" max="11522" width="60.19921875" style="1517" customWidth="1"/>
    <col min="11523" max="11523" width="10.09765625" style="1517" customWidth="1"/>
    <col min="11524" max="11776" width="8.8984375" style="1517"/>
    <col min="11777" max="11777" width="8.5" style="1517" bestFit="1" customWidth="1"/>
    <col min="11778" max="11778" width="60.19921875" style="1517" customWidth="1"/>
    <col min="11779" max="11779" width="10.09765625" style="1517" customWidth="1"/>
    <col min="11780" max="12032" width="8.8984375" style="1517"/>
    <col min="12033" max="12033" width="8.5" style="1517" bestFit="1" customWidth="1"/>
    <col min="12034" max="12034" width="60.19921875" style="1517" customWidth="1"/>
    <col min="12035" max="12035" width="10.09765625" style="1517" customWidth="1"/>
    <col min="12036" max="12288" width="8.8984375" style="1517"/>
    <col min="12289" max="12289" width="8.5" style="1517" bestFit="1" customWidth="1"/>
    <col min="12290" max="12290" width="60.19921875" style="1517" customWidth="1"/>
    <col min="12291" max="12291" width="10.09765625" style="1517" customWidth="1"/>
    <col min="12292" max="12544" width="8.8984375" style="1517"/>
    <col min="12545" max="12545" width="8.5" style="1517" bestFit="1" customWidth="1"/>
    <col min="12546" max="12546" width="60.19921875" style="1517" customWidth="1"/>
    <col min="12547" max="12547" width="10.09765625" style="1517" customWidth="1"/>
    <col min="12548" max="12800" width="8.8984375" style="1517"/>
    <col min="12801" max="12801" width="8.5" style="1517" bestFit="1" customWidth="1"/>
    <col min="12802" max="12802" width="60.19921875" style="1517" customWidth="1"/>
    <col min="12803" max="12803" width="10.09765625" style="1517" customWidth="1"/>
    <col min="12804" max="13056" width="8.8984375" style="1517"/>
    <col min="13057" max="13057" width="8.5" style="1517" bestFit="1" customWidth="1"/>
    <col min="13058" max="13058" width="60.19921875" style="1517" customWidth="1"/>
    <col min="13059" max="13059" width="10.09765625" style="1517" customWidth="1"/>
    <col min="13060" max="13312" width="8.8984375" style="1517"/>
    <col min="13313" max="13313" width="8.5" style="1517" bestFit="1" customWidth="1"/>
    <col min="13314" max="13314" width="60.19921875" style="1517" customWidth="1"/>
    <col min="13315" max="13315" width="10.09765625" style="1517" customWidth="1"/>
    <col min="13316" max="13568" width="8.8984375" style="1517"/>
    <col min="13569" max="13569" width="8.5" style="1517" bestFit="1" customWidth="1"/>
    <col min="13570" max="13570" width="60.19921875" style="1517" customWidth="1"/>
    <col min="13571" max="13571" width="10.09765625" style="1517" customWidth="1"/>
    <col min="13572" max="13824" width="8.8984375" style="1517"/>
    <col min="13825" max="13825" width="8.5" style="1517" bestFit="1" customWidth="1"/>
    <col min="13826" max="13826" width="60.19921875" style="1517" customWidth="1"/>
    <col min="13827" max="13827" width="10.09765625" style="1517" customWidth="1"/>
    <col min="13828" max="14080" width="8.8984375" style="1517"/>
    <col min="14081" max="14081" width="8.5" style="1517" bestFit="1" customWidth="1"/>
    <col min="14082" max="14082" width="60.19921875" style="1517" customWidth="1"/>
    <col min="14083" max="14083" width="10.09765625" style="1517" customWidth="1"/>
    <col min="14084" max="14336" width="8.8984375" style="1517"/>
    <col min="14337" max="14337" width="8.5" style="1517" bestFit="1" customWidth="1"/>
    <col min="14338" max="14338" width="60.19921875" style="1517" customWidth="1"/>
    <col min="14339" max="14339" width="10.09765625" style="1517" customWidth="1"/>
    <col min="14340" max="14592" width="8.8984375" style="1517"/>
    <col min="14593" max="14593" width="8.5" style="1517" bestFit="1" customWidth="1"/>
    <col min="14594" max="14594" width="60.19921875" style="1517" customWidth="1"/>
    <col min="14595" max="14595" width="10.09765625" style="1517" customWidth="1"/>
    <col min="14596" max="14848" width="8.8984375" style="1517"/>
    <col min="14849" max="14849" width="8.5" style="1517" bestFit="1" customWidth="1"/>
    <col min="14850" max="14850" width="60.19921875" style="1517" customWidth="1"/>
    <col min="14851" max="14851" width="10.09765625" style="1517" customWidth="1"/>
    <col min="14852" max="15104" width="8.8984375" style="1517"/>
    <col min="15105" max="15105" width="8.5" style="1517" bestFit="1" customWidth="1"/>
    <col min="15106" max="15106" width="60.19921875" style="1517" customWidth="1"/>
    <col min="15107" max="15107" width="10.09765625" style="1517" customWidth="1"/>
    <col min="15108" max="15360" width="8.8984375" style="1517"/>
    <col min="15361" max="15361" width="8.5" style="1517" bestFit="1" customWidth="1"/>
    <col min="15362" max="15362" width="60.19921875" style="1517" customWidth="1"/>
    <col min="15363" max="15363" width="10.09765625" style="1517" customWidth="1"/>
    <col min="15364" max="15616" width="8.8984375" style="1517"/>
    <col min="15617" max="15617" width="8.5" style="1517" bestFit="1" customWidth="1"/>
    <col min="15618" max="15618" width="60.19921875" style="1517" customWidth="1"/>
    <col min="15619" max="15619" width="10.09765625" style="1517" customWidth="1"/>
    <col min="15620" max="15872" width="8.8984375" style="1517"/>
    <col min="15873" max="15873" width="8.5" style="1517" bestFit="1" customWidth="1"/>
    <col min="15874" max="15874" width="60.19921875" style="1517" customWidth="1"/>
    <col min="15875" max="15875" width="10.09765625" style="1517" customWidth="1"/>
    <col min="15876" max="16128" width="8.8984375" style="1517"/>
    <col min="16129" max="16129" width="8.5" style="1517" bestFit="1" customWidth="1"/>
    <col min="16130" max="16130" width="60.19921875" style="1517" customWidth="1"/>
    <col min="16131" max="16131" width="10.09765625" style="1517" customWidth="1"/>
    <col min="16132" max="16384" width="8.8984375" style="1517"/>
  </cols>
  <sheetData>
    <row r="1" spans="1:7" ht="25.5" customHeight="1">
      <c r="A1" s="3902" t="s">
        <v>5970</v>
      </c>
      <c r="B1" s="3902"/>
      <c r="C1" s="3902"/>
    </row>
    <row r="2" spans="1:7" ht="23.25" customHeight="1">
      <c r="A2" s="2568" t="s">
        <v>7425</v>
      </c>
      <c r="B2" s="2568" t="s">
        <v>2474</v>
      </c>
      <c r="C2" s="2569" t="s">
        <v>2475</v>
      </c>
    </row>
    <row r="3" spans="1:7" ht="14.25" customHeight="1">
      <c r="A3" s="2569" t="s">
        <v>2557</v>
      </c>
      <c r="B3" s="2109" t="s">
        <v>2476</v>
      </c>
      <c r="C3" s="1997" t="s">
        <v>1077</v>
      </c>
    </row>
    <row r="4" spans="1:7" ht="14.25" customHeight="1">
      <c r="A4" s="2569" t="s">
        <v>2477</v>
      </c>
      <c r="B4" s="2109" t="s">
        <v>2478</v>
      </c>
      <c r="C4" s="1997" t="s">
        <v>1077</v>
      </c>
    </row>
    <row r="5" spans="1:7" ht="14.25" customHeight="1">
      <c r="A5" s="2569" t="s">
        <v>6600</v>
      </c>
      <c r="B5" s="2109" t="s">
        <v>2479</v>
      </c>
      <c r="C5" s="1997" t="str">
        <f>F5</f>
        <v>否</v>
      </c>
      <c r="F5" s="1517" t="str">
        <f>IF(OR(A101010一般企业收入明细表!C4&lt;&gt;0,A101010一般企业收入明细表!C19&lt;&gt;0),"是","否")</f>
        <v>否</v>
      </c>
      <c r="G5" s="1517" t="str">
        <f t="shared" ref="G5:G43" si="0">IF(F5="是","否","是")</f>
        <v>是</v>
      </c>
    </row>
    <row r="6" spans="1:7" ht="14.25" customHeight="1">
      <c r="A6" s="2569" t="s">
        <v>2480</v>
      </c>
      <c r="B6" s="2109" t="s">
        <v>2481</v>
      </c>
      <c r="C6" s="1997" t="str">
        <f t="shared" ref="C6:C48" si="1">F6</f>
        <v>否</v>
      </c>
      <c r="F6" s="1517" t="str">
        <f>IF(OR(A101020金融企业收入明细表!C4&lt;&gt;0,A101020金融企业收入明细表!C38&lt;&gt;0),"是","否")</f>
        <v>否</v>
      </c>
      <c r="G6" s="1517" t="str">
        <f t="shared" si="0"/>
        <v>是</v>
      </c>
    </row>
    <row r="7" spans="1:7" ht="14.25" customHeight="1">
      <c r="A7" s="2569" t="s">
        <v>2482</v>
      </c>
      <c r="B7" s="2109" t="s">
        <v>2483</v>
      </c>
      <c r="C7" s="1997" t="str">
        <f t="shared" si="1"/>
        <v>否</v>
      </c>
      <c r="F7" s="1517" t="str">
        <f>IF(OR(A102010一般企业成本支出明细表!C4&lt;&gt;0,A102010一般企业成本支出明细表!C19&lt;&gt;0),"是","否")</f>
        <v>否</v>
      </c>
      <c r="G7" s="1517" t="str">
        <f t="shared" si="0"/>
        <v>是</v>
      </c>
    </row>
    <row r="8" spans="1:7" ht="14.25" customHeight="1">
      <c r="A8" s="2569" t="s">
        <v>2484</v>
      </c>
      <c r="B8" s="2109" t="s">
        <v>2485</v>
      </c>
      <c r="C8" s="1997" t="str">
        <f t="shared" si="1"/>
        <v>否</v>
      </c>
      <c r="F8" s="1517" t="str">
        <f>IF(OR(A102020金融企业支出明细表!C4&lt;&gt;0,A102020金融企业支出明细表!C36&lt;&gt;0),"是","否")</f>
        <v>否</v>
      </c>
      <c r="G8" s="1517" t="str">
        <f t="shared" si="0"/>
        <v>是</v>
      </c>
    </row>
    <row r="9" spans="1:7" ht="14.25" customHeight="1">
      <c r="A9" s="2569" t="s">
        <v>2486</v>
      </c>
      <c r="B9" s="2109" t="s">
        <v>2487</v>
      </c>
      <c r="C9" s="1997" t="str">
        <f t="shared" si="1"/>
        <v>否</v>
      </c>
      <c r="F9" s="1517" t="str">
        <f>IF(OR(A103000事业单位、民间非营利组织收入、支出明细表!C4&lt;&gt;0,A103000事业单位、民间非营利组织收入、支出明细表!C13&lt;&gt;0,A103000事业单位、民间非营利组织收入、支出明细表!C27&lt;&gt;0),"是","否")</f>
        <v>否</v>
      </c>
      <c r="G9" s="1517" t="str">
        <f t="shared" si="0"/>
        <v>是</v>
      </c>
    </row>
    <row r="10" spans="1:7" ht="14.25" customHeight="1">
      <c r="A10" s="2569" t="s">
        <v>2488</v>
      </c>
      <c r="B10" s="2109" t="s">
        <v>2489</v>
      </c>
      <c r="C10" s="1997" t="str">
        <f t="shared" si="1"/>
        <v>否</v>
      </c>
      <c r="F10" s="1517" t="str">
        <f>IF(OR(A104000期间费用明细表!C29&lt;&gt;0,A104000期间费用明细表!E29&lt;&gt;0,A104000期间费用明细表!G29&lt;&gt;0),"是","否")</f>
        <v>否</v>
      </c>
      <c r="G10" s="1517" t="str">
        <f t="shared" si="0"/>
        <v>是</v>
      </c>
    </row>
    <row r="11" spans="1:7" ht="14.25" customHeight="1">
      <c r="A11" s="2569" t="s">
        <v>2490</v>
      </c>
      <c r="B11" s="2109" t="s">
        <v>2491</v>
      </c>
      <c r="C11" s="1997" t="str">
        <f t="shared" ca="1" si="1"/>
        <v>否</v>
      </c>
      <c r="F11" s="1517" t="str">
        <f ca="1">IF(OR(A105000纳税调整项目明细表!E5&lt;&gt;0,A105000纳税调整项目明细表!F5&lt;&gt;0,A105000纳税调整项目明细表!E16&lt;&gt;0,A105000纳税调整项目明细表!F16&lt;&gt;0,A105000纳税调整项目明细表!E34&lt;&gt;0,A105000纳税调整项目明细表!F34&lt;&gt;0,A105000纳税调整项目明细表!E39&lt;&gt;0,A105000纳税调整项目明细表!F39&lt;&gt;0,A105000纳税调整项目明细表!E44&lt;&gt;0,A105000纳税调整项目明细表!F44&lt;&gt;0,A105000纳税调整项目明细表!E45&lt;&gt;0,A105000纳税调整项目明细表!F45&lt;&gt;0,A105000纳税调整项目明细表!E46&lt;&gt;0,A105000纳税调整项目明细表!F46&lt;&gt;0),"是","否")</f>
        <v>否</v>
      </c>
      <c r="G11" s="1517" t="str">
        <f t="shared" ca="1" si="0"/>
        <v>是</v>
      </c>
    </row>
    <row r="12" spans="1:7" ht="14.25" customHeight="1">
      <c r="A12" s="2569" t="s">
        <v>2492</v>
      </c>
      <c r="B12" s="2109" t="s">
        <v>2493</v>
      </c>
      <c r="C12" s="1997" t="str">
        <f t="shared" si="1"/>
        <v>否</v>
      </c>
      <c r="F12" s="1517" t="str">
        <f>IF(OR(A105010视同销售和房地产开发企业特定业务纳税调整明细表!D5&lt;&gt;0,A105010视同销售和房地产开发企业特定业务纳税调整明细表!D15&lt;&gt;0,A105010视同销售和房地产开发企业特定业务纳税调整明细表!D25&lt;&gt;0),"是","否")</f>
        <v>否</v>
      </c>
      <c r="G12" s="1517" t="str">
        <f t="shared" si="0"/>
        <v>是</v>
      </c>
    </row>
    <row r="13" spans="1:7" ht="14.25" customHeight="1">
      <c r="A13" s="2569" t="s">
        <v>2494</v>
      </c>
      <c r="B13" s="2109" t="s">
        <v>2495</v>
      </c>
      <c r="C13" s="1997" t="str">
        <f t="shared" si="1"/>
        <v>否</v>
      </c>
      <c r="F13" s="1517" t="str">
        <f>IF(OR(A105020未按权责发生制确认收入纳税调整明细表!D19&lt;&gt;0,A105020未按权责发生制确认收入纳税调整明细表!F19&lt;&gt;0,A105020未按权责发生制确认收入纳税调整明细表!H19&lt;&gt;0),"是","否")</f>
        <v>否</v>
      </c>
      <c r="G13" s="1517" t="str">
        <f t="shared" si="0"/>
        <v>是</v>
      </c>
    </row>
    <row r="14" spans="1:7" ht="14.25" customHeight="1">
      <c r="A14" s="2569" t="s">
        <v>2496</v>
      </c>
      <c r="B14" s="2109" t="s">
        <v>2497</v>
      </c>
      <c r="C14" s="1997" t="str">
        <f t="shared" si="1"/>
        <v>否</v>
      </c>
      <c r="F14" s="1517" t="str">
        <f>IF(OR(A105030投资收益纳税调整明细表!C15&lt;&gt;0,A105030投资收益纳税调整明细表!D15&lt;&gt;0,A105030投资收益纳税调整明细表!J15&lt;&gt;0,A105030投资收益纳税调整明细表!K15&lt;&gt;0),"是","否")</f>
        <v>否</v>
      </c>
      <c r="G14" s="1517" t="str">
        <f t="shared" si="0"/>
        <v>是</v>
      </c>
    </row>
    <row r="15" spans="1:7" ht="14.25" customHeight="1">
      <c r="A15" s="2569" t="s">
        <v>2498</v>
      </c>
      <c r="B15" s="2109" t="s">
        <v>2499</v>
      </c>
      <c r="C15" s="1997" t="str">
        <f t="shared" si="1"/>
        <v>否</v>
      </c>
      <c r="F15" s="1517" t="str">
        <f>IF(OR(A105040专项用途财政性资金纳税调整表!D13&lt;&gt;0,A105040专项用途财政性资金纳税调整表!L13&lt;&gt;0),"是","否")</f>
        <v>否</v>
      </c>
      <c r="G15" s="1517" t="str">
        <f t="shared" si="0"/>
        <v>是</v>
      </c>
    </row>
    <row r="16" spans="1:7" ht="14.25" customHeight="1">
      <c r="A16" s="2569" t="s">
        <v>2500</v>
      </c>
      <c r="B16" s="2109" t="s">
        <v>2501</v>
      </c>
      <c r="C16" s="1997" t="str">
        <f t="shared" si="1"/>
        <v>否</v>
      </c>
      <c r="F16" s="1517" t="str">
        <f>IF(A105050职工薪酬纳税调整明细表!C17&lt;&gt;0,"是","否")</f>
        <v>否</v>
      </c>
      <c r="G16" s="1517" t="str">
        <f t="shared" si="0"/>
        <v>是</v>
      </c>
    </row>
    <row r="17" spans="1:7" ht="14.25" customHeight="1">
      <c r="A17" s="2569" t="s">
        <v>2502</v>
      </c>
      <c r="B17" s="2109" t="s">
        <v>2503</v>
      </c>
      <c r="C17" s="1997" t="str">
        <f t="shared" si="1"/>
        <v>否</v>
      </c>
      <c r="F17" s="1517" t="str">
        <f>IF(OR(A105060广告费和业务宣传费跨年度纳税调整明细表!C4&lt;&gt;0,A105060广告费和业务宣传费跨年度纳税调整明细表!C11&lt;&gt;0,A105060广告费和业务宣传费跨年度纳税调整明细表!C15&lt;&gt;0),"是","否")</f>
        <v>否</v>
      </c>
      <c r="G17" s="1517" t="str">
        <f t="shared" si="0"/>
        <v>是</v>
      </c>
    </row>
    <row r="18" spans="1:7" ht="14.25" customHeight="1">
      <c r="A18" s="2569" t="s">
        <v>2504</v>
      </c>
      <c r="B18" s="2109" t="s">
        <v>2505</v>
      </c>
      <c r="C18" s="1997" t="str">
        <f t="shared" si="1"/>
        <v>否</v>
      </c>
      <c r="F18" s="1517" t="str">
        <f>IF(A105070捐赠支出纳税调整明细表!C25+A105070捐赠支出纳税调整明细表!G25&lt;&gt;0,"是","否")</f>
        <v>否</v>
      </c>
      <c r="G18" s="1517" t="str">
        <f t="shared" si="0"/>
        <v>是</v>
      </c>
    </row>
    <row r="19" spans="1:7" ht="14.25" customHeight="1">
      <c r="A19" s="2569" t="s">
        <v>2506</v>
      </c>
      <c r="B19" s="2109" t="s">
        <v>2507</v>
      </c>
      <c r="C19" s="1997" t="str">
        <f t="shared" ca="1" si="1"/>
        <v>否</v>
      </c>
      <c r="F19" s="1517" t="str">
        <f ca="1">IF(OR(A105080资产折旧、摊销情况及纳税调整明细表!C32+A105080资产折旧、摊销情况及纳税调整明细表!D32+A105080资产折旧、摊销情况及纳税调整明细表!E32&lt;&gt;0,A105080资产折旧、摊销情况及纳税调整明细表!F32+A105080资产折旧、摊销情况及纳税调整明细表!G32+A105080资产折旧、摊销情况及纳税调整明细表!H32+A105080资产折旧、摊销情况及纳税调整明细表!I32+A105080资产折旧、摊销情况及纳税调整明细表!J32&lt;&gt;0,A105080资产折旧、摊销情况及纳税调整明细表!K32&lt;&gt;0),"是","否")</f>
        <v>否</v>
      </c>
      <c r="G19" s="1517" t="str">
        <f t="shared" ca="1" si="0"/>
        <v>是</v>
      </c>
    </row>
    <row r="20" spans="1:7" ht="14.25" customHeight="1">
      <c r="A20" s="2569" t="s">
        <v>2508</v>
      </c>
      <c r="B20" s="2109" t="s">
        <v>2509</v>
      </c>
      <c r="C20" s="1997" t="str">
        <f t="shared" si="1"/>
        <v>否</v>
      </c>
      <c r="F20" s="1517" t="str">
        <f>IF(A105081固定资产加速折旧、扣除明细表!D19+A105081固定资产加速折旧、扣除明细表!F19+A105081固定资产加速折旧、扣除明细表!H19+A105081固定资产加速折旧、扣除明细表!J19+A105081固定资产加速折旧、扣除明细表!L19+A105081固定资产加速折旧、扣除明细表!N19+A105081固定资产加速折旧、扣除明细表!P19+A105081固定资产加速折旧、扣除明细表!D33+A105081固定资产加速折旧、扣除明细表!F33+A105081固定资产加速折旧、扣除明细表!H33+A105081固定资产加速折旧、扣除明细表!J33+A105081固定资产加速折旧、扣除明细表!L33+A105081固定资产加速折旧、扣除明细表!N33+A105081固定资产加速折旧、扣除明细表!P33&lt;&gt;0,"是","否")</f>
        <v>否</v>
      </c>
      <c r="G20" s="1517" t="str">
        <f t="shared" si="0"/>
        <v>是</v>
      </c>
    </row>
    <row r="21" spans="1:7" ht="14.25" customHeight="1">
      <c r="A21" s="2569" t="s">
        <v>2510</v>
      </c>
      <c r="B21" s="2109" t="s">
        <v>2511</v>
      </c>
      <c r="C21" s="1997" t="str">
        <f t="shared" si="1"/>
        <v>否</v>
      </c>
      <c r="F21" s="1517" t="str">
        <f>IF(OR(A105090资产损失税前扣除及纳税调整明细表!C18&lt;&gt;0,A105090资产损失税前扣除及纳税调整明细表!D18&lt;&gt;0,A105090资产损失税前扣除及纳税调整明细表!E18&lt;&gt;0),"是","否")</f>
        <v>否</v>
      </c>
      <c r="G21" s="1517" t="str">
        <f t="shared" si="0"/>
        <v>是</v>
      </c>
    </row>
    <row r="22" spans="1:7" ht="14.25" customHeight="1">
      <c r="A22" s="2569" t="s">
        <v>2512</v>
      </c>
      <c r="B22" s="2109" t="s">
        <v>2513</v>
      </c>
      <c r="C22" s="1997" t="str">
        <f t="shared" si="1"/>
        <v>否</v>
      </c>
      <c r="F22" s="1517" t="str">
        <f>IF(OR('A105091资产损失（专项申报）税前扣除及纳税调整明细表'!C25&lt;&gt;0,'A105091资产损失（专项申报）税前扣除及纳税调整明细表'!D25&lt;&gt;0,'A105091资产损失（专项申报）税前扣除及纳税调整明细表'!E25&lt;&gt;0,'A105091资产损失（专项申报）税前扣除及纳税调整明细表'!F25&lt;&gt;0,'A105091资产损失（专项申报）税前扣除及纳税调整明细表'!H25&lt;&gt;0),"是","否")</f>
        <v>否</v>
      </c>
      <c r="G22" s="1517" t="str">
        <f t="shared" si="0"/>
        <v>是</v>
      </c>
    </row>
    <row r="23" spans="1:7" ht="14.25" customHeight="1">
      <c r="A23" s="2569" t="s">
        <v>2514</v>
      </c>
      <c r="B23" s="2109" t="s">
        <v>2515</v>
      </c>
      <c r="C23" s="1997" t="str">
        <f t="shared" si="1"/>
        <v>否</v>
      </c>
      <c r="F23" s="1517" t="str">
        <f>IF(OR(A105100企业重组纳税调整明细表!C19&lt;&gt;0,A105100企业重组纳税调整明细表!D19&lt;&gt;0,A105100企业重组纳税调整明细表!F19&lt;&gt;0,A105100企业重组纳税调整明细表!G19&lt;&gt;0),"是","否")</f>
        <v>否</v>
      </c>
      <c r="G23" s="1517" t="str">
        <f t="shared" si="0"/>
        <v>是</v>
      </c>
    </row>
    <row r="24" spans="1:7" ht="14.25" customHeight="1">
      <c r="A24" s="2569" t="s">
        <v>2516</v>
      </c>
      <c r="B24" s="2109" t="s">
        <v>2517</v>
      </c>
      <c r="C24" s="1997" t="str">
        <f t="shared" si="1"/>
        <v>否</v>
      </c>
      <c r="F24" s="1517" t="str">
        <f>IF(OR(A105110政策性搬迁纳税调整明细表!C4&lt;&gt;0,A105110政策性搬迁纳税调整明细表!C12&lt;&gt;0,A105110政策性搬迁纳税调整明细表!C21&lt;&gt;0,A105110政策性搬迁纳税调整明细表!C25&lt;&gt;0,A105110政策性搬迁纳税调整明细表!C26&lt;&gt;0),"是","否")</f>
        <v>否</v>
      </c>
      <c r="G24" s="1517" t="str">
        <f t="shared" si="0"/>
        <v>是</v>
      </c>
    </row>
    <row r="25" spans="1:7" ht="14.25" customHeight="1">
      <c r="A25" s="2569" t="s">
        <v>2518</v>
      </c>
      <c r="B25" s="2109" t="s">
        <v>2519</v>
      </c>
      <c r="C25" s="1997" t="str">
        <f t="shared" si="1"/>
        <v>否</v>
      </c>
      <c r="F25" s="1517" t="str">
        <f>IF(A105120特殊行业准备金纳税调整明细表!C34&lt;&gt;0,"是","否")</f>
        <v>否</v>
      </c>
      <c r="G25" s="1517" t="str">
        <f t="shared" si="0"/>
        <v>是</v>
      </c>
    </row>
    <row r="26" spans="1:7" ht="14.25" customHeight="1">
      <c r="A26" s="2569" t="s">
        <v>2520</v>
      </c>
      <c r="B26" s="2109" t="s">
        <v>2521</v>
      </c>
      <c r="C26" s="1997" t="s">
        <v>1077</v>
      </c>
      <c r="F26" s="1517" t="str">
        <f ca="1">IF(OR(A106000企业所得税弥补亏损明细表!L11&lt;&gt;0,A106000企业所得税弥补亏损明细表!D6&lt;0,A106000企业所得税弥补亏损明细表!D7&lt;0,A106000企业所得税弥补亏损明细表!D8&lt;0,A106000企业所得税弥补亏损明细表!D9&lt;0,A106000企业所得税弥补亏损明细表!D10&lt;0,A106000企业所得税弥补亏损明细表!D11&lt;0),"是","否")</f>
        <v>否</v>
      </c>
      <c r="G26" s="1517" t="str">
        <f t="shared" ca="1" si="0"/>
        <v>是</v>
      </c>
    </row>
    <row r="27" spans="1:7" ht="14.25" customHeight="1">
      <c r="A27" s="2569" t="s">
        <v>2522</v>
      </c>
      <c r="B27" s="2109" t="s">
        <v>2523</v>
      </c>
      <c r="C27" s="1997" t="str">
        <f t="shared" si="1"/>
        <v>否</v>
      </c>
      <c r="F27" s="1517" t="str">
        <f>IF(A107010免税、减计收入及加计扣除优惠明细表!C30&lt;&gt;0,"是","否")</f>
        <v>否</v>
      </c>
      <c r="G27" s="1517" t="str">
        <f t="shared" si="0"/>
        <v>是</v>
      </c>
    </row>
    <row r="28" spans="1:7" ht="14.25" customHeight="1">
      <c r="A28" s="2569" t="s">
        <v>2524</v>
      </c>
      <c r="B28" s="2570" t="s">
        <v>2525</v>
      </c>
      <c r="C28" s="1997" t="str">
        <f t="shared" si="1"/>
        <v>否</v>
      </c>
      <c r="F28" s="1517" t="str">
        <f>IF(SUM(A107011股息红利优惠明细表!B6:B14)&lt;&gt;0,"是","否")</f>
        <v>否</v>
      </c>
      <c r="G28" s="1517" t="str">
        <f t="shared" si="0"/>
        <v>是</v>
      </c>
    </row>
    <row r="29" spans="1:7" ht="14.25" customHeight="1">
      <c r="A29" s="2569" t="s">
        <v>2526</v>
      </c>
      <c r="B29" s="2109" t="s">
        <v>2527</v>
      </c>
      <c r="C29" s="1997" t="str">
        <f t="shared" si="1"/>
        <v>否</v>
      </c>
      <c r="F29" s="1517" t="str">
        <f>IF(SUM(A107012综合利用资源生产产品取得的收入优惠明细表!B6:B14)&lt;&gt;0,"是","否")</f>
        <v>否</v>
      </c>
      <c r="G29" s="1517" t="str">
        <f t="shared" si="0"/>
        <v>是</v>
      </c>
    </row>
    <row r="30" spans="1:7" ht="14.25" customHeight="1">
      <c r="A30" s="2569" t="s">
        <v>2528</v>
      </c>
      <c r="B30" s="2109" t="s">
        <v>2529</v>
      </c>
      <c r="C30" s="1997" t="str">
        <f t="shared" si="1"/>
        <v>否</v>
      </c>
      <c r="F30" s="1517" t="str">
        <f>IF(OR(A107013金融保险等机构取得涉农利息保费收入优惠明细表!C5&lt;&gt;0,A107013金融保险等机构取得涉农利息保费收入优惠明细表!C8&lt;&gt;0,A107013金融保险等机构取得涉农利息保费收入优惠明细表!C14&lt;&gt;0),"是","否")</f>
        <v>否</v>
      </c>
      <c r="G30" s="1517" t="str">
        <f t="shared" si="0"/>
        <v>是</v>
      </c>
    </row>
    <row r="31" spans="1:7" ht="14.25" customHeight="1">
      <c r="A31" s="2569" t="s">
        <v>2530</v>
      </c>
      <c r="B31" s="2109" t="s">
        <v>2531</v>
      </c>
      <c r="C31" s="1997" t="str">
        <f t="shared" si="1"/>
        <v>否</v>
      </c>
      <c r="F31" s="1517" t="str">
        <f>IF(SUM(A107014研发费用加计扣除优惠明细表!T15)&lt;&gt;0,"是","否")</f>
        <v>否</v>
      </c>
      <c r="G31" s="1517" t="str">
        <f t="shared" si="0"/>
        <v>是</v>
      </c>
    </row>
    <row r="32" spans="1:7" ht="14.25" customHeight="1">
      <c r="A32" s="2569" t="s">
        <v>2532</v>
      </c>
      <c r="B32" s="2109" t="s">
        <v>2533</v>
      </c>
      <c r="C32" s="1997" t="str">
        <f t="shared" si="1"/>
        <v>否</v>
      </c>
      <c r="F32" s="1517" t="str">
        <f>IF(OR(A107020所得减免优惠明细表!C44&lt;&gt;0,A107020所得减免优惠明细表!H44&lt;&gt;0,A107020所得减免优惠明细表!I44&lt;&gt;0),"是","否")</f>
        <v>否</v>
      </c>
      <c r="G32" s="1517" t="str">
        <f t="shared" si="0"/>
        <v>是</v>
      </c>
    </row>
    <row r="33" spans="1:7" ht="14.25" customHeight="1">
      <c r="A33" s="2569" t="s">
        <v>2534</v>
      </c>
      <c r="B33" s="2109" t="s">
        <v>2535</v>
      </c>
      <c r="C33" s="1997" t="str">
        <f t="shared" si="1"/>
        <v>否</v>
      </c>
      <c r="F33" s="1517" t="str">
        <f>IF(OR(A107030抵扣应纳税所得额明细表!C9&lt;&gt;0,A107030抵扣应纳税所得额明细表!C17&lt;&gt;0),"是","否")</f>
        <v>否</v>
      </c>
      <c r="G33" s="1517" t="str">
        <f t="shared" si="0"/>
        <v>是</v>
      </c>
    </row>
    <row r="34" spans="1:7" ht="14.25" customHeight="1">
      <c r="A34" s="2569" t="s">
        <v>2536</v>
      </c>
      <c r="B34" s="2109" t="s">
        <v>2537</v>
      </c>
      <c r="C34" s="1997" t="str">
        <f t="shared" si="1"/>
        <v>否</v>
      </c>
      <c r="F34" s="1517" t="str">
        <f>IF(A107040减免所得税优惠明细表!D53&lt;&gt;0,"是","否")</f>
        <v>否</v>
      </c>
      <c r="G34" s="1517" t="str">
        <f t="shared" si="0"/>
        <v>是</v>
      </c>
    </row>
    <row r="35" spans="1:7" ht="14.25" customHeight="1">
      <c r="A35" s="2569" t="s">
        <v>2538</v>
      </c>
      <c r="B35" s="2109" t="s">
        <v>2539</v>
      </c>
      <c r="C35" s="1997" t="str">
        <f t="shared" si="1"/>
        <v>否</v>
      </c>
      <c r="F35" s="1517" t="str">
        <f>IF(A107041高新技术企业优惠情况及明细表!D4&lt;&gt;0,"是","否")</f>
        <v>否</v>
      </c>
      <c r="G35" s="1517" t="str">
        <f t="shared" si="0"/>
        <v>是</v>
      </c>
    </row>
    <row r="36" spans="1:7" ht="14.25" customHeight="1">
      <c r="A36" s="2569" t="s">
        <v>2540</v>
      </c>
      <c r="B36" s="2109" t="s">
        <v>2541</v>
      </c>
      <c r="C36" s="1997" t="str">
        <f t="shared" si="1"/>
        <v>否</v>
      </c>
      <c r="F36" s="1517" t="str">
        <f>IF(SUM(A107042软件、集成电路企业优惠情况及明细表!E6:E10)&lt;&gt;0,"是","否")</f>
        <v>否</v>
      </c>
      <c r="G36" s="1517" t="str">
        <f t="shared" si="0"/>
        <v>是</v>
      </c>
    </row>
    <row r="37" spans="1:7" ht="14.25" customHeight="1">
      <c r="A37" s="2569" t="s">
        <v>2542</v>
      </c>
      <c r="B37" s="2109" t="s">
        <v>2543</v>
      </c>
      <c r="C37" s="1997" t="str">
        <f t="shared" si="1"/>
        <v>否</v>
      </c>
      <c r="F37" s="1517" t="str">
        <f>IF(SUM(A107050税额抵免优惠明细表!E6:E11)&lt;&gt;0,"是","否")</f>
        <v>否</v>
      </c>
      <c r="G37" s="1517" t="str">
        <f t="shared" si="0"/>
        <v>是</v>
      </c>
    </row>
    <row r="38" spans="1:7" ht="14.25" customHeight="1">
      <c r="A38" s="2569" t="s">
        <v>2544</v>
      </c>
      <c r="B38" s="2109" t="s">
        <v>2545</v>
      </c>
      <c r="C38" s="1997" t="str">
        <f t="shared" si="1"/>
        <v>否</v>
      </c>
      <c r="F38" s="1517" t="str">
        <f>IF(SUM(A108000境外所得税收抵免明细表!B6:B14)&lt;&gt;0,"是","否")</f>
        <v>否</v>
      </c>
      <c r="G38" s="1517" t="str">
        <f t="shared" si="0"/>
        <v>是</v>
      </c>
    </row>
    <row r="39" spans="1:7" ht="14.25" customHeight="1">
      <c r="A39" s="2569" t="s">
        <v>2546</v>
      </c>
      <c r="B39" s="2570" t="s">
        <v>2547</v>
      </c>
      <c r="C39" s="1997" t="str">
        <f t="shared" si="1"/>
        <v>否</v>
      </c>
      <c r="F39" s="1517" t="str">
        <f>IF(SUM(A108010境外所得纳税调整后所得明细表!B6:B14)&lt;&gt;0,"是","否")</f>
        <v>否</v>
      </c>
      <c r="G39" s="1517" t="str">
        <f t="shared" si="0"/>
        <v>是</v>
      </c>
    </row>
    <row r="40" spans="1:7" ht="14.25" customHeight="1">
      <c r="A40" s="2569" t="s">
        <v>2548</v>
      </c>
      <c r="B40" s="2109" t="s">
        <v>2549</v>
      </c>
      <c r="C40" s="1997" t="str">
        <f t="shared" si="1"/>
        <v>否</v>
      </c>
      <c r="F40" s="1517" t="str">
        <f>IF(SUM(A108020境外分支机构弥补亏损明细表!B9:B17)&lt;&gt;0,"是","否")</f>
        <v>否</v>
      </c>
      <c r="G40" s="1517" t="str">
        <f t="shared" si="0"/>
        <v>是</v>
      </c>
    </row>
    <row r="41" spans="1:7" ht="14.25" customHeight="1">
      <c r="A41" s="2569" t="s">
        <v>2550</v>
      </c>
      <c r="B41" s="2109" t="s">
        <v>2551</v>
      </c>
      <c r="C41" s="1997" t="str">
        <f t="shared" si="1"/>
        <v>否</v>
      </c>
      <c r="F41" s="1517" t="str">
        <f>IF(SUM(A108030跨年度结转抵免境外所得税明细表!B6:B14)&lt;&gt;0,"是","否")</f>
        <v>否</v>
      </c>
      <c r="G41" s="1517" t="str">
        <f t="shared" si="0"/>
        <v>是</v>
      </c>
    </row>
    <row r="42" spans="1:7" ht="14.25" customHeight="1">
      <c r="A42" s="2569" t="s">
        <v>2552</v>
      </c>
      <c r="B42" s="2109" t="s">
        <v>2553</v>
      </c>
      <c r="C42" s="1997" t="str">
        <f t="shared" si="1"/>
        <v>否</v>
      </c>
      <c r="F42" s="1517" t="str">
        <f>IF(OR(A109000跨地区经营汇总纳税企业年度分摊企业所得税明细表!C4&lt;&gt;0,A109000跨地区经营汇总纳税企业年度分摊企业所得税明细表!C7&lt;&gt;0,A109000跨地区经营汇总纳税企业年度分摊企业所得税明细表!C8&lt;&gt;0),"是","否")</f>
        <v>否</v>
      </c>
      <c r="G42" s="1517" t="str">
        <f t="shared" si="0"/>
        <v>是</v>
      </c>
    </row>
    <row r="43" spans="1:7" ht="14.25" customHeight="1">
      <c r="A43" s="2569" t="s">
        <v>2554</v>
      </c>
      <c r="B43" s="2110" t="s">
        <v>2555</v>
      </c>
      <c r="C43" s="1997" t="str">
        <f t="shared" si="1"/>
        <v>否</v>
      </c>
      <c r="F43" s="1517" t="str">
        <f>IF(OR(A109010企业所得税汇总纳税分支机构所得税分配表!A6&lt;&gt;0,A109010企业所得税汇总纳税分支机构所得税分配表!H6&lt;&gt;0,SUM(A109010企业所得税汇总纳税分支机构所得税分配表!B9:B22)&lt;&gt;0),"是","否")</f>
        <v>否</v>
      </c>
      <c r="G43" s="1517" t="str">
        <f t="shared" si="0"/>
        <v>是</v>
      </c>
    </row>
    <row r="44" spans="1:7" ht="14.25" customHeight="1">
      <c r="A44" s="2569"/>
      <c r="B44" s="2110" t="s">
        <v>10288</v>
      </c>
      <c r="C44" s="1997" t="str">
        <f t="shared" si="1"/>
        <v>否</v>
      </c>
      <c r="F44" s="1517" t="s">
        <v>413</v>
      </c>
    </row>
    <row r="45" spans="1:7" ht="14.25" customHeight="1">
      <c r="A45" s="2569"/>
      <c r="B45" s="2110" t="s">
        <v>7420</v>
      </c>
      <c r="C45" s="1997" t="str">
        <f t="shared" si="1"/>
        <v>否</v>
      </c>
      <c r="F45" s="1517" t="s">
        <v>413</v>
      </c>
    </row>
    <row r="46" spans="1:7" ht="14.25" customHeight="1">
      <c r="A46" s="2569"/>
      <c r="B46" s="2110" t="s">
        <v>10289</v>
      </c>
      <c r="C46" s="1997" t="str">
        <f t="shared" si="1"/>
        <v>否</v>
      </c>
      <c r="F46" s="1517" t="s">
        <v>413</v>
      </c>
    </row>
    <row r="47" spans="1:7" ht="14.25" customHeight="1">
      <c r="A47" s="2569"/>
      <c r="B47" s="2110" t="s">
        <v>10292</v>
      </c>
      <c r="C47" s="1997" t="str">
        <f t="shared" si="1"/>
        <v>否</v>
      </c>
      <c r="F47" s="1517" t="s">
        <v>413</v>
      </c>
    </row>
    <row r="48" spans="1:7" ht="14.25" customHeight="1">
      <c r="A48" s="2569"/>
      <c r="B48" s="2691" t="s">
        <v>10291</v>
      </c>
      <c r="C48" s="1997" t="str">
        <f t="shared" si="1"/>
        <v>否</v>
      </c>
      <c r="F48" s="1517" t="str">
        <f>IF(研发项目可加计扣除研究开发费用情况归集表!D79&lt;&gt;0,"是","否")</f>
        <v>否</v>
      </c>
    </row>
    <row r="49" spans="1:3" ht="14.25" customHeight="1">
      <c r="A49" s="3498" t="s">
        <v>2556</v>
      </c>
      <c r="B49" s="3498"/>
      <c r="C49" s="3498"/>
    </row>
  </sheetData>
  <dataConsolidate/>
  <mergeCells count="2">
    <mergeCell ref="A1:C1"/>
    <mergeCell ref="A49:C49"/>
  </mergeCells>
  <phoneticPr fontId="51" type="noConversion"/>
  <dataValidations count="40">
    <dataValidation type="list" allowBlank="1" showInputMessage="1" showErrorMessage="1" sqref="WVK983050:WVK983088 IY5:IY48 SU5:SU48 ACQ5:ACQ48 AMM5:AMM48 AWI5:AWI48 BGE5:BGE48 BQA5:BQA48 BZW5:BZW48 CJS5:CJS48 CTO5:CTO48 DDK5:DDK48 DNG5:DNG48 DXC5:DXC48 EGY5:EGY48 EQU5:EQU48 FAQ5:FAQ48 FKM5:FKM48 FUI5:FUI48 GEE5:GEE48 GOA5:GOA48 GXW5:GXW48 HHS5:HHS48 HRO5:HRO48 IBK5:IBK48 ILG5:ILG48 IVC5:IVC48 JEY5:JEY48 JOU5:JOU48 JYQ5:JYQ48 KIM5:KIM48 KSI5:KSI48 LCE5:LCE48 LMA5:LMA48 LVW5:LVW48 MFS5:MFS48 MPO5:MPO48 MZK5:MZK48 NJG5:NJG48 NTC5:NTC48 OCY5:OCY48 OMU5:OMU48 OWQ5:OWQ48 PGM5:PGM48 PQI5:PQI48 QAE5:QAE48 QKA5:QKA48 QTW5:QTW48 RDS5:RDS48 RNO5:RNO48 RXK5:RXK48 SHG5:SHG48 SRC5:SRC48 TAY5:TAY48 TKU5:TKU48 TUQ5:TUQ48 UEM5:UEM48 UOI5:UOI48 UYE5:UYE48 VIA5:VIA48 VRW5:VRW48 WBS5:WBS48 WLO5:WLO48 WVK5:WVK48 C65546:C65584 IY65546:IY65584 SU65546:SU65584 ACQ65546:ACQ65584 AMM65546:AMM65584 AWI65546:AWI65584 BGE65546:BGE65584 BQA65546:BQA65584 BZW65546:BZW65584 CJS65546:CJS65584 CTO65546:CTO65584 DDK65546:DDK65584 DNG65546:DNG65584 DXC65546:DXC65584 EGY65546:EGY65584 EQU65546:EQU65584 FAQ65546:FAQ65584 FKM65546:FKM65584 FUI65546:FUI65584 GEE65546:GEE65584 GOA65546:GOA65584 GXW65546:GXW65584 HHS65546:HHS65584 HRO65546:HRO65584 IBK65546:IBK65584 ILG65546:ILG65584 IVC65546:IVC65584 JEY65546:JEY65584 JOU65546:JOU65584 JYQ65546:JYQ65584 KIM65546:KIM65584 KSI65546:KSI65584 LCE65546:LCE65584 LMA65546:LMA65584 LVW65546:LVW65584 MFS65546:MFS65584 MPO65546:MPO65584 MZK65546:MZK65584 NJG65546:NJG65584 NTC65546:NTC65584 OCY65546:OCY65584 OMU65546:OMU65584 OWQ65546:OWQ65584 PGM65546:PGM65584 PQI65546:PQI65584 QAE65546:QAE65584 QKA65546:QKA65584 QTW65546:QTW65584 RDS65546:RDS65584 RNO65546:RNO65584 RXK65546:RXK65584 SHG65546:SHG65584 SRC65546:SRC65584 TAY65546:TAY65584 TKU65546:TKU65584 TUQ65546:TUQ65584 UEM65546:UEM65584 UOI65546:UOI65584 UYE65546:UYE65584 VIA65546:VIA65584 VRW65546:VRW65584 WBS65546:WBS65584 WLO65546:WLO65584 WVK65546:WVK65584 C131082:C131120 IY131082:IY131120 SU131082:SU131120 ACQ131082:ACQ131120 AMM131082:AMM131120 AWI131082:AWI131120 BGE131082:BGE131120 BQA131082:BQA131120 BZW131082:BZW131120 CJS131082:CJS131120 CTO131082:CTO131120 DDK131082:DDK131120 DNG131082:DNG131120 DXC131082:DXC131120 EGY131082:EGY131120 EQU131082:EQU131120 FAQ131082:FAQ131120 FKM131082:FKM131120 FUI131082:FUI131120 GEE131082:GEE131120 GOA131082:GOA131120 GXW131082:GXW131120 HHS131082:HHS131120 HRO131082:HRO131120 IBK131082:IBK131120 ILG131082:ILG131120 IVC131082:IVC131120 JEY131082:JEY131120 JOU131082:JOU131120 JYQ131082:JYQ131120 KIM131082:KIM131120 KSI131082:KSI131120 LCE131082:LCE131120 LMA131082:LMA131120 LVW131082:LVW131120 MFS131082:MFS131120 MPO131082:MPO131120 MZK131082:MZK131120 NJG131082:NJG131120 NTC131082:NTC131120 OCY131082:OCY131120 OMU131082:OMU131120 OWQ131082:OWQ131120 PGM131082:PGM131120 PQI131082:PQI131120 QAE131082:QAE131120 QKA131082:QKA131120 QTW131082:QTW131120 RDS131082:RDS131120 RNO131082:RNO131120 RXK131082:RXK131120 SHG131082:SHG131120 SRC131082:SRC131120 TAY131082:TAY131120 TKU131082:TKU131120 TUQ131082:TUQ131120 UEM131082:UEM131120 UOI131082:UOI131120 UYE131082:UYE131120 VIA131082:VIA131120 VRW131082:VRW131120 WBS131082:WBS131120 WLO131082:WLO131120 WVK131082:WVK131120 C196618:C196656 IY196618:IY196656 SU196618:SU196656 ACQ196618:ACQ196656 AMM196618:AMM196656 AWI196618:AWI196656 BGE196618:BGE196656 BQA196618:BQA196656 BZW196618:BZW196656 CJS196618:CJS196656 CTO196618:CTO196656 DDK196618:DDK196656 DNG196618:DNG196656 DXC196618:DXC196656 EGY196618:EGY196656 EQU196618:EQU196656 FAQ196618:FAQ196656 FKM196618:FKM196656 FUI196618:FUI196656 GEE196618:GEE196656 GOA196618:GOA196656 GXW196618:GXW196656 HHS196618:HHS196656 HRO196618:HRO196656 IBK196618:IBK196656 ILG196618:ILG196656 IVC196618:IVC196656 JEY196618:JEY196656 JOU196618:JOU196656 JYQ196618:JYQ196656 KIM196618:KIM196656 KSI196618:KSI196656 LCE196618:LCE196656 LMA196618:LMA196656 LVW196618:LVW196656 MFS196618:MFS196656 MPO196618:MPO196656 MZK196618:MZK196656 NJG196618:NJG196656 NTC196618:NTC196656 OCY196618:OCY196656 OMU196618:OMU196656 OWQ196618:OWQ196656 PGM196618:PGM196656 PQI196618:PQI196656 QAE196618:QAE196656 QKA196618:QKA196656 QTW196618:QTW196656 RDS196618:RDS196656 RNO196618:RNO196656 RXK196618:RXK196656 SHG196618:SHG196656 SRC196618:SRC196656 TAY196618:TAY196656 TKU196618:TKU196656 TUQ196618:TUQ196656 UEM196618:UEM196656 UOI196618:UOI196656 UYE196618:UYE196656 VIA196618:VIA196656 VRW196618:VRW196656 WBS196618:WBS196656 WLO196618:WLO196656 WVK196618:WVK196656 C262154:C262192 IY262154:IY262192 SU262154:SU262192 ACQ262154:ACQ262192 AMM262154:AMM262192 AWI262154:AWI262192 BGE262154:BGE262192 BQA262154:BQA262192 BZW262154:BZW262192 CJS262154:CJS262192 CTO262154:CTO262192 DDK262154:DDK262192 DNG262154:DNG262192 DXC262154:DXC262192 EGY262154:EGY262192 EQU262154:EQU262192 FAQ262154:FAQ262192 FKM262154:FKM262192 FUI262154:FUI262192 GEE262154:GEE262192 GOA262154:GOA262192 GXW262154:GXW262192 HHS262154:HHS262192 HRO262154:HRO262192 IBK262154:IBK262192 ILG262154:ILG262192 IVC262154:IVC262192 JEY262154:JEY262192 JOU262154:JOU262192 JYQ262154:JYQ262192 KIM262154:KIM262192 KSI262154:KSI262192 LCE262154:LCE262192 LMA262154:LMA262192 LVW262154:LVW262192 MFS262154:MFS262192 MPO262154:MPO262192 MZK262154:MZK262192 NJG262154:NJG262192 NTC262154:NTC262192 OCY262154:OCY262192 OMU262154:OMU262192 OWQ262154:OWQ262192 PGM262154:PGM262192 PQI262154:PQI262192 QAE262154:QAE262192 QKA262154:QKA262192 QTW262154:QTW262192 RDS262154:RDS262192 RNO262154:RNO262192 RXK262154:RXK262192 SHG262154:SHG262192 SRC262154:SRC262192 TAY262154:TAY262192 TKU262154:TKU262192 TUQ262154:TUQ262192 UEM262154:UEM262192 UOI262154:UOI262192 UYE262154:UYE262192 VIA262154:VIA262192 VRW262154:VRW262192 WBS262154:WBS262192 WLO262154:WLO262192 WVK262154:WVK262192 C327690:C327728 IY327690:IY327728 SU327690:SU327728 ACQ327690:ACQ327728 AMM327690:AMM327728 AWI327690:AWI327728 BGE327690:BGE327728 BQA327690:BQA327728 BZW327690:BZW327728 CJS327690:CJS327728 CTO327690:CTO327728 DDK327690:DDK327728 DNG327690:DNG327728 DXC327690:DXC327728 EGY327690:EGY327728 EQU327690:EQU327728 FAQ327690:FAQ327728 FKM327690:FKM327728 FUI327690:FUI327728 GEE327690:GEE327728 GOA327690:GOA327728 GXW327690:GXW327728 HHS327690:HHS327728 HRO327690:HRO327728 IBK327690:IBK327728 ILG327690:ILG327728 IVC327690:IVC327728 JEY327690:JEY327728 JOU327690:JOU327728 JYQ327690:JYQ327728 KIM327690:KIM327728 KSI327690:KSI327728 LCE327690:LCE327728 LMA327690:LMA327728 LVW327690:LVW327728 MFS327690:MFS327728 MPO327690:MPO327728 MZK327690:MZK327728 NJG327690:NJG327728 NTC327690:NTC327728 OCY327690:OCY327728 OMU327690:OMU327728 OWQ327690:OWQ327728 PGM327690:PGM327728 PQI327690:PQI327728 QAE327690:QAE327728 QKA327690:QKA327728 QTW327690:QTW327728 RDS327690:RDS327728 RNO327690:RNO327728 RXK327690:RXK327728 SHG327690:SHG327728 SRC327690:SRC327728 TAY327690:TAY327728 TKU327690:TKU327728 TUQ327690:TUQ327728 UEM327690:UEM327728 UOI327690:UOI327728 UYE327690:UYE327728 VIA327690:VIA327728 VRW327690:VRW327728 WBS327690:WBS327728 WLO327690:WLO327728 WVK327690:WVK327728 C393226:C393264 IY393226:IY393264 SU393226:SU393264 ACQ393226:ACQ393264 AMM393226:AMM393264 AWI393226:AWI393264 BGE393226:BGE393264 BQA393226:BQA393264 BZW393226:BZW393264 CJS393226:CJS393264 CTO393226:CTO393264 DDK393226:DDK393264 DNG393226:DNG393264 DXC393226:DXC393264 EGY393226:EGY393264 EQU393226:EQU393264 FAQ393226:FAQ393264 FKM393226:FKM393264 FUI393226:FUI393264 GEE393226:GEE393264 GOA393226:GOA393264 GXW393226:GXW393264 HHS393226:HHS393264 HRO393226:HRO393264 IBK393226:IBK393264 ILG393226:ILG393264 IVC393226:IVC393264 JEY393226:JEY393264 JOU393226:JOU393264 JYQ393226:JYQ393264 KIM393226:KIM393264 KSI393226:KSI393264 LCE393226:LCE393264 LMA393226:LMA393264 LVW393226:LVW393264 MFS393226:MFS393264 MPO393226:MPO393264 MZK393226:MZK393264 NJG393226:NJG393264 NTC393226:NTC393264 OCY393226:OCY393264 OMU393226:OMU393264 OWQ393226:OWQ393264 PGM393226:PGM393264 PQI393226:PQI393264 QAE393226:QAE393264 QKA393226:QKA393264 QTW393226:QTW393264 RDS393226:RDS393264 RNO393226:RNO393264 RXK393226:RXK393264 SHG393226:SHG393264 SRC393226:SRC393264 TAY393226:TAY393264 TKU393226:TKU393264 TUQ393226:TUQ393264 UEM393226:UEM393264 UOI393226:UOI393264 UYE393226:UYE393264 VIA393226:VIA393264 VRW393226:VRW393264 WBS393226:WBS393264 WLO393226:WLO393264 WVK393226:WVK393264 C458762:C458800 IY458762:IY458800 SU458762:SU458800 ACQ458762:ACQ458800 AMM458762:AMM458800 AWI458762:AWI458800 BGE458762:BGE458800 BQA458762:BQA458800 BZW458762:BZW458800 CJS458762:CJS458800 CTO458762:CTO458800 DDK458762:DDK458800 DNG458762:DNG458800 DXC458762:DXC458800 EGY458762:EGY458800 EQU458762:EQU458800 FAQ458762:FAQ458800 FKM458762:FKM458800 FUI458762:FUI458800 GEE458762:GEE458800 GOA458762:GOA458800 GXW458762:GXW458800 HHS458762:HHS458800 HRO458762:HRO458800 IBK458762:IBK458800 ILG458762:ILG458800 IVC458762:IVC458800 JEY458762:JEY458800 JOU458762:JOU458800 JYQ458762:JYQ458800 KIM458762:KIM458800 KSI458762:KSI458800 LCE458762:LCE458800 LMA458762:LMA458800 LVW458762:LVW458800 MFS458762:MFS458800 MPO458762:MPO458800 MZK458762:MZK458800 NJG458762:NJG458800 NTC458762:NTC458800 OCY458762:OCY458800 OMU458762:OMU458800 OWQ458762:OWQ458800 PGM458762:PGM458800 PQI458762:PQI458800 QAE458762:QAE458800 QKA458762:QKA458800 QTW458762:QTW458800 RDS458762:RDS458800 RNO458762:RNO458800 RXK458762:RXK458800 SHG458762:SHG458800 SRC458762:SRC458800 TAY458762:TAY458800 TKU458762:TKU458800 TUQ458762:TUQ458800 UEM458762:UEM458800 UOI458762:UOI458800 UYE458762:UYE458800 VIA458762:VIA458800 VRW458762:VRW458800 WBS458762:WBS458800 WLO458762:WLO458800 WVK458762:WVK458800 C524298:C524336 IY524298:IY524336 SU524298:SU524336 ACQ524298:ACQ524336 AMM524298:AMM524336 AWI524298:AWI524336 BGE524298:BGE524336 BQA524298:BQA524336 BZW524298:BZW524336 CJS524298:CJS524336 CTO524298:CTO524336 DDK524298:DDK524336 DNG524298:DNG524336 DXC524298:DXC524336 EGY524298:EGY524336 EQU524298:EQU524336 FAQ524298:FAQ524336 FKM524298:FKM524336 FUI524298:FUI524336 GEE524298:GEE524336 GOA524298:GOA524336 GXW524298:GXW524336 HHS524298:HHS524336 HRO524298:HRO524336 IBK524298:IBK524336 ILG524298:ILG524336 IVC524298:IVC524336 JEY524298:JEY524336 JOU524298:JOU524336 JYQ524298:JYQ524336 KIM524298:KIM524336 KSI524298:KSI524336 LCE524298:LCE524336 LMA524298:LMA524336 LVW524298:LVW524336 MFS524298:MFS524336 MPO524298:MPO524336 MZK524298:MZK524336 NJG524298:NJG524336 NTC524298:NTC524336 OCY524298:OCY524336 OMU524298:OMU524336 OWQ524298:OWQ524336 PGM524298:PGM524336 PQI524298:PQI524336 QAE524298:QAE524336 QKA524298:QKA524336 QTW524298:QTW524336 RDS524298:RDS524336 RNO524298:RNO524336 RXK524298:RXK524336 SHG524298:SHG524336 SRC524298:SRC524336 TAY524298:TAY524336 TKU524298:TKU524336 TUQ524298:TUQ524336 UEM524298:UEM524336 UOI524298:UOI524336 UYE524298:UYE524336 VIA524298:VIA524336 VRW524298:VRW524336 WBS524298:WBS524336 WLO524298:WLO524336 WVK524298:WVK524336 C589834:C589872 IY589834:IY589872 SU589834:SU589872 ACQ589834:ACQ589872 AMM589834:AMM589872 AWI589834:AWI589872 BGE589834:BGE589872 BQA589834:BQA589872 BZW589834:BZW589872 CJS589834:CJS589872 CTO589834:CTO589872 DDK589834:DDK589872 DNG589834:DNG589872 DXC589834:DXC589872 EGY589834:EGY589872 EQU589834:EQU589872 FAQ589834:FAQ589872 FKM589834:FKM589872 FUI589834:FUI589872 GEE589834:GEE589872 GOA589834:GOA589872 GXW589834:GXW589872 HHS589834:HHS589872 HRO589834:HRO589872 IBK589834:IBK589872 ILG589834:ILG589872 IVC589834:IVC589872 JEY589834:JEY589872 JOU589834:JOU589872 JYQ589834:JYQ589872 KIM589834:KIM589872 KSI589834:KSI589872 LCE589834:LCE589872 LMA589834:LMA589872 LVW589834:LVW589872 MFS589834:MFS589872 MPO589834:MPO589872 MZK589834:MZK589872 NJG589834:NJG589872 NTC589834:NTC589872 OCY589834:OCY589872 OMU589834:OMU589872 OWQ589834:OWQ589872 PGM589834:PGM589872 PQI589834:PQI589872 QAE589834:QAE589872 QKA589834:QKA589872 QTW589834:QTW589872 RDS589834:RDS589872 RNO589834:RNO589872 RXK589834:RXK589872 SHG589834:SHG589872 SRC589834:SRC589872 TAY589834:TAY589872 TKU589834:TKU589872 TUQ589834:TUQ589872 UEM589834:UEM589872 UOI589834:UOI589872 UYE589834:UYE589872 VIA589834:VIA589872 VRW589834:VRW589872 WBS589834:WBS589872 WLO589834:WLO589872 WVK589834:WVK589872 C655370:C655408 IY655370:IY655408 SU655370:SU655408 ACQ655370:ACQ655408 AMM655370:AMM655408 AWI655370:AWI655408 BGE655370:BGE655408 BQA655370:BQA655408 BZW655370:BZW655408 CJS655370:CJS655408 CTO655370:CTO655408 DDK655370:DDK655408 DNG655370:DNG655408 DXC655370:DXC655408 EGY655370:EGY655408 EQU655370:EQU655408 FAQ655370:FAQ655408 FKM655370:FKM655408 FUI655370:FUI655408 GEE655370:GEE655408 GOA655370:GOA655408 GXW655370:GXW655408 HHS655370:HHS655408 HRO655370:HRO655408 IBK655370:IBK655408 ILG655370:ILG655408 IVC655370:IVC655408 JEY655370:JEY655408 JOU655370:JOU655408 JYQ655370:JYQ655408 KIM655370:KIM655408 KSI655370:KSI655408 LCE655370:LCE655408 LMA655370:LMA655408 LVW655370:LVW655408 MFS655370:MFS655408 MPO655370:MPO655408 MZK655370:MZK655408 NJG655370:NJG655408 NTC655370:NTC655408 OCY655370:OCY655408 OMU655370:OMU655408 OWQ655370:OWQ655408 PGM655370:PGM655408 PQI655370:PQI655408 QAE655370:QAE655408 QKA655370:QKA655408 QTW655370:QTW655408 RDS655370:RDS655408 RNO655370:RNO655408 RXK655370:RXK655408 SHG655370:SHG655408 SRC655370:SRC655408 TAY655370:TAY655408 TKU655370:TKU655408 TUQ655370:TUQ655408 UEM655370:UEM655408 UOI655370:UOI655408 UYE655370:UYE655408 VIA655370:VIA655408 VRW655370:VRW655408 WBS655370:WBS655408 WLO655370:WLO655408 WVK655370:WVK655408 C720906:C720944 IY720906:IY720944 SU720906:SU720944 ACQ720906:ACQ720944 AMM720906:AMM720944 AWI720906:AWI720944 BGE720906:BGE720944 BQA720906:BQA720944 BZW720906:BZW720944 CJS720906:CJS720944 CTO720906:CTO720944 DDK720906:DDK720944 DNG720906:DNG720944 DXC720906:DXC720944 EGY720906:EGY720944 EQU720906:EQU720944 FAQ720906:FAQ720944 FKM720906:FKM720944 FUI720906:FUI720944 GEE720906:GEE720944 GOA720906:GOA720944 GXW720906:GXW720944 HHS720906:HHS720944 HRO720906:HRO720944 IBK720906:IBK720944 ILG720906:ILG720944 IVC720906:IVC720944 JEY720906:JEY720944 JOU720906:JOU720944 JYQ720906:JYQ720944 KIM720906:KIM720944 KSI720906:KSI720944 LCE720906:LCE720944 LMA720906:LMA720944 LVW720906:LVW720944 MFS720906:MFS720944 MPO720906:MPO720944 MZK720906:MZK720944 NJG720906:NJG720944 NTC720906:NTC720944 OCY720906:OCY720944 OMU720906:OMU720944 OWQ720906:OWQ720944 PGM720906:PGM720944 PQI720906:PQI720944 QAE720906:QAE720944 QKA720906:QKA720944 QTW720906:QTW720944 RDS720906:RDS720944 RNO720906:RNO720944 RXK720906:RXK720944 SHG720906:SHG720944 SRC720906:SRC720944 TAY720906:TAY720944 TKU720906:TKU720944 TUQ720906:TUQ720944 UEM720906:UEM720944 UOI720906:UOI720944 UYE720906:UYE720944 VIA720906:VIA720944 VRW720906:VRW720944 WBS720906:WBS720944 WLO720906:WLO720944 WVK720906:WVK720944 C786442:C786480 IY786442:IY786480 SU786442:SU786480 ACQ786442:ACQ786480 AMM786442:AMM786480 AWI786442:AWI786480 BGE786442:BGE786480 BQA786442:BQA786480 BZW786442:BZW786480 CJS786442:CJS786480 CTO786442:CTO786480 DDK786442:DDK786480 DNG786442:DNG786480 DXC786442:DXC786480 EGY786442:EGY786480 EQU786442:EQU786480 FAQ786442:FAQ786480 FKM786442:FKM786480 FUI786442:FUI786480 GEE786442:GEE786480 GOA786442:GOA786480 GXW786442:GXW786480 HHS786442:HHS786480 HRO786442:HRO786480 IBK786442:IBK786480 ILG786442:ILG786480 IVC786442:IVC786480 JEY786442:JEY786480 JOU786442:JOU786480 JYQ786442:JYQ786480 KIM786442:KIM786480 KSI786442:KSI786480 LCE786442:LCE786480 LMA786442:LMA786480 LVW786442:LVW786480 MFS786442:MFS786480 MPO786442:MPO786480 MZK786442:MZK786480 NJG786442:NJG786480 NTC786442:NTC786480 OCY786442:OCY786480 OMU786442:OMU786480 OWQ786442:OWQ786480 PGM786442:PGM786480 PQI786442:PQI786480 QAE786442:QAE786480 QKA786442:QKA786480 QTW786442:QTW786480 RDS786442:RDS786480 RNO786442:RNO786480 RXK786442:RXK786480 SHG786442:SHG786480 SRC786442:SRC786480 TAY786442:TAY786480 TKU786442:TKU786480 TUQ786442:TUQ786480 UEM786442:UEM786480 UOI786442:UOI786480 UYE786442:UYE786480 VIA786442:VIA786480 VRW786442:VRW786480 WBS786442:WBS786480 WLO786442:WLO786480 WVK786442:WVK786480 C851978:C852016 IY851978:IY852016 SU851978:SU852016 ACQ851978:ACQ852016 AMM851978:AMM852016 AWI851978:AWI852016 BGE851978:BGE852016 BQA851978:BQA852016 BZW851978:BZW852016 CJS851978:CJS852016 CTO851978:CTO852016 DDK851978:DDK852016 DNG851978:DNG852016 DXC851978:DXC852016 EGY851978:EGY852016 EQU851978:EQU852016 FAQ851978:FAQ852016 FKM851978:FKM852016 FUI851978:FUI852016 GEE851978:GEE852016 GOA851978:GOA852016 GXW851978:GXW852016 HHS851978:HHS852016 HRO851978:HRO852016 IBK851978:IBK852016 ILG851978:ILG852016 IVC851978:IVC852016 JEY851978:JEY852016 JOU851978:JOU852016 JYQ851978:JYQ852016 KIM851978:KIM852016 KSI851978:KSI852016 LCE851978:LCE852016 LMA851978:LMA852016 LVW851978:LVW852016 MFS851978:MFS852016 MPO851978:MPO852016 MZK851978:MZK852016 NJG851978:NJG852016 NTC851978:NTC852016 OCY851978:OCY852016 OMU851978:OMU852016 OWQ851978:OWQ852016 PGM851978:PGM852016 PQI851978:PQI852016 QAE851978:QAE852016 QKA851978:QKA852016 QTW851978:QTW852016 RDS851978:RDS852016 RNO851978:RNO852016 RXK851978:RXK852016 SHG851978:SHG852016 SRC851978:SRC852016 TAY851978:TAY852016 TKU851978:TKU852016 TUQ851978:TUQ852016 UEM851978:UEM852016 UOI851978:UOI852016 UYE851978:UYE852016 VIA851978:VIA852016 VRW851978:VRW852016 WBS851978:WBS852016 WLO851978:WLO852016 WVK851978:WVK852016 C917514:C917552 IY917514:IY917552 SU917514:SU917552 ACQ917514:ACQ917552 AMM917514:AMM917552 AWI917514:AWI917552 BGE917514:BGE917552 BQA917514:BQA917552 BZW917514:BZW917552 CJS917514:CJS917552 CTO917514:CTO917552 DDK917514:DDK917552 DNG917514:DNG917552 DXC917514:DXC917552 EGY917514:EGY917552 EQU917514:EQU917552 FAQ917514:FAQ917552 FKM917514:FKM917552 FUI917514:FUI917552 GEE917514:GEE917552 GOA917514:GOA917552 GXW917514:GXW917552 HHS917514:HHS917552 HRO917514:HRO917552 IBK917514:IBK917552 ILG917514:ILG917552 IVC917514:IVC917552 JEY917514:JEY917552 JOU917514:JOU917552 JYQ917514:JYQ917552 KIM917514:KIM917552 KSI917514:KSI917552 LCE917514:LCE917552 LMA917514:LMA917552 LVW917514:LVW917552 MFS917514:MFS917552 MPO917514:MPO917552 MZK917514:MZK917552 NJG917514:NJG917552 NTC917514:NTC917552 OCY917514:OCY917552 OMU917514:OMU917552 OWQ917514:OWQ917552 PGM917514:PGM917552 PQI917514:PQI917552 QAE917514:QAE917552 QKA917514:QKA917552 QTW917514:QTW917552 RDS917514:RDS917552 RNO917514:RNO917552 RXK917514:RXK917552 SHG917514:SHG917552 SRC917514:SRC917552 TAY917514:TAY917552 TKU917514:TKU917552 TUQ917514:TUQ917552 UEM917514:UEM917552 UOI917514:UOI917552 UYE917514:UYE917552 VIA917514:VIA917552 VRW917514:VRW917552 WBS917514:WBS917552 WLO917514:WLO917552 WVK917514:WVK917552 C983050:C983088 IY983050:IY983088 SU983050:SU983088 ACQ983050:ACQ983088 AMM983050:AMM983088 AWI983050:AWI983088 BGE983050:BGE983088 BQA983050:BQA983088 BZW983050:BZW983088 CJS983050:CJS983088 CTO983050:CTO983088 DDK983050:DDK983088 DNG983050:DNG983088 DXC983050:DXC983088 EGY983050:EGY983088 EQU983050:EQU983088 FAQ983050:FAQ983088 FKM983050:FKM983088 FUI983050:FUI983088 GEE983050:GEE983088 GOA983050:GOA983088 GXW983050:GXW983088 HHS983050:HHS983088 HRO983050:HRO983088 IBK983050:IBK983088 ILG983050:ILG983088 IVC983050:IVC983088 JEY983050:JEY983088 JOU983050:JOU983088 JYQ983050:JYQ983088 KIM983050:KIM983088 KSI983050:KSI983088 LCE983050:LCE983088 LMA983050:LMA983088 LVW983050:LVW983088 MFS983050:MFS983088 MPO983050:MPO983088 MZK983050:MZK983088 NJG983050:NJG983088 NTC983050:NTC983088 OCY983050:OCY983088 OMU983050:OMU983088 OWQ983050:OWQ983088 PGM983050:PGM983088 PQI983050:PQI983088 QAE983050:QAE983088 QKA983050:QKA983088 QTW983050:QTW983088 RDS983050:RDS983088 RNO983050:RNO983088 RXK983050:RXK983088 SHG983050:SHG983088 SRC983050:SRC983088 TAY983050:TAY983088 TKU983050:TKU983088 TUQ983050:TUQ983088 UEM983050:UEM983088 UOI983050:UOI983088 UYE983050:UYE983088 VIA983050:VIA983088 VRW983050:VRW983088 WBS983050:WBS983088 WLO983050:WLO983088">
      <formula1>"是,否"</formula1>
    </dataValidation>
    <dataValidation type="list" allowBlank="1" showInputMessage="1" showErrorMessage="1" sqref="C5">
      <formula1>$F$5:$G$5</formula1>
    </dataValidation>
    <dataValidation type="list" allowBlank="1" showInputMessage="1" showErrorMessage="1" sqref="C6">
      <formula1>$F$6:$G$6</formula1>
    </dataValidation>
    <dataValidation type="list" allowBlank="1" showInputMessage="1" showErrorMessage="1" sqref="C7">
      <formula1>$F$7:$G$7</formula1>
    </dataValidation>
    <dataValidation type="list" allowBlank="1" showInputMessage="1" showErrorMessage="1" sqref="C9">
      <formula1>$F$9:$G$9</formula1>
    </dataValidation>
    <dataValidation type="list" allowBlank="1" showInputMessage="1" showErrorMessage="1" sqref="C8">
      <formula1>$F$8:$G$8</formula1>
    </dataValidation>
    <dataValidation type="list" allowBlank="1" showInputMessage="1" showErrorMessage="1" sqref="C10">
      <formula1>$F$10:$G$10</formula1>
    </dataValidation>
    <dataValidation type="list" allowBlank="1" showInputMessage="1" showErrorMessage="1" sqref="C11">
      <formula1>$F$11:$G$11</formula1>
    </dataValidation>
    <dataValidation type="list" allowBlank="1" showInputMessage="1" showErrorMessage="1" sqref="C12">
      <formula1>$F$12:$G$12</formula1>
    </dataValidation>
    <dataValidation type="list" allowBlank="1" showInputMessage="1" showErrorMessage="1" sqref="C13">
      <formula1>$F$13:$G$13</formula1>
    </dataValidation>
    <dataValidation type="list" allowBlank="1" showInputMessage="1" showErrorMessage="1" sqref="C14">
      <formula1>$F$14:$G$14</formula1>
    </dataValidation>
    <dataValidation type="list" allowBlank="1" showInputMessage="1" showErrorMessage="1" sqref="C15">
      <formula1>$F$15:$G$15</formula1>
    </dataValidation>
    <dataValidation type="list" allowBlank="1" showInputMessage="1" showErrorMessage="1" sqref="C16">
      <formula1>$F$16:$G$16</formula1>
    </dataValidation>
    <dataValidation type="list" allowBlank="1" showInputMessage="1" showErrorMessage="1" sqref="C17">
      <formula1>$F$17:$G$17</formula1>
    </dataValidation>
    <dataValidation type="list" allowBlank="1" showInputMessage="1" showErrorMessage="1" sqref="C18">
      <formula1>$F$18:$G$18</formula1>
    </dataValidation>
    <dataValidation type="list" allowBlank="1" showInputMessage="1" showErrorMessage="1" sqref="C19">
      <formula1>$F$19:$G$19</formula1>
    </dataValidation>
    <dataValidation type="list" allowBlank="1" showInputMessage="1" showErrorMessage="1" sqref="C20">
      <formula1>$F$20:$G$20</formula1>
    </dataValidation>
    <dataValidation type="list" allowBlank="1" showInputMessage="1" showErrorMessage="1" sqref="C21">
      <formula1>$F$21:$G$21</formula1>
    </dataValidation>
    <dataValidation type="list" allowBlank="1" showInputMessage="1" showErrorMessage="1" sqref="C23">
      <formula1>$F$23:$G$23</formula1>
    </dataValidation>
    <dataValidation type="list" allowBlank="1" showInputMessage="1" showErrorMessage="1" sqref="C24">
      <formula1>$F$24:$G$24</formula1>
    </dataValidation>
    <dataValidation type="list" allowBlank="1" showInputMessage="1" showErrorMessage="1" sqref="C25">
      <formula1>$F$25:$G$25</formula1>
    </dataValidation>
    <dataValidation type="list" allowBlank="1" showInputMessage="1" showErrorMessage="1" sqref="C26">
      <formula1>$F$26:$G$26</formula1>
    </dataValidation>
    <dataValidation type="list" allowBlank="1" showInputMessage="1" showErrorMessage="1" sqref="C27">
      <formula1>$F$27:$G$27</formula1>
    </dataValidation>
    <dataValidation type="list" allowBlank="1" showInputMessage="1" showErrorMessage="1" sqref="C28">
      <formula1>$F$28:$G$28</formula1>
    </dataValidation>
    <dataValidation type="list" allowBlank="1" showInputMessage="1" showErrorMessage="1" sqref="C29">
      <formula1>$F$29:$G$29</formula1>
    </dataValidation>
    <dataValidation type="list" allowBlank="1" showInputMessage="1" showErrorMessage="1" sqref="C30">
      <formula1>$F$30:$G$30</formula1>
    </dataValidation>
    <dataValidation type="list" allowBlank="1" showInputMessage="1" showErrorMessage="1" sqref="C31">
      <formula1>$F$31:$G$31</formula1>
    </dataValidation>
    <dataValidation type="list" allowBlank="1" showInputMessage="1" showErrorMessage="1" sqref="C32">
      <formula1>$F$32:$G$32</formula1>
    </dataValidation>
    <dataValidation type="list" allowBlank="1" showInputMessage="1" showErrorMessage="1" sqref="C33">
      <formula1>$F$33:$G$33</formula1>
    </dataValidation>
    <dataValidation type="list" allowBlank="1" showInputMessage="1" showErrorMessage="1" sqref="C34">
      <formula1>$F$34:$G$34</formula1>
    </dataValidation>
    <dataValidation type="list" allowBlank="1" showInputMessage="1" showErrorMessage="1" sqref="C35">
      <formula1>$F$35:$G$35</formula1>
    </dataValidation>
    <dataValidation type="list" allowBlank="1" showInputMessage="1" showErrorMessage="1" sqref="C36">
      <formula1>$F$36:$G$36</formula1>
    </dataValidation>
    <dataValidation type="list" allowBlank="1" showInputMessage="1" showErrorMessage="1" sqref="C37">
      <formula1>$F$37:$G$37</formula1>
    </dataValidation>
    <dataValidation type="list" allowBlank="1" showInputMessage="1" showErrorMessage="1" sqref="C38">
      <formula1>$F$38:$G$38</formula1>
    </dataValidation>
    <dataValidation type="list" allowBlank="1" showInputMessage="1" showErrorMessage="1" sqref="C39">
      <formula1>$F$39:$G$39</formula1>
    </dataValidation>
    <dataValidation type="list" allowBlank="1" showInputMessage="1" showErrorMessage="1" sqref="C40">
      <formula1>$F$40:$G$40</formula1>
    </dataValidation>
    <dataValidation type="list" allowBlank="1" showInputMessage="1" showErrorMessage="1" sqref="C41">
      <formula1>$F$41:$G$41</formula1>
    </dataValidation>
    <dataValidation type="list" allowBlank="1" showInputMessage="1" showErrorMessage="1" sqref="C42">
      <formula1>$F$42:$G$42</formula1>
    </dataValidation>
    <dataValidation type="list" allowBlank="1" showInputMessage="1" showErrorMessage="1" sqref="C43:C48">
      <formula1>$F$43:$G$43</formula1>
    </dataValidation>
    <dataValidation type="list" allowBlank="1" showInputMessage="1" showErrorMessage="1" sqref="C22">
      <formula1>$F$22:$G$22</formula1>
    </dataValidation>
  </dataValidations>
  <hyperlinks>
    <hyperlink ref="B3" location="A000000企业基础信息表!A1" display="企业基础信息表"/>
    <hyperlink ref="B4" location="'A100000中华人民共和国企业所得税年度纳税申报表（A类）'!A1" display="中华人民共和国企业所得税年度纳税申报表（A类）"/>
    <hyperlink ref="B5" location="A101010一般企业收入明细表!A1" display="    一般企业收入明细表"/>
    <hyperlink ref="B6" location="A101020金融企业收入明细表!A1" display="    金融企业收入明细表"/>
    <hyperlink ref="B7" location="A102010一般企业成本支出明细表!A1" display="    一般企业成本支出明细表"/>
    <hyperlink ref="B8" location="A102020金融企业支出明细表!A1" display="    金融企业支出明细表"/>
    <hyperlink ref="B9" location="A103000事业单位、民间非营利组织收入、支出明细表!A1" display="    事业单位、民间非营利组织收入、支出明细表"/>
    <hyperlink ref="B10" location="A104000期间费用明细表!A1" display="    期间费用明细表"/>
    <hyperlink ref="B11" location="A105000纳税调整项目明细表!A1" display="    纳税调整项目明细表"/>
    <hyperlink ref="B12" location="A105010视同销售和房地产开发企业特定业务纳税调整明细表!A1" display="        视同销售和房地产开发企业特定业务纳税调整明细表"/>
    <hyperlink ref="B13" location="A105020未按权责发生制确认收入纳税调整明细表!A1" display="        未按权责发生制确认收入纳税调整明细表"/>
    <hyperlink ref="B14" location="A105030投资收益纳税调整明细表!A1" display="        投资收益纳税调整明细表"/>
    <hyperlink ref="B15" location="A105040专项用途财政性资金纳税调整表!A1" display="        专项用途财政性资金纳税调整明细表"/>
    <hyperlink ref="B16" location="A105050职工薪酬纳税调整明细表!A1" display="        职工薪酬纳税调整明细表"/>
    <hyperlink ref="B17" location="A105060广告费和业务宣传费跨年度纳税调整明细表!A1" display="        广告费和业务宣传费跨年度纳税调整明细表"/>
    <hyperlink ref="B18" location="A105070捐赠支出纳税调整明细表!A1" display="        捐赠支出纳税调整明细表"/>
    <hyperlink ref="B19" location="A105080资产折旧、摊销情况及纳税调整明细表!A1" display="        资产折旧、摊销情况及纳税调整明细表"/>
    <hyperlink ref="B20" location="A105081固定资产加速折旧、扣除明细表!A1" display="            固定资产加速折旧、扣除明细表"/>
    <hyperlink ref="B21" location="A105090资产损失税前扣除及纳税调整明细表!A1" display="        资产损失税前扣除及纳税调整明细表"/>
    <hyperlink ref="B22" location="'A105091资产损失（专项申报）税前扣除及纳税调整明细表'!A1" display="            资产损失（专项申报）税前扣除及纳税调整明细表"/>
    <hyperlink ref="B43" location="A109010企业所得税汇总纳税分支机构所得税分配表!A1" display="        企业所得税汇总纳税分支机构所得税分配表"/>
    <hyperlink ref="B42" location="A109000跨地区经营汇总纳税企业年度分摊企业所得税明细表!A1" display="    跨地区经营汇总纳税企业年度分摊企业所得税明细表"/>
    <hyperlink ref="B41" location="A108030跨年度结转抵免境外所得税明细表!A1" display="        跨年度结转抵免境外所得税明细表"/>
    <hyperlink ref="B40" location="A108020境外分支机构弥补亏损明细表!A1" display="        境外分支机构弥补亏损明细表"/>
    <hyperlink ref="B38" location="A108000境外所得税收抵免明细表!A1" display="    境外所得税收抵免明细表"/>
    <hyperlink ref="B39" location="A108010境外所得纳税调整后所得明细表!A1" display="        境外所得纳税调整后所得明细表"/>
    <hyperlink ref="B37" location="A107050税额抵免优惠明细表!A1" display="    税额抵免优惠明细表"/>
    <hyperlink ref="B36" location="A107042软件、集成电路企业优惠情况及明细表!A1" display="        软件、集成电路企业优惠情况及明细表"/>
    <hyperlink ref="B35" location="A107041高新技术企业优惠情况及明细表!A1" display="        高新技术企业优惠情况及明细表"/>
    <hyperlink ref="B34" location="A107040减免所得税优惠明细表!A1" display="    减免所得税优惠明细表"/>
    <hyperlink ref="B33" location="A107030抵扣应纳税所得额明细表!A1" display="    抵扣应纳税所得额明细表"/>
    <hyperlink ref="B32" location="A107020所得减免优惠明细表!A1" display="    所得减免优惠明细表"/>
    <hyperlink ref="B31" location="A107014研发费用加计扣除优惠明细表!A1" display="        研发费用加计扣除优惠明细表"/>
    <hyperlink ref="B30" location="A107013金融保险等机构取得涉农利息保费收入优惠明细表!A1" display="        金融、保险等机构取得的涉农利息、保费收入优惠明细表"/>
    <hyperlink ref="B29" location="A107012综合利用资源生产产品取得的收入优惠明细表!A1" display="        综合利用资源生产产品取得的收入优惠明细表"/>
    <hyperlink ref="B27" location="A107010免税、减计收入及加计扣除优惠明细表!A1" display="    免税、减计收入及加计扣除优惠明细表"/>
    <hyperlink ref="B26" location="A106000企业所得税弥补亏损明细表!A1" display="    企业所得税弥补亏损明细表"/>
    <hyperlink ref="B25" location="A105120特殊行业准备金纳税调整明细表!A1" display="        特殊行业准备金纳税调整明细表"/>
    <hyperlink ref="B24" location="A105110政策性搬迁纳税调整明细表!A1" display="        政策性搬迁纳税调整明细表"/>
    <hyperlink ref="B23" location="A105100企业重组纳税调整明细表!A1" display="        企业重组纳税调整明细表"/>
    <hyperlink ref="B28" location="A107011股息红利优惠明细表!A1" display="        符合条件的居民企业之间的股息、红利等权益性投资收益优惠明细表"/>
    <hyperlink ref="B48" location="研发项目可加计扣除研究开发费用情况归集表!A1" tooltip="#研发项目可加计扣除研究开发费用情况归集表!A1" display="研发项目可加计扣除研究开发费用情况归集表"/>
  </hyperlinks>
  <printOptions horizontalCentered="1"/>
  <pageMargins left="0.78740157480314998" right="0.35433070866141703" top="0.511811023622047" bottom="0.11811023622047198" header="0.511811023622047" footer="0.511811023622047"/>
  <pageSetup paperSize="9" orientation="portrait" r:id="rId1"/>
  <headerFooter alignWithMargins="0"/>
  <legacy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pageSetUpPr fitToPage="1"/>
  </sheetPr>
  <dimension ref="A1:O1981"/>
  <sheetViews>
    <sheetView zoomScaleNormal="100" workbookViewId="0">
      <selection activeCell="B9" sqref="B9"/>
    </sheetView>
  </sheetViews>
  <sheetFormatPr defaultRowHeight="15.6"/>
  <cols>
    <col min="1" max="1" width="19.19921875" style="172" customWidth="1"/>
    <col min="2" max="2" width="20.5" style="172" customWidth="1"/>
    <col min="3" max="3" width="25.09765625" style="172" customWidth="1"/>
    <col min="4" max="4" width="13" style="172" customWidth="1"/>
    <col min="5" max="5" width="12" style="172" customWidth="1"/>
    <col min="6" max="6" width="16.69921875" style="172" customWidth="1"/>
    <col min="7" max="10" width="9" style="172"/>
    <col min="11" max="11" width="12.8984375" style="172" customWidth="1"/>
    <col min="12" max="256" width="9" style="172"/>
    <col min="257" max="257" width="19.19921875" style="172" customWidth="1"/>
    <col min="258" max="258" width="20.5" style="172" customWidth="1"/>
    <col min="259" max="259" width="11.69921875" style="172" customWidth="1"/>
    <col min="260" max="260" width="13" style="172" customWidth="1"/>
    <col min="261" max="261" width="12" style="172" customWidth="1"/>
    <col min="262" max="262" width="16.69921875" style="172" customWidth="1"/>
    <col min="263" max="266" width="9" style="172"/>
    <col min="267" max="267" width="29.69921875" style="172" customWidth="1"/>
    <col min="268" max="512" width="9" style="172"/>
    <col min="513" max="513" width="19.19921875" style="172" customWidth="1"/>
    <col min="514" max="514" width="20.5" style="172" customWidth="1"/>
    <col min="515" max="515" width="11.69921875" style="172" customWidth="1"/>
    <col min="516" max="516" width="13" style="172" customWidth="1"/>
    <col min="517" max="517" width="12" style="172" customWidth="1"/>
    <col min="518" max="518" width="16.69921875" style="172" customWidth="1"/>
    <col min="519" max="522" width="9" style="172"/>
    <col min="523" max="523" width="29.69921875" style="172" customWidth="1"/>
    <col min="524" max="768" width="9" style="172"/>
    <col min="769" max="769" width="19.19921875" style="172" customWidth="1"/>
    <col min="770" max="770" width="20.5" style="172" customWidth="1"/>
    <col min="771" max="771" width="11.69921875" style="172" customWidth="1"/>
    <col min="772" max="772" width="13" style="172" customWidth="1"/>
    <col min="773" max="773" width="12" style="172" customWidth="1"/>
    <col min="774" max="774" width="16.69921875" style="172" customWidth="1"/>
    <col min="775" max="778" width="9" style="172"/>
    <col min="779" max="779" width="29.69921875" style="172" customWidth="1"/>
    <col min="780" max="1024" width="9" style="172"/>
    <col min="1025" max="1025" width="19.19921875" style="172" customWidth="1"/>
    <col min="1026" max="1026" width="20.5" style="172" customWidth="1"/>
    <col min="1027" max="1027" width="11.69921875" style="172" customWidth="1"/>
    <col min="1028" max="1028" width="13" style="172" customWidth="1"/>
    <col min="1029" max="1029" width="12" style="172" customWidth="1"/>
    <col min="1030" max="1030" width="16.69921875" style="172" customWidth="1"/>
    <col min="1031" max="1034" width="9" style="172"/>
    <col min="1035" max="1035" width="29.69921875" style="172" customWidth="1"/>
    <col min="1036" max="1280" width="9" style="172"/>
    <col min="1281" max="1281" width="19.19921875" style="172" customWidth="1"/>
    <col min="1282" max="1282" width="20.5" style="172" customWidth="1"/>
    <col min="1283" max="1283" width="11.69921875" style="172" customWidth="1"/>
    <col min="1284" max="1284" width="13" style="172" customWidth="1"/>
    <col min="1285" max="1285" width="12" style="172" customWidth="1"/>
    <col min="1286" max="1286" width="16.69921875" style="172" customWidth="1"/>
    <col min="1287" max="1290" width="9" style="172"/>
    <col min="1291" max="1291" width="29.69921875" style="172" customWidth="1"/>
    <col min="1292" max="1536" width="9" style="172"/>
    <col min="1537" max="1537" width="19.19921875" style="172" customWidth="1"/>
    <col min="1538" max="1538" width="20.5" style="172" customWidth="1"/>
    <col min="1539" max="1539" width="11.69921875" style="172" customWidth="1"/>
    <col min="1540" max="1540" width="13" style="172" customWidth="1"/>
    <col min="1541" max="1541" width="12" style="172" customWidth="1"/>
    <col min="1542" max="1542" width="16.69921875" style="172" customWidth="1"/>
    <col min="1543" max="1546" width="9" style="172"/>
    <col min="1547" max="1547" width="29.69921875" style="172" customWidth="1"/>
    <col min="1548" max="1792" width="9" style="172"/>
    <col min="1793" max="1793" width="19.19921875" style="172" customWidth="1"/>
    <col min="1794" max="1794" width="20.5" style="172" customWidth="1"/>
    <col min="1795" max="1795" width="11.69921875" style="172" customWidth="1"/>
    <col min="1796" max="1796" width="13" style="172" customWidth="1"/>
    <col min="1797" max="1797" width="12" style="172" customWidth="1"/>
    <col min="1798" max="1798" width="16.69921875" style="172" customWidth="1"/>
    <col min="1799" max="1802" width="9" style="172"/>
    <col min="1803" max="1803" width="29.69921875" style="172" customWidth="1"/>
    <col min="1804" max="2048" width="9" style="172"/>
    <col min="2049" max="2049" width="19.19921875" style="172" customWidth="1"/>
    <col min="2050" max="2050" width="20.5" style="172" customWidth="1"/>
    <col min="2051" max="2051" width="11.69921875" style="172" customWidth="1"/>
    <col min="2052" max="2052" width="13" style="172" customWidth="1"/>
    <col min="2053" max="2053" width="12" style="172" customWidth="1"/>
    <col min="2054" max="2054" width="16.69921875" style="172" customWidth="1"/>
    <col min="2055" max="2058" width="9" style="172"/>
    <col min="2059" max="2059" width="29.69921875" style="172" customWidth="1"/>
    <col min="2060" max="2304" width="9" style="172"/>
    <col min="2305" max="2305" width="19.19921875" style="172" customWidth="1"/>
    <col min="2306" max="2306" width="20.5" style="172" customWidth="1"/>
    <col min="2307" max="2307" width="11.69921875" style="172" customWidth="1"/>
    <col min="2308" max="2308" width="13" style="172" customWidth="1"/>
    <col min="2309" max="2309" width="12" style="172" customWidth="1"/>
    <col min="2310" max="2310" width="16.69921875" style="172" customWidth="1"/>
    <col min="2311" max="2314" width="9" style="172"/>
    <col min="2315" max="2315" width="29.69921875" style="172" customWidth="1"/>
    <col min="2316" max="2560" width="9" style="172"/>
    <col min="2561" max="2561" width="19.19921875" style="172" customWidth="1"/>
    <col min="2562" max="2562" width="20.5" style="172" customWidth="1"/>
    <col min="2563" max="2563" width="11.69921875" style="172" customWidth="1"/>
    <col min="2564" max="2564" width="13" style="172" customWidth="1"/>
    <col min="2565" max="2565" width="12" style="172" customWidth="1"/>
    <col min="2566" max="2566" width="16.69921875" style="172" customWidth="1"/>
    <col min="2567" max="2570" width="9" style="172"/>
    <col min="2571" max="2571" width="29.69921875" style="172" customWidth="1"/>
    <col min="2572" max="2816" width="9" style="172"/>
    <col min="2817" max="2817" width="19.19921875" style="172" customWidth="1"/>
    <col min="2818" max="2818" width="20.5" style="172" customWidth="1"/>
    <col min="2819" max="2819" width="11.69921875" style="172" customWidth="1"/>
    <col min="2820" max="2820" width="13" style="172" customWidth="1"/>
    <col min="2821" max="2821" width="12" style="172" customWidth="1"/>
    <col min="2822" max="2822" width="16.69921875" style="172" customWidth="1"/>
    <col min="2823" max="2826" width="9" style="172"/>
    <col min="2827" max="2827" width="29.69921875" style="172" customWidth="1"/>
    <col min="2828" max="3072" width="9" style="172"/>
    <col min="3073" max="3073" width="19.19921875" style="172" customWidth="1"/>
    <col min="3074" max="3074" width="20.5" style="172" customWidth="1"/>
    <col min="3075" max="3075" width="11.69921875" style="172" customWidth="1"/>
    <col min="3076" max="3076" width="13" style="172" customWidth="1"/>
    <col min="3077" max="3077" width="12" style="172" customWidth="1"/>
    <col min="3078" max="3078" width="16.69921875" style="172" customWidth="1"/>
    <col min="3079" max="3082" width="9" style="172"/>
    <col min="3083" max="3083" width="29.69921875" style="172" customWidth="1"/>
    <col min="3084" max="3328" width="9" style="172"/>
    <col min="3329" max="3329" width="19.19921875" style="172" customWidth="1"/>
    <col min="3330" max="3330" width="20.5" style="172" customWidth="1"/>
    <col min="3331" max="3331" width="11.69921875" style="172" customWidth="1"/>
    <col min="3332" max="3332" width="13" style="172" customWidth="1"/>
    <col min="3333" max="3333" width="12" style="172" customWidth="1"/>
    <col min="3334" max="3334" width="16.69921875" style="172" customWidth="1"/>
    <col min="3335" max="3338" width="9" style="172"/>
    <col min="3339" max="3339" width="29.69921875" style="172" customWidth="1"/>
    <col min="3340" max="3584" width="9" style="172"/>
    <col min="3585" max="3585" width="19.19921875" style="172" customWidth="1"/>
    <col min="3586" max="3586" width="20.5" style="172" customWidth="1"/>
    <col min="3587" max="3587" width="11.69921875" style="172" customWidth="1"/>
    <col min="3588" max="3588" width="13" style="172" customWidth="1"/>
    <col min="3589" max="3589" width="12" style="172" customWidth="1"/>
    <col min="3590" max="3590" width="16.69921875" style="172" customWidth="1"/>
    <col min="3591" max="3594" width="9" style="172"/>
    <col min="3595" max="3595" width="29.69921875" style="172" customWidth="1"/>
    <col min="3596" max="3840" width="9" style="172"/>
    <col min="3841" max="3841" width="19.19921875" style="172" customWidth="1"/>
    <col min="3842" max="3842" width="20.5" style="172" customWidth="1"/>
    <col min="3843" max="3843" width="11.69921875" style="172" customWidth="1"/>
    <col min="3844" max="3844" width="13" style="172" customWidth="1"/>
    <col min="3845" max="3845" width="12" style="172" customWidth="1"/>
    <col min="3846" max="3846" width="16.69921875" style="172" customWidth="1"/>
    <col min="3847" max="3850" width="9" style="172"/>
    <col min="3851" max="3851" width="29.69921875" style="172" customWidth="1"/>
    <col min="3852" max="4096" width="9" style="172"/>
    <col min="4097" max="4097" width="19.19921875" style="172" customWidth="1"/>
    <col min="4098" max="4098" width="20.5" style="172" customWidth="1"/>
    <col min="4099" max="4099" width="11.69921875" style="172" customWidth="1"/>
    <col min="4100" max="4100" width="13" style="172" customWidth="1"/>
    <col min="4101" max="4101" width="12" style="172" customWidth="1"/>
    <col min="4102" max="4102" width="16.69921875" style="172" customWidth="1"/>
    <col min="4103" max="4106" width="9" style="172"/>
    <col min="4107" max="4107" width="29.69921875" style="172" customWidth="1"/>
    <col min="4108" max="4352" width="9" style="172"/>
    <col min="4353" max="4353" width="19.19921875" style="172" customWidth="1"/>
    <col min="4354" max="4354" width="20.5" style="172" customWidth="1"/>
    <col min="4355" max="4355" width="11.69921875" style="172" customWidth="1"/>
    <col min="4356" max="4356" width="13" style="172" customWidth="1"/>
    <col min="4357" max="4357" width="12" style="172" customWidth="1"/>
    <col min="4358" max="4358" width="16.69921875" style="172" customWidth="1"/>
    <col min="4359" max="4362" width="9" style="172"/>
    <col min="4363" max="4363" width="29.69921875" style="172" customWidth="1"/>
    <col min="4364" max="4608" width="9" style="172"/>
    <col min="4609" max="4609" width="19.19921875" style="172" customWidth="1"/>
    <col min="4610" max="4610" width="20.5" style="172" customWidth="1"/>
    <col min="4611" max="4611" width="11.69921875" style="172" customWidth="1"/>
    <col min="4612" max="4612" width="13" style="172" customWidth="1"/>
    <col min="4613" max="4613" width="12" style="172" customWidth="1"/>
    <col min="4614" max="4614" width="16.69921875" style="172" customWidth="1"/>
    <col min="4615" max="4618" width="9" style="172"/>
    <col min="4619" max="4619" width="29.69921875" style="172" customWidth="1"/>
    <col min="4620" max="4864" width="9" style="172"/>
    <col min="4865" max="4865" width="19.19921875" style="172" customWidth="1"/>
    <col min="4866" max="4866" width="20.5" style="172" customWidth="1"/>
    <col min="4867" max="4867" width="11.69921875" style="172" customWidth="1"/>
    <col min="4868" max="4868" width="13" style="172" customWidth="1"/>
    <col min="4869" max="4869" width="12" style="172" customWidth="1"/>
    <col min="4870" max="4870" width="16.69921875" style="172" customWidth="1"/>
    <col min="4871" max="4874" width="9" style="172"/>
    <col min="4875" max="4875" width="29.69921875" style="172" customWidth="1"/>
    <col min="4876" max="5120" width="9" style="172"/>
    <col min="5121" max="5121" width="19.19921875" style="172" customWidth="1"/>
    <col min="5122" max="5122" width="20.5" style="172" customWidth="1"/>
    <col min="5123" max="5123" width="11.69921875" style="172" customWidth="1"/>
    <col min="5124" max="5124" width="13" style="172" customWidth="1"/>
    <col min="5125" max="5125" width="12" style="172" customWidth="1"/>
    <col min="5126" max="5126" width="16.69921875" style="172" customWidth="1"/>
    <col min="5127" max="5130" width="9" style="172"/>
    <col min="5131" max="5131" width="29.69921875" style="172" customWidth="1"/>
    <col min="5132" max="5376" width="9" style="172"/>
    <col min="5377" max="5377" width="19.19921875" style="172" customWidth="1"/>
    <col min="5378" max="5378" width="20.5" style="172" customWidth="1"/>
    <col min="5379" max="5379" width="11.69921875" style="172" customWidth="1"/>
    <col min="5380" max="5380" width="13" style="172" customWidth="1"/>
    <col min="5381" max="5381" width="12" style="172" customWidth="1"/>
    <col min="5382" max="5382" width="16.69921875" style="172" customWidth="1"/>
    <col min="5383" max="5386" width="9" style="172"/>
    <col min="5387" max="5387" width="29.69921875" style="172" customWidth="1"/>
    <col min="5388" max="5632" width="9" style="172"/>
    <col min="5633" max="5633" width="19.19921875" style="172" customWidth="1"/>
    <col min="5634" max="5634" width="20.5" style="172" customWidth="1"/>
    <col min="5635" max="5635" width="11.69921875" style="172" customWidth="1"/>
    <col min="5636" max="5636" width="13" style="172" customWidth="1"/>
    <col min="5637" max="5637" width="12" style="172" customWidth="1"/>
    <col min="5638" max="5638" width="16.69921875" style="172" customWidth="1"/>
    <col min="5639" max="5642" width="9" style="172"/>
    <col min="5643" max="5643" width="29.69921875" style="172" customWidth="1"/>
    <col min="5644" max="5888" width="9" style="172"/>
    <col min="5889" max="5889" width="19.19921875" style="172" customWidth="1"/>
    <col min="5890" max="5890" width="20.5" style="172" customWidth="1"/>
    <col min="5891" max="5891" width="11.69921875" style="172" customWidth="1"/>
    <col min="5892" max="5892" width="13" style="172" customWidth="1"/>
    <col min="5893" max="5893" width="12" style="172" customWidth="1"/>
    <col min="5894" max="5894" width="16.69921875" style="172" customWidth="1"/>
    <col min="5895" max="5898" width="9" style="172"/>
    <col min="5899" max="5899" width="29.69921875" style="172" customWidth="1"/>
    <col min="5900" max="6144" width="9" style="172"/>
    <col min="6145" max="6145" width="19.19921875" style="172" customWidth="1"/>
    <col min="6146" max="6146" width="20.5" style="172" customWidth="1"/>
    <col min="6147" max="6147" width="11.69921875" style="172" customWidth="1"/>
    <col min="6148" max="6148" width="13" style="172" customWidth="1"/>
    <col min="6149" max="6149" width="12" style="172" customWidth="1"/>
    <col min="6150" max="6150" width="16.69921875" style="172" customWidth="1"/>
    <col min="6151" max="6154" width="9" style="172"/>
    <col min="6155" max="6155" width="29.69921875" style="172" customWidth="1"/>
    <col min="6156" max="6400" width="9" style="172"/>
    <col min="6401" max="6401" width="19.19921875" style="172" customWidth="1"/>
    <col min="6402" max="6402" width="20.5" style="172" customWidth="1"/>
    <col min="6403" max="6403" width="11.69921875" style="172" customWidth="1"/>
    <col min="6404" max="6404" width="13" style="172" customWidth="1"/>
    <col min="6405" max="6405" width="12" style="172" customWidth="1"/>
    <col min="6406" max="6406" width="16.69921875" style="172" customWidth="1"/>
    <col min="6407" max="6410" width="9" style="172"/>
    <col min="6411" max="6411" width="29.69921875" style="172" customWidth="1"/>
    <col min="6412" max="6656" width="9" style="172"/>
    <col min="6657" max="6657" width="19.19921875" style="172" customWidth="1"/>
    <col min="6658" max="6658" width="20.5" style="172" customWidth="1"/>
    <col min="6659" max="6659" width="11.69921875" style="172" customWidth="1"/>
    <col min="6660" max="6660" width="13" style="172" customWidth="1"/>
    <col min="6661" max="6661" width="12" style="172" customWidth="1"/>
    <col min="6662" max="6662" width="16.69921875" style="172" customWidth="1"/>
    <col min="6663" max="6666" width="9" style="172"/>
    <col min="6667" max="6667" width="29.69921875" style="172" customWidth="1"/>
    <col min="6668" max="6912" width="9" style="172"/>
    <col min="6913" max="6913" width="19.19921875" style="172" customWidth="1"/>
    <col min="6914" max="6914" width="20.5" style="172" customWidth="1"/>
    <col min="6915" max="6915" width="11.69921875" style="172" customWidth="1"/>
    <col min="6916" max="6916" width="13" style="172" customWidth="1"/>
    <col min="6917" max="6917" width="12" style="172" customWidth="1"/>
    <col min="6918" max="6918" width="16.69921875" style="172" customWidth="1"/>
    <col min="6919" max="6922" width="9" style="172"/>
    <col min="6923" max="6923" width="29.69921875" style="172" customWidth="1"/>
    <col min="6924" max="7168" width="9" style="172"/>
    <col min="7169" max="7169" width="19.19921875" style="172" customWidth="1"/>
    <col min="7170" max="7170" width="20.5" style="172" customWidth="1"/>
    <col min="7171" max="7171" width="11.69921875" style="172" customWidth="1"/>
    <col min="7172" max="7172" width="13" style="172" customWidth="1"/>
    <col min="7173" max="7173" width="12" style="172" customWidth="1"/>
    <col min="7174" max="7174" width="16.69921875" style="172" customWidth="1"/>
    <col min="7175" max="7178" width="9" style="172"/>
    <col min="7179" max="7179" width="29.69921875" style="172" customWidth="1"/>
    <col min="7180" max="7424" width="9" style="172"/>
    <col min="7425" max="7425" width="19.19921875" style="172" customWidth="1"/>
    <col min="7426" max="7426" width="20.5" style="172" customWidth="1"/>
    <col min="7427" max="7427" width="11.69921875" style="172" customWidth="1"/>
    <col min="7428" max="7428" width="13" style="172" customWidth="1"/>
    <col min="7429" max="7429" width="12" style="172" customWidth="1"/>
    <col min="7430" max="7430" width="16.69921875" style="172" customWidth="1"/>
    <col min="7431" max="7434" width="9" style="172"/>
    <col min="7435" max="7435" width="29.69921875" style="172" customWidth="1"/>
    <col min="7436" max="7680" width="9" style="172"/>
    <col min="7681" max="7681" width="19.19921875" style="172" customWidth="1"/>
    <col min="7682" max="7682" width="20.5" style="172" customWidth="1"/>
    <col min="7683" max="7683" width="11.69921875" style="172" customWidth="1"/>
    <col min="7684" max="7684" width="13" style="172" customWidth="1"/>
    <col min="7685" max="7685" width="12" style="172" customWidth="1"/>
    <col min="7686" max="7686" width="16.69921875" style="172" customWidth="1"/>
    <col min="7687" max="7690" width="9" style="172"/>
    <col min="7691" max="7691" width="29.69921875" style="172" customWidth="1"/>
    <col min="7692" max="7936" width="9" style="172"/>
    <col min="7937" max="7937" width="19.19921875" style="172" customWidth="1"/>
    <col min="7938" max="7938" width="20.5" style="172" customWidth="1"/>
    <col min="7939" max="7939" width="11.69921875" style="172" customWidth="1"/>
    <col min="7940" max="7940" width="13" style="172" customWidth="1"/>
    <col min="7941" max="7941" width="12" style="172" customWidth="1"/>
    <col min="7942" max="7942" width="16.69921875" style="172" customWidth="1"/>
    <col min="7943" max="7946" width="9" style="172"/>
    <col min="7947" max="7947" width="29.69921875" style="172" customWidth="1"/>
    <col min="7948" max="8192" width="9" style="172"/>
    <col min="8193" max="8193" width="19.19921875" style="172" customWidth="1"/>
    <col min="8194" max="8194" width="20.5" style="172" customWidth="1"/>
    <col min="8195" max="8195" width="11.69921875" style="172" customWidth="1"/>
    <col min="8196" max="8196" width="13" style="172" customWidth="1"/>
    <col min="8197" max="8197" width="12" style="172" customWidth="1"/>
    <col min="8198" max="8198" width="16.69921875" style="172" customWidth="1"/>
    <col min="8199" max="8202" width="9" style="172"/>
    <col min="8203" max="8203" width="29.69921875" style="172" customWidth="1"/>
    <col min="8204" max="8448" width="9" style="172"/>
    <col min="8449" max="8449" width="19.19921875" style="172" customWidth="1"/>
    <col min="8450" max="8450" width="20.5" style="172" customWidth="1"/>
    <col min="8451" max="8451" width="11.69921875" style="172" customWidth="1"/>
    <col min="8452" max="8452" width="13" style="172" customWidth="1"/>
    <col min="8453" max="8453" width="12" style="172" customWidth="1"/>
    <col min="8454" max="8454" width="16.69921875" style="172" customWidth="1"/>
    <col min="8455" max="8458" width="9" style="172"/>
    <col min="8459" max="8459" width="29.69921875" style="172" customWidth="1"/>
    <col min="8460" max="8704" width="9" style="172"/>
    <col min="8705" max="8705" width="19.19921875" style="172" customWidth="1"/>
    <col min="8706" max="8706" width="20.5" style="172" customWidth="1"/>
    <col min="8707" max="8707" width="11.69921875" style="172" customWidth="1"/>
    <col min="8708" max="8708" width="13" style="172" customWidth="1"/>
    <col min="8709" max="8709" width="12" style="172" customWidth="1"/>
    <col min="8710" max="8710" width="16.69921875" style="172" customWidth="1"/>
    <col min="8711" max="8714" width="9" style="172"/>
    <col min="8715" max="8715" width="29.69921875" style="172" customWidth="1"/>
    <col min="8716" max="8960" width="9" style="172"/>
    <col min="8961" max="8961" width="19.19921875" style="172" customWidth="1"/>
    <col min="8962" max="8962" width="20.5" style="172" customWidth="1"/>
    <col min="8963" max="8963" width="11.69921875" style="172" customWidth="1"/>
    <col min="8964" max="8964" width="13" style="172" customWidth="1"/>
    <col min="8965" max="8965" width="12" style="172" customWidth="1"/>
    <col min="8966" max="8966" width="16.69921875" style="172" customWidth="1"/>
    <col min="8967" max="8970" width="9" style="172"/>
    <col min="8971" max="8971" width="29.69921875" style="172" customWidth="1"/>
    <col min="8972" max="9216" width="9" style="172"/>
    <col min="9217" max="9217" width="19.19921875" style="172" customWidth="1"/>
    <col min="9218" max="9218" width="20.5" style="172" customWidth="1"/>
    <col min="9219" max="9219" width="11.69921875" style="172" customWidth="1"/>
    <col min="9220" max="9220" width="13" style="172" customWidth="1"/>
    <col min="9221" max="9221" width="12" style="172" customWidth="1"/>
    <col min="9222" max="9222" width="16.69921875" style="172" customWidth="1"/>
    <col min="9223" max="9226" width="9" style="172"/>
    <col min="9227" max="9227" width="29.69921875" style="172" customWidth="1"/>
    <col min="9228" max="9472" width="9" style="172"/>
    <col min="9473" max="9473" width="19.19921875" style="172" customWidth="1"/>
    <col min="9474" max="9474" width="20.5" style="172" customWidth="1"/>
    <col min="9475" max="9475" width="11.69921875" style="172" customWidth="1"/>
    <col min="9476" max="9476" width="13" style="172" customWidth="1"/>
    <col min="9477" max="9477" width="12" style="172" customWidth="1"/>
    <col min="9478" max="9478" width="16.69921875" style="172" customWidth="1"/>
    <col min="9479" max="9482" width="9" style="172"/>
    <col min="9483" max="9483" width="29.69921875" style="172" customWidth="1"/>
    <col min="9484" max="9728" width="9" style="172"/>
    <col min="9729" max="9729" width="19.19921875" style="172" customWidth="1"/>
    <col min="9730" max="9730" width="20.5" style="172" customWidth="1"/>
    <col min="9731" max="9731" width="11.69921875" style="172" customWidth="1"/>
    <col min="9732" max="9732" width="13" style="172" customWidth="1"/>
    <col min="9733" max="9733" width="12" style="172" customWidth="1"/>
    <col min="9734" max="9734" width="16.69921875" style="172" customWidth="1"/>
    <col min="9735" max="9738" width="9" style="172"/>
    <col min="9739" max="9739" width="29.69921875" style="172" customWidth="1"/>
    <col min="9740" max="9984" width="9" style="172"/>
    <col min="9985" max="9985" width="19.19921875" style="172" customWidth="1"/>
    <col min="9986" max="9986" width="20.5" style="172" customWidth="1"/>
    <col min="9987" max="9987" width="11.69921875" style="172" customWidth="1"/>
    <col min="9988" max="9988" width="13" style="172" customWidth="1"/>
    <col min="9989" max="9989" width="12" style="172" customWidth="1"/>
    <col min="9990" max="9990" width="16.69921875" style="172" customWidth="1"/>
    <col min="9991" max="9994" width="9" style="172"/>
    <col min="9995" max="9995" width="29.69921875" style="172" customWidth="1"/>
    <col min="9996" max="10240" width="9" style="172"/>
    <col min="10241" max="10241" width="19.19921875" style="172" customWidth="1"/>
    <col min="10242" max="10242" width="20.5" style="172" customWidth="1"/>
    <col min="10243" max="10243" width="11.69921875" style="172" customWidth="1"/>
    <col min="10244" max="10244" width="13" style="172" customWidth="1"/>
    <col min="10245" max="10245" width="12" style="172" customWidth="1"/>
    <col min="10246" max="10246" width="16.69921875" style="172" customWidth="1"/>
    <col min="10247" max="10250" width="9" style="172"/>
    <col min="10251" max="10251" width="29.69921875" style="172" customWidth="1"/>
    <col min="10252" max="10496" width="9" style="172"/>
    <col min="10497" max="10497" width="19.19921875" style="172" customWidth="1"/>
    <col min="10498" max="10498" width="20.5" style="172" customWidth="1"/>
    <col min="10499" max="10499" width="11.69921875" style="172" customWidth="1"/>
    <col min="10500" max="10500" width="13" style="172" customWidth="1"/>
    <col min="10501" max="10501" width="12" style="172" customWidth="1"/>
    <col min="10502" max="10502" width="16.69921875" style="172" customWidth="1"/>
    <col min="10503" max="10506" width="9" style="172"/>
    <col min="10507" max="10507" width="29.69921875" style="172" customWidth="1"/>
    <col min="10508" max="10752" width="9" style="172"/>
    <col min="10753" max="10753" width="19.19921875" style="172" customWidth="1"/>
    <col min="10754" max="10754" width="20.5" style="172" customWidth="1"/>
    <col min="10755" max="10755" width="11.69921875" style="172" customWidth="1"/>
    <col min="10756" max="10756" width="13" style="172" customWidth="1"/>
    <col min="10757" max="10757" width="12" style="172" customWidth="1"/>
    <col min="10758" max="10758" width="16.69921875" style="172" customWidth="1"/>
    <col min="10759" max="10762" width="9" style="172"/>
    <col min="10763" max="10763" width="29.69921875" style="172" customWidth="1"/>
    <col min="10764" max="11008" width="9" style="172"/>
    <col min="11009" max="11009" width="19.19921875" style="172" customWidth="1"/>
    <col min="11010" max="11010" width="20.5" style="172" customWidth="1"/>
    <col min="11011" max="11011" width="11.69921875" style="172" customWidth="1"/>
    <col min="11012" max="11012" width="13" style="172" customWidth="1"/>
    <col min="11013" max="11013" width="12" style="172" customWidth="1"/>
    <col min="11014" max="11014" width="16.69921875" style="172" customWidth="1"/>
    <col min="11015" max="11018" width="9" style="172"/>
    <col min="11019" max="11019" width="29.69921875" style="172" customWidth="1"/>
    <col min="11020" max="11264" width="9" style="172"/>
    <col min="11265" max="11265" width="19.19921875" style="172" customWidth="1"/>
    <col min="11266" max="11266" width="20.5" style="172" customWidth="1"/>
    <col min="11267" max="11267" width="11.69921875" style="172" customWidth="1"/>
    <col min="11268" max="11268" width="13" style="172" customWidth="1"/>
    <col min="11269" max="11269" width="12" style="172" customWidth="1"/>
    <col min="11270" max="11270" width="16.69921875" style="172" customWidth="1"/>
    <col min="11271" max="11274" width="9" style="172"/>
    <col min="11275" max="11275" width="29.69921875" style="172" customWidth="1"/>
    <col min="11276" max="11520" width="9" style="172"/>
    <col min="11521" max="11521" width="19.19921875" style="172" customWidth="1"/>
    <col min="11522" max="11522" width="20.5" style="172" customWidth="1"/>
    <col min="11523" max="11523" width="11.69921875" style="172" customWidth="1"/>
    <col min="11524" max="11524" width="13" style="172" customWidth="1"/>
    <col min="11525" max="11525" width="12" style="172" customWidth="1"/>
    <col min="11526" max="11526" width="16.69921875" style="172" customWidth="1"/>
    <col min="11527" max="11530" width="9" style="172"/>
    <col min="11531" max="11531" width="29.69921875" style="172" customWidth="1"/>
    <col min="11532" max="11776" width="9" style="172"/>
    <col min="11777" max="11777" width="19.19921875" style="172" customWidth="1"/>
    <col min="11778" max="11778" width="20.5" style="172" customWidth="1"/>
    <col min="11779" max="11779" width="11.69921875" style="172" customWidth="1"/>
    <col min="11780" max="11780" width="13" style="172" customWidth="1"/>
    <col min="11781" max="11781" width="12" style="172" customWidth="1"/>
    <col min="11782" max="11782" width="16.69921875" style="172" customWidth="1"/>
    <col min="11783" max="11786" width="9" style="172"/>
    <col min="11787" max="11787" width="29.69921875" style="172" customWidth="1"/>
    <col min="11788" max="12032" width="9" style="172"/>
    <col min="12033" max="12033" width="19.19921875" style="172" customWidth="1"/>
    <col min="12034" max="12034" width="20.5" style="172" customWidth="1"/>
    <col min="12035" max="12035" width="11.69921875" style="172" customWidth="1"/>
    <col min="12036" max="12036" width="13" style="172" customWidth="1"/>
    <col min="12037" max="12037" width="12" style="172" customWidth="1"/>
    <col min="12038" max="12038" width="16.69921875" style="172" customWidth="1"/>
    <col min="12039" max="12042" width="9" style="172"/>
    <col min="12043" max="12043" width="29.69921875" style="172" customWidth="1"/>
    <col min="12044" max="12288" width="9" style="172"/>
    <col min="12289" max="12289" width="19.19921875" style="172" customWidth="1"/>
    <col min="12290" max="12290" width="20.5" style="172" customWidth="1"/>
    <col min="12291" max="12291" width="11.69921875" style="172" customWidth="1"/>
    <col min="12292" max="12292" width="13" style="172" customWidth="1"/>
    <col min="12293" max="12293" width="12" style="172" customWidth="1"/>
    <col min="12294" max="12294" width="16.69921875" style="172" customWidth="1"/>
    <col min="12295" max="12298" width="9" style="172"/>
    <col min="12299" max="12299" width="29.69921875" style="172" customWidth="1"/>
    <col min="12300" max="12544" width="9" style="172"/>
    <col min="12545" max="12545" width="19.19921875" style="172" customWidth="1"/>
    <col min="12546" max="12546" width="20.5" style="172" customWidth="1"/>
    <col min="12547" max="12547" width="11.69921875" style="172" customWidth="1"/>
    <col min="12548" max="12548" width="13" style="172" customWidth="1"/>
    <col min="12549" max="12549" width="12" style="172" customWidth="1"/>
    <col min="12550" max="12550" width="16.69921875" style="172" customWidth="1"/>
    <col min="12551" max="12554" width="9" style="172"/>
    <col min="12555" max="12555" width="29.69921875" style="172" customWidth="1"/>
    <col min="12556" max="12800" width="9" style="172"/>
    <col min="12801" max="12801" width="19.19921875" style="172" customWidth="1"/>
    <col min="12802" max="12802" width="20.5" style="172" customWidth="1"/>
    <col min="12803" max="12803" width="11.69921875" style="172" customWidth="1"/>
    <col min="12804" max="12804" width="13" style="172" customWidth="1"/>
    <col min="12805" max="12805" width="12" style="172" customWidth="1"/>
    <col min="12806" max="12806" width="16.69921875" style="172" customWidth="1"/>
    <col min="12807" max="12810" width="9" style="172"/>
    <col min="12811" max="12811" width="29.69921875" style="172" customWidth="1"/>
    <col min="12812" max="13056" width="9" style="172"/>
    <col min="13057" max="13057" width="19.19921875" style="172" customWidth="1"/>
    <col min="13058" max="13058" width="20.5" style="172" customWidth="1"/>
    <col min="13059" max="13059" width="11.69921875" style="172" customWidth="1"/>
    <col min="13060" max="13060" width="13" style="172" customWidth="1"/>
    <col min="13061" max="13061" width="12" style="172" customWidth="1"/>
    <col min="13062" max="13062" width="16.69921875" style="172" customWidth="1"/>
    <col min="13063" max="13066" width="9" style="172"/>
    <col min="13067" max="13067" width="29.69921875" style="172" customWidth="1"/>
    <col min="13068" max="13312" width="9" style="172"/>
    <col min="13313" max="13313" width="19.19921875" style="172" customWidth="1"/>
    <col min="13314" max="13314" width="20.5" style="172" customWidth="1"/>
    <col min="13315" max="13315" width="11.69921875" style="172" customWidth="1"/>
    <col min="13316" max="13316" width="13" style="172" customWidth="1"/>
    <col min="13317" max="13317" width="12" style="172" customWidth="1"/>
    <col min="13318" max="13318" width="16.69921875" style="172" customWidth="1"/>
    <col min="13319" max="13322" width="9" style="172"/>
    <col min="13323" max="13323" width="29.69921875" style="172" customWidth="1"/>
    <col min="13324" max="13568" width="9" style="172"/>
    <col min="13569" max="13569" width="19.19921875" style="172" customWidth="1"/>
    <col min="13570" max="13570" width="20.5" style="172" customWidth="1"/>
    <col min="13571" max="13571" width="11.69921875" style="172" customWidth="1"/>
    <col min="13572" max="13572" width="13" style="172" customWidth="1"/>
    <col min="13573" max="13573" width="12" style="172" customWidth="1"/>
    <col min="13574" max="13574" width="16.69921875" style="172" customWidth="1"/>
    <col min="13575" max="13578" width="9" style="172"/>
    <col min="13579" max="13579" width="29.69921875" style="172" customWidth="1"/>
    <col min="13580" max="13824" width="9" style="172"/>
    <col min="13825" max="13825" width="19.19921875" style="172" customWidth="1"/>
    <col min="13826" max="13826" width="20.5" style="172" customWidth="1"/>
    <col min="13827" max="13827" width="11.69921875" style="172" customWidth="1"/>
    <col min="13828" max="13828" width="13" style="172" customWidth="1"/>
    <col min="13829" max="13829" width="12" style="172" customWidth="1"/>
    <col min="13830" max="13830" width="16.69921875" style="172" customWidth="1"/>
    <col min="13831" max="13834" width="9" style="172"/>
    <col min="13835" max="13835" width="29.69921875" style="172" customWidth="1"/>
    <col min="13836" max="14080" width="9" style="172"/>
    <col min="14081" max="14081" width="19.19921875" style="172" customWidth="1"/>
    <col min="14082" max="14082" width="20.5" style="172" customWidth="1"/>
    <col min="14083" max="14083" width="11.69921875" style="172" customWidth="1"/>
    <col min="14084" max="14084" width="13" style="172" customWidth="1"/>
    <col min="14085" max="14085" width="12" style="172" customWidth="1"/>
    <col min="14086" max="14086" width="16.69921875" style="172" customWidth="1"/>
    <col min="14087" max="14090" width="9" style="172"/>
    <col min="14091" max="14091" width="29.69921875" style="172" customWidth="1"/>
    <col min="14092" max="14336" width="9" style="172"/>
    <col min="14337" max="14337" width="19.19921875" style="172" customWidth="1"/>
    <col min="14338" max="14338" width="20.5" style="172" customWidth="1"/>
    <col min="14339" max="14339" width="11.69921875" style="172" customWidth="1"/>
    <col min="14340" max="14340" width="13" style="172" customWidth="1"/>
    <col min="14341" max="14341" width="12" style="172" customWidth="1"/>
    <col min="14342" max="14342" width="16.69921875" style="172" customWidth="1"/>
    <col min="14343" max="14346" width="9" style="172"/>
    <col min="14347" max="14347" width="29.69921875" style="172" customWidth="1"/>
    <col min="14348" max="14592" width="9" style="172"/>
    <col min="14593" max="14593" width="19.19921875" style="172" customWidth="1"/>
    <col min="14594" max="14594" width="20.5" style="172" customWidth="1"/>
    <col min="14595" max="14595" width="11.69921875" style="172" customWidth="1"/>
    <col min="14596" max="14596" width="13" style="172" customWidth="1"/>
    <col min="14597" max="14597" width="12" style="172" customWidth="1"/>
    <col min="14598" max="14598" width="16.69921875" style="172" customWidth="1"/>
    <col min="14599" max="14602" width="9" style="172"/>
    <col min="14603" max="14603" width="29.69921875" style="172" customWidth="1"/>
    <col min="14604" max="14848" width="9" style="172"/>
    <col min="14849" max="14849" width="19.19921875" style="172" customWidth="1"/>
    <col min="14850" max="14850" width="20.5" style="172" customWidth="1"/>
    <col min="14851" max="14851" width="11.69921875" style="172" customWidth="1"/>
    <col min="14852" max="14852" width="13" style="172" customWidth="1"/>
    <col min="14853" max="14853" width="12" style="172" customWidth="1"/>
    <col min="14854" max="14854" width="16.69921875" style="172" customWidth="1"/>
    <col min="14855" max="14858" width="9" style="172"/>
    <col min="14859" max="14859" width="29.69921875" style="172" customWidth="1"/>
    <col min="14860" max="15104" width="9" style="172"/>
    <col min="15105" max="15105" width="19.19921875" style="172" customWidth="1"/>
    <col min="15106" max="15106" width="20.5" style="172" customWidth="1"/>
    <col min="15107" max="15107" width="11.69921875" style="172" customWidth="1"/>
    <col min="15108" max="15108" width="13" style="172" customWidth="1"/>
    <col min="15109" max="15109" width="12" style="172" customWidth="1"/>
    <col min="15110" max="15110" width="16.69921875" style="172" customWidth="1"/>
    <col min="15111" max="15114" width="9" style="172"/>
    <col min="15115" max="15115" width="29.69921875" style="172" customWidth="1"/>
    <col min="15116" max="15360" width="9" style="172"/>
    <col min="15361" max="15361" width="19.19921875" style="172" customWidth="1"/>
    <col min="15362" max="15362" width="20.5" style="172" customWidth="1"/>
    <col min="15363" max="15363" width="11.69921875" style="172" customWidth="1"/>
    <col min="15364" max="15364" width="13" style="172" customWidth="1"/>
    <col min="15365" max="15365" width="12" style="172" customWidth="1"/>
    <col min="15366" max="15366" width="16.69921875" style="172" customWidth="1"/>
    <col min="15367" max="15370" width="9" style="172"/>
    <col min="15371" max="15371" width="29.69921875" style="172" customWidth="1"/>
    <col min="15372" max="15616" width="9" style="172"/>
    <col min="15617" max="15617" width="19.19921875" style="172" customWidth="1"/>
    <col min="15618" max="15618" width="20.5" style="172" customWidth="1"/>
    <col min="15619" max="15619" width="11.69921875" style="172" customWidth="1"/>
    <col min="15620" max="15620" width="13" style="172" customWidth="1"/>
    <col min="15621" max="15621" width="12" style="172" customWidth="1"/>
    <col min="15622" max="15622" width="16.69921875" style="172" customWidth="1"/>
    <col min="15623" max="15626" width="9" style="172"/>
    <col min="15627" max="15627" width="29.69921875" style="172" customWidth="1"/>
    <col min="15628" max="15872" width="9" style="172"/>
    <col min="15873" max="15873" width="19.19921875" style="172" customWidth="1"/>
    <col min="15874" max="15874" width="20.5" style="172" customWidth="1"/>
    <col min="15875" max="15875" width="11.69921875" style="172" customWidth="1"/>
    <col min="15876" max="15876" width="13" style="172" customWidth="1"/>
    <col min="15877" max="15877" width="12" style="172" customWidth="1"/>
    <col min="15878" max="15878" width="16.69921875" style="172" customWidth="1"/>
    <col min="15879" max="15882" width="9" style="172"/>
    <col min="15883" max="15883" width="29.69921875" style="172" customWidth="1"/>
    <col min="15884" max="16128" width="9" style="172"/>
    <col min="16129" max="16129" width="19.19921875" style="172" customWidth="1"/>
    <col min="16130" max="16130" width="20.5" style="172" customWidth="1"/>
    <col min="16131" max="16131" width="11.69921875" style="172" customWidth="1"/>
    <col min="16132" max="16132" width="13" style="172" customWidth="1"/>
    <col min="16133" max="16133" width="12" style="172" customWidth="1"/>
    <col min="16134" max="16134" width="16.69921875" style="172" customWidth="1"/>
    <col min="16135" max="16138" width="9" style="172"/>
    <col min="16139" max="16139" width="29.69921875" style="172" customWidth="1"/>
    <col min="16140" max="16384" width="9" style="172"/>
  </cols>
  <sheetData>
    <row r="1" spans="1:15" ht="20.100000000000001" customHeight="1">
      <c r="A1" s="3932" t="s">
        <v>2557</v>
      </c>
      <c r="B1" s="3463"/>
      <c r="C1" s="3463"/>
      <c r="D1" s="3463"/>
      <c r="E1" s="3463"/>
      <c r="F1" s="3463"/>
    </row>
    <row r="2" spans="1:15" ht="25.5" customHeight="1">
      <c r="A2" s="3933" t="s">
        <v>2558</v>
      </c>
      <c r="B2" s="3933"/>
      <c r="C2" s="3933"/>
      <c r="D2" s="3933"/>
      <c r="E2" s="3933"/>
      <c r="F2" s="3933"/>
    </row>
    <row r="3" spans="1:15">
      <c r="A3" s="3410" t="s">
        <v>2559</v>
      </c>
      <c r="B3" s="3412"/>
      <c r="C3" s="3910" t="s">
        <v>2560</v>
      </c>
      <c r="D3" s="3934"/>
      <c r="E3" s="3934"/>
      <c r="F3" s="3911"/>
    </row>
    <row r="4" spans="1:15">
      <c r="A4" s="3935" t="s">
        <v>2561</v>
      </c>
      <c r="B4" s="3935"/>
      <c r="C4" s="3935"/>
      <c r="D4" s="3935"/>
      <c r="E4" s="3935"/>
      <c r="F4" s="3935"/>
    </row>
    <row r="5" spans="1:15">
      <c r="A5" s="2037" t="s">
        <v>2562</v>
      </c>
      <c r="B5" s="3930" t="s">
        <v>413</v>
      </c>
      <c r="C5" s="3936"/>
      <c r="D5" s="3936"/>
      <c r="E5" s="3936"/>
      <c r="F5" s="3931"/>
    </row>
    <row r="6" spans="1:15" ht="14.25" customHeight="1">
      <c r="A6" s="2043" t="s">
        <v>2563</v>
      </c>
      <c r="B6" s="2629">
        <f>ROUND(地税、基本情况!B8/10000,2)</f>
        <v>0</v>
      </c>
      <c r="C6" s="3908" t="s">
        <v>2564</v>
      </c>
      <c r="D6" s="3909"/>
      <c r="E6" s="3930" t="s">
        <v>413</v>
      </c>
      <c r="F6" s="3931"/>
    </row>
    <row r="7" spans="1:15" ht="14.25" customHeight="1">
      <c r="A7" s="2043" t="s">
        <v>2565</v>
      </c>
      <c r="B7" s="2645" t="str">
        <f>LEFT(地税、基本情况!F6,4)</f>
        <v/>
      </c>
      <c r="C7" s="3908" t="s">
        <v>6799</v>
      </c>
      <c r="D7" s="3909"/>
      <c r="E7" s="3930" t="s">
        <v>413</v>
      </c>
      <c r="F7" s="3931"/>
    </row>
    <row r="8" spans="1:15" ht="14.25" customHeight="1">
      <c r="A8" s="2037" t="s">
        <v>2566</v>
      </c>
      <c r="B8" s="2630">
        <f ca="1">IFERROR(ROUNDUP(AVERAGE(INDIRECT("社保明细工资人数!J"&amp; 8+VALUE(基本情况!F5) &amp;":J" &amp; 8+VALUE(基本情况!F6))),0),0)</f>
        <v>0</v>
      </c>
      <c r="C8" s="3498" t="s">
        <v>2567</v>
      </c>
      <c r="D8" s="3498"/>
      <c r="E8" s="3930" t="s">
        <v>413</v>
      </c>
      <c r="F8" s="3931"/>
    </row>
    <row r="9" spans="1:15" ht="14.25" customHeight="1">
      <c r="A9" s="2037" t="s">
        <v>2568</v>
      </c>
      <c r="B9" s="2630">
        <f>ROUND((资产负债!C35+资产负债!D35)/2/10000,2)</f>
        <v>0</v>
      </c>
      <c r="C9" s="3921" t="s">
        <v>2569</v>
      </c>
      <c r="D9" s="3921"/>
      <c r="E9" s="3922" t="s">
        <v>413</v>
      </c>
      <c r="F9" s="3922"/>
    </row>
    <row r="10" spans="1:15" ht="14.25" customHeight="1">
      <c r="A10" s="3923" t="s">
        <v>2570</v>
      </c>
      <c r="B10" s="3924"/>
      <c r="C10" s="3924"/>
      <c r="D10" s="3924"/>
      <c r="E10" s="3924"/>
      <c r="F10" s="3925"/>
    </row>
    <row r="11" spans="1:15" ht="27" customHeight="1">
      <c r="A11" s="2036" t="s">
        <v>2571</v>
      </c>
      <c r="B11" s="3926" t="str">
        <f>基本情况!B38</f>
        <v>小企业会计准则</v>
      </c>
      <c r="C11" s="3927"/>
      <c r="D11" s="3927"/>
      <c r="E11" s="3927"/>
      <c r="F11" s="3928"/>
    </row>
    <row r="12" spans="1:15">
      <c r="A12" s="2037" t="s">
        <v>2572</v>
      </c>
      <c r="B12" s="1522"/>
      <c r="C12" s="3498" t="s">
        <v>2573</v>
      </c>
      <c r="D12" s="3498"/>
      <c r="E12" s="3929"/>
      <c r="F12" s="3929"/>
    </row>
    <row r="13" spans="1:15" ht="23.25" customHeight="1">
      <c r="A13" s="2037" t="s">
        <v>2574</v>
      </c>
      <c r="B13" s="2045" t="s">
        <v>2575</v>
      </c>
      <c r="C13" s="3908" t="s">
        <v>2576</v>
      </c>
      <c r="D13" s="3909"/>
      <c r="E13" s="3910" t="s">
        <v>413</v>
      </c>
      <c r="F13" s="3911"/>
      <c r="H13" s="2000"/>
      <c r="I13" s="2000"/>
      <c r="J13" s="2000"/>
      <c r="K13" s="2000"/>
      <c r="L13" s="2000"/>
      <c r="M13" s="2000"/>
      <c r="N13" s="2000"/>
      <c r="O13" s="2000"/>
    </row>
    <row r="14" spans="1:15" ht="14.25" customHeight="1">
      <c r="A14" s="2043" t="s">
        <v>2577</v>
      </c>
      <c r="B14" s="3912" t="str">
        <f t="array" ref="B14">IFERROR(LEFT(IF(H14,"平均年限法,","")&amp;IF(I14,"工作量法,","")&amp;IF(J14,"双倍余额递减法,","")&amp;IF(K14,"年数总和法,","")&amp;IF(L14,"其它,",""),LEN(IF(H14,"平均年限法,","")&amp;IF(I14,"工作量法,","")&amp;IF(J14,"双倍余额递减法,","")&amp;IF(K14,"年数总和法,","")&amp;IF(L14,"其它,",""))-1),"")</f>
        <v>平均年限法</v>
      </c>
      <c r="C14" s="3913"/>
      <c r="D14" s="3913"/>
      <c r="E14" s="3913"/>
      <c r="F14" s="3914"/>
      <c r="H14" s="2039" t="b">
        <v>1</v>
      </c>
      <c r="I14" s="2039" t="b">
        <v>0</v>
      </c>
      <c r="J14" s="2039" t="b">
        <v>0</v>
      </c>
      <c r="K14" s="2039" t="b">
        <v>0</v>
      </c>
      <c r="L14" s="2039" t="b">
        <v>0</v>
      </c>
      <c r="M14" s="1708"/>
      <c r="N14" s="1708"/>
      <c r="O14" s="1708"/>
    </row>
    <row r="15" spans="1:15" ht="14.25" customHeight="1">
      <c r="A15" s="2043" t="s">
        <v>2578</v>
      </c>
      <c r="B15" s="3915" t="s">
        <v>7686</v>
      </c>
      <c r="C15" s="3916"/>
      <c r="D15" s="3916"/>
      <c r="E15" s="3916"/>
      <c r="F15" s="3917"/>
      <c r="H15" s="2039" t="b" ph="1">
        <v>0</v>
      </c>
      <c r="I15" s="2039" t="b" ph="1">
        <v>0</v>
      </c>
      <c r="J15" s="2039" t="b" ph="1">
        <v>1</v>
      </c>
      <c r="K15" s="2039" t="b" ph="1">
        <v>0</v>
      </c>
      <c r="L15" s="2039" t="b" ph="1">
        <v>0</v>
      </c>
      <c r="M15" s="2039" t="b" ph="1">
        <v>0</v>
      </c>
      <c r="N15" s="2039" t="b" ph="1">
        <v>0</v>
      </c>
      <c r="O15" s="2039" t="b" ph="1">
        <v>0</v>
      </c>
    </row>
    <row r="16" spans="1:15" ht="14.25" customHeight="1">
      <c r="A16" s="2043" t="s">
        <v>2579</v>
      </c>
      <c r="B16" s="3918" t="s">
        <v>7685</v>
      </c>
      <c r="C16" s="3919"/>
      <c r="D16" s="3919"/>
      <c r="E16" s="3919"/>
      <c r="F16" s="3920"/>
      <c r="H16" s="2000"/>
      <c r="I16" s="2000"/>
      <c r="J16" s="2000"/>
      <c r="K16" s="2000"/>
      <c r="L16" s="2000"/>
      <c r="M16" s="2000"/>
      <c r="N16" s="2000"/>
      <c r="O16" s="2000"/>
    </row>
    <row r="17" spans="1:8" ht="14.25" customHeight="1">
      <c r="A17" s="2043" t="s">
        <v>2580</v>
      </c>
      <c r="B17" s="3918" t="s">
        <v>2581</v>
      </c>
      <c r="C17" s="3919"/>
      <c r="D17" s="3919"/>
      <c r="E17" s="3919"/>
      <c r="F17" s="3920"/>
    </row>
    <row r="18" spans="1:8" ht="14.25" customHeight="1">
      <c r="A18" s="3923" t="s">
        <v>2582</v>
      </c>
      <c r="B18" s="3924"/>
      <c r="C18" s="3924"/>
      <c r="D18" s="3924"/>
      <c r="E18" s="3924"/>
      <c r="F18" s="3925"/>
    </row>
    <row r="19" spans="1:8">
      <c r="A19" s="3485" t="s">
        <v>2583</v>
      </c>
      <c r="B19" s="3486"/>
      <c r="C19" s="3486"/>
      <c r="D19" s="3486"/>
      <c r="E19" s="3486"/>
      <c r="F19" s="3937"/>
      <c r="H19" s="1709"/>
    </row>
    <row r="20" spans="1:8">
      <c r="A20" s="2034" t="s">
        <v>2584</v>
      </c>
      <c r="B20" s="2033" t="s">
        <v>2585</v>
      </c>
      <c r="C20" s="2033" t="s">
        <v>1656</v>
      </c>
      <c r="D20" s="2034" t="s">
        <v>2586</v>
      </c>
      <c r="E20" s="2565" t="s">
        <v>7687</v>
      </c>
      <c r="F20" s="2034" t="s">
        <v>2587</v>
      </c>
    </row>
    <row r="21" spans="1:8">
      <c r="A21" s="2626" t="str">
        <f>基本情况!A52</f>
        <v/>
      </c>
      <c r="B21" s="2627" t="s">
        <v>2588</v>
      </c>
      <c r="C21" s="2623"/>
      <c r="D21" s="2622">
        <v>430</v>
      </c>
      <c r="E21" s="2628" t="str">
        <f>IFERROR(ROUND(基本情况!C52*100,2),"")</f>
        <v/>
      </c>
      <c r="F21" s="2622">
        <v>156</v>
      </c>
    </row>
    <row r="22" spans="1:8">
      <c r="A22" s="2626" t="str">
        <f>基本情况!A53</f>
        <v/>
      </c>
      <c r="B22" s="2627"/>
      <c r="C22" s="2623"/>
      <c r="D22" s="2622"/>
      <c r="E22" s="2628" t="str">
        <f>IFERROR(ROUND(基本情况!C53*100,2),"")</f>
        <v/>
      </c>
      <c r="F22" s="2622"/>
    </row>
    <row r="23" spans="1:8">
      <c r="A23" s="2626" t="str">
        <f>基本情况!A54</f>
        <v/>
      </c>
      <c r="B23" s="2627"/>
      <c r="C23" s="2623"/>
      <c r="D23" s="2622"/>
      <c r="E23" s="2628" t="str">
        <f>IFERROR(ROUND(基本情况!C54*100,2),"")</f>
        <v/>
      </c>
      <c r="F23" s="2622"/>
    </row>
    <row r="24" spans="1:8">
      <c r="A24" s="2626" t="str">
        <f>基本情况!A55</f>
        <v/>
      </c>
      <c r="B24" s="2627"/>
      <c r="C24" s="2623"/>
      <c r="D24" s="2622"/>
      <c r="E24" s="2628" t="str">
        <f>IFERROR(ROUND(基本情况!C55*100,2),"")</f>
        <v/>
      </c>
      <c r="F24" s="2622"/>
    </row>
    <row r="25" spans="1:8">
      <c r="A25" s="2626" t="str">
        <f>基本情况!A56</f>
        <v/>
      </c>
      <c r="B25" s="2627"/>
      <c r="C25" s="2623"/>
      <c r="D25" s="2622"/>
      <c r="E25" s="2628" t="str">
        <f>IFERROR(ROUND(基本情况!C56*100,2),"")</f>
        <v/>
      </c>
      <c r="F25" s="2622"/>
    </row>
    <row r="26" spans="1:8">
      <c r="A26" s="3485" t="s">
        <v>2589</v>
      </c>
      <c r="B26" s="3486"/>
      <c r="C26" s="3486"/>
      <c r="D26" s="3486"/>
      <c r="E26" s="3486"/>
      <c r="F26" s="3937"/>
    </row>
    <row r="27" spans="1:8">
      <c r="A27" s="2034" t="s">
        <v>2590</v>
      </c>
      <c r="B27" s="2044" t="s">
        <v>1624</v>
      </c>
      <c r="C27" s="2034" t="s">
        <v>2586</v>
      </c>
      <c r="D27" s="2565" t="s">
        <v>7687</v>
      </c>
      <c r="E27" s="2034" t="s">
        <v>2591</v>
      </c>
      <c r="F27" s="2034" t="s">
        <v>1652</v>
      </c>
    </row>
    <row r="28" spans="1:8">
      <c r="A28" s="2622"/>
      <c r="B28" s="2623"/>
      <c r="C28" s="2624"/>
      <c r="D28" s="2625"/>
      <c r="E28" s="2625"/>
      <c r="F28" s="2622"/>
    </row>
    <row r="29" spans="1:8">
      <c r="A29" s="2622"/>
      <c r="B29" s="2623"/>
      <c r="C29" s="2624"/>
      <c r="D29" s="2625"/>
      <c r="E29" s="2625"/>
      <c r="F29" s="2622"/>
    </row>
    <row r="30" spans="1:8">
      <c r="A30" s="2622"/>
      <c r="B30" s="2623"/>
      <c r="C30" s="2624"/>
      <c r="D30" s="2625"/>
      <c r="E30" s="2625"/>
      <c r="F30" s="2622"/>
    </row>
    <row r="31" spans="1:8">
      <c r="A31" s="2622"/>
      <c r="B31" s="2623"/>
      <c r="C31" s="2624"/>
      <c r="D31" s="2625"/>
      <c r="E31" s="2625"/>
      <c r="F31" s="2622"/>
    </row>
    <row r="32" spans="1:8">
      <c r="A32" s="2622"/>
      <c r="B32" s="2623"/>
      <c r="C32" s="2624"/>
      <c r="D32" s="2625"/>
      <c r="E32" s="2625"/>
      <c r="F32" s="2622"/>
    </row>
    <row r="34" spans="1:6" s="2035" customFormat="1">
      <c r="A34" s="3903" t="s">
        <v>6567</v>
      </c>
      <c r="B34" s="3903"/>
      <c r="C34" s="3903"/>
      <c r="D34" s="3903"/>
      <c r="E34" s="3903"/>
      <c r="F34" s="3903"/>
    </row>
    <row r="35" spans="1:6" s="2035" customFormat="1">
      <c r="A35" s="3903"/>
      <c r="B35" s="3903"/>
      <c r="C35" s="3903"/>
      <c r="D35" s="3903"/>
      <c r="E35" s="3903"/>
      <c r="F35" s="3903"/>
    </row>
    <row r="36" spans="1:6" s="2035" customFormat="1">
      <c r="A36" s="3903" t="s">
        <v>6568</v>
      </c>
      <c r="B36" s="3903"/>
      <c r="C36" s="3903"/>
      <c r="D36" s="3903"/>
      <c r="E36" s="3903"/>
      <c r="F36" s="3903"/>
    </row>
    <row r="37" spans="1:6" s="2035" customFormat="1">
      <c r="A37" s="3903" t="s">
        <v>6569</v>
      </c>
      <c r="B37" s="3903"/>
      <c r="C37" s="3903"/>
      <c r="D37" s="3903"/>
      <c r="E37" s="3903"/>
      <c r="F37" s="3903"/>
    </row>
    <row r="38" spans="1:6" s="2035" customFormat="1">
      <c r="A38" s="3903" t="s">
        <v>6570</v>
      </c>
      <c r="B38" s="3903"/>
      <c r="C38" s="3903"/>
      <c r="D38" s="3903"/>
      <c r="E38" s="3903"/>
      <c r="F38" s="3903"/>
    </row>
    <row r="39" spans="1:6" s="2035" customFormat="1">
      <c r="A39" s="3903" t="s">
        <v>6571</v>
      </c>
      <c r="B39" s="3903"/>
      <c r="C39" s="3903"/>
      <c r="D39" s="3903"/>
      <c r="E39" s="3903"/>
      <c r="F39" s="3903"/>
    </row>
    <row r="40" spans="1:6" s="2035" customFormat="1" ht="28.5" customHeight="1">
      <c r="A40" s="3903" t="s">
        <v>6572</v>
      </c>
      <c r="B40" s="3903"/>
      <c r="C40" s="3903"/>
      <c r="D40" s="3903"/>
      <c r="E40" s="3903"/>
      <c r="F40" s="3903"/>
    </row>
    <row r="41" spans="1:6" s="2035" customFormat="1" ht="72.75" customHeight="1">
      <c r="A41" s="3903" t="s">
        <v>6573</v>
      </c>
      <c r="B41" s="3903"/>
      <c r="C41" s="3903"/>
      <c r="D41" s="3903"/>
      <c r="E41" s="3903"/>
      <c r="F41" s="3903"/>
    </row>
    <row r="42" spans="1:6" s="2035" customFormat="1" ht="28.5" customHeight="1">
      <c r="A42" s="3903" t="s">
        <v>6574</v>
      </c>
      <c r="B42" s="3903"/>
      <c r="C42" s="3903"/>
      <c r="D42" s="3903"/>
      <c r="E42" s="3903"/>
      <c r="F42" s="3903"/>
    </row>
    <row r="43" spans="1:6" s="2035" customFormat="1" ht="63.75" customHeight="1">
      <c r="A43" s="3903" t="s">
        <v>6801</v>
      </c>
      <c r="B43" s="3903"/>
      <c r="C43" s="3903"/>
      <c r="D43" s="3903"/>
      <c r="E43" s="3903"/>
      <c r="F43" s="3903"/>
    </row>
    <row r="44" spans="1:6" s="2035" customFormat="1" ht="42" customHeight="1">
      <c r="A44" s="3903" t="s">
        <v>6575</v>
      </c>
      <c r="B44" s="3903"/>
      <c r="C44" s="3903"/>
      <c r="D44" s="3903"/>
      <c r="E44" s="3903"/>
      <c r="F44" s="3903"/>
    </row>
    <row r="45" spans="1:6" s="2035" customFormat="1">
      <c r="A45" s="3903" t="s">
        <v>6576</v>
      </c>
      <c r="B45" s="3903"/>
      <c r="C45" s="3903"/>
      <c r="D45" s="3903"/>
      <c r="E45" s="3903"/>
      <c r="F45" s="3903"/>
    </row>
    <row r="46" spans="1:6" s="2035" customFormat="1">
      <c r="A46" s="3903" t="s">
        <v>6577</v>
      </c>
      <c r="B46" s="3903"/>
      <c r="C46" s="3903"/>
      <c r="D46" s="3903"/>
      <c r="E46" s="3903"/>
      <c r="F46" s="3903"/>
    </row>
    <row r="47" spans="1:6" s="2035" customFormat="1">
      <c r="A47" s="3903" t="s">
        <v>6578</v>
      </c>
      <c r="B47" s="3903"/>
      <c r="C47" s="3903"/>
      <c r="D47" s="3903"/>
      <c r="E47" s="3903"/>
      <c r="F47" s="3903"/>
    </row>
    <row r="48" spans="1:6" s="2035" customFormat="1">
      <c r="A48" s="3903" t="s">
        <v>6579</v>
      </c>
      <c r="B48" s="3903"/>
      <c r="C48" s="3903"/>
      <c r="D48" s="3903"/>
      <c r="E48" s="3903"/>
      <c r="F48" s="3903"/>
    </row>
    <row r="49" spans="1:6" s="2035" customFormat="1" ht="33.75" customHeight="1">
      <c r="A49" s="3903" t="s">
        <v>6580</v>
      </c>
      <c r="B49" s="3903"/>
      <c r="C49" s="3903"/>
      <c r="D49" s="3903"/>
      <c r="E49" s="3903"/>
      <c r="F49" s="3903"/>
    </row>
    <row r="50" spans="1:6" s="2035" customFormat="1" ht="48.75" customHeight="1">
      <c r="A50" s="3903" t="s">
        <v>6581</v>
      </c>
      <c r="B50" s="3903"/>
      <c r="C50" s="3903"/>
      <c r="D50" s="3903"/>
      <c r="E50" s="3903"/>
      <c r="F50" s="3903"/>
    </row>
    <row r="51" spans="1:6" s="2035" customFormat="1">
      <c r="A51" s="3903" t="s">
        <v>6800</v>
      </c>
      <c r="B51" s="3903"/>
      <c r="C51" s="3903"/>
      <c r="D51" s="3903"/>
      <c r="E51" s="3903"/>
      <c r="F51" s="3903"/>
    </row>
    <row r="52" spans="1:6" s="2035" customFormat="1">
      <c r="A52" s="3903" t="s">
        <v>6582</v>
      </c>
      <c r="B52" s="3903"/>
      <c r="C52" s="3903"/>
      <c r="D52" s="3903"/>
      <c r="E52" s="3903"/>
      <c r="F52" s="3903"/>
    </row>
    <row r="53" spans="1:6" s="2035" customFormat="1" ht="37.5" customHeight="1">
      <c r="A53" s="3903" t="s">
        <v>6583</v>
      </c>
      <c r="B53" s="3903"/>
      <c r="C53" s="3903"/>
      <c r="D53" s="3903"/>
      <c r="E53" s="3903"/>
      <c r="F53" s="3903"/>
    </row>
    <row r="54" spans="1:6" s="2035" customFormat="1">
      <c r="A54" s="3903" t="s">
        <v>6584</v>
      </c>
      <c r="B54" s="3903"/>
      <c r="C54" s="3903"/>
      <c r="D54" s="3903"/>
      <c r="E54" s="3903"/>
      <c r="F54" s="3903"/>
    </row>
    <row r="55" spans="1:6" s="2035" customFormat="1">
      <c r="A55" s="3903" t="s">
        <v>6585</v>
      </c>
      <c r="B55" s="3903"/>
      <c r="C55" s="3903"/>
      <c r="D55" s="3903"/>
      <c r="E55" s="3903"/>
      <c r="F55" s="3903"/>
    </row>
    <row r="56" spans="1:6" s="2035" customFormat="1">
      <c r="A56" s="3903" t="s">
        <v>6586</v>
      </c>
      <c r="B56" s="3903"/>
      <c r="C56" s="3903"/>
      <c r="D56" s="3903"/>
      <c r="E56" s="3903"/>
      <c r="F56" s="3903"/>
    </row>
    <row r="57" spans="1:6" s="2035" customFormat="1">
      <c r="A57" s="3903" t="s">
        <v>6587</v>
      </c>
      <c r="B57" s="3903"/>
      <c r="C57" s="3903"/>
      <c r="D57" s="3903"/>
      <c r="E57" s="3903"/>
      <c r="F57" s="3903"/>
    </row>
    <row r="58" spans="1:6" s="2035" customFormat="1" ht="29.25" customHeight="1">
      <c r="A58" s="3903" t="s">
        <v>6588</v>
      </c>
      <c r="B58" s="3903"/>
      <c r="C58" s="3903"/>
      <c r="D58" s="3903"/>
      <c r="E58" s="3903"/>
      <c r="F58" s="3903"/>
    </row>
    <row r="59" spans="1:6" s="2035" customFormat="1">
      <c r="A59" s="3903" t="s">
        <v>6589</v>
      </c>
      <c r="B59" s="3903"/>
      <c r="C59" s="3903"/>
      <c r="D59" s="3903"/>
      <c r="E59" s="3903"/>
      <c r="F59" s="3903"/>
    </row>
    <row r="60" spans="1:6" s="2035" customFormat="1">
      <c r="A60" s="3903" t="s">
        <v>6590</v>
      </c>
      <c r="B60" s="3903"/>
      <c r="C60" s="3903"/>
      <c r="D60" s="3903"/>
      <c r="E60" s="3903"/>
      <c r="F60" s="3903"/>
    </row>
    <row r="61" spans="1:6" s="2035" customFormat="1">
      <c r="A61" s="3903" t="s">
        <v>6591</v>
      </c>
      <c r="B61" s="3903"/>
      <c r="C61" s="3903"/>
      <c r="D61" s="3903"/>
      <c r="E61" s="3903"/>
      <c r="F61" s="3903"/>
    </row>
    <row r="62" spans="1:6" s="2035" customFormat="1">
      <c r="A62" s="3903" t="s">
        <v>6592</v>
      </c>
      <c r="B62" s="3903"/>
      <c r="C62" s="3903"/>
      <c r="D62" s="3903"/>
      <c r="E62" s="3903"/>
      <c r="F62" s="3903"/>
    </row>
    <row r="63" spans="1:6" s="2035" customFormat="1" ht="57.75" customHeight="1">
      <c r="A63" s="3903" t="s">
        <v>6593</v>
      </c>
      <c r="B63" s="3903"/>
      <c r="C63" s="3903"/>
      <c r="D63" s="3903"/>
      <c r="E63" s="3903"/>
      <c r="F63" s="3903"/>
    </row>
    <row r="64" spans="1:6" s="2035" customFormat="1">
      <c r="A64" s="3903" t="s">
        <v>6594</v>
      </c>
      <c r="B64" s="3903"/>
      <c r="C64" s="3903"/>
      <c r="D64" s="3903"/>
      <c r="E64" s="3903"/>
      <c r="F64" s="3903"/>
    </row>
    <row r="65" spans="1:11" s="2035" customFormat="1" ht="35.25" customHeight="1">
      <c r="A65" s="3903" t="s">
        <v>6595</v>
      </c>
      <c r="B65" s="3903"/>
      <c r="C65" s="3903"/>
      <c r="D65" s="3903"/>
      <c r="E65" s="3903"/>
      <c r="F65" s="3903"/>
    </row>
    <row r="66" spans="1:11" s="2035" customFormat="1"/>
    <row r="68" spans="1:11">
      <c r="A68" s="3906" t="s">
        <v>2592</v>
      </c>
      <c r="B68" s="3907"/>
      <c r="C68" s="3907"/>
      <c r="E68" s="3906" t="s">
        <v>428</v>
      </c>
      <c r="F68" s="3907"/>
      <c r="G68" s="3907"/>
      <c r="I68" s="3906" t="s">
        <v>2586</v>
      </c>
      <c r="J68" s="3907"/>
      <c r="K68" s="3907"/>
    </row>
    <row r="69" spans="1:11">
      <c r="A69" s="1524" t="s">
        <v>1869</v>
      </c>
      <c r="B69" s="3905" t="s">
        <v>1870</v>
      </c>
      <c r="C69" s="3905"/>
      <c r="E69" s="1525" t="s">
        <v>2593</v>
      </c>
      <c r="F69" s="3904" t="s">
        <v>2594</v>
      </c>
      <c r="G69" s="3904"/>
      <c r="I69" s="1525">
        <v>100</v>
      </c>
      <c r="J69" s="3904" t="s">
        <v>1760</v>
      </c>
      <c r="K69" s="3904"/>
    </row>
    <row r="70" spans="1:11">
      <c r="A70" s="1524" t="s">
        <v>1871</v>
      </c>
      <c r="B70" s="3905" t="s">
        <v>1872</v>
      </c>
      <c r="C70" s="3905"/>
      <c r="E70" s="1525" t="s">
        <v>2595</v>
      </c>
      <c r="F70" s="3904" t="s">
        <v>2596</v>
      </c>
      <c r="G70" s="3904"/>
      <c r="I70" s="1525">
        <v>110</v>
      </c>
      <c r="J70" s="3904" t="s">
        <v>1762</v>
      </c>
      <c r="K70" s="3904"/>
    </row>
    <row r="71" spans="1:11">
      <c r="A71" s="1524" t="s">
        <v>1873</v>
      </c>
      <c r="B71" s="3905" t="s">
        <v>1874</v>
      </c>
      <c r="C71" s="3905"/>
      <c r="E71" s="1525" t="s">
        <v>2597</v>
      </c>
      <c r="F71" s="3904" t="s">
        <v>2598</v>
      </c>
      <c r="G71" s="3904"/>
      <c r="I71" s="1525">
        <v>120</v>
      </c>
      <c r="J71" s="3904" t="s">
        <v>1764</v>
      </c>
      <c r="K71" s="3904"/>
    </row>
    <row r="72" spans="1:11">
      <c r="A72" s="1524" t="s">
        <v>1875</v>
      </c>
      <c r="B72" s="1526" t="s">
        <v>1876</v>
      </c>
      <c r="C72" s="1526"/>
      <c r="E72" s="1525" t="s">
        <v>2599</v>
      </c>
      <c r="F72" s="3904" t="s">
        <v>2600</v>
      </c>
      <c r="G72" s="3904"/>
      <c r="I72" s="1525">
        <v>130</v>
      </c>
      <c r="J72" s="3904" t="s">
        <v>1766</v>
      </c>
      <c r="K72" s="3904"/>
    </row>
    <row r="73" spans="1:11">
      <c r="A73" s="1524" t="s">
        <v>1877</v>
      </c>
      <c r="B73" s="3905" t="s">
        <v>1878</v>
      </c>
      <c r="C73" s="3905"/>
      <c r="E73" s="1525" t="s">
        <v>2601</v>
      </c>
      <c r="F73" s="3904" t="s">
        <v>2602</v>
      </c>
      <c r="G73" s="3904"/>
      <c r="I73" s="1525">
        <v>140</v>
      </c>
      <c r="J73" s="3904" t="s">
        <v>1768</v>
      </c>
      <c r="K73" s="3904"/>
    </row>
    <row r="74" spans="1:11">
      <c r="A74" s="1524" t="s">
        <v>1879</v>
      </c>
      <c r="B74" s="3905" t="s">
        <v>1880</v>
      </c>
      <c r="C74" s="3905"/>
      <c r="E74" s="1525" t="s">
        <v>2603</v>
      </c>
      <c r="F74" s="3904" t="s">
        <v>2604</v>
      </c>
      <c r="G74" s="3904"/>
      <c r="I74" s="1525">
        <v>141</v>
      </c>
      <c r="J74" s="3904" t="s">
        <v>1770</v>
      </c>
      <c r="K74" s="3904"/>
    </row>
    <row r="75" spans="1:11">
      <c r="A75" s="1524" t="s">
        <v>1881</v>
      </c>
      <c r="B75" s="3905" t="s">
        <v>1882</v>
      </c>
      <c r="C75" s="3905"/>
      <c r="E75" s="1525" t="s">
        <v>2605</v>
      </c>
      <c r="F75" s="3904" t="s">
        <v>2606</v>
      </c>
      <c r="G75" s="3904"/>
      <c r="I75" s="1525">
        <v>142</v>
      </c>
      <c r="J75" s="3904" t="s">
        <v>1772</v>
      </c>
      <c r="K75" s="3904"/>
    </row>
    <row r="76" spans="1:11">
      <c r="A76" s="1524" t="s">
        <v>1883</v>
      </c>
      <c r="B76" s="3905" t="s">
        <v>1884</v>
      </c>
      <c r="C76" s="3905"/>
      <c r="E76" s="1525" t="s">
        <v>2607</v>
      </c>
      <c r="F76" s="3904" t="s">
        <v>2608</v>
      </c>
      <c r="G76" s="3904"/>
      <c r="I76" s="1525">
        <v>143</v>
      </c>
      <c r="J76" s="3904" t="s">
        <v>1774</v>
      </c>
      <c r="K76" s="3904"/>
    </row>
    <row r="77" spans="1:11">
      <c r="A77" s="1524" t="s">
        <v>1885</v>
      </c>
      <c r="B77" s="3905" t="s">
        <v>1886</v>
      </c>
      <c r="C77" s="3905"/>
      <c r="E77" s="1525" t="s">
        <v>2609</v>
      </c>
      <c r="F77" s="3904" t="s">
        <v>2610</v>
      </c>
      <c r="G77" s="3904"/>
      <c r="I77" s="1525">
        <v>149</v>
      </c>
      <c r="J77" s="3904" t="s">
        <v>1776</v>
      </c>
      <c r="K77" s="3904"/>
    </row>
    <row r="78" spans="1:11">
      <c r="A78" s="1524" t="s">
        <v>1887</v>
      </c>
      <c r="B78" s="3905" t="s">
        <v>1888</v>
      </c>
      <c r="C78" s="3905"/>
      <c r="E78" s="1525" t="s">
        <v>2611</v>
      </c>
      <c r="F78" s="3904" t="s">
        <v>2612</v>
      </c>
      <c r="G78" s="3904"/>
      <c r="I78" s="1525">
        <v>150</v>
      </c>
      <c r="J78" s="3904" t="s">
        <v>1778</v>
      </c>
      <c r="K78" s="3904"/>
    </row>
    <row r="79" spans="1:11">
      <c r="A79" s="1524" t="s">
        <v>1889</v>
      </c>
      <c r="B79" s="3905" t="s">
        <v>1890</v>
      </c>
      <c r="C79" s="3905"/>
      <c r="E79" s="1525" t="s">
        <v>2613</v>
      </c>
      <c r="F79" s="3904" t="s">
        <v>2614</v>
      </c>
      <c r="G79" s="3904"/>
      <c r="I79" s="1525">
        <v>151</v>
      </c>
      <c r="J79" s="3904" t="s">
        <v>1780</v>
      </c>
      <c r="K79" s="3904"/>
    </row>
    <row r="80" spans="1:11">
      <c r="A80" s="1524" t="s">
        <v>1891</v>
      </c>
      <c r="B80" s="3905" t="s">
        <v>1892</v>
      </c>
      <c r="C80" s="3905"/>
      <c r="E80" s="1525" t="s">
        <v>2615</v>
      </c>
      <c r="F80" s="3904" t="s">
        <v>2616</v>
      </c>
      <c r="G80" s="3904"/>
      <c r="I80" s="1525">
        <v>159</v>
      </c>
      <c r="J80" s="3904" t="s">
        <v>1655</v>
      </c>
      <c r="K80" s="3904"/>
    </row>
    <row r="81" spans="1:11">
      <c r="A81" s="1524" t="s">
        <v>1893</v>
      </c>
      <c r="B81" s="3905" t="s">
        <v>1894</v>
      </c>
      <c r="C81" s="3905"/>
      <c r="E81" s="1525" t="s">
        <v>2617</v>
      </c>
      <c r="F81" s="3904" t="s">
        <v>2618</v>
      </c>
      <c r="G81" s="3904"/>
      <c r="I81" s="1525">
        <v>160</v>
      </c>
      <c r="J81" s="3904" t="s">
        <v>1782</v>
      </c>
      <c r="K81" s="3904"/>
    </row>
    <row r="82" spans="1:11">
      <c r="A82" s="1524" t="s">
        <v>1895</v>
      </c>
      <c r="B82" s="3905" t="s">
        <v>1896</v>
      </c>
      <c r="C82" s="3905"/>
      <c r="E82" s="1525" t="s">
        <v>2619</v>
      </c>
      <c r="F82" s="3904" t="s">
        <v>2620</v>
      </c>
      <c r="G82" s="3904"/>
      <c r="I82" s="1525">
        <v>170</v>
      </c>
      <c r="J82" s="3904" t="s">
        <v>1784</v>
      </c>
      <c r="K82" s="3904"/>
    </row>
    <row r="83" spans="1:11">
      <c r="A83" s="1524" t="s">
        <v>1897</v>
      </c>
      <c r="B83" s="3905" t="s">
        <v>1898</v>
      </c>
      <c r="C83" s="3905"/>
      <c r="E83" s="1525" t="s">
        <v>2621</v>
      </c>
      <c r="F83" s="3904" t="s">
        <v>2622</v>
      </c>
      <c r="G83" s="3904"/>
      <c r="I83" s="1525">
        <v>171</v>
      </c>
      <c r="J83" s="3904" t="s">
        <v>1786</v>
      </c>
      <c r="K83" s="3904"/>
    </row>
    <row r="84" spans="1:11">
      <c r="A84" s="1524" t="s">
        <v>1899</v>
      </c>
      <c r="B84" s="3905" t="s">
        <v>1900</v>
      </c>
      <c r="C84" s="3905"/>
      <c r="E84" s="1525" t="s">
        <v>2623</v>
      </c>
      <c r="F84" s="3904" t="s">
        <v>2624</v>
      </c>
      <c r="G84" s="3904"/>
      <c r="I84" s="1525">
        <v>172</v>
      </c>
      <c r="J84" s="3904" t="s">
        <v>1788</v>
      </c>
      <c r="K84" s="3904"/>
    </row>
    <row r="85" spans="1:11">
      <c r="A85" s="1524" t="s">
        <v>1901</v>
      </c>
      <c r="B85" s="3905" t="s">
        <v>1902</v>
      </c>
      <c r="C85" s="3905"/>
      <c r="E85" s="1525" t="s">
        <v>2625</v>
      </c>
      <c r="F85" s="3904" t="s">
        <v>2626</v>
      </c>
      <c r="G85" s="3904"/>
      <c r="I85" s="1525">
        <v>173</v>
      </c>
      <c r="J85" s="3904" t="s">
        <v>1790</v>
      </c>
      <c r="K85" s="3904"/>
    </row>
    <row r="86" spans="1:11">
      <c r="A86" s="1524" t="s">
        <v>1903</v>
      </c>
      <c r="B86" s="3905" t="s">
        <v>1904</v>
      </c>
      <c r="C86" s="3905"/>
      <c r="E86" s="1525" t="s">
        <v>2627</v>
      </c>
      <c r="F86" s="3904" t="s">
        <v>2628</v>
      </c>
      <c r="G86" s="3904"/>
      <c r="I86" s="1525">
        <v>174</v>
      </c>
      <c r="J86" s="3904" t="s">
        <v>1792</v>
      </c>
      <c r="K86" s="3904"/>
    </row>
    <row r="87" spans="1:11">
      <c r="A87" s="1524" t="s">
        <v>1905</v>
      </c>
      <c r="B87" s="3905" t="s">
        <v>1906</v>
      </c>
      <c r="C87" s="3905"/>
      <c r="E87" s="1525" t="s">
        <v>2629</v>
      </c>
      <c r="F87" s="3904" t="s">
        <v>2630</v>
      </c>
      <c r="G87" s="3904"/>
      <c r="I87" s="1525">
        <v>175</v>
      </c>
      <c r="J87" s="3904" t="s">
        <v>1794</v>
      </c>
      <c r="K87" s="3904"/>
    </row>
    <row r="88" spans="1:11">
      <c r="A88" s="1524" t="s">
        <v>1907</v>
      </c>
      <c r="B88" s="3905" t="s">
        <v>1908</v>
      </c>
      <c r="C88" s="3905"/>
      <c r="E88" s="1525" t="s">
        <v>2631</v>
      </c>
      <c r="F88" s="3904" t="s">
        <v>2632</v>
      </c>
      <c r="G88" s="3904"/>
      <c r="I88" s="1525">
        <v>190</v>
      </c>
      <c r="J88" s="3904" t="s">
        <v>1796</v>
      </c>
      <c r="K88" s="3904"/>
    </row>
    <row r="89" spans="1:11">
      <c r="A89" s="1524" t="s">
        <v>1909</v>
      </c>
      <c r="B89" s="3905" t="s">
        <v>1910</v>
      </c>
      <c r="C89" s="3905"/>
      <c r="E89" s="1525" t="s">
        <v>2633</v>
      </c>
      <c r="F89" s="3904" t="s">
        <v>2634</v>
      </c>
      <c r="G89" s="3904"/>
      <c r="I89" s="1525">
        <v>200</v>
      </c>
      <c r="J89" s="3904" t="s">
        <v>1798</v>
      </c>
      <c r="K89" s="3904"/>
    </row>
    <row r="90" spans="1:11">
      <c r="A90" s="1524" t="s">
        <v>1911</v>
      </c>
      <c r="B90" s="3905" t="s">
        <v>1912</v>
      </c>
      <c r="C90" s="3905"/>
      <c r="E90" s="1525" t="s">
        <v>2635</v>
      </c>
      <c r="F90" s="3904" t="s">
        <v>2636</v>
      </c>
      <c r="G90" s="3904"/>
      <c r="I90" s="1525">
        <v>210</v>
      </c>
      <c r="J90" s="3904" t="s">
        <v>1799</v>
      </c>
      <c r="K90" s="3904"/>
    </row>
    <row r="91" spans="1:11">
      <c r="A91" s="1524" t="s">
        <v>1913</v>
      </c>
      <c r="B91" s="3905" t="s">
        <v>1914</v>
      </c>
      <c r="C91" s="3905"/>
      <c r="E91" s="1525" t="s">
        <v>2637</v>
      </c>
      <c r="F91" s="3904" t="s">
        <v>2638</v>
      </c>
      <c r="G91" s="3904"/>
      <c r="I91" s="1525">
        <v>220</v>
      </c>
      <c r="J91" s="3904" t="s">
        <v>1800</v>
      </c>
      <c r="K91" s="3904"/>
    </row>
    <row r="92" spans="1:11">
      <c r="A92" s="1524" t="s">
        <v>1915</v>
      </c>
      <c r="B92" s="3905" t="s">
        <v>1916</v>
      </c>
      <c r="C92" s="3905"/>
      <c r="E92" s="1525" t="s">
        <v>2639</v>
      </c>
      <c r="F92" s="3904" t="s">
        <v>2640</v>
      </c>
      <c r="G92" s="3904"/>
      <c r="I92" s="1525">
        <v>230</v>
      </c>
      <c r="J92" s="3904" t="s">
        <v>1801</v>
      </c>
      <c r="K92" s="3904"/>
    </row>
    <row r="93" spans="1:11">
      <c r="A93" s="1524" t="s">
        <v>1917</v>
      </c>
      <c r="B93" s="3905" t="s">
        <v>1918</v>
      </c>
      <c r="C93" s="3905"/>
      <c r="E93" s="1525" t="s">
        <v>2641</v>
      </c>
      <c r="F93" s="3904" t="s">
        <v>2642</v>
      </c>
      <c r="G93" s="3904"/>
      <c r="I93" s="1525">
        <v>240</v>
      </c>
      <c r="J93" s="3904" t="s">
        <v>1802</v>
      </c>
      <c r="K93" s="3904"/>
    </row>
    <row r="94" spans="1:11">
      <c r="A94" s="1524" t="s">
        <v>1919</v>
      </c>
      <c r="B94" s="3905" t="s">
        <v>1920</v>
      </c>
      <c r="C94" s="3905"/>
      <c r="E94" s="1525" t="s">
        <v>2643</v>
      </c>
      <c r="F94" s="3904" t="s">
        <v>2644</v>
      </c>
      <c r="G94" s="3904"/>
      <c r="I94" s="1525">
        <v>250</v>
      </c>
      <c r="J94" s="3904" t="s">
        <v>1803</v>
      </c>
      <c r="K94" s="3904"/>
    </row>
    <row r="95" spans="1:11">
      <c r="A95" s="1524" t="s">
        <v>1921</v>
      </c>
      <c r="B95" s="3905" t="s">
        <v>1922</v>
      </c>
      <c r="C95" s="3905"/>
      <c r="E95" s="1525" t="s">
        <v>2645</v>
      </c>
      <c r="F95" s="3904" t="s">
        <v>2646</v>
      </c>
      <c r="G95" s="3904"/>
      <c r="I95" s="1525">
        <v>251</v>
      </c>
      <c r="J95" s="3904" t="s">
        <v>1804</v>
      </c>
      <c r="K95" s="3904"/>
    </row>
    <row r="96" spans="1:11">
      <c r="A96" s="1524" t="s">
        <v>1923</v>
      </c>
      <c r="B96" s="3905" t="s">
        <v>1924</v>
      </c>
      <c r="C96" s="3905"/>
      <c r="E96" s="1525" t="s">
        <v>2647</v>
      </c>
      <c r="F96" s="3904" t="s">
        <v>2648</v>
      </c>
      <c r="G96" s="3904"/>
      <c r="I96" s="1525">
        <v>252</v>
      </c>
      <c r="J96" s="3904" t="s">
        <v>1805</v>
      </c>
      <c r="K96" s="3904"/>
    </row>
    <row r="97" spans="1:11">
      <c r="A97" s="1524" t="s">
        <v>1925</v>
      </c>
      <c r="B97" s="3905" t="s">
        <v>1926</v>
      </c>
      <c r="C97" s="3905"/>
      <c r="E97" s="1525" t="s">
        <v>2649</v>
      </c>
      <c r="F97" s="3904" t="s">
        <v>2650</v>
      </c>
      <c r="G97" s="3904"/>
      <c r="I97" s="1525">
        <v>253</v>
      </c>
      <c r="J97" s="3904" t="s">
        <v>1806</v>
      </c>
      <c r="K97" s="3904"/>
    </row>
    <row r="98" spans="1:11">
      <c r="A98" s="1524" t="s">
        <v>1927</v>
      </c>
      <c r="B98" s="3905" t="s">
        <v>1928</v>
      </c>
      <c r="C98" s="3905"/>
      <c r="E98" s="1525" t="s">
        <v>2651</v>
      </c>
      <c r="F98" s="3904" t="s">
        <v>2652</v>
      </c>
      <c r="G98" s="3904"/>
      <c r="I98" s="1525">
        <v>254</v>
      </c>
      <c r="J98" s="3904" t="s">
        <v>1807</v>
      </c>
      <c r="K98" s="3904"/>
    </row>
    <row r="99" spans="1:11">
      <c r="A99" s="1524" t="s">
        <v>1929</v>
      </c>
      <c r="B99" s="3905" t="s">
        <v>1930</v>
      </c>
      <c r="C99" s="3905"/>
      <c r="E99" s="1525" t="s">
        <v>2653</v>
      </c>
      <c r="F99" s="3904" t="s">
        <v>2654</v>
      </c>
      <c r="G99" s="3904"/>
      <c r="I99" s="1525">
        <v>259</v>
      </c>
      <c r="J99" s="3904" t="s">
        <v>1808</v>
      </c>
      <c r="K99" s="3904"/>
    </row>
    <row r="100" spans="1:11">
      <c r="A100" s="1524" t="s">
        <v>1931</v>
      </c>
      <c r="B100" s="3905" t="s">
        <v>1932</v>
      </c>
      <c r="C100" s="3905"/>
      <c r="E100" s="1525" t="s">
        <v>2655</v>
      </c>
      <c r="F100" s="3904" t="s">
        <v>2656</v>
      </c>
      <c r="G100" s="3904"/>
      <c r="I100" s="1525">
        <v>300</v>
      </c>
      <c r="J100" s="3904" t="s">
        <v>1809</v>
      </c>
      <c r="K100" s="3904"/>
    </row>
    <row r="101" spans="1:11">
      <c r="A101" s="1524" t="s">
        <v>1933</v>
      </c>
      <c r="B101" s="3905" t="s">
        <v>1934</v>
      </c>
      <c r="C101" s="3905"/>
      <c r="E101" s="1525" t="s">
        <v>2657</v>
      </c>
      <c r="F101" s="3904" t="s">
        <v>2658</v>
      </c>
      <c r="G101" s="3904"/>
      <c r="I101" s="1525">
        <v>310</v>
      </c>
      <c r="J101" s="3904" t="s">
        <v>1810</v>
      </c>
      <c r="K101" s="3904"/>
    </row>
    <row r="102" spans="1:11">
      <c r="A102" s="1524" t="s">
        <v>1935</v>
      </c>
      <c r="B102" s="3905" t="s">
        <v>1936</v>
      </c>
      <c r="C102" s="3905"/>
      <c r="E102" s="1525" t="s">
        <v>2659</v>
      </c>
      <c r="F102" s="3904" t="s">
        <v>2660</v>
      </c>
      <c r="G102" s="3904"/>
      <c r="I102" s="1525">
        <v>320</v>
      </c>
      <c r="J102" s="3904" t="s">
        <v>1811</v>
      </c>
      <c r="K102" s="3904"/>
    </row>
    <row r="103" spans="1:11">
      <c r="A103" s="1524" t="s">
        <v>1937</v>
      </c>
      <c r="B103" s="3905" t="s">
        <v>1938</v>
      </c>
      <c r="C103" s="3905"/>
      <c r="E103" s="1525" t="s">
        <v>2661</v>
      </c>
      <c r="F103" s="3904" t="s">
        <v>2662</v>
      </c>
      <c r="G103" s="3904"/>
      <c r="I103" s="1525">
        <v>330</v>
      </c>
      <c r="J103" s="3904" t="s">
        <v>1812</v>
      </c>
      <c r="K103" s="3904"/>
    </row>
    <row r="104" spans="1:11">
      <c r="A104" s="1524" t="s">
        <v>1939</v>
      </c>
      <c r="B104" s="3905" t="s">
        <v>1940</v>
      </c>
      <c r="C104" s="3905"/>
      <c r="E104" s="1525" t="s">
        <v>2663</v>
      </c>
      <c r="F104" s="3904" t="s">
        <v>2664</v>
      </c>
      <c r="G104" s="3904"/>
      <c r="I104" s="1525">
        <v>340</v>
      </c>
      <c r="J104" s="3904" t="s">
        <v>1813</v>
      </c>
      <c r="K104" s="3904"/>
    </row>
    <row r="105" spans="1:11">
      <c r="A105" s="1524" t="s">
        <v>1941</v>
      </c>
      <c r="B105" s="3905" t="s">
        <v>1942</v>
      </c>
      <c r="C105" s="3905"/>
      <c r="E105" s="1525" t="s">
        <v>2665</v>
      </c>
      <c r="F105" s="3904" t="s">
        <v>2666</v>
      </c>
      <c r="G105" s="3904"/>
      <c r="I105" s="1525">
        <v>350</v>
      </c>
      <c r="J105" s="3904" t="s">
        <v>1814</v>
      </c>
      <c r="K105" s="3904"/>
    </row>
    <row r="106" spans="1:11">
      <c r="A106" s="1524" t="s">
        <v>1943</v>
      </c>
      <c r="B106" s="3905" t="s">
        <v>1944</v>
      </c>
      <c r="C106" s="3905"/>
      <c r="E106" s="1525" t="s">
        <v>2667</v>
      </c>
      <c r="F106" s="3904" t="s">
        <v>2668</v>
      </c>
      <c r="G106" s="3904"/>
      <c r="I106" s="1525">
        <v>351</v>
      </c>
      <c r="J106" s="3904" t="s">
        <v>1815</v>
      </c>
      <c r="K106" s="3904"/>
    </row>
    <row r="107" spans="1:11">
      <c r="A107" s="1524" t="s">
        <v>1945</v>
      </c>
      <c r="B107" s="3905" t="s">
        <v>1946</v>
      </c>
      <c r="C107" s="3905"/>
      <c r="E107" s="1525" t="s">
        <v>2669</v>
      </c>
      <c r="F107" s="3904" t="s">
        <v>2670</v>
      </c>
      <c r="G107" s="3904"/>
      <c r="I107" s="1525">
        <v>352</v>
      </c>
      <c r="J107" s="3904" t="s">
        <v>1816</v>
      </c>
      <c r="K107" s="3904"/>
    </row>
    <row r="108" spans="1:11">
      <c r="A108" s="1524" t="s">
        <v>1947</v>
      </c>
      <c r="B108" s="3905" t="s">
        <v>1948</v>
      </c>
      <c r="C108" s="3905"/>
      <c r="E108" s="1525" t="s">
        <v>2671</v>
      </c>
      <c r="F108" s="3904" t="s">
        <v>2672</v>
      </c>
      <c r="G108" s="3904"/>
      <c r="I108" s="1525">
        <v>353</v>
      </c>
      <c r="J108" s="3904" t="s">
        <v>1817</v>
      </c>
      <c r="K108" s="3904"/>
    </row>
    <row r="109" spans="1:11">
      <c r="A109" s="1524" t="s">
        <v>1949</v>
      </c>
      <c r="B109" s="3905" t="s">
        <v>1950</v>
      </c>
      <c r="C109" s="3905"/>
      <c r="E109" s="1525" t="s">
        <v>2673</v>
      </c>
      <c r="F109" s="3904" t="s">
        <v>2674</v>
      </c>
      <c r="G109" s="3904"/>
      <c r="I109" s="1525">
        <v>354</v>
      </c>
      <c r="J109" s="3904" t="s">
        <v>1818</v>
      </c>
      <c r="K109" s="3904"/>
    </row>
    <row r="110" spans="1:11">
      <c r="A110" s="1524" t="s">
        <v>1951</v>
      </c>
      <c r="B110" s="3905" t="s">
        <v>1952</v>
      </c>
      <c r="C110" s="3905"/>
      <c r="E110" s="1525" t="s">
        <v>2675</v>
      </c>
      <c r="F110" s="3904" t="s">
        <v>2676</v>
      </c>
      <c r="G110" s="3904"/>
      <c r="I110" s="1525">
        <v>359</v>
      </c>
      <c r="J110" s="3904" t="s">
        <v>1819</v>
      </c>
      <c r="K110" s="3904"/>
    </row>
    <row r="111" spans="1:11">
      <c r="A111" s="1524" t="s">
        <v>1953</v>
      </c>
      <c r="B111" s="3905" t="s">
        <v>1954</v>
      </c>
      <c r="C111" s="3905"/>
      <c r="E111" s="1525" t="s">
        <v>2677</v>
      </c>
      <c r="F111" s="3904" t="s">
        <v>2678</v>
      </c>
      <c r="G111" s="3904"/>
      <c r="I111" s="1525">
        <v>400</v>
      </c>
      <c r="J111" s="3904" t="s">
        <v>1820</v>
      </c>
      <c r="K111" s="3904"/>
    </row>
    <row r="112" spans="1:11">
      <c r="A112" s="1524" t="s">
        <v>1955</v>
      </c>
      <c r="B112" s="3905" t="s">
        <v>1956</v>
      </c>
      <c r="C112" s="3905"/>
      <c r="E112" s="1525" t="s">
        <v>2679</v>
      </c>
      <c r="F112" s="3904" t="s">
        <v>2680</v>
      </c>
      <c r="G112" s="3904"/>
      <c r="I112" s="1525">
        <v>410</v>
      </c>
      <c r="J112" s="3904" t="s">
        <v>1821</v>
      </c>
      <c r="K112" s="3904"/>
    </row>
    <row r="113" spans="1:11">
      <c r="A113" s="1524" t="s">
        <v>1957</v>
      </c>
      <c r="B113" s="3905" t="s">
        <v>1958</v>
      </c>
      <c r="C113" s="3905"/>
      <c r="E113" s="1525" t="s">
        <v>2681</v>
      </c>
      <c r="F113" s="3904" t="s">
        <v>2682</v>
      </c>
      <c r="G113" s="3904"/>
      <c r="I113" s="1525">
        <v>411</v>
      </c>
      <c r="J113" s="3904" t="s">
        <v>1822</v>
      </c>
      <c r="K113" s="3904"/>
    </row>
    <row r="114" spans="1:11">
      <c r="A114" s="1524" t="s">
        <v>1959</v>
      </c>
      <c r="B114" s="3905" t="s">
        <v>1960</v>
      </c>
      <c r="C114" s="3905"/>
      <c r="E114" s="1525" t="s">
        <v>2683</v>
      </c>
      <c r="F114" s="3904" t="s">
        <v>2684</v>
      </c>
      <c r="G114" s="3904"/>
      <c r="I114" s="1525">
        <v>412</v>
      </c>
      <c r="J114" s="3904" t="s">
        <v>1823</v>
      </c>
      <c r="K114" s="3904"/>
    </row>
    <row r="115" spans="1:11">
      <c r="A115" s="1524" t="s">
        <v>1961</v>
      </c>
      <c r="B115" s="3905" t="s">
        <v>1962</v>
      </c>
      <c r="C115" s="3905"/>
      <c r="E115" s="1525" t="s">
        <v>2685</v>
      </c>
      <c r="F115" s="3904" t="s">
        <v>2686</v>
      </c>
      <c r="G115" s="3904"/>
      <c r="I115" s="1525">
        <v>413</v>
      </c>
      <c r="J115" s="3904" t="s">
        <v>1824</v>
      </c>
      <c r="K115" s="3904"/>
    </row>
    <row r="116" spans="1:11">
      <c r="A116" s="1524" t="s">
        <v>1963</v>
      </c>
      <c r="B116" s="3905" t="s">
        <v>1964</v>
      </c>
      <c r="C116" s="3905"/>
      <c r="E116" s="1525" t="s">
        <v>2687</v>
      </c>
      <c r="F116" s="3904" t="s">
        <v>2688</v>
      </c>
      <c r="G116" s="3904"/>
      <c r="I116" s="1525">
        <v>420</v>
      </c>
      <c r="J116" s="3904" t="s">
        <v>1825</v>
      </c>
      <c r="K116" s="3904"/>
    </row>
    <row r="117" spans="1:11">
      <c r="A117" s="1524" t="s">
        <v>1965</v>
      </c>
      <c r="B117" s="3905" t="s">
        <v>1966</v>
      </c>
      <c r="C117" s="3905"/>
      <c r="E117" s="1525" t="s">
        <v>2689</v>
      </c>
      <c r="F117" s="3904" t="s">
        <v>2690</v>
      </c>
      <c r="G117" s="3904"/>
      <c r="I117" s="1525">
        <v>421</v>
      </c>
      <c r="J117" s="3904" t="s">
        <v>1826</v>
      </c>
      <c r="K117" s="3904"/>
    </row>
    <row r="118" spans="1:11">
      <c r="A118" s="1524" t="s">
        <v>1681</v>
      </c>
      <c r="B118" s="3905" t="s">
        <v>1967</v>
      </c>
      <c r="C118" s="3905"/>
      <c r="E118" s="1525" t="s">
        <v>2691</v>
      </c>
      <c r="F118" s="3904" t="s">
        <v>2692</v>
      </c>
      <c r="G118" s="3904"/>
      <c r="I118" s="1525">
        <v>422</v>
      </c>
      <c r="J118" s="3904" t="s">
        <v>1827</v>
      </c>
      <c r="K118" s="3904"/>
    </row>
    <row r="119" spans="1:11">
      <c r="A119" s="1524" t="s">
        <v>2693</v>
      </c>
      <c r="B119" s="3905" t="s">
        <v>2694</v>
      </c>
      <c r="C119" s="3905"/>
      <c r="E119" s="1525" t="s">
        <v>2695</v>
      </c>
      <c r="F119" s="3904" t="s">
        <v>2696</v>
      </c>
      <c r="G119" s="3904"/>
      <c r="I119" s="1525">
        <v>423</v>
      </c>
      <c r="J119" s="3904" t="s">
        <v>1828</v>
      </c>
      <c r="K119" s="3904"/>
    </row>
    <row r="120" spans="1:11">
      <c r="A120" s="1524" t="s">
        <v>1968</v>
      </c>
      <c r="B120" s="3905" t="s">
        <v>2697</v>
      </c>
      <c r="C120" s="3905"/>
      <c r="E120" s="1525" t="s">
        <v>2698</v>
      </c>
      <c r="F120" s="3904" t="s">
        <v>2699</v>
      </c>
      <c r="G120" s="3904"/>
      <c r="I120" s="1525">
        <v>430</v>
      </c>
      <c r="J120" s="3904" t="s">
        <v>1483</v>
      </c>
      <c r="K120" s="3904"/>
    </row>
    <row r="121" spans="1:11">
      <c r="A121" s="1524" t="s">
        <v>1969</v>
      </c>
      <c r="B121" s="3905" t="s">
        <v>1970</v>
      </c>
      <c r="C121" s="3905"/>
      <c r="E121" s="1525" t="s">
        <v>2700</v>
      </c>
      <c r="F121" s="3904" t="s">
        <v>2701</v>
      </c>
      <c r="G121" s="3904"/>
      <c r="I121" s="1525">
        <v>431</v>
      </c>
      <c r="J121" s="3904" t="s">
        <v>1829</v>
      </c>
      <c r="K121" s="3904"/>
    </row>
    <row r="122" spans="1:11">
      <c r="A122" s="1524" t="s">
        <v>1971</v>
      </c>
      <c r="B122" s="3905" t="s">
        <v>1972</v>
      </c>
      <c r="C122" s="3905"/>
      <c r="E122" s="1525" t="s">
        <v>2702</v>
      </c>
      <c r="F122" s="3904" t="s">
        <v>2703</v>
      </c>
      <c r="G122" s="3904"/>
      <c r="I122" s="1525">
        <v>432</v>
      </c>
      <c r="J122" s="3904" t="s">
        <v>1830</v>
      </c>
      <c r="K122" s="3904"/>
    </row>
    <row r="123" spans="1:11">
      <c r="A123" s="1524" t="s">
        <v>1973</v>
      </c>
      <c r="B123" s="3905" t="s">
        <v>1974</v>
      </c>
      <c r="C123" s="3905"/>
      <c r="E123" s="1525" t="s">
        <v>2704</v>
      </c>
      <c r="F123" s="3904" t="s">
        <v>2705</v>
      </c>
      <c r="G123" s="3904"/>
      <c r="I123" s="1525">
        <v>433</v>
      </c>
      <c r="J123" s="3904" t="s">
        <v>1831</v>
      </c>
      <c r="K123" s="3904"/>
    </row>
    <row r="124" spans="1:11">
      <c r="A124" s="1524" t="s">
        <v>1975</v>
      </c>
      <c r="B124" s="3905" t="s">
        <v>1976</v>
      </c>
      <c r="C124" s="3905"/>
      <c r="E124" s="1525" t="s">
        <v>2706</v>
      </c>
      <c r="F124" s="3904" t="s">
        <v>2707</v>
      </c>
      <c r="G124" s="3904"/>
      <c r="I124" s="1525">
        <v>500</v>
      </c>
      <c r="J124" s="3904" t="s">
        <v>1832</v>
      </c>
      <c r="K124" s="3904"/>
    </row>
    <row r="125" spans="1:11">
      <c r="A125" s="1524" t="s">
        <v>1977</v>
      </c>
      <c r="B125" s="3905" t="s">
        <v>1978</v>
      </c>
      <c r="C125" s="3905"/>
      <c r="E125" s="1525" t="s">
        <v>2708</v>
      </c>
      <c r="F125" s="3904" t="s">
        <v>2709</v>
      </c>
      <c r="G125" s="3904"/>
      <c r="I125" s="1525">
        <v>510</v>
      </c>
      <c r="J125" s="3904" t="s">
        <v>1833</v>
      </c>
      <c r="K125" s="3904"/>
    </row>
    <row r="126" spans="1:11">
      <c r="A126" s="1524" t="s">
        <v>1979</v>
      </c>
      <c r="B126" s="3905" t="s">
        <v>1980</v>
      </c>
      <c r="C126" s="3905"/>
      <c r="E126" s="1525" t="s">
        <v>2710</v>
      </c>
      <c r="F126" s="3904" t="s">
        <v>2711</v>
      </c>
      <c r="G126" s="3904"/>
      <c r="I126" s="1525">
        <v>520</v>
      </c>
      <c r="J126" s="3904" t="s">
        <v>1834</v>
      </c>
      <c r="K126" s="3904"/>
    </row>
    <row r="127" spans="1:11">
      <c r="A127" s="1524" t="s">
        <v>1682</v>
      </c>
      <c r="B127" s="3905" t="s">
        <v>1981</v>
      </c>
      <c r="C127" s="3905"/>
      <c r="E127" s="1525" t="s">
        <v>2712</v>
      </c>
      <c r="F127" s="3904" t="s">
        <v>2713</v>
      </c>
      <c r="G127" s="3904"/>
      <c r="I127" s="1525">
        <v>521</v>
      </c>
      <c r="J127" s="3904" t="s">
        <v>1835</v>
      </c>
      <c r="K127" s="3904"/>
    </row>
    <row r="128" spans="1:11">
      <c r="A128" s="1524" t="s">
        <v>1982</v>
      </c>
      <c r="B128" s="3905" t="s">
        <v>1983</v>
      </c>
      <c r="C128" s="3905"/>
      <c r="E128" s="1525" t="s">
        <v>2714</v>
      </c>
      <c r="F128" s="3904" t="s">
        <v>2715</v>
      </c>
      <c r="G128" s="3904"/>
      <c r="I128" s="1525">
        <v>522</v>
      </c>
      <c r="J128" s="3904" t="s">
        <v>1836</v>
      </c>
      <c r="K128" s="3904"/>
    </row>
    <row r="129" spans="1:11">
      <c r="A129" s="1524" t="s">
        <v>1984</v>
      </c>
      <c r="B129" s="3905" t="s">
        <v>1985</v>
      </c>
      <c r="C129" s="3905"/>
      <c r="E129" s="1525" t="s">
        <v>2716</v>
      </c>
      <c r="F129" s="3904" t="s">
        <v>2717</v>
      </c>
      <c r="G129" s="3904"/>
      <c r="I129" s="1525">
        <v>523</v>
      </c>
      <c r="J129" s="3904" t="s">
        <v>1837</v>
      </c>
      <c r="K129" s="3904"/>
    </row>
    <row r="130" spans="1:11">
      <c r="A130" s="1524" t="s">
        <v>1986</v>
      </c>
      <c r="B130" s="3905" t="s">
        <v>1987</v>
      </c>
      <c r="C130" s="3905"/>
      <c r="E130" s="1525" t="s">
        <v>2718</v>
      </c>
      <c r="F130" s="3904" t="s">
        <v>2719</v>
      </c>
      <c r="G130" s="3904"/>
      <c r="I130" s="1525">
        <v>530</v>
      </c>
      <c r="J130" s="3904" t="s">
        <v>1838</v>
      </c>
      <c r="K130" s="3904"/>
    </row>
    <row r="131" spans="1:11">
      <c r="A131" s="1524" t="s">
        <v>1988</v>
      </c>
      <c r="B131" s="3905" t="s">
        <v>1989</v>
      </c>
      <c r="C131" s="3905"/>
      <c r="E131" s="1525" t="s">
        <v>2720</v>
      </c>
      <c r="F131" s="3904" t="s">
        <v>2721</v>
      </c>
      <c r="G131" s="3904"/>
      <c r="I131" s="1525">
        <v>540</v>
      </c>
      <c r="J131" s="3904" t="s">
        <v>1839</v>
      </c>
      <c r="K131" s="3904"/>
    </row>
    <row r="132" spans="1:11">
      <c r="A132" s="1524" t="s">
        <v>1990</v>
      </c>
      <c r="B132" s="3905" t="s">
        <v>1991</v>
      </c>
      <c r="C132" s="3905"/>
      <c r="E132" s="1525" t="s">
        <v>2722</v>
      </c>
      <c r="F132" s="3904" t="s">
        <v>2723</v>
      </c>
      <c r="G132" s="3904"/>
      <c r="I132" s="1525">
        <v>550</v>
      </c>
      <c r="J132" s="3904" t="s">
        <v>1840</v>
      </c>
      <c r="K132" s="3904"/>
    </row>
    <row r="133" spans="1:11">
      <c r="A133" s="1524" t="s">
        <v>1992</v>
      </c>
      <c r="B133" s="3905" t="s">
        <v>1993</v>
      </c>
      <c r="C133" s="3905"/>
      <c r="E133" s="1525" t="s">
        <v>2724</v>
      </c>
      <c r="F133" s="3904" t="s">
        <v>2725</v>
      </c>
      <c r="G133" s="3904"/>
      <c r="I133" s="1525">
        <v>560</v>
      </c>
      <c r="J133" s="3904" t="s">
        <v>1841</v>
      </c>
      <c r="K133" s="3904"/>
    </row>
    <row r="134" spans="1:11">
      <c r="A134" s="1524" t="s">
        <v>1683</v>
      </c>
      <c r="B134" s="3905" t="s">
        <v>1994</v>
      </c>
      <c r="C134" s="3905"/>
      <c r="E134" s="1525" t="s">
        <v>2726</v>
      </c>
      <c r="F134" s="3904" t="s">
        <v>2727</v>
      </c>
      <c r="G134" s="3904"/>
    </row>
    <row r="135" spans="1:11">
      <c r="A135" s="1524" t="s">
        <v>1995</v>
      </c>
      <c r="B135" s="3905" t="s">
        <v>1996</v>
      </c>
      <c r="C135" s="3905"/>
      <c r="E135" s="1525" t="s">
        <v>2728</v>
      </c>
      <c r="F135" s="3904" t="s">
        <v>2729</v>
      </c>
      <c r="G135" s="3904"/>
    </row>
    <row r="136" spans="1:11">
      <c r="A136" s="1524" t="s">
        <v>1997</v>
      </c>
      <c r="B136" s="3905" t="s">
        <v>1998</v>
      </c>
      <c r="C136" s="3905"/>
      <c r="E136" s="1525" t="s">
        <v>2730</v>
      </c>
      <c r="F136" s="3904" t="s">
        <v>2731</v>
      </c>
      <c r="G136" s="3904"/>
    </row>
    <row r="137" spans="1:11">
      <c r="A137" s="1524" t="s">
        <v>1999</v>
      </c>
      <c r="B137" s="3905" t="s">
        <v>2000</v>
      </c>
      <c r="C137" s="3905"/>
      <c r="E137" s="1525" t="s">
        <v>2732</v>
      </c>
      <c r="F137" s="3904" t="s">
        <v>2733</v>
      </c>
      <c r="G137" s="3904"/>
    </row>
    <row r="138" spans="1:11">
      <c r="A138" s="1524" t="s">
        <v>2001</v>
      </c>
      <c r="B138" s="3905" t="s">
        <v>2002</v>
      </c>
      <c r="C138" s="3905"/>
      <c r="E138" s="1525" t="s">
        <v>2734</v>
      </c>
      <c r="F138" s="3904" t="s">
        <v>2735</v>
      </c>
      <c r="G138" s="3904"/>
    </row>
    <row r="139" spans="1:11">
      <c r="A139" s="1524" t="s">
        <v>2003</v>
      </c>
      <c r="B139" s="3905" t="s">
        <v>2004</v>
      </c>
      <c r="C139" s="3905"/>
      <c r="E139" s="1525" t="s">
        <v>2736</v>
      </c>
      <c r="F139" s="3904" t="s">
        <v>2737</v>
      </c>
      <c r="G139" s="3904"/>
    </row>
    <row r="140" spans="1:11">
      <c r="A140" s="1524" t="s">
        <v>2005</v>
      </c>
      <c r="B140" s="3905" t="s">
        <v>2006</v>
      </c>
      <c r="C140" s="3905"/>
      <c r="E140" s="1525" t="s">
        <v>2738</v>
      </c>
      <c r="F140" s="3904" t="s">
        <v>2739</v>
      </c>
      <c r="G140" s="3904"/>
    </row>
    <row r="141" spans="1:11">
      <c r="A141" s="1524" t="s">
        <v>2007</v>
      </c>
      <c r="B141" s="3905" t="s">
        <v>2008</v>
      </c>
      <c r="C141" s="3905"/>
      <c r="E141" s="1525" t="s">
        <v>2740</v>
      </c>
      <c r="F141" s="3904" t="s">
        <v>2741</v>
      </c>
      <c r="G141" s="3904"/>
    </row>
    <row r="142" spans="1:11">
      <c r="A142" s="1524" t="s">
        <v>2742</v>
      </c>
      <c r="B142" s="3905" t="s">
        <v>2743</v>
      </c>
      <c r="C142" s="3905"/>
      <c r="E142" s="1525" t="s">
        <v>2744</v>
      </c>
      <c r="F142" s="3904" t="s">
        <v>2745</v>
      </c>
      <c r="G142" s="3904"/>
    </row>
    <row r="143" spans="1:11">
      <c r="A143" s="1524" t="s">
        <v>2009</v>
      </c>
      <c r="B143" s="3905" t="s">
        <v>2010</v>
      </c>
      <c r="C143" s="3905"/>
      <c r="E143" s="1525" t="s">
        <v>2746</v>
      </c>
      <c r="F143" s="3904" t="s">
        <v>2747</v>
      </c>
      <c r="G143" s="3904"/>
    </row>
    <row r="144" spans="1:11">
      <c r="A144" s="1524" t="s">
        <v>2011</v>
      </c>
      <c r="B144" s="3905" t="s">
        <v>2012</v>
      </c>
      <c r="C144" s="3905"/>
      <c r="E144" s="1525" t="s">
        <v>2748</v>
      </c>
      <c r="F144" s="3904" t="s">
        <v>2749</v>
      </c>
      <c r="G144" s="3904"/>
    </row>
    <row r="145" spans="1:7">
      <c r="A145" s="1524" t="s">
        <v>2013</v>
      </c>
      <c r="B145" s="3905" t="s">
        <v>2014</v>
      </c>
      <c r="C145" s="3905"/>
      <c r="E145" s="1525" t="s">
        <v>2750</v>
      </c>
      <c r="F145" s="3904" t="s">
        <v>2751</v>
      </c>
      <c r="G145" s="3904"/>
    </row>
    <row r="146" spans="1:7">
      <c r="A146" s="1524" t="s">
        <v>2015</v>
      </c>
      <c r="B146" s="3905" t="s">
        <v>2016</v>
      </c>
      <c r="C146" s="3905"/>
      <c r="E146" s="1525" t="s">
        <v>2752</v>
      </c>
      <c r="F146" s="3904" t="s">
        <v>2753</v>
      </c>
      <c r="G146" s="3904"/>
    </row>
    <row r="147" spans="1:7">
      <c r="A147" s="1524" t="s">
        <v>2017</v>
      </c>
      <c r="B147" s="3905" t="s">
        <v>2018</v>
      </c>
      <c r="C147" s="3905"/>
      <c r="E147" s="1525" t="s">
        <v>2754</v>
      </c>
      <c r="F147" s="3904" t="s">
        <v>2755</v>
      </c>
      <c r="G147" s="3904"/>
    </row>
    <row r="148" spans="1:7">
      <c r="A148" s="1524" t="s">
        <v>2019</v>
      </c>
      <c r="B148" s="3905" t="s">
        <v>2020</v>
      </c>
      <c r="C148" s="3905"/>
      <c r="E148" s="1525" t="s">
        <v>2756</v>
      </c>
      <c r="F148" s="3904" t="s">
        <v>2757</v>
      </c>
      <c r="G148" s="3904"/>
    </row>
    <row r="149" spans="1:7">
      <c r="A149" s="1524" t="s">
        <v>2021</v>
      </c>
      <c r="B149" s="3905" t="s">
        <v>2022</v>
      </c>
      <c r="C149" s="3905"/>
      <c r="E149" s="1525" t="s">
        <v>2758</v>
      </c>
      <c r="F149" s="3904" t="s">
        <v>2759</v>
      </c>
      <c r="G149" s="3904"/>
    </row>
    <row r="150" spans="1:7">
      <c r="A150" s="1524" t="s">
        <v>2023</v>
      </c>
      <c r="B150" s="3905" t="s">
        <v>2024</v>
      </c>
      <c r="C150" s="3905"/>
      <c r="E150" s="1525" t="s">
        <v>2760</v>
      </c>
      <c r="F150" s="3904" t="s">
        <v>2761</v>
      </c>
      <c r="G150" s="3904"/>
    </row>
    <row r="151" spans="1:7">
      <c r="A151" s="1524" t="s">
        <v>2762</v>
      </c>
      <c r="B151" s="3905" t="s">
        <v>2763</v>
      </c>
      <c r="C151" s="3905"/>
      <c r="E151" s="1525" t="s">
        <v>2764</v>
      </c>
      <c r="F151" s="3904" t="s">
        <v>2765</v>
      </c>
      <c r="G151" s="3904"/>
    </row>
    <row r="152" spans="1:7">
      <c r="A152" s="1524" t="s">
        <v>2025</v>
      </c>
      <c r="B152" s="3905" t="s">
        <v>2026</v>
      </c>
      <c r="C152" s="3905"/>
      <c r="E152" s="1525" t="s">
        <v>2766</v>
      </c>
      <c r="F152" s="3904" t="s">
        <v>2767</v>
      </c>
      <c r="G152" s="3904"/>
    </row>
    <row r="153" spans="1:7">
      <c r="A153" s="1524" t="s">
        <v>2027</v>
      </c>
      <c r="B153" s="3905" t="s">
        <v>2028</v>
      </c>
      <c r="C153" s="3905"/>
      <c r="E153" s="1525" t="s">
        <v>2768</v>
      </c>
      <c r="F153" s="3904" t="s">
        <v>2769</v>
      </c>
      <c r="G153" s="3904"/>
    </row>
    <row r="154" spans="1:7">
      <c r="A154" s="1524" t="s">
        <v>2029</v>
      </c>
      <c r="B154" s="3905" t="s">
        <v>2030</v>
      </c>
      <c r="C154" s="3905"/>
      <c r="E154" s="1525" t="s">
        <v>2770</v>
      </c>
      <c r="F154" s="3904" t="s">
        <v>2771</v>
      </c>
      <c r="G154" s="3904"/>
    </row>
    <row r="155" spans="1:7">
      <c r="A155" s="1524" t="s">
        <v>2031</v>
      </c>
      <c r="B155" s="3905" t="s">
        <v>2032</v>
      </c>
      <c r="C155" s="3905"/>
      <c r="E155" s="1525" t="s">
        <v>2772</v>
      </c>
      <c r="F155" s="3904" t="s">
        <v>2773</v>
      </c>
      <c r="G155" s="3904"/>
    </row>
    <row r="156" spans="1:7">
      <c r="A156" s="1524" t="s">
        <v>2033</v>
      </c>
      <c r="B156" s="3905" t="s">
        <v>2034</v>
      </c>
      <c r="C156" s="3905"/>
      <c r="E156" s="1525" t="s">
        <v>2774</v>
      </c>
      <c r="F156" s="3904" t="s">
        <v>2775</v>
      </c>
      <c r="G156" s="3904"/>
    </row>
    <row r="157" spans="1:7">
      <c r="A157" s="1524" t="s">
        <v>2035</v>
      </c>
      <c r="B157" s="3905" t="s">
        <v>2036</v>
      </c>
      <c r="C157" s="3905"/>
      <c r="E157" s="1525" t="s">
        <v>2776</v>
      </c>
      <c r="F157" s="3904" t="s">
        <v>2777</v>
      </c>
      <c r="G157" s="3904"/>
    </row>
    <row r="158" spans="1:7">
      <c r="A158" s="1524" t="s">
        <v>2037</v>
      </c>
      <c r="B158" s="3905" t="s">
        <v>2038</v>
      </c>
      <c r="C158" s="3905"/>
      <c r="E158" s="1525" t="s">
        <v>2778</v>
      </c>
      <c r="F158" s="3904" t="s">
        <v>2779</v>
      </c>
      <c r="G158" s="3904"/>
    </row>
    <row r="159" spans="1:7">
      <c r="A159" s="1524" t="s">
        <v>2039</v>
      </c>
      <c r="B159" s="3905" t="s">
        <v>2040</v>
      </c>
      <c r="C159" s="3905"/>
      <c r="E159" s="1525" t="s">
        <v>2780</v>
      </c>
      <c r="F159" s="3904" t="s">
        <v>2781</v>
      </c>
      <c r="G159" s="3904"/>
    </row>
    <row r="160" spans="1:7">
      <c r="A160" s="1524" t="s">
        <v>2041</v>
      </c>
      <c r="B160" s="3905" t="s">
        <v>2042</v>
      </c>
      <c r="C160" s="3905"/>
      <c r="E160" s="1525" t="s">
        <v>2782</v>
      </c>
      <c r="F160" s="3904" t="s">
        <v>2783</v>
      </c>
      <c r="G160" s="3904"/>
    </row>
    <row r="161" spans="1:7">
      <c r="A161" s="1524" t="s">
        <v>2043</v>
      </c>
      <c r="B161" s="3905" t="s">
        <v>2044</v>
      </c>
      <c r="C161" s="3905"/>
      <c r="E161" s="1525" t="s">
        <v>2784</v>
      </c>
      <c r="F161" s="3904" t="s">
        <v>2785</v>
      </c>
      <c r="G161" s="3904"/>
    </row>
    <row r="162" spans="1:7">
      <c r="A162" s="1524" t="s">
        <v>2045</v>
      </c>
      <c r="B162" s="3905" t="s">
        <v>2046</v>
      </c>
      <c r="C162" s="3905"/>
      <c r="E162" s="1525" t="s">
        <v>2786</v>
      </c>
      <c r="F162" s="3904" t="s">
        <v>2787</v>
      </c>
      <c r="G162" s="3904"/>
    </row>
    <row r="163" spans="1:7">
      <c r="A163" s="1524" t="s">
        <v>2047</v>
      </c>
      <c r="B163" s="3905" t="s">
        <v>2048</v>
      </c>
      <c r="C163" s="3905"/>
      <c r="E163" s="1525" t="s">
        <v>2788</v>
      </c>
      <c r="F163" s="3904" t="s">
        <v>2789</v>
      </c>
      <c r="G163" s="3904"/>
    </row>
    <row r="164" spans="1:7">
      <c r="A164" s="1524" t="s">
        <v>2049</v>
      </c>
      <c r="B164" s="3905" t="s">
        <v>2050</v>
      </c>
      <c r="C164" s="3905"/>
      <c r="E164" s="1525" t="s">
        <v>2790</v>
      </c>
      <c r="F164" s="3904" t="s">
        <v>2791</v>
      </c>
      <c r="G164" s="3904"/>
    </row>
    <row r="165" spans="1:7">
      <c r="A165" s="1524" t="s">
        <v>2051</v>
      </c>
      <c r="B165" s="3905" t="s">
        <v>2052</v>
      </c>
      <c r="C165" s="3905"/>
      <c r="E165" s="1525" t="s">
        <v>2792</v>
      </c>
      <c r="F165" s="3904" t="s">
        <v>2793</v>
      </c>
      <c r="G165" s="3904"/>
    </row>
    <row r="166" spans="1:7">
      <c r="A166" s="1524" t="s">
        <v>2053</v>
      </c>
      <c r="B166" s="3905" t="s">
        <v>2054</v>
      </c>
      <c r="C166" s="3905"/>
      <c r="E166" s="1525" t="s">
        <v>2794</v>
      </c>
      <c r="F166" s="3904" t="s">
        <v>2795</v>
      </c>
      <c r="G166" s="3904"/>
    </row>
    <row r="167" spans="1:7">
      <c r="A167" s="1524" t="s">
        <v>2055</v>
      </c>
      <c r="B167" s="3905" t="s">
        <v>2056</v>
      </c>
      <c r="C167" s="3905"/>
      <c r="E167" s="1525" t="s">
        <v>2796</v>
      </c>
      <c r="F167" s="3904" t="s">
        <v>2797</v>
      </c>
      <c r="G167" s="3904"/>
    </row>
    <row r="168" spans="1:7">
      <c r="A168" s="1524" t="s">
        <v>2057</v>
      </c>
      <c r="B168" s="3905" t="s">
        <v>2058</v>
      </c>
      <c r="C168" s="3905"/>
      <c r="E168" s="1525" t="s">
        <v>2798</v>
      </c>
      <c r="F168" s="3904" t="s">
        <v>2799</v>
      </c>
      <c r="G168" s="3904"/>
    </row>
    <row r="169" spans="1:7">
      <c r="A169" s="1524" t="s">
        <v>2059</v>
      </c>
      <c r="B169" s="3905" t="s">
        <v>2060</v>
      </c>
      <c r="C169" s="3905"/>
      <c r="E169" s="1525" t="s">
        <v>2800</v>
      </c>
      <c r="F169" s="3904" t="s">
        <v>2801</v>
      </c>
      <c r="G169" s="3904"/>
    </row>
    <row r="170" spans="1:7">
      <c r="A170" s="1524" t="s">
        <v>2061</v>
      </c>
      <c r="B170" s="3905" t="s">
        <v>2062</v>
      </c>
      <c r="C170" s="3905"/>
      <c r="E170" s="1525" t="s">
        <v>2802</v>
      </c>
      <c r="F170" s="3904" t="s">
        <v>2803</v>
      </c>
      <c r="G170" s="3904"/>
    </row>
    <row r="171" spans="1:7">
      <c r="A171" s="1524" t="s">
        <v>2063</v>
      </c>
      <c r="B171" s="3905" t="s">
        <v>2064</v>
      </c>
      <c r="C171" s="3905"/>
      <c r="E171" s="1525" t="s">
        <v>2804</v>
      </c>
      <c r="F171" s="3904" t="s">
        <v>2805</v>
      </c>
      <c r="G171" s="3904"/>
    </row>
    <row r="172" spans="1:7">
      <c r="A172" s="1524" t="s">
        <v>2065</v>
      </c>
      <c r="B172" s="3905" t="s">
        <v>2066</v>
      </c>
      <c r="C172" s="3905"/>
      <c r="E172" s="1525" t="s">
        <v>2806</v>
      </c>
      <c r="F172" s="3904" t="s">
        <v>2807</v>
      </c>
      <c r="G172" s="3904"/>
    </row>
    <row r="173" spans="1:7">
      <c r="A173" s="1524" t="s">
        <v>2067</v>
      </c>
      <c r="B173" s="3905" t="s">
        <v>2068</v>
      </c>
      <c r="C173" s="3905"/>
      <c r="E173" s="1525" t="s">
        <v>2808</v>
      </c>
      <c r="F173" s="3904" t="s">
        <v>2809</v>
      </c>
      <c r="G173" s="3904"/>
    </row>
    <row r="174" spans="1:7">
      <c r="A174" s="1524" t="s">
        <v>2069</v>
      </c>
      <c r="B174" s="3905" t="s">
        <v>2070</v>
      </c>
      <c r="C174" s="3905"/>
      <c r="E174" s="1525" t="s">
        <v>2810</v>
      </c>
      <c r="F174" s="3904" t="s">
        <v>2811</v>
      </c>
      <c r="G174" s="3904"/>
    </row>
    <row r="175" spans="1:7">
      <c r="A175" s="1524" t="s">
        <v>2071</v>
      </c>
      <c r="B175" s="3905" t="s">
        <v>2072</v>
      </c>
      <c r="C175" s="3905"/>
      <c r="E175" s="1525" t="s">
        <v>2812</v>
      </c>
      <c r="F175" s="3904" t="s">
        <v>2813</v>
      </c>
      <c r="G175" s="3904"/>
    </row>
    <row r="176" spans="1:7">
      <c r="A176" s="1524" t="s">
        <v>2073</v>
      </c>
      <c r="B176" s="3905" t="s">
        <v>2074</v>
      </c>
      <c r="C176" s="3905"/>
      <c r="E176" s="1525" t="s">
        <v>2814</v>
      </c>
      <c r="F176" s="3904" t="s">
        <v>2815</v>
      </c>
      <c r="G176" s="3904"/>
    </row>
    <row r="177" spans="1:7">
      <c r="A177" s="1524" t="s">
        <v>2075</v>
      </c>
      <c r="B177" s="3905" t="s">
        <v>2076</v>
      </c>
      <c r="C177" s="3905"/>
      <c r="E177" s="1525" t="s">
        <v>2816</v>
      </c>
      <c r="F177" s="3904" t="s">
        <v>2817</v>
      </c>
      <c r="G177" s="3904"/>
    </row>
    <row r="178" spans="1:7">
      <c r="A178" s="1524" t="s">
        <v>2077</v>
      </c>
      <c r="B178" s="3905" t="s">
        <v>2078</v>
      </c>
      <c r="C178" s="3905"/>
      <c r="E178" s="1525" t="s">
        <v>2818</v>
      </c>
      <c r="F178" s="3904" t="s">
        <v>2819</v>
      </c>
      <c r="G178" s="3904"/>
    </row>
    <row r="179" spans="1:7">
      <c r="A179" s="1524" t="s">
        <v>2079</v>
      </c>
      <c r="B179" s="3905" t="s">
        <v>2080</v>
      </c>
      <c r="C179" s="3905"/>
      <c r="E179" s="1525" t="s">
        <v>2820</v>
      </c>
      <c r="F179" s="3904" t="s">
        <v>2821</v>
      </c>
      <c r="G179" s="3904"/>
    </row>
    <row r="180" spans="1:7">
      <c r="A180" s="1524" t="s">
        <v>2081</v>
      </c>
      <c r="B180" s="3905" t="s">
        <v>2082</v>
      </c>
      <c r="C180" s="3905"/>
      <c r="E180" s="1525" t="s">
        <v>2822</v>
      </c>
      <c r="F180" s="3904" t="s">
        <v>2823</v>
      </c>
      <c r="G180" s="3904"/>
    </row>
    <row r="181" spans="1:7">
      <c r="A181" s="1524" t="s">
        <v>2083</v>
      </c>
      <c r="B181" s="3905" t="s">
        <v>2084</v>
      </c>
      <c r="C181" s="3905"/>
      <c r="E181" s="1525" t="s">
        <v>2824</v>
      </c>
      <c r="F181" s="3904" t="s">
        <v>2825</v>
      </c>
      <c r="G181" s="3904"/>
    </row>
    <row r="182" spans="1:7">
      <c r="A182" s="1524" t="s">
        <v>2085</v>
      </c>
      <c r="B182" s="3905" t="s">
        <v>2086</v>
      </c>
      <c r="C182" s="3905"/>
      <c r="E182" s="1525" t="s">
        <v>2826</v>
      </c>
      <c r="F182" s="3904" t="s">
        <v>2827</v>
      </c>
      <c r="G182" s="3904"/>
    </row>
    <row r="183" spans="1:7">
      <c r="A183" s="1524" t="s">
        <v>2087</v>
      </c>
      <c r="B183" s="3905" t="s">
        <v>2088</v>
      </c>
      <c r="C183" s="3905"/>
      <c r="E183" s="1525" t="s">
        <v>2828</v>
      </c>
      <c r="F183" s="3904" t="s">
        <v>2829</v>
      </c>
      <c r="G183" s="3904"/>
    </row>
    <row r="184" spans="1:7">
      <c r="A184" s="1524" t="s">
        <v>2089</v>
      </c>
      <c r="B184" s="3905" t="s">
        <v>2090</v>
      </c>
      <c r="C184" s="3905"/>
      <c r="E184" s="1525" t="s">
        <v>2830</v>
      </c>
      <c r="F184" s="3904" t="s">
        <v>2831</v>
      </c>
      <c r="G184" s="3904"/>
    </row>
    <row r="185" spans="1:7">
      <c r="A185" s="1524" t="s">
        <v>2091</v>
      </c>
      <c r="B185" s="3905" t="s">
        <v>2092</v>
      </c>
      <c r="C185" s="3905"/>
      <c r="E185" s="1525" t="s">
        <v>2832</v>
      </c>
      <c r="F185" s="3904" t="s">
        <v>2833</v>
      </c>
      <c r="G185" s="3904"/>
    </row>
    <row r="186" spans="1:7">
      <c r="A186" s="1524" t="s">
        <v>2093</v>
      </c>
      <c r="B186" s="3905" t="s">
        <v>2094</v>
      </c>
      <c r="C186" s="3905"/>
      <c r="E186" s="1525" t="s">
        <v>2834</v>
      </c>
      <c r="F186" s="3904" t="s">
        <v>2835</v>
      </c>
      <c r="G186" s="3904"/>
    </row>
    <row r="187" spans="1:7">
      <c r="A187" s="1524" t="s">
        <v>2095</v>
      </c>
      <c r="B187" s="3905" t="s">
        <v>2096</v>
      </c>
      <c r="C187" s="3905"/>
      <c r="E187" s="1525" t="s">
        <v>2836</v>
      </c>
      <c r="F187" s="3904" t="s">
        <v>2837</v>
      </c>
      <c r="G187" s="3904"/>
    </row>
    <row r="188" spans="1:7">
      <c r="A188" s="1524" t="s">
        <v>2097</v>
      </c>
      <c r="B188" s="3905" t="s">
        <v>2098</v>
      </c>
      <c r="C188" s="3905"/>
      <c r="E188" s="1525" t="s">
        <v>2838</v>
      </c>
      <c r="F188" s="3904" t="s">
        <v>2839</v>
      </c>
      <c r="G188" s="3904"/>
    </row>
    <row r="189" spans="1:7">
      <c r="A189" s="1524" t="s">
        <v>2099</v>
      </c>
      <c r="B189" s="3905" t="s">
        <v>2100</v>
      </c>
      <c r="C189" s="3905"/>
      <c r="E189" s="1525" t="s">
        <v>2840</v>
      </c>
      <c r="F189" s="3904" t="s">
        <v>2841</v>
      </c>
      <c r="G189" s="3904"/>
    </row>
    <row r="190" spans="1:7">
      <c r="A190" s="1524" t="s">
        <v>2101</v>
      </c>
      <c r="B190" s="3905" t="s">
        <v>2102</v>
      </c>
      <c r="C190" s="3905"/>
      <c r="E190" s="1525" t="s">
        <v>2842</v>
      </c>
      <c r="F190" s="3904" t="s">
        <v>2843</v>
      </c>
      <c r="G190" s="3904"/>
    </row>
    <row r="191" spans="1:7">
      <c r="A191" s="1524" t="s">
        <v>2103</v>
      </c>
      <c r="B191" s="3905" t="s">
        <v>2104</v>
      </c>
      <c r="C191" s="3905"/>
      <c r="E191" s="1525" t="s">
        <v>2844</v>
      </c>
      <c r="F191" s="3904" t="s">
        <v>2845</v>
      </c>
      <c r="G191" s="3904"/>
    </row>
    <row r="192" spans="1:7">
      <c r="A192" s="1524" t="s">
        <v>2105</v>
      </c>
      <c r="B192" s="3905" t="s">
        <v>2106</v>
      </c>
      <c r="C192" s="3905"/>
      <c r="E192" s="1525" t="s">
        <v>2846</v>
      </c>
      <c r="F192" s="3904" t="s">
        <v>2847</v>
      </c>
      <c r="G192" s="3904"/>
    </row>
    <row r="193" spans="1:7">
      <c r="A193" s="1524" t="s">
        <v>2107</v>
      </c>
      <c r="B193" s="3905" t="s">
        <v>2108</v>
      </c>
      <c r="C193" s="3905"/>
      <c r="E193" s="1525" t="s">
        <v>2848</v>
      </c>
      <c r="F193" s="3904" t="s">
        <v>2849</v>
      </c>
      <c r="G193" s="3904"/>
    </row>
    <row r="194" spans="1:7">
      <c r="A194" s="1524" t="s">
        <v>2109</v>
      </c>
      <c r="B194" s="3905" t="s">
        <v>2110</v>
      </c>
      <c r="C194" s="3905"/>
      <c r="E194" s="1525" t="s">
        <v>2850</v>
      </c>
      <c r="F194" s="3904" t="s">
        <v>2851</v>
      </c>
      <c r="G194" s="3904"/>
    </row>
    <row r="195" spans="1:7">
      <c r="A195" s="1524" t="s">
        <v>2111</v>
      </c>
      <c r="B195" s="3905" t="s">
        <v>2112</v>
      </c>
      <c r="C195" s="3905"/>
      <c r="E195" s="1525" t="s">
        <v>2852</v>
      </c>
      <c r="F195" s="3904" t="s">
        <v>2853</v>
      </c>
      <c r="G195" s="3904"/>
    </row>
    <row r="196" spans="1:7">
      <c r="A196" s="1524" t="s">
        <v>2113</v>
      </c>
      <c r="B196" s="3905" t="s">
        <v>2114</v>
      </c>
      <c r="C196" s="3905"/>
      <c r="E196" s="1525" t="s">
        <v>2854</v>
      </c>
      <c r="F196" s="3904" t="s">
        <v>2855</v>
      </c>
      <c r="G196" s="3904"/>
    </row>
    <row r="197" spans="1:7">
      <c r="A197" s="1524" t="s">
        <v>2115</v>
      </c>
      <c r="B197" s="3905" t="s">
        <v>2116</v>
      </c>
      <c r="C197" s="3905"/>
      <c r="E197" s="1525" t="s">
        <v>2856</v>
      </c>
      <c r="F197" s="3904" t="s">
        <v>2857</v>
      </c>
      <c r="G197" s="3904"/>
    </row>
    <row r="198" spans="1:7">
      <c r="A198" s="1524" t="s">
        <v>2117</v>
      </c>
      <c r="B198" s="3905" t="s">
        <v>2118</v>
      </c>
      <c r="C198" s="3905"/>
      <c r="E198" s="1525" t="s">
        <v>2858</v>
      </c>
      <c r="F198" s="3904" t="s">
        <v>2859</v>
      </c>
      <c r="G198" s="3904"/>
    </row>
    <row r="199" spans="1:7">
      <c r="A199" s="1524" t="s">
        <v>2119</v>
      </c>
      <c r="B199" s="3905" t="s">
        <v>2120</v>
      </c>
      <c r="C199" s="3905"/>
      <c r="E199" s="1525" t="s">
        <v>2860</v>
      </c>
      <c r="F199" s="3904" t="s">
        <v>2861</v>
      </c>
      <c r="G199" s="3904"/>
    </row>
    <row r="200" spans="1:7">
      <c r="A200" s="1524" t="s">
        <v>2121</v>
      </c>
      <c r="B200" s="3905" t="s">
        <v>2122</v>
      </c>
      <c r="C200" s="3905"/>
      <c r="E200" s="1525" t="s">
        <v>2862</v>
      </c>
      <c r="F200" s="3904" t="s">
        <v>2863</v>
      </c>
      <c r="G200" s="3904"/>
    </row>
    <row r="201" spans="1:7">
      <c r="A201" s="1524" t="s">
        <v>2123</v>
      </c>
      <c r="B201" s="3905" t="s">
        <v>2124</v>
      </c>
      <c r="C201" s="3905"/>
      <c r="E201" s="1525" t="s">
        <v>2864</v>
      </c>
      <c r="F201" s="3904" t="s">
        <v>2865</v>
      </c>
      <c r="G201" s="3904"/>
    </row>
    <row r="202" spans="1:7">
      <c r="A202" s="1524" t="s">
        <v>2125</v>
      </c>
      <c r="B202" s="3905" t="s">
        <v>2126</v>
      </c>
      <c r="C202" s="3905"/>
      <c r="E202" s="1525" t="s">
        <v>2866</v>
      </c>
      <c r="F202" s="3904" t="s">
        <v>2867</v>
      </c>
      <c r="G202" s="3904"/>
    </row>
    <row r="203" spans="1:7">
      <c r="A203" s="1524" t="s">
        <v>2127</v>
      </c>
      <c r="B203" s="3905" t="s">
        <v>2128</v>
      </c>
      <c r="C203" s="3905"/>
      <c r="E203" s="1525" t="s">
        <v>2868</v>
      </c>
      <c r="F203" s="3904" t="s">
        <v>2869</v>
      </c>
      <c r="G203" s="3904"/>
    </row>
    <row r="204" spans="1:7">
      <c r="A204" s="1524" t="s">
        <v>2129</v>
      </c>
      <c r="B204" s="3905" t="s">
        <v>2130</v>
      </c>
      <c r="C204" s="3905"/>
      <c r="E204" s="1525" t="s">
        <v>2870</v>
      </c>
      <c r="F204" s="3904" t="s">
        <v>2871</v>
      </c>
      <c r="G204" s="3904"/>
    </row>
    <row r="205" spans="1:7">
      <c r="A205" s="1524" t="s">
        <v>2131</v>
      </c>
      <c r="B205" s="3905" t="s">
        <v>2132</v>
      </c>
      <c r="C205" s="3905"/>
      <c r="E205" s="1525" t="s">
        <v>2872</v>
      </c>
      <c r="F205" s="3904" t="s">
        <v>2873</v>
      </c>
      <c r="G205" s="3904"/>
    </row>
    <row r="206" spans="1:7">
      <c r="A206" s="1524" t="s">
        <v>2133</v>
      </c>
      <c r="B206" s="3905" t="s">
        <v>2134</v>
      </c>
      <c r="C206" s="3905"/>
      <c r="E206" s="1525" t="s">
        <v>2874</v>
      </c>
      <c r="F206" s="3904" t="s">
        <v>2875</v>
      </c>
      <c r="G206" s="3904"/>
    </row>
    <row r="207" spans="1:7">
      <c r="A207" s="1524" t="s">
        <v>2135</v>
      </c>
      <c r="B207" s="3905" t="s">
        <v>2136</v>
      </c>
      <c r="C207" s="3905"/>
      <c r="E207" s="1525" t="s">
        <v>2876</v>
      </c>
      <c r="F207" s="3904" t="s">
        <v>2877</v>
      </c>
      <c r="G207" s="3904"/>
    </row>
    <row r="208" spans="1:7">
      <c r="A208" s="1524" t="s">
        <v>2137</v>
      </c>
      <c r="B208" s="3905" t="s">
        <v>2138</v>
      </c>
      <c r="C208" s="3905"/>
      <c r="E208" s="1525" t="s">
        <v>2878</v>
      </c>
      <c r="F208" s="3904" t="s">
        <v>2879</v>
      </c>
      <c r="G208" s="3904"/>
    </row>
    <row r="209" spans="1:7">
      <c r="A209" s="1524" t="s">
        <v>2139</v>
      </c>
      <c r="B209" s="3905" t="s">
        <v>2140</v>
      </c>
      <c r="C209" s="3905"/>
      <c r="E209" s="1525" t="s">
        <v>2880</v>
      </c>
      <c r="F209" s="3904" t="s">
        <v>2881</v>
      </c>
      <c r="G209" s="3904"/>
    </row>
    <row r="210" spans="1:7">
      <c r="A210" s="1524" t="s">
        <v>2141</v>
      </c>
      <c r="B210" s="3905" t="s">
        <v>2142</v>
      </c>
      <c r="C210" s="3905"/>
      <c r="E210" s="1525" t="s">
        <v>2882</v>
      </c>
      <c r="F210" s="3904" t="s">
        <v>2883</v>
      </c>
      <c r="G210" s="3904"/>
    </row>
    <row r="211" spans="1:7">
      <c r="A211" s="1524" t="s">
        <v>2143</v>
      </c>
      <c r="B211" s="3905" t="s">
        <v>2144</v>
      </c>
      <c r="C211" s="3905"/>
      <c r="E211" s="1525" t="s">
        <v>2884</v>
      </c>
      <c r="F211" s="3904" t="s">
        <v>2885</v>
      </c>
      <c r="G211" s="3904"/>
    </row>
    <row r="212" spans="1:7">
      <c r="A212" s="1524" t="s">
        <v>2886</v>
      </c>
      <c r="B212" s="3905" t="s">
        <v>2887</v>
      </c>
      <c r="C212" s="3905"/>
      <c r="E212" s="1525" t="s">
        <v>2888</v>
      </c>
      <c r="F212" s="3904" t="s">
        <v>2889</v>
      </c>
      <c r="G212" s="3904"/>
    </row>
    <row r="213" spans="1:7">
      <c r="A213" s="1524" t="s">
        <v>2145</v>
      </c>
      <c r="B213" s="3905" t="s">
        <v>2146</v>
      </c>
      <c r="C213" s="3905"/>
      <c r="E213" s="1525" t="s">
        <v>2890</v>
      </c>
      <c r="F213" s="3904" t="s">
        <v>2891</v>
      </c>
      <c r="G213" s="3904"/>
    </row>
    <row r="214" spans="1:7">
      <c r="A214" s="1524" t="s">
        <v>2147</v>
      </c>
      <c r="B214" s="3905" t="s">
        <v>2148</v>
      </c>
      <c r="C214" s="3905"/>
      <c r="E214" s="1525" t="s">
        <v>2892</v>
      </c>
      <c r="F214" s="3904" t="s">
        <v>2893</v>
      </c>
      <c r="G214" s="3904"/>
    </row>
    <row r="215" spans="1:7">
      <c r="A215" s="1524" t="s">
        <v>2149</v>
      </c>
      <c r="B215" s="3905" t="s">
        <v>2150</v>
      </c>
      <c r="C215" s="3905"/>
      <c r="E215" s="1525" t="s">
        <v>2894</v>
      </c>
      <c r="F215" s="3904" t="s">
        <v>2895</v>
      </c>
      <c r="G215" s="3904"/>
    </row>
    <row r="216" spans="1:7">
      <c r="A216" s="1524" t="s">
        <v>2151</v>
      </c>
      <c r="B216" s="3905" t="s">
        <v>2152</v>
      </c>
      <c r="C216" s="3905"/>
      <c r="E216" s="1525" t="s">
        <v>2896</v>
      </c>
      <c r="F216" s="3904" t="s">
        <v>2897</v>
      </c>
      <c r="G216" s="3904"/>
    </row>
    <row r="217" spans="1:7">
      <c r="A217" s="1524" t="s">
        <v>2153</v>
      </c>
      <c r="B217" s="3905" t="s">
        <v>2154</v>
      </c>
      <c r="C217" s="3905"/>
      <c r="E217" s="1525" t="s">
        <v>2898</v>
      </c>
      <c r="F217" s="3904" t="s">
        <v>2899</v>
      </c>
      <c r="G217" s="3904"/>
    </row>
    <row r="218" spans="1:7">
      <c r="A218" s="1524" t="s">
        <v>2155</v>
      </c>
      <c r="B218" s="3905" t="s">
        <v>2156</v>
      </c>
      <c r="C218" s="3905"/>
      <c r="E218" s="1525" t="s">
        <v>2900</v>
      </c>
      <c r="F218" s="3904" t="s">
        <v>2901</v>
      </c>
      <c r="G218" s="3904"/>
    </row>
    <row r="219" spans="1:7">
      <c r="A219" s="1524" t="s">
        <v>2157</v>
      </c>
      <c r="B219" s="3905" t="s">
        <v>2158</v>
      </c>
      <c r="C219" s="3905"/>
      <c r="E219" s="1525" t="s">
        <v>2902</v>
      </c>
      <c r="F219" s="3904" t="s">
        <v>2903</v>
      </c>
      <c r="G219" s="3904"/>
    </row>
    <row r="220" spans="1:7">
      <c r="A220" s="1524" t="s">
        <v>2159</v>
      </c>
      <c r="B220" s="3905" t="s">
        <v>2160</v>
      </c>
      <c r="C220" s="3905"/>
      <c r="E220" s="1525" t="s">
        <v>2904</v>
      </c>
      <c r="F220" s="3904" t="s">
        <v>2905</v>
      </c>
      <c r="G220" s="3904"/>
    </row>
    <row r="221" spans="1:7">
      <c r="A221" s="1524" t="s">
        <v>2161</v>
      </c>
      <c r="B221" s="3905" t="s">
        <v>2162</v>
      </c>
      <c r="C221" s="3905"/>
      <c r="E221" s="1525" t="s">
        <v>2906</v>
      </c>
      <c r="F221" s="3904" t="s">
        <v>2907</v>
      </c>
      <c r="G221" s="3904"/>
    </row>
    <row r="222" spans="1:7">
      <c r="A222" s="1524" t="s">
        <v>2163</v>
      </c>
      <c r="B222" s="3905" t="s">
        <v>2164</v>
      </c>
      <c r="C222" s="3905"/>
      <c r="E222" s="1525" t="s">
        <v>2908</v>
      </c>
      <c r="F222" s="3904" t="s">
        <v>2909</v>
      </c>
      <c r="G222" s="3904"/>
    </row>
    <row r="223" spans="1:7">
      <c r="A223" s="1524" t="s">
        <v>2910</v>
      </c>
      <c r="B223" s="3905" t="s">
        <v>2911</v>
      </c>
      <c r="C223" s="3905"/>
      <c r="E223" s="1525" t="s">
        <v>2912</v>
      </c>
      <c r="F223" s="3904" t="s">
        <v>2913</v>
      </c>
      <c r="G223" s="3904"/>
    </row>
    <row r="224" spans="1:7">
      <c r="A224" s="1524" t="s">
        <v>2165</v>
      </c>
      <c r="B224" s="3905" t="s">
        <v>2166</v>
      </c>
      <c r="C224" s="3905"/>
      <c r="E224" s="1525" t="s">
        <v>2914</v>
      </c>
      <c r="F224" s="3904" t="s">
        <v>2915</v>
      </c>
      <c r="G224" s="3904"/>
    </row>
    <row r="225" spans="1:7">
      <c r="A225" s="1524" t="s">
        <v>2167</v>
      </c>
      <c r="B225" s="3905" t="s">
        <v>2168</v>
      </c>
      <c r="C225" s="3905"/>
      <c r="E225" s="1525" t="s">
        <v>2916</v>
      </c>
      <c r="F225" s="3904" t="s">
        <v>2917</v>
      </c>
      <c r="G225" s="3904"/>
    </row>
    <row r="226" spans="1:7">
      <c r="A226" s="1524" t="s">
        <v>2169</v>
      </c>
      <c r="B226" s="3905" t="s">
        <v>2170</v>
      </c>
      <c r="C226" s="3905"/>
      <c r="E226" s="1525" t="s">
        <v>2918</v>
      </c>
      <c r="F226" s="3904" t="s">
        <v>2919</v>
      </c>
      <c r="G226" s="3904"/>
    </row>
    <row r="227" spans="1:7">
      <c r="A227" s="1524" t="s">
        <v>2171</v>
      </c>
      <c r="B227" s="3905" t="s">
        <v>2172</v>
      </c>
      <c r="C227" s="3905"/>
      <c r="E227" s="1525" t="s">
        <v>2920</v>
      </c>
      <c r="F227" s="3904" t="s">
        <v>2921</v>
      </c>
      <c r="G227" s="3904"/>
    </row>
    <row r="228" spans="1:7">
      <c r="A228" s="1524" t="s">
        <v>2173</v>
      </c>
      <c r="B228" s="3905" t="s">
        <v>2174</v>
      </c>
      <c r="C228" s="3905"/>
      <c r="E228" s="1525" t="s">
        <v>2922</v>
      </c>
      <c r="F228" s="3904" t="s">
        <v>2923</v>
      </c>
      <c r="G228" s="3904"/>
    </row>
    <row r="229" spans="1:7">
      <c r="A229" s="1524" t="s">
        <v>2175</v>
      </c>
      <c r="B229" s="3905" t="s">
        <v>2176</v>
      </c>
      <c r="C229" s="3905"/>
      <c r="E229" s="1525" t="s">
        <v>2924</v>
      </c>
      <c r="F229" s="3904" t="s">
        <v>2925</v>
      </c>
      <c r="G229" s="3904"/>
    </row>
    <row r="230" spans="1:7">
      <c r="A230" s="1524" t="s">
        <v>2177</v>
      </c>
      <c r="B230" s="3905" t="s">
        <v>2178</v>
      </c>
      <c r="C230" s="3905"/>
      <c r="E230" s="1525" t="s">
        <v>2926</v>
      </c>
      <c r="F230" s="3904" t="s">
        <v>2927</v>
      </c>
      <c r="G230" s="3904"/>
    </row>
    <row r="231" spans="1:7">
      <c r="A231" s="1524" t="s">
        <v>2179</v>
      </c>
      <c r="B231" s="3905" t="s">
        <v>2180</v>
      </c>
      <c r="C231" s="3905"/>
      <c r="E231" s="1525" t="s">
        <v>2928</v>
      </c>
      <c r="F231" s="3904" t="s">
        <v>2929</v>
      </c>
      <c r="G231" s="3904"/>
    </row>
    <row r="232" spans="1:7">
      <c r="A232" s="1524" t="s">
        <v>2181</v>
      </c>
      <c r="B232" s="3905" t="s">
        <v>2182</v>
      </c>
      <c r="C232" s="3905"/>
      <c r="E232" s="1525" t="s">
        <v>2930</v>
      </c>
      <c r="F232" s="3904" t="s">
        <v>2931</v>
      </c>
      <c r="G232" s="3904"/>
    </row>
    <row r="233" spans="1:7">
      <c r="A233" s="1524" t="s">
        <v>2183</v>
      </c>
      <c r="B233" s="3905" t="s">
        <v>2184</v>
      </c>
      <c r="C233" s="3905"/>
      <c r="E233" s="1525" t="s">
        <v>2932</v>
      </c>
      <c r="F233" s="3904" t="s">
        <v>2933</v>
      </c>
      <c r="G233" s="3904"/>
    </row>
    <row r="234" spans="1:7">
      <c r="A234" s="1524" t="s">
        <v>2185</v>
      </c>
      <c r="B234" s="3905" t="s">
        <v>2186</v>
      </c>
      <c r="C234" s="3905"/>
      <c r="E234" s="1525" t="s">
        <v>2934</v>
      </c>
      <c r="F234" s="3904" t="s">
        <v>2935</v>
      </c>
      <c r="G234" s="3904"/>
    </row>
    <row r="235" spans="1:7">
      <c r="A235" s="1524" t="s">
        <v>2187</v>
      </c>
      <c r="B235" s="3905" t="s">
        <v>2188</v>
      </c>
      <c r="C235" s="3905"/>
      <c r="E235" s="1525" t="s">
        <v>2936</v>
      </c>
      <c r="F235" s="3904" t="s">
        <v>2937</v>
      </c>
      <c r="G235" s="3904"/>
    </row>
    <row r="236" spans="1:7">
      <c r="A236" s="1524" t="s">
        <v>2189</v>
      </c>
      <c r="B236" s="3905" t="s">
        <v>2190</v>
      </c>
      <c r="C236" s="3905"/>
      <c r="E236" s="1525" t="s">
        <v>2938</v>
      </c>
      <c r="F236" s="3904" t="s">
        <v>2939</v>
      </c>
      <c r="G236" s="3904"/>
    </row>
    <row r="237" spans="1:7">
      <c r="A237" s="1524" t="s">
        <v>2191</v>
      </c>
      <c r="B237" s="3905" t="s">
        <v>2192</v>
      </c>
      <c r="C237" s="3905"/>
      <c r="E237" s="1525" t="s">
        <v>2940</v>
      </c>
      <c r="F237" s="3904" t="s">
        <v>2941</v>
      </c>
      <c r="G237" s="3904"/>
    </row>
    <row r="238" spans="1:7">
      <c r="A238" s="1524" t="s">
        <v>2193</v>
      </c>
      <c r="B238" s="3905" t="s">
        <v>2194</v>
      </c>
      <c r="C238" s="3905"/>
      <c r="E238" s="1525" t="s">
        <v>2942</v>
      </c>
      <c r="F238" s="3904" t="s">
        <v>2943</v>
      </c>
      <c r="G238" s="3904"/>
    </row>
    <row r="239" spans="1:7">
      <c r="A239" s="1524" t="s">
        <v>2195</v>
      </c>
      <c r="B239" s="3905" t="s">
        <v>2196</v>
      </c>
      <c r="C239" s="3905"/>
      <c r="E239" s="1525" t="s">
        <v>2944</v>
      </c>
      <c r="F239" s="3904" t="s">
        <v>2945</v>
      </c>
      <c r="G239" s="3904"/>
    </row>
    <row r="240" spans="1:7">
      <c r="A240" s="1524" t="s">
        <v>2197</v>
      </c>
      <c r="B240" s="3905" t="s">
        <v>2198</v>
      </c>
      <c r="C240" s="3905"/>
      <c r="E240" s="1525" t="s">
        <v>2946</v>
      </c>
      <c r="F240" s="3904" t="s">
        <v>2947</v>
      </c>
      <c r="G240" s="3904"/>
    </row>
    <row r="241" spans="1:7">
      <c r="A241" s="1524" t="s">
        <v>2199</v>
      </c>
      <c r="B241" s="3905" t="s">
        <v>2200</v>
      </c>
      <c r="C241" s="3905"/>
      <c r="E241" s="1525" t="s">
        <v>2948</v>
      </c>
      <c r="F241" s="3904" t="s">
        <v>2949</v>
      </c>
      <c r="G241" s="3904"/>
    </row>
    <row r="242" spans="1:7">
      <c r="A242" s="1524" t="s">
        <v>2201</v>
      </c>
      <c r="B242" s="3905" t="s">
        <v>2202</v>
      </c>
      <c r="C242" s="3905"/>
      <c r="E242" s="1525" t="s">
        <v>2950</v>
      </c>
      <c r="F242" s="3904" t="s">
        <v>2951</v>
      </c>
      <c r="G242" s="3904"/>
    </row>
    <row r="243" spans="1:7">
      <c r="A243" s="1524" t="s">
        <v>2203</v>
      </c>
      <c r="B243" s="3905" t="s">
        <v>2204</v>
      </c>
      <c r="C243" s="3905"/>
      <c r="E243" s="1525" t="s">
        <v>2952</v>
      </c>
      <c r="F243" s="3904" t="s">
        <v>2953</v>
      </c>
      <c r="G243" s="3904"/>
    </row>
    <row r="244" spans="1:7">
      <c r="A244" s="1524" t="s">
        <v>2205</v>
      </c>
      <c r="B244" s="3905" t="s">
        <v>2206</v>
      </c>
      <c r="C244" s="3905"/>
      <c r="E244" s="1525" t="s">
        <v>2954</v>
      </c>
      <c r="F244" s="3904" t="s">
        <v>2955</v>
      </c>
      <c r="G244" s="3904"/>
    </row>
    <row r="245" spans="1:7">
      <c r="A245" s="1524" t="s">
        <v>2207</v>
      </c>
      <c r="B245" s="3905" t="s">
        <v>2208</v>
      </c>
      <c r="C245" s="3905"/>
      <c r="E245" s="1525" t="s">
        <v>2956</v>
      </c>
      <c r="F245" s="3904" t="s">
        <v>2957</v>
      </c>
      <c r="G245" s="3904"/>
    </row>
    <row r="246" spans="1:7">
      <c r="A246" s="1524" t="s">
        <v>2209</v>
      </c>
      <c r="B246" s="3905" t="s">
        <v>2210</v>
      </c>
      <c r="C246" s="3905"/>
      <c r="E246" s="1525" t="s">
        <v>2958</v>
      </c>
      <c r="F246" s="3904" t="s">
        <v>2959</v>
      </c>
      <c r="G246" s="3904"/>
    </row>
    <row r="247" spans="1:7">
      <c r="A247" s="1524" t="s">
        <v>2211</v>
      </c>
      <c r="B247" s="3905" t="s">
        <v>2212</v>
      </c>
      <c r="C247" s="3905"/>
      <c r="E247" s="1525" t="s">
        <v>2960</v>
      </c>
      <c r="F247" s="3904" t="s">
        <v>2961</v>
      </c>
      <c r="G247" s="3904"/>
    </row>
    <row r="248" spans="1:7">
      <c r="A248" s="1524" t="s">
        <v>2213</v>
      </c>
      <c r="B248" s="3905" t="s">
        <v>2214</v>
      </c>
      <c r="C248" s="3905"/>
      <c r="E248" s="1525" t="s">
        <v>2962</v>
      </c>
      <c r="F248" s="3904" t="s">
        <v>2963</v>
      </c>
      <c r="G248" s="3904"/>
    </row>
    <row r="249" spans="1:7">
      <c r="A249" s="1524" t="s">
        <v>2215</v>
      </c>
      <c r="B249" s="3905" t="s">
        <v>2216</v>
      </c>
      <c r="C249" s="3905"/>
      <c r="E249" s="1525" t="s">
        <v>2964</v>
      </c>
      <c r="F249" s="3904" t="s">
        <v>2965</v>
      </c>
      <c r="G249" s="3904"/>
    </row>
    <row r="250" spans="1:7">
      <c r="A250" s="1524" t="s">
        <v>2217</v>
      </c>
      <c r="B250" s="3905" t="s">
        <v>2218</v>
      </c>
      <c r="C250" s="3905"/>
      <c r="E250" s="1525" t="s">
        <v>2966</v>
      </c>
      <c r="F250" s="3904" t="s">
        <v>2967</v>
      </c>
      <c r="G250" s="3904"/>
    </row>
    <row r="251" spans="1:7">
      <c r="A251" s="1524" t="s">
        <v>2219</v>
      </c>
      <c r="B251" s="3905" t="s">
        <v>2220</v>
      </c>
      <c r="C251" s="3905"/>
      <c r="E251" s="1525" t="s">
        <v>2968</v>
      </c>
      <c r="F251" s="3904" t="s">
        <v>2969</v>
      </c>
      <c r="G251" s="3904"/>
    </row>
    <row r="252" spans="1:7">
      <c r="A252" s="1524" t="s">
        <v>2221</v>
      </c>
      <c r="B252" s="3905" t="s">
        <v>2222</v>
      </c>
      <c r="C252" s="3905"/>
      <c r="E252" s="1525" t="s">
        <v>2970</v>
      </c>
      <c r="F252" s="3904" t="s">
        <v>2971</v>
      </c>
      <c r="G252" s="3904"/>
    </row>
    <row r="253" spans="1:7">
      <c r="A253" s="1524" t="s">
        <v>2223</v>
      </c>
      <c r="B253" s="3905" t="s">
        <v>2224</v>
      </c>
      <c r="C253" s="3905"/>
      <c r="E253" s="1525" t="s">
        <v>2972</v>
      </c>
      <c r="F253" s="3904" t="s">
        <v>2973</v>
      </c>
      <c r="G253" s="3904"/>
    </row>
    <row r="254" spans="1:7">
      <c r="A254" s="1524" t="s">
        <v>2225</v>
      </c>
      <c r="B254" s="3905" t="s">
        <v>2226</v>
      </c>
      <c r="C254" s="3905"/>
      <c r="E254" s="1525" t="s">
        <v>2974</v>
      </c>
      <c r="F254" s="3904" t="s">
        <v>2975</v>
      </c>
      <c r="G254" s="3904"/>
    </row>
    <row r="255" spans="1:7">
      <c r="A255" s="1524" t="s">
        <v>2976</v>
      </c>
      <c r="B255" s="3905" t="s">
        <v>2977</v>
      </c>
      <c r="C255" s="3905"/>
      <c r="E255" s="1525" t="s">
        <v>2978</v>
      </c>
      <c r="F255" s="3904" t="s">
        <v>2979</v>
      </c>
      <c r="G255" s="3904"/>
    </row>
    <row r="256" spans="1:7">
      <c r="A256" s="1524" t="s">
        <v>2227</v>
      </c>
      <c r="B256" s="3905" t="s">
        <v>2228</v>
      </c>
      <c r="C256" s="3905"/>
      <c r="E256" s="1525" t="s">
        <v>2980</v>
      </c>
      <c r="F256" s="3904" t="s">
        <v>2981</v>
      </c>
      <c r="G256" s="3904"/>
    </row>
    <row r="257" spans="1:7">
      <c r="A257" s="1524" t="s">
        <v>2229</v>
      </c>
      <c r="B257" s="3905" t="s">
        <v>2230</v>
      </c>
      <c r="C257" s="3905"/>
      <c r="E257" s="1525" t="s">
        <v>2982</v>
      </c>
      <c r="F257" s="3904" t="s">
        <v>2983</v>
      </c>
      <c r="G257" s="3904"/>
    </row>
    <row r="258" spans="1:7">
      <c r="A258" s="1524" t="s">
        <v>2231</v>
      </c>
      <c r="B258" s="3905" t="s">
        <v>2232</v>
      </c>
      <c r="C258" s="3905"/>
      <c r="E258" s="1525" t="s">
        <v>2984</v>
      </c>
      <c r="F258" s="3904" t="s">
        <v>2985</v>
      </c>
      <c r="G258" s="3904"/>
    </row>
    <row r="259" spans="1:7">
      <c r="A259" s="1524" t="s">
        <v>2233</v>
      </c>
      <c r="B259" s="3905" t="s">
        <v>2234</v>
      </c>
      <c r="C259" s="3905"/>
      <c r="E259" s="1525" t="s">
        <v>2986</v>
      </c>
      <c r="F259" s="3904" t="s">
        <v>2987</v>
      </c>
      <c r="G259" s="3904"/>
    </row>
    <row r="260" spans="1:7">
      <c r="A260" s="1524" t="s">
        <v>2988</v>
      </c>
      <c r="B260" s="3905" t="s">
        <v>2977</v>
      </c>
      <c r="C260" s="3905"/>
      <c r="E260" s="1525" t="s">
        <v>2989</v>
      </c>
      <c r="F260" s="3904" t="s">
        <v>2990</v>
      </c>
      <c r="G260" s="3904"/>
    </row>
    <row r="261" spans="1:7">
      <c r="A261" s="1524" t="s">
        <v>2235</v>
      </c>
      <c r="B261" s="3905" t="s">
        <v>2236</v>
      </c>
      <c r="C261" s="3905"/>
      <c r="E261" s="1525" t="s">
        <v>2991</v>
      </c>
      <c r="F261" s="3904" t="s">
        <v>2992</v>
      </c>
      <c r="G261" s="3904"/>
    </row>
    <row r="262" spans="1:7">
      <c r="A262" s="1524" t="s">
        <v>2237</v>
      </c>
      <c r="B262" s="3905" t="s">
        <v>2238</v>
      </c>
      <c r="C262" s="3905"/>
      <c r="E262" s="1525" t="s">
        <v>2993</v>
      </c>
      <c r="F262" s="3904" t="s">
        <v>2994</v>
      </c>
      <c r="G262" s="3904"/>
    </row>
    <row r="263" spans="1:7">
      <c r="A263" s="1524" t="s">
        <v>2239</v>
      </c>
      <c r="B263" s="3905" t="s">
        <v>2240</v>
      </c>
      <c r="C263" s="3905"/>
      <c r="E263" s="1525" t="s">
        <v>2995</v>
      </c>
      <c r="F263" s="3904" t="s">
        <v>2996</v>
      </c>
      <c r="G263" s="3904"/>
    </row>
    <row r="264" spans="1:7">
      <c r="A264" s="1524" t="s">
        <v>2241</v>
      </c>
      <c r="B264" s="3905" t="s">
        <v>2242</v>
      </c>
      <c r="C264" s="3905"/>
      <c r="E264" s="1525" t="s">
        <v>2997</v>
      </c>
      <c r="F264" s="3904" t="s">
        <v>2998</v>
      </c>
      <c r="G264" s="3904"/>
    </row>
    <row r="265" spans="1:7">
      <c r="A265" s="1524" t="s">
        <v>2243</v>
      </c>
      <c r="B265" s="3905" t="s">
        <v>2244</v>
      </c>
      <c r="C265" s="3905"/>
      <c r="E265" s="1525" t="s">
        <v>2999</v>
      </c>
      <c r="F265" s="3904" t="s">
        <v>3000</v>
      </c>
      <c r="G265" s="3904"/>
    </row>
    <row r="266" spans="1:7">
      <c r="A266" s="1524" t="s">
        <v>2245</v>
      </c>
      <c r="B266" s="3905" t="s">
        <v>2246</v>
      </c>
      <c r="C266" s="3905"/>
      <c r="E266" s="1525" t="s">
        <v>3001</v>
      </c>
      <c r="F266" s="3904" t="s">
        <v>3002</v>
      </c>
      <c r="G266" s="3904"/>
    </row>
    <row r="267" spans="1:7">
      <c r="A267" s="1524" t="s">
        <v>3003</v>
      </c>
      <c r="B267" s="3905" t="s">
        <v>3004</v>
      </c>
      <c r="C267" s="3905"/>
      <c r="E267" s="1525" t="s">
        <v>3005</v>
      </c>
      <c r="F267" s="3904" t="s">
        <v>3006</v>
      </c>
      <c r="G267" s="3904"/>
    </row>
    <row r="268" spans="1:7">
      <c r="A268" s="1524" t="s">
        <v>2247</v>
      </c>
      <c r="B268" s="3905" t="s">
        <v>2248</v>
      </c>
      <c r="C268" s="3905"/>
      <c r="E268" s="1525" t="s">
        <v>3007</v>
      </c>
      <c r="F268" s="3904" t="s">
        <v>3008</v>
      </c>
      <c r="G268" s="3904"/>
    </row>
    <row r="269" spans="1:7">
      <c r="A269" s="1524" t="s">
        <v>2249</v>
      </c>
      <c r="B269" s="3905" t="s">
        <v>2250</v>
      </c>
      <c r="C269" s="3905"/>
      <c r="E269" s="1525" t="s">
        <v>3009</v>
      </c>
      <c r="F269" s="3904" t="s">
        <v>3010</v>
      </c>
      <c r="G269" s="3904"/>
    </row>
    <row r="270" spans="1:7">
      <c r="A270" s="1524" t="s">
        <v>2251</v>
      </c>
      <c r="B270" s="3905" t="s">
        <v>2252</v>
      </c>
      <c r="C270" s="3905"/>
      <c r="E270" s="1525" t="s">
        <v>3011</v>
      </c>
      <c r="F270" s="3904" t="s">
        <v>3012</v>
      </c>
      <c r="G270" s="3904"/>
    </row>
    <row r="271" spans="1:7">
      <c r="A271" s="1524" t="s">
        <v>2253</v>
      </c>
      <c r="B271" s="3905" t="s">
        <v>2254</v>
      </c>
      <c r="C271" s="3905"/>
      <c r="E271" s="1525" t="s">
        <v>3013</v>
      </c>
      <c r="F271" s="3904" t="s">
        <v>3014</v>
      </c>
      <c r="G271" s="3904"/>
    </row>
    <row r="272" spans="1:7">
      <c r="A272" s="1524" t="s">
        <v>2255</v>
      </c>
      <c r="B272" s="3905" t="s">
        <v>2256</v>
      </c>
      <c r="C272" s="3905"/>
      <c r="E272" s="1525" t="s">
        <v>3015</v>
      </c>
      <c r="F272" s="3904" t="s">
        <v>3016</v>
      </c>
      <c r="G272" s="3904"/>
    </row>
    <row r="273" spans="1:7">
      <c r="A273" s="1524" t="s">
        <v>2257</v>
      </c>
      <c r="B273" s="3905" t="s">
        <v>2258</v>
      </c>
      <c r="C273" s="3905"/>
      <c r="E273" s="1525" t="s">
        <v>3017</v>
      </c>
      <c r="F273" s="3904" t="s">
        <v>3018</v>
      </c>
      <c r="G273" s="3904"/>
    </row>
    <row r="274" spans="1:7">
      <c r="A274" s="1524" t="s">
        <v>2259</v>
      </c>
      <c r="B274" s="3905" t="s">
        <v>2260</v>
      </c>
      <c r="C274" s="3905"/>
      <c r="E274" s="1525" t="s">
        <v>3019</v>
      </c>
      <c r="F274" s="3904" t="s">
        <v>3020</v>
      </c>
      <c r="G274" s="3904"/>
    </row>
    <row r="275" spans="1:7">
      <c r="A275" s="1524" t="s">
        <v>2261</v>
      </c>
      <c r="B275" s="3905" t="s">
        <v>2262</v>
      </c>
      <c r="C275" s="3905"/>
      <c r="E275" s="1525" t="s">
        <v>3021</v>
      </c>
      <c r="F275" s="3904" t="s">
        <v>3022</v>
      </c>
      <c r="G275" s="3904"/>
    </row>
    <row r="276" spans="1:7">
      <c r="A276" s="1524" t="s">
        <v>2263</v>
      </c>
      <c r="B276" s="3905" t="s">
        <v>2264</v>
      </c>
      <c r="C276" s="3905"/>
      <c r="E276" s="1525" t="s">
        <v>3023</v>
      </c>
      <c r="F276" s="3904" t="s">
        <v>3024</v>
      </c>
      <c r="G276" s="3904"/>
    </row>
    <row r="277" spans="1:7">
      <c r="A277" s="1524" t="s">
        <v>2265</v>
      </c>
      <c r="B277" s="3905" t="s">
        <v>2266</v>
      </c>
      <c r="C277" s="3905"/>
      <c r="E277" s="1525" t="s">
        <v>3025</v>
      </c>
      <c r="F277" s="3904" t="s">
        <v>3026</v>
      </c>
      <c r="G277" s="3904"/>
    </row>
    <row r="278" spans="1:7">
      <c r="A278" s="1524" t="s">
        <v>3027</v>
      </c>
      <c r="B278" s="3905" t="s">
        <v>3028</v>
      </c>
      <c r="C278" s="3905"/>
      <c r="E278" s="1525" t="s">
        <v>3029</v>
      </c>
      <c r="F278" s="3904" t="s">
        <v>3030</v>
      </c>
      <c r="G278" s="3904"/>
    </row>
    <row r="279" spans="1:7">
      <c r="A279" s="1524" t="s">
        <v>3031</v>
      </c>
      <c r="B279" s="3905" t="s">
        <v>3032</v>
      </c>
      <c r="C279" s="3905"/>
      <c r="E279" s="1525" t="s">
        <v>3033</v>
      </c>
      <c r="F279" s="3904" t="s">
        <v>3034</v>
      </c>
      <c r="G279" s="3904"/>
    </row>
    <row r="280" spans="1:7">
      <c r="A280" s="1524" t="s">
        <v>2267</v>
      </c>
      <c r="B280" s="3905" t="s">
        <v>2268</v>
      </c>
      <c r="C280" s="3905"/>
      <c r="E280" s="1525" t="s">
        <v>3035</v>
      </c>
      <c r="F280" s="3904" t="s">
        <v>3036</v>
      </c>
      <c r="G280" s="3904"/>
    </row>
    <row r="281" spans="1:7">
      <c r="A281" s="1524" t="s">
        <v>2269</v>
      </c>
      <c r="B281" s="3905" t="s">
        <v>2270</v>
      </c>
      <c r="C281" s="3905"/>
      <c r="E281" s="1525" t="s">
        <v>3037</v>
      </c>
      <c r="F281" s="3904" t="s">
        <v>3038</v>
      </c>
      <c r="G281" s="3904"/>
    </row>
    <row r="282" spans="1:7">
      <c r="A282" s="1524" t="s">
        <v>2271</v>
      </c>
      <c r="B282" s="3905" t="s">
        <v>2272</v>
      </c>
      <c r="C282" s="3905"/>
      <c r="E282" s="1525" t="s">
        <v>3039</v>
      </c>
      <c r="F282" s="3904" t="s">
        <v>3040</v>
      </c>
      <c r="G282" s="3904"/>
    </row>
    <row r="283" spans="1:7">
      <c r="A283" s="1524" t="s">
        <v>2273</v>
      </c>
      <c r="B283" s="3905" t="s">
        <v>2274</v>
      </c>
      <c r="C283" s="3905"/>
      <c r="E283" s="1525" t="s">
        <v>3041</v>
      </c>
      <c r="F283" s="3904" t="s">
        <v>3042</v>
      </c>
      <c r="G283" s="3904"/>
    </row>
    <row r="284" spans="1:7">
      <c r="A284" s="1524" t="s">
        <v>2275</v>
      </c>
      <c r="B284" s="3905" t="s">
        <v>2276</v>
      </c>
      <c r="C284" s="3905"/>
      <c r="E284" s="1525" t="s">
        <v>3043</v>
      </c>
      <c r="F284" s="3904" t="s">
        <v>3044</v>
      </c>
      <c r="G284" s="3904"/>
    </row>
    <row r="285" spans="1:7">
      <c r="A285" s="1524" t="s">
        <v>2277</v>
      </c>
      <c r="B285" s="3905" t="s">
        <v>2278</v>
      </c>
      <c r="C285" s="3905"/>
      <c r="E285" s="1525" t="s">
        <v>3045</v>
      </c>
      <c r="F285" s="3904" t="s">
        <v>3046</v>
      </c>
      <c r="G285" s="3904"/>
    </row>
    <row r="286" spans="1:7">
      <c r="A286" s="1524" t="s">
        <v>2279</v>
      </c>
      <c r="B286" s="3905" t="s">
        <v>2280</v>
      </c>
      <c r="C286" s="3905"/>
      <c r="E286" s="1525" t="s">
        <v>3047</v>
      </c>
      <c r="F286" s="3904" t="s">
        <v>3048</v>
      </c>
      <c r="G286" s="3904"/>
    </row>
    <row r="287" spans="1:7">
      <c r="A287" s="1524" t="s">
        <v>2281</v>
      </c>
      <c r="B287" s="3905" t="s">
        <v>2282</v>
      </c>
      <c r="C287" s="3905"/>
      <c r="E287" s="1525" t="s">
        <v>3049</v>
      </c>
      <c r="F287" s="3904" t="s">
        <v>3050</v>
      </c>
      <c r="G287" s="3904"/>
    </row>
    <row r="288" spans="1:7">
      <c r="A288" s="1524" t="s">
        <v>2283</v>
      </c>
      <c r="B288" s="3905" t="s">
        <v>2284</v>
      </c>
      <c r="C288" s="3905"/>
      <c r="E288" s="1525" t="s">
        <v>3051</v>
      </c>
      <c r="F288" s="3904" t="s">
        <v>3052</v>
      </c>
      <c r="G288" s="3904"/>
    </row>
    <row r="289" spans="1:7">
      <c r="A289" s="1524" t="s">
        <v>2285</v>
      </c>
      <c r="B289" s="3905" t="s">
        <v>2286</v>
      </c>
      <c r="C289" s="3905"/>
      <c r="E289" s="1525" t="s">
        <v>3053</v>
      </c>
      <c r="F289" s="3904" t="s">
        <v>3054</v>
      </c>
      <c r="G289" s="3904"/>
    </row>
    <row r="290" spans="1:7">
      <c r="A290" s="1524" t="s">
        <v>2287</v>
      </c>
      <c r="B290" s="3905" t="s">
        <v>2288</v>
      </c>
      <c r="C290" s="3905"/>
      <c r="E290" s="1525" t="s">
        <v>3055</v>
      </c>
      <c r="F290" s="3904" t="s">
        <v>3056</v>
      </c>
      <c r="G290" s="3904"/>
    </row>
    <row r="291" spans="1:7">
      <c r="A291" s="1524" t="s">
        <v>2289</v>
      </c>
      <c r="B291" s="3905" t="s">
        <v>2290</v>
      </c>
      <c r="C291" s="3905"/>
      <c r="E291" s="1525" t="s">
        <v>3057</v>
      </c>
      <c r="F291" s="3904" t="s">
        <v>3058</v>
      </c>
      <c r="G291" s="3904"/>
    </row>
    <row r="292" spans="1:7">
      <c r="A292" s="1524" t="s">
        <v>2291</v>
      </c>
      <c r="B292" s="3905" t="s">
        <v>2292</v>
      </c>
      <c r="C292" s="3905"/>
      <c r="E292" s="1525" t="s">
        <v>3059</v>
      </c>
      <c r="F292" s="3904" t="s">
        <v>3060</v>
      </c>
      <c r="G292" s="3904"/>
    </row>
    <row r="293" spans="1:7">
      <c r="A293" s="1524" t="s">
        <v>2293</v>
      </c>
      <c r="B293" s="3905" t="s">
        <v>2294</v>
      </c>
      <c r="C293" s="3905"/>
      <c r="E293" s="1525" t="s">
        <v>3061</v>
      </c>
      <c r="F293" s="3904" t="s">
        <v>3062</v>
      </c>
      <c r="G293" s="3904"/>
    </row>
    <row r="294" spans="1:7">
      <c r="A294" s="1524" t="s">
        <v>2295</v>
      </c>
      <c r="B294" s="3905" t="s">
        <v>2296</v>
      </c>
      <c r="C294" s="3905"/>
      <c r="E294" s="1525" t="s">
        <v>3063</v>
      </c>
      <c r="F294" s="3904" t="s">
        <v>3064</v>
      </c>
      <c r="G294" s="3904"/>
    </row>
    <row r="295" spans="1:7">
      <c r="A295" s="1524" t="s">
        <v>2297</v>
      </c>
      <c r="B295" s="3905" t="s">
        <v>2298</v>
      </c>
      <c r="C295" s="3905"/>
      <c r="E295" s="1525" t="s">
        <v>3065</v>
      </c>
      <c r="F295" s="3904" t="s">
        <v>3066</v>
      </c>
      <c r="G295" s="3904"/>
    </row>
    <row r="296" spans="1:7">
      <c r="A296" s="1524" t="s">
        <v>2299</v>
      </c>
      <c r="B296" s="3905" t="s">
        <v>2300</v>
      </c>
      <c r="C296" s="3905"/>
      <c r="E296" s="1525" t="s">
        <v>3067</v>
      </c>
      <c r="F296" s="3904" t="s">
        <v>3068</v>
      </c>
      <c r="G296" s="3904"/>
    </row>
    <row r="297" spans="1:7">
      <c r="A297" s="1524" t="s">
        <v>2301</v>
      </c>
      <c r="B297" s="3905" t="s">
        <v>2302</v>
      </c>
      <c r="C297" s="3905"/>
      <c r="E297" s="1525" t="s">
        <v>3069</v>
      </c>
      <c r="F297" s="3904" t="s">
        <v>3070</v>
      </c>
      <c r="G297" s="3904"/>
    </row>
    <row r="298" spans="1:7">
      <c r="A298" s="1524" t="s">
        <v>2303</v>
      </c>
      <c r="B298" s="3905" t="s">
        <v>2304</v>
      </c>
      <c r="C298" s="3905"/>
      <c r="E298" s="1525" t="s">
        <v>3071</v>
      </c>
      <c r="F298" s="3904" t="s">
        <v>3072</v>
      </c>
      <c r="G298" s="3904"/>
    </row>
    <row r="299" spans="1:7">
      <c r="A299" s="1524" t="s">
        <v>2305</v>
      </c>
      <c r="B299" s="3905" t="s">
        <v>2306</v>
      </c>
      <c r="C299" s="3905"/>
      <c r="E299" s="1525" t="s">
        <v>3073</v>
      </c>
      <c r="F299" s="3904" t="s">
        <v>3074</v>
      </c>
      <c r="G299" s="3904"/>
    </row>
    <row r="300" spans="1:7">
      <c r="A300" s="1524" t="s">
        <v>2307</v>
      </c>
      <c r="B300" s="3905" t="s">
        <v>2308</v>
      </c>
      <c r="C300" s="3905"/>
      <c r="E300" s="1525" t="s">
        <v>3075</v>
      </c>
      <c r="F300" s="3904" t="s">
        <v>3076</v>
      </c>
      <c r="G300" s="3904"/>
    </row>
    <row r="301" spans="1:7">
      <c r="A301" s="1524" t="s">
        <v>2309</v>
      </c>
      <c r="B301" s="3905" t="s">
        <v>2310</v>
      </c>
      <c r="C301" s="3905"/>
      <c r="E301" s="1525" t="s">
        <v>3077</v>
      </c>
      <c r="F301" s="3904" t="s">
        <v>3078</v>
      </c>
      <c r="G301" s="3904"/>
    </row>
    <row r="302" spans="1:7">
      <c r="A302" s="1524" t="s">
        <v>2311</v>
      </c>
      <c r="B302" s="3905" t="s">
        <v>2312</v>
      </c>
      <c r="C302" s="3905"/>
      <c r="E302" s="1525" t="s">
        <v>3079</v>
      </c>
      <c r="F302" s="3904" t="s">
        <v>3080</v>
      </c>
      <c r="G302" s="3904"/>
    </row>
    <row r="303" spans="1:7">
      <c r="A303" s="1524" t="s">
        <v>2313</v>
      </c>
      <c r="B303" s="3905" t="s">
        <v>2314</v>
      </c>
      <c r="C303" s="3905"/>
      <c r="E303" s="1525" t="s">
        <v>3081</v>
      </c>
      <c r="F303" s="3904" t="s">
        <v>3082</v>
      </c>
      <c r="G303" s="3904"/>
    </row>
    <row r="304" spans="1:7">
      <c r="A304" s="1524" t="s">
        <v>2315</v>
      </c>
      <c r="B304" s="3905" t="s">
        <v>2316</v>
      </c>
      <c r="C304" s="3905"/>
      <c r="E304" s="1525" t="s">
        <v>3083</v>
      </c>
      <c r="F304" s="3904" t="s">
        <v>3084</v>
      </c>
      <c r="G304" s="3904"/>
    </row>
    <row r="305" spans="1:7">
      <c r="A305" s="1524" t="s">
        <v>3085</v>
      </c>
      <c r="B305" s="3905" t="s">
        <v>3086</v>
      </c>
      <c r="C305" s="3905"/>
      <c r="E305" s="1525" t="s">
        <v>3087</v>
      </c>
      <c r="F305" s="3904" t="s">
        <v>3088</v>
      </c>
      <c r="G305" s="3904"/>
    </row>
    <row r="306" spans="1:7">
      <c r="A306" s="1524" t="s">
        <v>3089</v>
      </c>
      <c r="B306" s="3905" t="s">
        <v>3090</v>
      </c>
      <c r="C306" s="3905"/>
      <c r="E306" s="1525" t="s">
        <v>3091</v>
      </c>
      <c r="F306" s="3904" t="s">
        <v>3092</v>
      </c>
      <c r="G306" s="3904"/>
    </row>
    <row r="307" spans="1:7">
      <c r="A307" s="1524" t="s">
        <v>3093</v>
      </c>
      <c r="B307" s="3905" t="s">
        <v>3094</v>
      </c>
      <c r="C307" s="3905"/>
      <c r="E307" s="1525" t="s">
        <v>3095</v>
      </c>
      <c r="F307" s="3904" t="s">
        <v>3096</v>
      </c>
      <c r="G307" s="3904"/>
    </row>
    <row r="308" spans="1:7">
      <c r="A308" s="1524" t="s">
        <v>2317</v>
      </c>
      <c r="B308" s="3905" t="s">
        <v>2318</v>
      </c>
      <c r="C308" s="3905"/>
      <c r="E308" s="1525" t="s">
        <v>3097</v>
      </c>
      <c r="F308" s="3904" t="s">
        <v>3098</v>
      </c>
      <c r="G308" s="3904"/>
    </row>
    <row r="309" spans="1:7">
      <c r="A309" s="1524" t="s">
        <v>2319</v>
      </c>
      <c r="B309" s="3905" t="s">
        <v>2320</v>
      </c>
      <c r="C309" s="3905"/>
      <c r="E309" s="1525" t="s">
        <v>3099</v>
      </c>
      <c r="F309" s="3904" t="s">
        <v>3100</v>
      </c>
      <c r="G309" s="3904"/>
    </row>
    <row r="310" spans="1:7">
      <c r="A310" s="1524" t="s">
        <v>2321</v>
      </c>
      <c r="B310" s="3905" t="s">
        <v>2322</v>
      </c>
      <c r="C310" s="3905"/>
      <c r="E310" s="1525" t="s">
        <v>3101</v>
      </c>
      <c r="F310" s="3904" t="s">
        <v>3102</v>
      </c>
      <c r="G310" s="3904"/>
    </row>
    <row r="311" spans="1:7">
      <c r="A311" s="1524" t="s">
        <v>2323</v>
      </c>
      <c r="B311" s="3905" t="s">
        <v>2324</v>
      </c>
      <c r="C311" s="3905"/>
      <c r="E311" s="1525" t="s">
        <v>3103</v>
      </c>
      <c r="F311" s="3904" t="s">
        <v>3104</v>
      </c>
      <c r="G311" s="3904"/>
    </row>
    <row r="312" spans="1:7">
      <c r="A312" s="1524" t="s">
        <v>2325</v>
      </c>
      <c r="B312" s="3905" t="s">
        <v>2326</v>
      </c>
      <c r="C312" s="3905"/>
      <c r="E312" s="1525" t="s">
        <v>3105</v>
      </c>
      <c r="F312" s="3904" t="s">
        <v>3106</v>
      </c>
      <c r="G312" s="3904"/>
    </row>
    <row r="313" spans="1:7">
      <c r="A313" s="1524" t="s">
        <v>2327</v>
      </c>
      <c r="B313" s="3905" t="s">
        <v>2328</v>
      </c>
      <c r="C313" s="3905"/>
      <c r="E313" s="1525" t="s">
        <v>3107</v>
      </c>
      <c r="F313" s="3904" t="s">
        <v>3108</v>
      </c>
      <c r="G313" s="3904"/>
    </row>
    <row r="314" spans="1:7">
      <c r="A314" s="1524" t="s">
        <v>2329</v>
      </c>
      <c r="B314" s="3905" t="s">
        <v>2330</v>
      </c>
      <c r="C314" s="3905"/>
      <c r="E314" s="1525" t="s">
        <v>3109</v>
      </c>
      <c r="F314" s="3904" t="s">
        <v>3110</v>
      </c>
      <c r="G314" s="3904"/>
    </row>
    <row r="315" spans="1:7">
      <c r="A315" s="1524" t="s">
        <v>2331</v>
      </c>
      <c r="B315" s="3905" t="s">
        <v>2332</v>
      </c>
      <c r="C315" s="3905"/>
      <c r="E315" s="1525" t="s">
        <v>3111</v>
      </c>
      <c r="F315" s="3904" t="s">
        <v>3112</v>
      </c>
      <c r="G315" s="3904"/>
    </row>
    <row r="316" spans="1:7">
      <c r="A316" s="1524" t="s">
        <v>2333</v>
      </c>
      <c r="B316" s="3905" t="s">
        <v>2334</v>
      </c>
      <c r="C316" s="3905"/>
      <c r="E316" s="1525" t="s">
        <v>3113</v>
      </c>
      <c r="F316" s="3904" t="s">
        <v>3114</v>
      </c>
      <c r="G316" s="3904"/>
    </row>
    <row r="317" spans="1:7">
      <c r="A317" s="1524" t="s">
        <v>2335</v>
      </c>
      <c r="B317" s="3905" t="s">
        <v>2336</v>
      </c>
      <c r="C317" s="3905"/>
      <c r="E317" s="1525" t="s">
        <v>3115</v>
      </c>
      <c r="F317" s="3904" t="s">
        <v>3116</v>
      </c>
      <c r="G317" s="3904"/>
    </row>
    <row r="318" spans="1:7">
      <c r="A318" s="1524" t="s">
        <v>2337</v>
      </c>
      <c r="B318" s="3905" t="s">
        <v>2338</v>
      </c>
      <c r="C318" s="3905"/>
      <c r="E318" s="1525" t="s">
        <v>3117</v>
      </c>
      <c r="F318" s="3904" t="s">
        <v>3118</v>
      </c>
      <c r="G318" s="3904"/>
    </row>
    <row r="319" spans="1:7">
      <c r="A319" s="1524" t="s">
        <v>2339</v>
      </c>
      <c r="B319" s="3905" t="s">
        <v>2340</v>
      </c>
      <c r="C319" s="3905"/>
      <c r="E319" s="1525" t="s">
        <v>3119</v>
      </c>
      <c r="F319" s="3904" t="s">
        <v>3120</v>
      </c>
      <c r="G319" s="3904"/>
    </row>
    <row r="320" spans="1:7">
      <c r="E320" s="1525" t="s">
        <v>3121</v>
      </c>
      <c r="F320" s="3904" t="s">
        <v>3122</v>
      </c>
      <c r="G320" s="3904"/>
    </row>
    <row r="321" spans="5:7">
      <c r="E321" s="1525" t="s">
        <v>3123</v>
      </c>
      <c r="F321" s="3904" t="s">
        <v>3124</v>
      </c>
      <c r="G321" s="3904"/>
    </row>
    <row r="322" spans="5:7">
      <c r="E322" s="1525" t="s">
        <v>3125</v>
      </c>
      <c r="F322" s="3904" t="s">
        <v>3126</v>
      </c>
      <c r="G322" s="3904"/>
    </row>
    <row r="323" spans="5:7">
      <c r="E323" s="1525" t="s">
        <v>3127</v>
      </c>
      <c r="F323" s="3904" t="s">
        <v>3128</v>
      </c>
      <c r="G323" s="3904"/>
    </row>
    <row r="324" spans="5:7">
      <c r="E324" s="1525" t="s">
        <v>3129</v>
      </c>
      <c r="F324" s="3904" t="s">
        <v>3130</v>
      </c>
      <c r="G324" s="3904"/>
    </row>
    <row r="325" spans="5:7">
      <c r="E325" s="1525" t="s">
        <v>3131</v>
      </c>
      <c r="F325" s="3904" t="s">
        <v>3132</v>
      </c>
      <c r="G325" s="3904"/>
    </row>
    <row r="326" spans="5:7">
      <c r="E326" s="1525" t="s">
        <v>3133</v>
      </c>
      <c r="F326" s="3904" t="s">
        <v>3134</v>
      </c>
      <c r="G326" s="3904"/>
    </row>
    <row r="327" spans="5:7">
      <c r="E327" s="1525" t="s">
        <v>3135</v>
      </c>
      <c r="F327" s="3904" t="s">
        <v>3136</v>
      </c>
      <c r="G327" s="3904"/>
    </row>
    <row r="328" spans="5:7">
      <c r="E328" s="1525" t="s">
        <v>3137</v>
      </c>
      <c r="F328" s="3904" t="s">
        <v>3138</v>
      </c>
      <c r="G328" s="3904"/>
    </row>
    <row r="329" spans="5:7">
      <c r="E329" s="1525" t="s">
        <v>3139</v>
      </c>
      <c r="F329" s="3904" t="s">
        <v>3140</v>
      </c>
      <c r="G329" s="3904"/>
    </row>
    <row r="330" spans="5:7">
      <c r="E330" s="1525" t="s">
        <v>3141</v>
      </c>
      <c r="F330" s="3904" t="s">
        <v>3142</v>
      </c>
      <c r="G330" s="3904"/>
    </row>
    <row r="331" spans="5:7">
      <c r="E331" s="1525" t="s">
        <v>3143</v>
      </c>
      <c r="F331" s="3904" t="s">
        <v>3144</v>
      </c>
      <c r="G331" s="3904"/>
    </row>
    <row r="332" spans="5:7">
      <c r="E332" s="1525" t="s">
        <v>3145</v>
      </c>
      <c r="F332" s="3904" t="s">
        <v>3146</v>
      </c>
      <c r="G332" s="3904"/>
    </row>
    <row r="333" spans="5:7">
      <c r="E333" s="1525" t="s">
        <v>3147</v>
      </c>
      <c r="F333" s="3904" t="s">
        <v>3148</v>
      </c>
      <c r="G333" s="3904"/>
    </row>
    <row r="334" spans="5:7">
      <c r="E334" s="1525" t="s">
        <v>3149</v>
      </c>
      <c r="F334" s="3904" t="s">
        <v>3150</v>
      </c>
      <c r="G334" s="3904"/>
    </row>
    <row r="335" spans="5:7">
      <c r="E335" s="1525" t="s">
        <v>3151</v>
      </c>
      <c r="F335" s="3904" t="s">
        <v>3152</v>
      </c>
      <c r="G335" s="3904"/>
    </row>
    <row r="336" spans="5:7">
      <c r="E336" s="1525" t="s">
        <v>3153</v>
      </c>
      <c r="F336" s="3904" t="s">
        <v>3154</v>
      </c>
      <c r="G336" s="3904"/>
    </row>
    <row r="337" spans="5:7">
      <c r="E337" s="1525" t="s">
        <v>3155</v>
      </c>
      <c r="F337" s="3904" t="s">
        <v>3156</v>
      </c>
      <c r="G337" s="3904"/>
    </row>
    <row r="338" spans="5:7">
      <c r="E338" s="1525" t="s">
        <v>3157</v>
      </c>
      <c r="F338" s="3904" t="s">
        <v>3158</v>
      </c>
      <c r="G338" s="3904"/>
    </row>
    <row r="339" spans="5:7">
      <c r="E339" s="1525" t="s">
        <v>3159</v>
      </c>
      <c r="F339" s="3904" t="s">
        <v>3160</v>
      </c>
      <c r="G339" s="3904"/>
    </row>
    <row r="340" spans="5:7">
      <c r="E340" s="1525" t="s">
        <v>3161</v>
      </c>
      <c r="F340" s="3904" t="s">
        <v>3162</v>
      </c>
      <c r="G340" s="3904"/>
    </row>
    <row r="341" spans="5:7">
      <c r="E341" s="1525" t="s">
        <v>3163</v>
      </c>
      <c r="F341" s="3904" t="s">
        <v>3164</v>
      </c>
      <c r="G341" s="3904"/>
    </row>
    <row r="342" spans="5:7">
      <c r="E342" s="1525" t="s">
        <v>3165</v>
      </c>
      <c r="F342" s="3904" t="s">
        <v>3166</v>
      </c>
      <c r="G342" s="3904"/>
    </row>
    <row r="343" spans="5:7">
      <c r="E343" s="1525" t="s">
        <v>3167</v>
      </c>
      <c r="F343" s="3904" t="s">
        <v>3168</v>
      </c>
      <c r="G343" s="3904"/>
    </row>
    <row r="344" spans="5:7">
      <c r="E344" s="1525" t="s">
        <v>3169</v>
      </c>
      <c r="F344" s="3904" t="s">
        <v>3170</v>
      </c>
      <c r="G344" s="3904"/>
    </row>
    <row r="345" spans="5:7">
      <c r="E345" s="1525" t="s">
        <v>3171</v>
      </c>
      <c r="F345" s="3904" t="s">
        <v>3172</v>
      </c>
      <c r="G345" s="3904"/>
    </row>
    <row r="346" spans="5:7">
      <c r="E346" s="1525" t="s">
        <v>3173</v>
      </c>
      <c r="F346" s="3904" t="s">
        <v>3174</v>
      </c>
      <c r="G346" s="3904"/>
    </row>
    <row r="347" spans="5:7">
      <c r="E347" s="1525" t="s">
        <v>3175</v>
      </c>
      <c r="F347" s="3904" t="s">
        <v>3176</v>
      </c>
      <c r="G347" s="3904"/>
    </row>
    <row r="348" spans="5:7">
      <c r="E348" s="1525" t="s">
        <v>3177</v>
      </c>
      <c r="F348" s="3904" t="s">
        <v>3178</v>
      </c>
      <c r="G348" s="3904"/>
    </row>
    <row r="349" spans="5:7">
      <c r="E349" s="1525" t="s">
        <v>3179</v>
      </c>
      <c r="F349" s="3904" t="s">
        <v>3180</v>
      </c>
      <c r="G349" s="3904"/>
    </row>
    <row r="350" spans="5:7">
      <c r="E350" s="1525" t="s">
        <v>3181</v>
      </c>
      <c r="F350" s="3904" t="s">
        <v>3182</v>
      </c>
      <c r="G350" s="3904"/>
    </row>
    <row r="351" spans="5:7">
      <c r="E351" s="1525" t="s">
        <v>3183</v>
      </c>
      <c r="F351" s="3904" t="s">
        <v>3184</v>
      </c>
      <c r="G351" s="3904"/>
    </row>
    <row r="352" spans="5:7">
      <c r="E352" s="1525" t="s">
        <v>3185</v>
      </c>
      <c r="F352" s="3904" t="s">
        <v>3186</v>
      </c>
      <c r="G352" s="3904"/>
    </row>
    <row r="353" spans="5:7">
      <c r="E353" s="1525" t="s">
        <v>3187</v>
      </c>
      <c r="F353" s="3904" t="s">
        <v>3188</v>
      </c>
      <c r="G353" s="3904"/>
    </row>
    <row r="354" spans="5:7">
      <c r="E354" s="1525" t="s">
        <v>3189</v>
      </c>
      <c r="F354" s="3904" t="s">
        <v>3190</v>
      </c>
      <c r="G354" s="3904"/>
    </row>
    <row r="355" spans="5:7">
      <c r="E355" s="1525" t="s">
        <v>3191</v>
      </c>
      <c r="F355" s="3904" t="s">
        <v>3192</v>
      </c>
      <c r="G355" s="3904"/>
    </row>
    <row r="356" spans="5:7">
      <c r="E356" s="1525" t="s">
        <v>3193</v>
      </c>
      <c r="F356" s="3904" t="s">
        <v>3194</v>
      </c>
      <c r="G356" s="3904"/>
    </row>
    <row r="357" spans="5:7">
      <c r="E357" s="1525" t="s">
        <v>3195</v>
      </c>
      <c r="F357" s="3904" t="s">
        <v>3196</v>
      </c>
      <c r="G357" s="3904"/>
    </row>
    <row r="358" spans="5:7">
      <c r="E358" s="1525" t="s">
        <v>3197</v>
      </c>
      <c r="F358" s="3904" t="s">
        <v>3198</v>
      </c>
      <c r="G358" s="3904"/>
    </row>
    <row r="359" spans="5:7">
      <c r="E359" s="1525" t="s">
        <v>3199</v>
      </c>
      <c r="F359" s="3904" t="s">
        <v>3200</v>
      </c>
      <c r="G359" s="3904"/>
    </row>
    <row r="360" spans="5:7">
      <c r="E360" s="1525" t="s">
        <v>3201</v>
      </c>
      <c r="F360" s="3904" t="s">
        <v>3202</v>
      </c>
      <c r="G360" s="3904"/>
    </row>
    <row r="361" spans="5:7">
      <c r="E361" s="1525" t="s">
        <v>3203</v>
      </c>
      <c r="F361" s="3904" t="s">
        <v>3204</v>
      </c>
      <c r="G361" s="3904"/>
    </row>
    <row r="362" spans="5:7">
      <c r="E362" s="1525" t="s">
        <v>3205</v>
      </c>
      <c r="F362" s="3904" t="s">
        <v>3206</v>
      </c>
      <c r="G362" s="3904"/>
    </row>
    <row r="363" spans="5:7">
      <c r="E363" s="1525" t="s">
        <v>3207</v>
      </c>
      <c r="F363" s="3904" t="s">
        <v>3208</v>
      </c>
      <c r="G363" s="3904"/>
    </row>
    <row r="364" spans="5:7">
      <c r="E364" s="1525" t="s">
        <v>3209</v>
      </c>
      <c r="F364" s="3904" t="s">
        <v>3210</v>
      </c>
      <c r="G364" s="3904"/>
    </row>
    <row r="365" spans="5:7">
      <c r="E365" s="1525" t="s">
        <v>3211</v>
      </c>
      <c r="F365" s="3904" t="s">
        <v>3212</v>
      </c>
      <c r="G365" s="3904"/>
    </row>
    <row r="366" spans="5:7">
      <c r="E366" s="1525" t="s">
        <v>3213</v>
      </c>
      <c r="F366" s="3904" t="s">
        <v>3214</v>
      </c>
      <c r="G366" s="3904"/>
    </row>
    <row r="367" spans="5:7">
      <c r="E367" s="1525" t="s">
        <v>3215</v>
      </c>
      <c r="F367" s="3904" t="s">
        <v>3216</v>
      </c>
      <c r="G367" s="3904"/>
    </row>
    <row r="368" spans="5:7">
      <c r="E368" s="1525" t="s">
        <v>3217</v>
      </c>
      <c r="F368" s="3904" t="s">
        <v>3218</v>
      </c>
      <c r="G368" s="3904"/>
    </row>
    <row r="369" spans="5:7">
      <c r="E369" s="1525" t="s">
        <v>3219</v>
      </c>
      <c r="F369" s="3904" t="s">
        <v>3220</v>
      </c>
      <c r="G369" s="3904"/>
    </row>
    <row r="370" spans="5:7">
      <c r="E370" s="1525" t="s">
        <v>3221</v>
      </c>
      <c r="F370" s="3904" t="s">
        <v>3222</v>
      </c>
      <c r="G370" s="3904"/>
    </row>
    <row r="371" spans="5:7">
      <c r="E371" s="1525" t="s">
        <v>3223</v>
      </c>
      <c r="F371" s="3904" t="s">
        <v>3224</v>
      </c>
      <c r="G371" s="3904"/>
    </row>
    <row r="372" spans="5:7">
      <c r="E372" s="1525" t="s">
        <v>3225</v>
      </c>
      <c r="F372" s="3904" t="s">
        <v>3226</v>
      </c>
      <c r="G372" s="3904"/>
    </row>
    <row r="373" spans="5:7">
      <c r="E373" s="1525" t="s">
        <v>3227</v>
      </c>
      <c r="F373" s="3904" t="s">
        <v>3228</v>
      </c>
      <c r="G373" s="3904"/>
    </row>
    <row r="374" spans="5:7">
      <c r="E374" s="1525" t="s">
        <v>3229</v>
      </c>
      <c r="F374" s="3904" t="s">
        <v>3230</v>
      </c>
      <c r="G374" s="3904"/>
    </row>
    <row r="375" spans="5:7">
      <c r="E375" s="1525" t="s">
        <v>3231</v>
      </c>
      <c r="F375" s="3904" t="s">
        <v>3232</v>
      </c>
      <c r="G375" s="3904"/>
    </row>
    <row r="376" spans="5:7">
      <c r="E376" s="1525" t="s">
        <v>3233</v>
      </c>
      <c r="F376" s="3904" t="s">
        <v>3234</v>
      </c>
      <c r="G376" s="3904"/>
    </row>
    <row r="377" spans="5:7">
      <c r="E377" s="1525" t="s">
        <v>3235</v>
      </c>
      <c r="F377" s="3904" t="s">
        <v>3236</v>
      </c>
      <c r="G377" s="3904"/>
    </row>
    <row r="378" spans="5:7">
      <c r="E378" s="1525" t="s">
        <v>3237</v>
      </c>
      <c r="F378" s="3904" t="s">
        <v>3238</v>
      </c>
      <c r="G378" s="3904"/>
    </row>
    <row r="379" spans="5:7">
      <c r="E379" s="1525" t="s">
        <v>3239</v>
      </c>
      <c r="F379" s="3904" t="s">
        <v>3240</v>
      </c>
      <c r="G379" s="3904"/>
    </row>
    <row r="380" spans="5:7">
      <c r="E380" s="1525" t="s">
        <v>3241</v>
      </c>
      <c r="F380" s="3904" t="s">
        <v>3242</v>
      </c>
      <c r="G380" s="3904"/>
    </row>
    <row r="381" spans="5:7">
      <c r="E381" s="1525" t="s">
        <v>3243</v>
      </c>
      <c r="F381" s="3904" t="s">
        <v>3244</v>
      </c>
      <c r="G381" s="3904"/>
    </row>
    <row r="382" spans="5:7">
      <c r="E382" s="1525" t="s">
        <v>3245</v>
      </c>
      <c r="F382" s="3904" t="s">
        <v>3246</v>
      </c>
      <c r="G382" s="3904"/>
    </row>
    <row r="383" spans="5:7">
      <c r="E383" s="1525" t="s">
        <v>3247</v>
      </c>
      <c r="F383" s="3904" t="s">
        <v>3248</v>
      </c>
      <c r="G383" s="3904"/>
    </row>
    <row r="384" spans="5:7">
      <c r="E384" s="1525" t="s">
        <v>3249</v>
      </c>
      <c r="F384" s="3904" t="s">
        <v>3250</v>
      </c>
      <c r="G384" s="3904"/>
    </row>
    <row r="385" spans="5:7">
      <c r="E385" s="1525" t="s">
        <v>3251</v>
      </c>
      <c r="F385" s="3904" t="s">
        <v>3252</v>
      </c>
      <c r="G385" s="3904"/>
    </row>
    <row r="386" spans="5:7">
      <c r="E386" s="1525" t="s">
        <v>3253</v>
      </c>
      <c r="F386" s="3904" t="s">
        <v>3254</v>
      </c>
      <c r="G386" s="3904"/>
    </row>
    <row r="387" spans="5:7">
      <c r="E387" s="1525" t="s">
        <v>3255</v>
      </c>
      <c r="F387" s="3904" t="s">
        <v>3256</v>
      </c>
      <c r="G387" s="3904"/>
    </row>
    <row r="388" spans="5:7">
      <c r="E388" s="1525" t="s">
        <v>3257</v>
      </c>
      <c r="F388" s="3904" t="s">
        <v>3258</v>
      </c>
      <c r="G388" s="3904"/>
    </row>
    <row r="389" spans="5:7">
      <c r="E389" s="1525" t="s">
        <v>3259</v>
      </c>
      <c r="F389" s="3904" t="s">
        <v>3260</v>
      </c>
      <c r="G389" s="3904"/>
    </row>
    <row r="390" spans="5:7">
      <c r="E390" s="1525" t="s">
        <v>3261</v>
      </c>
      <c r="F390" s="3904" t="s">
        <v>3262</v>
      </c>
      <c r="G390" s="3904"/>
    </row>
    <row r="391" spans="5:7">
      <c r="E391" s="1525" t="s">
        <v>3263</v>
      </c>
      <c r="F391" s="3904" t="s">
        <v>3264</v>
      </c>
      <c r="G391" s="3904"/>
    </row>
    <row r="392" spans="5:7">
      <c r="E392" s="1525" t="s">
        <v>3265</v>
      </c>
      <c r="F392" s="3904" t="s">
        <v>3266</v>
      </c>
      <c r="G392" s="3904"/>
    </row>
    <row r="393" spans="5:7">
      <c r="E393" s="1525" t="s">
        <v>3267</v>
      </c>
      <c r="F393" s="3904" t="s">
        <v>3268</v>
      </c>
      <c r="G393" s="3904"/>
    </row>
    <row r="394" spans="5:7">
      <c r="E394" s="1525" t="s">
        <v>3269</v>
      </c>
      <c r="F394" s="3904" t="s">
        <v>3270</v>
      </c>
      <c r="G394" s="3904"/>
    </row>
    <row r="395" spans="5:7">
      <c r="E395" s="1525" t="s">
        <v>3271</v>
      </c>
      <c r="F395" s="3904" t="s">
        <v>3272</v>
      </c>
      <c r="G395" s="3904"/>
    </row>
    <row r="396" spans="5:7">
      <c r="E396" s="1525" t="s">
        <v>3273</v>
      </c>
      <c r="F396" s="3904" t="s">
        <v>3274</v>
      </c>
      <c r="G396" s="3904"/>
    </row>
    <row r="397" spans="5:7">
      <c r="E397" s="1525" t="s">
        <v>3275</v>
      </c>
      <c r="F397" s="3904" t="s">
        <v>3276</v>
      </c>
      <c r="G397" s="3904"/>
    </row>
    <row r="398" spans="5:7">
      <c r="E398" s="1525" t="s">
        <v>3277</v>
      </c>
      <c r="F398" s="3904" t="s">
        <v>3278</v>
      </c>
      <c r="G398" s="3904"/>
    </row>
    <row r="399" spans="5:7">
      <c r="E399" s="1525" t="s">
        <v>3279</v>
      </c>
      <c r="F399" s="3904" t="s">
        <v>3280</v>
      </c>
      <c r="G399" s="3904"/>
    </row>
    <row r="400" spans="5:7">
      <c r="E400" s="1525" t="s">
        <v>3281</v>
      </c>
      <c r="F400" s="3904" t="s">
        <v>3282</v>
      </c>
      <c r="G400" s="3904"/>
    </row>
    <row r="401" spans="5:7">
      <c r="E401" s="1525" t="s">
        <v>3283</v>
      </c>
      <c r="F401" s="3904" t="s">
        <v>3284</v>
      </c>
      <c r="G401" s="3904"/>
    </row>
    <row r="402" spans="5:7">
      <c r="E402" s="1525" t="s">
        <v>3285</v>
      </c>
      <c r="F402" s="3904" t="s">
        <v>3286</v>
      </c>
      <c r="G402" s="3904"/>
    </row>
    <row r="403" spans="5:7">
      <c r="E403" s="1525" t="s">
        <v>3287</v>
      </c>
      <c r="F403" s="3904" t="s">
        <v>3288</v>
      </c>
      <c r="G403" s="3904"/>
    </row>
    <row r="404" spans="5:7">
      <c r="E404" s="1525" t="s">
        <v>3289</v>
      </c>
      <c r="F404" s="3904" t="s">
        <v>3290</v>
      </c>
      <c r="G404" s="3904"/>
    </row>
    <row r="405" spans="5:7">
      <c r="E405" s="1525" t="s">
        <v>3291</v>
      </c>
      <c r="F405" s="3904" t="s">
        <v>3292</v>
      </c>
      <c r="G405" s="3904"/>
    </row>
    <row r="406" spans="5:7">
      <c r="E406" s="1525" t="s">
        <v>3293</v>
      </c>
      <c r="F406" s="3904" t="s">
        <v>3294</v>
      </c>
      <c r="G406" s="3904"/>
    </row>
    <row r="407" spans="5:7">
      <c r="E407" s="1525" t="s">
        <v>3295</v>
      </c>
      <c r="F407" s="3904" t="s">
        <v>3296</v>
      </c>
      <c r="G407" s="3904"/>
    </row>
    <row r="408" spans="5:7">
      <c r="E408" s="1525" t="s">
        <v>3297</v>
      </c>
      <c r="F408" s="3904" t="s">
        <v>3298</v>
      </c>
      <c r="G408" s="3904"/>
    </row>
    <row r="409" spans="5:7">
      <c r="E409" s="1525" t="s">
        <v>3299</v>
      </c>
      <c r="F409" s="3904" t="s">
        <v>3300</v>
      </c>
      <c r="G409" s="3904"/>
    </row>
    <row r="410" spans="5:7">
      <c r="E410" s="1525" t="s">
        <v>3301</v>
      </c>
      <c r="F410" s="3904" t="s">
        <v>3302</v>
      </c>
      <c r="G410" s="3904"/>
    </row>
    <row r="411" spans="5:7">
      <c r="E411" s="1525" t="s">
        <v>3303</v>
      </c>
      <c r="F411" s="3904" t="s">
        <v>3304</v>
      </c>
      <c r="G411" s="3904"/>
    </row>
    <row r="412" spans="5:7">
      <c r="E412" s="1525" t="s">
        <v>3305</v>
      </c>
      <c r="F412" s="3904" t="s">
        <v>3306</v>
      </c>
      <c r="G412" s="3904"/>
    </row>
    <row r="413" spans="5:7">
      <c r="E413" s="1525" t="s">
        <v>3307</v>
      </c>
      <c r="F413" s="3904" t="s">
        <v>3308</v>
      </c>
      <c r="G413" s="3904"/>
    </row>
    <row r="414" spans="5:7">
      <c r="E414" s="1525" t="s">
        <v>3309</v>
      </c>
      <c r="F414" s="3904" t="s">
        <v>3310</v>
      </c>
      <c r="G414" s="3904"/>
    </row>
    <row r="415" spans="5:7">
      <c r="E415" s="1525" t="s">
        <v>3311</v>
      </c>
      <c r="F415" s="3904" t="s">
        <v>3312</v>
      </c>
      <c r="G415" s="3904"/>
    </row>
    <row r="416" spans="5:7">
      <c r="E416" s="1525" t="s">
        <v>3313</v>
      </c>
      <c r="F416" s="3904" t="s">
        <v>3314</v>
      </c>
      <c r="G416" s="3904"/>
    </row>
    <row r="417" spans="5:7">
      <c r="E417" s="1525" t="s">
        <v>3315</v>
      </c>
      <c r="F417" s="3904" t="s">
        <v>3316</v>
      </c>
      <c r="G417" s="3904"/>
    </row>
    <row r="418" spans="5:7">
      <c r="E418" s="1525" t="s">
        <v>3317</v>
      </c>
      <c r="F418" s="3904" t="s">
        <v>3318</v>
      </c>
      <c r="G418" s="3904"/>
    </row>
    <row r="419" spans="5:7">
      <c r="E419" s="1525" t="s">
        <v>3319</v>
      </c>
      <c r="F419" s="3904" t="s">
        <v>3320</v>
      </c>
      <c r="G419" s="3904"/>
    </row>
    <row r="420" spans="5:7">
      <c r="E420" s="1525" t="s">
        <v>3321</v>
      </c>
      <c r="F420" s="3904" t="s">
        <v>3322</v>
      </c>
      <c r="G420" s="3904"/>
    </row>
    <row r="421" spans="5:7">
      <c r="E421" s="1525" t="s">
        <v>3323</v>
      </c>
      <c r="F421" s="3904" t="s">
        <v>3324</v>
      </c>
      <c r="G421" s="3904"/>
    </row>
    <row r="422" spans="5:7">
      <c r="E422" s="1525" t="s">
        <v>3325</v>
      </c>
      <c r="F422" s="3904" t="s">
        <v>3326</v>
      </c>
      <c r="G422" s="3904"/>
    </row>
    <row r="423" spans="5:7">
      <c r="E423" s="1525" t="s">
        <v>3327</v>
      </c>
      <c r="F423" s="3904" t="s">
        <v>3328</v>
      </c>
      <c r="G423" s="3904"/>
    </row>
    <row r="424" spans="5:7">
      <c r="E424" s="1525" t="s">
        <v>3329</v>
      </c>
      <c r="F424" s="3904" t="s">
        <v>3330</v>
      </c>
      <c r="G424" s="3904"/>
    </row>
    <row r="425" spans="5:7">
      <c r="E425" s="1525" t="s">
        <v>3331</v>
      </c>
      <c r="F425" s="3904" t="s">
        <v>3332</v>
      </c>
      <c r="G425" s="3904"/>
    </row>
    <row r="426" spans="5:7">
      <c r="E426" s="1525" t="s">
        <v>3333</v>
      </c>
      <c r="F426" s="3904" t="s">
        <v>3334</v>
      </c>
      <c r="G426" s="3904"/>
    </row>
    <row r="427" spans="5:7">
      <c r="E427" s="1525" t="s">
        <v>3335</v>
      </c>
      <c r="F427" s="3904" t="s">
        <v>3336</v>
      </c>
      <c r="G427" s="3904"/>
    </row>
    <row r="428" spans="5:7">
      <c r="E428" s="1525" t="s">
        <v>3337</v>
      </c>
      <c r="F428" s="3904" t="s">
        <v>3338</v>
      </c>
      <c r="G428" s="3904"/>
    </row>
    <row r="429" spans="5:7">
      <c r="E429" s="1525" t="s">
        <v>3339</v>
      </c>
      <c r="F429" s="3904" t="s">
        <v>3340</v>
      </c>
      <c r="G429" s="3904"/>
    </row>
    <row r="430" spans="5:7">
      <c r="E430" s="1525" t="s">
        <v>3341</v>
      </c>
      <c r="F430" s="3904" t="s">
        <v>3342</v>
      </c>
      <c r="G430" s="3904"/>
    </row>
    <row r="431" spans="5:7">
      <c r="E431" s="1525" t="s">
        <v>3343</v>
      </c>
      <c r="F431" s="3904" t="s">
        <v>3344</v>
      </c>
      <c r="G431" s="3904"/>
    </row>
    <row r="432" spans="5:7">
      <c r="E432" s="1525" t="s">
        <v>3345</v>
      </c>
      <c r="F432" s="3904" t="s">
        <v>3346</v>
      </c>
      <c r="G432" s="3904"/>
    </row>
    <row r="433" spans="5:7">
      <c r="E433" s="1525" t="s">
        <v>3347</v>
      </c>
      <c r="F433" s="3904" t="s">
        <v>3348</v>
      </c>
      <c r="G433" s="3904"/>
    </row>
    <row r="434" spans="5:7">
      <c r="E434" s="1525" t="s">
        <v>3349</v>
      </c>
      <c r="F434" s="3904" t="s">
        <v>3350</v>
      </c>
      <c r="G434" s="3904"/>
    </row>
    <row r="435" spans="5:7">
      <c r="E435" s="1525" t="s">
        <v>3351</v>
      </c>
      <c r="F435" s="3904" t="s">
        <v>3352</v>
      </c>
      <c r="G435" s="3904"/>
    </row>
    <row r="436" spans="5:7">
      <c r="E436" s="1525" t="s">
        <v>3353</v>
      </c>
      <c r="F436" s="3904" t="s">
        <v>3354</v>
      </c>
      <c r="G436" s="3904"/>
    </row>
    <row r="437" spans="5:7">
      <c r="E437" s="1525" t="s">
        <v>3355</v>
      </c>
      <c r="F437" s="3904" t="s">
        <v>3356</v>
      </c>
      <c r="G437" s="3904"/>
    </row>
    <row r="438" spans="5:7">
      <c r="E438" s="1525" t="s">
        <v>3357</v>
      </c>
      <c r="F438" s="3904" t="s">
        <v>3358</v>
      </c>
      <c r="G438" s="3904"/>
    </row>
    <row r="439" spans="5:7">
      <c r="E439" s="1525" t="s">
        <v>3359</v>
      </c>
      <c r="F439" s="3904" t="s">
        <v>3360</v>
      </c>
      <c r="G439" s="3904"/>
    </row>
    <row r="440" spans="5:7">
      <c r="E440" s="1525" t="s">
        <v>3361</v>
      </c>
      <c r="F440" s="3904" t="s">
        <v>3362</v>
      </c>
      <c r="G440" s="3904"/>
    </row>
    <row r="441" spans="5:7">
      <c r="E441" s="1525" t="s">
        <v>3363</v>
      </c>
      <c r="F441" s="3904" t="s">
        <v>3364</v>
      </c>
      <c r="G441" s="3904"/>
    </row>
    <row r="442" spans="5:7">
      <c r="E442" s="1525" t="s">
        <v>3365</v>
      </c>
      <c r="F442" s="3904" t="s">
        <v>3366</v>
      </c>
      <c r="G442" s="3904"/>
    </row>
    <row r="443" spans="5:7">
      <c r="E443" s="1525" t="s">
        <v>3367</v>
      </c>
      <c r="F443" s="3904" t="s">
        <v>3368</v>
      </c>
      <c r="G443" s="3904"/>
    </row>
    <row r="444" spans="5:7">
      <c r="E444" s="1525" t="s">
        <v>3369</v>
      </c>
      <c r="F444" s="3904" t="s">
        <v>3370</v>
      </c>
      <c r="G444" s="3904"/>
    </row>
    <row r="445" spans="5:7">
      <c r="E445" s="1525" t="s">
        <v>3371</v>
      </c>
      <c r="F445" s="3904" t="s">
        <v>3372</v>
      </c>
      <c r="G445" s="3904"/>
    </row>
    <row r="446" spans="5:7">
      <c r="E446" s="1525" t="s">
        <v>3373</v>
      </c>
      <c r="F446" s="3904" t="s">
        <v>3374</v>
      </c>
      <c r="G446" s="3904"/>
    </row>
    <row r="447" spans="5:7">
      <c r="E447" s="1525" t="s">
        <v>3375</v>
      </c>
      <c r="F447" s="3904" t="s">
        <v>3376</v>
      </c>
      <c r="G447" s="3904"/>
    </row>
    <row r="448" spans="5:7">
      <c r="E448" s="1525" t="s">
        <v>3377</v>
      </c>
      <c r="F448" s="3904" t="s">
        <v>3378</v>
      </c>
      <c r="G448" s="3904"/>
    </row>
    <row r="449" spans="5:7">
      <c r="E449" s="1525" t="s">
        <v>3379</v>
      </c>
      <c r="F449" s="3904" t="s">
        <v>3380</v>
      </c>
      <c r="G449" s="3904"/>
    </row>
    <row r="450" spans="5:7">
      <c r="E450" s="1525" t="s">
        <v>3381</v>
      </c>
      <c r="F450" s="3904" t="s">
        <v>3382</v>
      </c>
      <c r="G450" s="3904"/>
    </row>
    <row r="451" spans="5:7">
      <c r="E451" s="1525" t="s">
        <v>3383</v>
      </c>
      <c r="F451" s="3904" t="s">
        <v>3384</v>
      </c>
      <c r="G451" s="3904"/>
    </row>
    <row r="452" spans="5:7">
      <c r="E452" s="1525" t="s">
        <v>3385</v>
      </c>
      <c r="F452" s="3904" t="s">
        <v>3386</v>
      </c>
      <c r="G452" s="3904"/>
    </row>
    <row r="453" spans="5:7">
      <c r="E453" s="1525" t="s">
        <v>3387</v>
      </c>
      <c r="F453" s="3904" t="s">
        <v>3388</v>
      </c>
      <c r="G453" s="3904"/>
    </row>
    <row r="454" spans="5:7">
      <c r="E454" s="1525" t="s">
        <v>3389</v>
      </c>
      <c r="F454" s="3904" t="s">
        <v>3390</v>
      </c>
      <c r="G454" s="3904"/>
    </row>
    <row r="455" spans="5:7">
      <c r="E455" s="1525" t="s">
        <v>3391</v>
      </c>
      <c r="F455" s="3904" t="s">
        <v>3392</v>
      </c>
      <c r="G455" s="3904"/>
    </row>
    <row r="456" spans="5:7">
      <c r="E456" s="1525" t="s">
        <v>3393</v>
      </c>
      <c r="F456" s="3904" t="s">
        <v>3394</v>
      </c>
      <c r="G456" s="3904"/>
    </row>
    <row r="457" spans="5:7">
      <c r="E457" s="1525" t="s">
        <v>3395</v>
      </c>
      <c r="F457" s="3904" t="s">
        <v>3396</v>
      </c>
      <c r="G457" s="3904"/>
    </row>
    <row r="458" spans="5:7">
      <c r="E458" s="1525" t="s">
        <v>3397</v>
      </c>
      <c r="F458" s="3904" t="s">
        <v>3398</v>
      </c>
      <c r="G458" s="3904"/>
    </row>
    <row r="459" spans="5:7">
      <c r="E459" s="1525" t="s">
        <v>3399</v>
      </c>
      <c r="F459" s="3904" t="s">
        <v>3400</v>
      </c>
      <c r="G459" s="3904"/>
    </row>
    <row r="460" spans="5:7">
      <c r="E460" s="1525" t="s">
        <v>3401</v>
      </c>
      <c r="F460" s="3904" t="s">
        <v>3402</v>
      </c>
      <c r="G460" s="3904"/>
    </row>
    <row r="461" spans="5:7">
      <c r="E461" s="1525" t="s">
        <v>3403</v>
      </c>
      <c r="F461" s="3904" t="s">
        <v>3404</v>
      </c>
      <c r="G461" s="3904"/>
    </row>
    <row r="462" spans="5:7">
      <c r="E462" s="1525" t="s">
        <v>3405</v>
      </c>
      <c r="F462" s="3904" t="s">
        <v>3406</v>
      </c>
      <c r="G462" s="3904"/>
    </row>
    <row r="463" spans="5:7">
      <c r="E463" s="1525" t="s">
        <v>3407</v>
      </c>
      <c r="F463" s="3904" t="s">
        <v>3408</v>
      </c>
      <c r="G463" s="3904"/>
    </row>
    <row r="464" spans="5:7">
      <c r="E464" s="1525" t="s">
        <v>3409</v>
      </c>
      <c r="F464" s="3904" t="s">
        <v>3410</v>
      </c>
      <c r="G464" s="3904"/>
    </row>
    <row r="465" spans="5:7">
      <c r="E465" s="1525" t="s">
        <v>3411</v>
      </c>
      <c r="F465" s="3904" t="s">
        <v>3412</v>
      </c>
      <c r="G465" s="3904"/>
    </row>
    <row r="466" spans="5:7">
      <c r="E466" s="1525" t="s">
        <v>3413</v>
      </c>
      <c r="F466" s="3904" t="s">
        <v>3414</v>
      </c>
      <c r="G466" s="3904"/>
    </row>
    <row r="467" spans="5:7">
      <c r="E467" s="1525" t="s">
        <v>3415</v>
      </c>
      <c r="F467" s="3904" t="s">
        <v>3416</v>
      </c>
      <c r="G467" s="3904"/>
    </row>
    <row r="468" spans="5:7">
      <c r="E468" s="1525" t="s">
        <v>3417</v>
      </c>
      <c r="F468" s="3904" t="s">
        <v>3418</v>
      </c>
      <c r="G468" s="3904"/>
    </row>
    <row r="469" spans="5:7">
      <c r="E469" s="1525" t="s">
        <v>3419</v>
      </c>
      <c r="F469" s="3904" t="s">
        <v>3420</v>
      </c>
      <c r="G469" s="3904"/>
    </row>
    <row r="470" spans="5:7">
      <c r="E470" s="1525" t="s">
        <v>3421</v>
      </c>
      <c r="F470" s="3904" t="s">
        <v>3422</v>
      </c>
      <c r="G470" s="3904"/>
    </row>
    <row r="471" spans="5:7">
      <c r="E471" s="1525" t="s">
        <v>3423</v>
      </c>
      <c r="F471" s="3904" t="s">
        <v>3424</v>
      </c>
      <c r="G471" s="3904"/>
    </row>
    <row r="472" spans="5:7">
      <c r="E472" s="1525" t="s">
        <v>3425</v>
      </c>
      <c r="F472" s="3904" t="s">
        <v>3426</v>
      </c>
      <c r="G472" s="3904"/>
    </row>
    <row r="473" spans="5:7">
      <c r="E473" s="1525" t="s">
        <v>3427</v>
      </c>
      <c r="F473" s="3904" t="s">
        <v>3428</v>
      </c>
      <c r="G473" s="3904"/>
    </row>
    <row r="474" spans="5:7">
      <c r="E474" s="1525" t="s">
        <v>3429</v>
      </c>
      <c r="F474" s="3904" t="s">
        <v>3430</v>
      </c>
      <c r="G474" s="3904"/>
    </row>
    <row r="475" spans="5:7">
      <c r="E475" s="1525" t="s">
        <v>3431</v>
      </c>
      <c r="F475" s="3904" t="s">
        <v>3432</v>
      </c>
      <c r="G475" s="3904"/>
    </row>
    <row r="476" spans="5:7">
      <c r="E476" s="1525" t="s">
        <v>3433</v>
      </c>
      <c r="F476" s="3904" t="s">
        <v>3434</v>
      </c>
      <c r="G476" s="3904"/>
    </row>
    <row r="477" spans="5:7">
      <c r="E477" s="1525" t="s">
        <v>3435</v>
      </c>
      <c r="F477" s="3904" t="s">
        <v>3436</v>
      </c>
      <c r="G477" s="3904"/>
    </row>
    <row r="478" spans="5:7">
      <c r="E478" s="1525" t="s">
        <v>3437</v>
      </c>
      <c r="F478" s="3904" t="s">
        <v>3438</v>
      </c>
      <c r="G478" s="3904"/>
    </row>
    <row r="479" spans="5:7">
      <c r="E479" s="1525" t="s">
        <v>3439</v>
      </c>
      <c r="F479" s="3904" t="s">
        <v>3440</v>
      </c>
      <c r="G479" s="3904"/>
    </row>
    <row r="480" spans="5:7">
      <c r="E480" s="1525" t="s">
        <v>3441</v>
      </c>
      <c r="F480" s="3904" t="s">
        <v>3442</v>
      </c>
      <c r="G480" s="3904"/>
    </row>
    <row r="481" spans="5:7">
      <c r="E481" s="1525" t="s">
        <v>3443</v>
      </c>
      <c r="F481" s="3904" t="s">
        <v>3444</v>
      </c>
      <c r="G481" s="3904"/>
    </row>
    <row r="482" spans="5:7">
      <c r="E482" s="1525" t="s">
        <v>3445</v>
      </c>
      <c r="F482" s="3904" t="s">
        <v>3446</v>
      </c>
      <c r="G482" s="3904"/>
    </row>
    <row r="483" spans="5:7">
      <c r="E483" s="1525" t="s">
        <v>3447</v>
      </c>
      <c r="F483" s="3904" t="s">
        <v>3448</v>
      </c>
      <c r="G483" s="3904"/>
    </row>
    <row r="484" spans="5:7">
      <c r="E484" s="1525" t="s">
        <v>3449</v>
      </c>
      <c r="F484" s="3904" t="s">
        <v>3450</v>
      </c>
      <c r="G484" s="3904"/>
    </row>
    <row r="485" spans="5:7">
      <c r="E485" s="1525" t="s">
        <v>3451</v>
      </c>
      <c r="F485" s="3904" t="s">
        <v>3452</v>
      </c>
      <c r="G485" s="3904"/>
    </row>
    <row r="486" spans="5:7">
      <c r="E486" s="1525" t="s">
        <v>3453</v>
      </c>
      <c r="F486" s="3904" t="s">
        <v>3454</v>
      </c>
      <c r="G486" s="3904"/>
    </row>
    <row r="487" spans="5:7">
      <c r="E487" s="1525" t="s">
        <v>3455</v>
      </c>
      <c r="F487" s="3904" t="s">
        <v>3456</v>
      </c>
      <c r="G487" s="3904"/>
    </row>
    <row r="488" spans="5:7">
      <c r="E488" s="1525" t="s">
        <v>3457</v>
      </c>
      <c r="F488" s="3904" t="s">
        <v>3458</v>
      </c>
      <c r="G488" s="3904"/>
    </row>
    <row r="489" spans="5:7">
      <c r="E489" s="1525" t="s">
        <v>3459</v>
      </c>
      <c r="F489" s="3904" t="s">
        <v>3460</v>
      </c>
      <c r="G489" s="3904"/>
    </row>
    <row r="490" spans="5:7">
      <c r="E490" s="1525" t="s">
        <v>3461</v>
      </c>
      <c r="F490" s="3904" t="s">
        <v>3462</v>
      </c>
      <c r="G490" s="3904"/>
    </row>
    <row r="491" spans="5:7">
      <c r="E491" s="1525" t="s">
        <v>3463</v>
      </c>
      <c r="F491" s="3904" t="s">
        <v>3464</v>
      </c>
      <c r="G491" s="3904"/>
    </row>
    <row r="492" spans="5:7">
      <c r="E492" s="1525" t="s">
        <v>3465</v>
      </c>
      <c r="F492" s="3904" t="s">
        <v>3466</v>
      </c>
      <c r="G492" s="3904"/>
    </row>
    <row r="493" spans="5:7">
      <c r="E493" s="1525" t="s">
        <v>3467</v>
      </c>
      <c r="F493" s="3904" t="s">
        <v>3468</v>
      </c>
      <c r="G493" s="3904"/>
    </row>
    <row r="494" spans="5:7">
      <c r="E494" s="1525" t="s">
        <v>3469</v>
      </c>
      <c r="F494" s="3904" t="s">
        <v>3470</v>
      </c>
      <c r="G494" s="3904"/>
    </row>
    <row r="495" spans="5:7">
      <c r="E495" s="1525" t="s">
        <v>3471</v>
      </c>
      <c r="F495" s="3904" t="s">
        <v>3472</v>
      </c>
      <c r="G495" s="3904"/>
    </row>
    <row r="496" spans="5:7">
      <c r="E496" s="1525" t="s">
        <v>3473</v>
      </c>
      <c r="F496" s="3904" t="s">
        <v>3474</v>
      </c>
      <c r="G496" s="3904"/>
    </row>
    <row r="497" spans="5:7">
      <c r="E497" s="1525" t="s">
        <v>3475</v>
      </c>
      <c r="F497" s="3904" t="s">
        <v>3476</v>
      </c>
      <c r="G497" s="3904"/>
    </row>
    <row r="498" spans="5:7">
      <c r="E498" s="1525" t="s">
        <v>3477</v>
      </c>
      <c r="F498" s="3904" t="s">
        <v>3478</v>
      </c>
      <c r="G498" s="3904"/>
    </row>
    <row r="499" spans="5:7">
      <c r="E499" s="1525" t="s">
        <v>3479</v>
      </c>
      <c r="F499" s="3904" t="s">
        <v>3480</v>
      </c>
      <c r="G499" s="3904"/>
    </row>
    <row r="500" spans="5:7">
      <c r="E500" s="1525" t="s">
        <v>3481</v>
      </c>
      <c r="F500" s="3904" t="s">
        <v>3482</v>
      </c>
      <c r="G500" s="3904"/>
    </row>
    <row r="501" spans="5:7">
      <c r="E501" s="1525" t="s">
        <v>3483</v>
      </c>
      <c r="F501" s="3904" t="s">
        <v>3484</v>
      </c>
      <c r="G501" s="3904"/>
    </row>
    <row r="502" spans="5:7">
      <c r="E502" s="1525" t="s">
        <v>3485</v>
      </c>
      <c r="F502" s="3904" t="s">
        <v>3486</v>
      </c>
      <c r="G502" s="3904"/>
    </row>
    <row r="503" spans="5:7">
      <c r="E503" s="1525" t="s">
        <v>3487</v>
      </c>
      <c r="F503" s="3904" t="s">
        <v>3488</v>
      </c>
      <c r="G503" s="3904"/>
    </row>
    <row r="504" spans="5:7">
      <c r="E504" s="1525" t="s">
        <v>3489</v>
      </c>
      <c r="F504" s="3904" t="s">
        <v>3490</v>
      </c>
      <c r="G504" s="3904"/>
    </row>
    <row r="505" spans="5:7">
      <c r="E505" s="1525" t="s">
        <v>3491</v>
      </c>
      <c r="F505" s="3904" t="s">
        <v>3492</v>
      </c>
      <c r="G505" s="3904"/>
    </row>
    <row r="506" spans="5:7">
      <c r="E506" s="1525" t="s">
        <v>3493</v>
      </c>
      <c r="F506" s="3904" t="s">
        <v>3494</v>
      </c>
      <c r="G506" s="3904"/>
    </row>
    <row r="507" spans="5:7">
      <c r="E507" s="1525" t="s">
        <v>3495</v>
      </c>
      <c r="F507" s="3904" t="s">
        <v>3496</v>
      </c>
      <c r="G507" s="3904"/>
    </row>
    <row r="508" spans="5:7">
      <c r="E508" s="1525" t="s">
        <v>3497</v>
      </c>
      <c r="F508" s="3904" t="s">
        <v>3498</v>
      </c>
      <c r="G508" s="3904"/>
    </row>
    <row r="509" spans="5:7">
      <c r="E509" s="1525" t="s">
        <v>3499</v>
      </c>
      <c r="F509" s="3904" t="s">
        <v>3500</v>
      </c>
      <c r="G509" s="3904"/>
    </row>
    <row r="510" spans="5:7">
      <c r="E510" s="1525" t="s">
        <v>3501</v>
      </c>
      <c r="F510" s="3904" t="s">
        <v>3502</v>
      </c>
      <c r="G510" s="3904"/>
    </row>
    <row r="511" spans="5:7">
      <c r="E511" s="1525" t="s">
        <v>3503</v>
      </c>
      <c r="F511" s="3904" t="s">
        <v>3504</v>
      </c>
      <c r="G511" s="3904"/>
    </row>
    <row r="512" spans="5:7">
      <c r="E512" s="1525" t="s">
        <v>3505</v>
      </c>
      <c r="F512" s="3904" t="s">
        <v>3506</v>
      </c>
      <c r="G512" s="3904"/>
    </row>
    <row r="513" spans="5:7">
      <c r="E513" s="1525" t="s">
        <v>3507</v>
      </c>
      <c r="F513" s="3904" t="s">
        <v>3508</v>
      </c>
      <c r="G513" s="3904"/>
    </row>
    <row r="514" spans="5:7">
      <c r="E514" s="1525" t="s">
        <v>3509</v>
      </c>
      <c r="F514" s="3904" t="s">
        <v>3510</v>
      </c>
      <c r="G514" s="3904"/>
    </row>
    <row r="515" spans="5:7">
      <c r="E515" s="1525" t="s">
        <v>3511</v>
      </c>
      <c r="F515" s="3904" t="s">
        <v>3512</v>
      </c>
      <c r="G515" s="3904"/>
    </row>
    <row r="516" spans="5:7">
      <c r="E516" s="1525" t="s">
        <v>3513</v>
      </c>
      <c r="F516" s="3904" t="s">
        <v>3514</v>
      </c>
      <c r="G516" s="3904"/>
    </row>
    <row r="517" spans="5:7">
      <c r="E517" s="1525" t="s">
        <v>3515</v>
      </c>
      <c r="F517" s="3904" t="s">
        <v>3516</v>
      </c>
      <c r="G517" s="3904"/>
    </row>
    <row r="518" spans="5:7">
      <c r="E518" s="1525" t="s">
        <v>3517</v>
      </c>
      <c r="F518" s="3904" t="s">
        <v>3518</v>
      </c>
      <c r="G518" s="3904"/>
    </row>
    <row r="519" spans="5:7">
      <c r="E519" s="1525" t="s">
        <v>3519</v>
      </c>
      <c r="F519" s="3904" t="s">
        <v>3520</v>
      </c>
      <c r="G519" s="3904"/>
    </row>
    <row r="520" spans="5:7">
      <c r="E520" s="1525" t="s">
        <v>3521</v>
      </c>
      <c r="F520" s="3904" t="s">
        <v>3522</v>
      </c>
      <c r="G520" s="3904"/>
    </row>
    <row r="521" spans="5:7">
      <c r="E521" s="1525" t="s">
        <v>3523</v>
      </c>
      <c r="F521" s="3904" t="s">
        <v>3524</v>
      </c>
      <c r="G521" s="3904"/>
    </row>
    <row r="522" spans="5:7">
      <c r="E522" s="1525" t="s">
        <v>3525</v>
      </c>
      <c r="F522" s="3904" t="s">
        <v>3526</v>
      </c>
      <c r="G522" s="3904"/>
    </row>
    <row r="523" spans="5:7">
      <c r="E523" s="1525" t="s">
        <v>3527</v>
      </c>
      <c r="F523" s="3904" t="s">
        <v>3528</v>
      </c>
      <c r="G523" s="3904"/>
    </row>
    <row r="524" spans="5:7">
      <c r="E524" s="1525" t="s">
        <v>3529</v>
      </c>
      <c r="F524" s="3904" t="s">
        <v>3530</v>
      </c>
      <c r="G524" s="3904"/>
    </row>
    <row r="525" spans="5:7">
      <c r="E525" s="1525" t="s">
        <v>3531</v>
      </c>
      <c r="F525" s="3904" t="s">
        <v>3532</v>
      </c>
      <c r="G525" s="3904"/>
    </row>
    <row r="526" spans="5:7">
      <c r="E526" s="1525" t="s">
        <v>3533</v>
      </c>
      <c r="F526" s="3904" t="s">
        <v>3534</v>
      </c>
      <c r="G526" s="3904"/>
    </row>
    <row r="527" spans="5:7">
      <c r="E527" s="1525" t="s">
        <v>3535</v>
      </c>
      <c r="F527" s="3904" t="s">
        <v>3536</v>
      </c>
      <c r="G527" s="3904"/>
    </row>
    <row r="528" spans="5:7">
      <c r="E528" s="1525" t="s">
        <v>3537</v>
      </c>
      <c r="F528" s="3904" t="s">
        <v>3538</v>
      </c>
      <c r="G528" s="3904"/>
    </row>
    <row r="529" spans="5:7">
      <c r="E529" s="1525" t="s">
        <v>3539</v>
      </c>
      <c r="F529" s="3904" t="s">
        <v>3540</v>
      </c>
      <c r="G529" s="3904"/>
    </row>
    <row r="530" spans="5:7">
      <c r="E530" s="1525" t="s">
        <v>3541</v>
      </c>
      <c r="F530" s="3904" t="s">
        <v>3542</v>
      </c>
      <c r="G530" s="3904"/>
    </row>
    <row r="531" spans="5:7">
      <c r="E531" s="1525" t="s">
        <v>3543</v>
      </c>
      <c r="F531" s="3904" t="s">
        <v>3544</v>
      </c>
      <c r="G531" s="3904"/>
    </row>
    <row r="532" spans="5:7">
      <c r="E532" s="1525" t="s">
        <v>3545</v>
      </c>
      <c r="F532" s="3904" t="s">
        <v>3546</v>
      </c>
      <c r="G532" s="3904"/>
    </row>
    <row r="533" spans="5:7">
      <c r="E533" s="1525" t="s">
        <v>3547</v>
      </c>
      <c r="F533" s="3904" t="s">
        <v>3548</v>
      </c>
      <c r="G533" s="3904"/>
    </row>
    <row r="534" spans="5:7">
      <c r="E534" s="1525" t="s">
        <v>3549</v>
      </c>
      <c r="F534" s="3904" t="s">
        <v>3550</v>
      </c>
      <c r="G534" s="3904"/>
    </row>
    <row r="535" spans="5:7">
      <c r="E535" s="1525" t="s">
        <v>3551</v>
      </c>
      <c r="F535" s="3904" t="s">
        <v>3552</v>
      </c>
      <c r="G535" s="3904"/>
    </row>
    <row r="536" spans="5:7">
      <c r="E536" s="1525" t="s">
        <v>3553</v>
      </c>
      <c r="F536" s="3904" t="s">
        <v>3554</v>
      </c>
      <c r="G536" s="3904"/>
    </row>
    <row r="537" spans="5:7">
      <c r="E537" s="1525" t="s">
        <v>3555</v>
      </c>
      <c r="F537" s="3904" t="s">
        <v>3556</v>
      </c>
      <c r="G537" s="3904"/>
    </row>
    <row r="538" spans="5:7">
      <c r="E538" s="1525" t="s">
        <v>3557</v>
      </c>
      <c r="F538" s="3904" t="s">
        <v>3558</v>
      </c>
      <c r="G538" s="3904"/>
    </row>
    <row r="539" spans="5:7">
      <c r="E539" s="1525" t="s">
        <v>3559</v>
      </c>
      <c r="F539" s="3904" t="s">
        <v>3560</v>
      </c>
      <c r="G539" s="3904"/>
    </row>
    <row r="540" spans="5:7">
      <c r="E540" s="1525" t="s">
        <v>3561</v>
      </c>
      <c r="F540" s="3904" t="s">
        <v>3562</v>
      </c>
      <c r="G540" s="3904"/>
    </row>
    <row r="541" spans="5:7">
      <c r="E541" s="1525" t="s">
        <v>3563</v>
      </c>
      <c r="F541" s="3904" t="s">
        <v>3564</v>
      </c>
      <c r="G541" s="3904"/>
    </row>
    <row r="542" spans="5:7">
      <c r="E542" s="1525" t="s">
        <v>3565</v>
      </c>
      <c r="F542" s="3904" t="s">
        <v>3566</v>
      </c>
      <c r="G542" s="3904"/>
    </row>
    <row r="543" spans="5:7">
      <c r="E543" s="1525" t="s">
        <v>3567</v>
      </c>
      <c r="F543" s="3904" t="s">
        <v>3568</v>
      </c>
      <c r="G543" s="3904"/>
    </row>
    <row r="544" spans="5:7">
      <c r="E544" s="1525" t="s">
        <v>3569</v>
      </c>
      <c r="F544" s="3904" t="s">
        <v>3570</v>
      </c>
      <c r="G544" s="3904"/>
    </row>
    <row r="545" spans="5:7">
      <c r="E545" s="1525" t="s">
        <v>3571</v>
      </c>
      <c r="F545" s="3904" t="s">
        <v>3572</v>
      </c>
      <c r="G545" s="3904"/>
    </row>
    <row r="546" spans="5:7">
      <c r="E546" s="1525" t="s">
        <v>3573</v>
      </c>
      <c r="F546" s="3904" t="s">
        <v>3574</v>
      </c>
      <c r="G546" s="3904"/>
    </row>
    <row r="547" spans="5:7">
      <c r="E547" s="1525" t="s">
        <v>3575</v>
      </c>
      <c r="F547" s="3904" t="s">
        <v>3576</v>
      </c>
      <c r="G547" s="3904"/>
    </row>
    <row r="548" spans="5:7">
      <c r="E548" s="1525" t="s">
        <v>3577</v>
      </c>
      <c r="F548" s="3904" t="s">
        <v>3578</v>
      </c>
      <c r="G548" s="3904"/>
    </row>
    <row r="549" spans="5:7">
      <c r="E549" s="1525" t="s">
        <v>3579</v>
      </c>
      <c r="F549" s="3904" t="s">
        <v>3580</v>
      </c>
      <c r="G549" s="3904"/>
    </row>
    <row r="550" spans="5:7">
      <c r="E550" s="1525" t="s">
        <v>3581</v>
      </c>
      <c r="F550" s="3904" t="s">
        <v>3582</v>
      </c>
      <c r="G550" s="3904"/>
    </row>
    <row r="551" spans="5:7">
      <c r="E551" s="1525" t="s">
        <v>3583</v>
      </c>
      <c r="F551" s="3904" t="s">
        <v>3584</v>
      </c>
      <c r="G551" s="3904"/>
    </row>
    <row r="552" spans="5:7">
      <c r="E552" s="1525" t="s">
        <v>3585</v>
      </c>
      <c r="F552" s="3904" t="s">
        <v>3586</v>
      </c>
      <c r="G552" s="3904"/>
    </row>
    <row r="553" spans="5:7">
      <c r="E553" s="1525" t="s">
        <v>3587</v>
      </c>
      <c r="F553" s="3904" t="s">
        <v>3588</v>
      </c>
      <c r="G553" s="3904"/>
    </row>
    <row r="554" spans="5:7">
      <c r="E554" s="1525" t="s">
        <v>3589</v>
      </c>
      <c r="F554" s="3904" t="s">
        <v>3590</v>
      </c>
      <c r="G554" s="3904"/>
    </row>
    <row r="555" spans="5:7">
      <c r="E555" s="1525" t="s">
        <v>3591</v>
      </c>
      <c r="F555" s="3904" t="s">
        <v>3592</v>
      </c>
      <c r="G555" s="3904"/>
    </row>
    <row r="556" spans="5:7">
      <c r="E556" s="1525" t="s">
        <v>3593</v>
      </c>
      <c r="F556" s="3904" t="s">
        <v>3594</v>
      </c>
      <c r="G556" s="3904"/>
    </row>
    <row r="557" spans="5:7">
      <c r="E557" s="1525" t="s">
        <v>3595</v>
      </c>
      <c r="F557" s="3904" t="s">
        <v>3596</v>
      </c>
      <c r="G557" s="3904"/>
    </row>
    <row r="558" spans="5:7">
      <c r="E558" s="1525" t="s">
        <v>3597</v>
      </c>
      <c r="F558" s="3904" t="s">
        <v>3598</v>
      </c>
      <c r="G558" s="3904"/>
    </row>
    <row r="559" spans="5:7">
      <c r="E559" s="1525" t="s">
        <v>3599</v>
      </c>
      <c r="F559" s="3904" t="s">
        <v>3600</v>
      </c>
      <c r="G559" s="3904"/>
    </row>
    <row r="560" spans="5:7">
      <c r="E560" s="1525" t="s">
        <v>3601</v>
      </c>
      <c r="F560" s="3904" t="s">
        <v>3602</v>
      </c>
      <c r="G560" s="3904"/>
    </row>
    <row r="561" spans="5:7">
      <c r="E561" s="1525" t="s">
        <v>3603</v>
      </c>
      <c r="F561" s="3904" t="s">
        <v>3604</v>
      </c>
      <c r="G561" s="3904"/>
    </row>
    <row r="562" spans="5:7">
      <c r="E562" s="1525" t="s">
        <v>3605</v>
      </c>
      <c r="F562" s="3904" t="s">
        <v>3606</v>
      </c>
      <c r="G562" s="3904"/>
    </row>
    <row r="563" spans="5:7">
      <c r="E563" s="1525" t="s">
        <v>3607</v>
      </c>
      <c r="F563" s="3904" t="s">
        <v>3608</v>
      </c>
      <c r="G563" s="3904"/>
    </row>
    <row r="564" spans="5:7">
      <c r="E564" s="1525" t="s">
        <v>3609</v>
      </c>
      <c r="F564" s="3904" t="s">
        <v>3610</v>
      </c>
      <c r="G564" s="3904"/>
    </row>
    <row r="565" spans="5:7">
      <c r="E565" s="1525" t="s">
        <v>3611</v>
      </c>
      <c r="F565" s="3904" t="s">
        <v>3612</v>
      </c>
      <c r="G565" s="3904"/>
    </row>
    <row r="566" spans="5:7">
      <c r="E566" s="1525" t="s">
        <v>3613</v>
      </c>
      <c r="F566" s="3904" t="s">
        <v>3614</v>
      </c>
      <c r="G566" s="3904"/>
    </row>
    <row r="567" spans="5:7">
      <c r="E567" s="1525" t="s">
        <v>3615</v>
      </c>
      <c r="F567" s="3904" t="s">
        <v>3616</v>
      </c>
      <c r="G567" s="3904"/>
    </row>
    <row r="568" spans="5:7">
      <c r="E568" s="1525" t="s">
        <v>3617</v>
      </c>
      <c r="F568" s="3904" t="s">
        <v>3618</v>
      </c>
      <c r="G568" s="3904"/>
    </row>
    <row r="569" spans="5:7">
      <c r="E569" s="1525" t="s">
        <v>3619</v>
      </c>
      <c r="F569" s="3904" t="s">
        <v>3620</v>
      </c>
      <c r="G569" s="3904"/>
    </row>
    <row r="570" spans="5:7">
      <c r="E570" s="1525" t="s">
        <v>3621</v>
      </c>
      <c r="F570" s="3904" t="s">
        <v>3622</v>
      </c>
      <c r="G570" s="3904"/>
    </row>
    <row r="571" spans="5:7">
      <c r="E571" s="1525" t="s">
        <v>3623</v>
      </c>
      <c r="F571" s="3904" t="s">
        <v>3624</v>
      </c>
      <c r="G571" s="3904"/>
    </row>
    <row r="572" spans="5:7">
      <c r="E572" s="1525" t="s">
        <v>3625</v>
      </c>
      <c r="F572" s="3904" t="s">
        <v>3626</v>
      </c>
      <c r="G572" s="3904"/>
    </row>
    <row r="573" spans="5:7">
      <c r="E573" s="1525" t="s">
        <v>3627</v>
      </c>
      <c r="F573" s="3904" t="s">
        <v>3628</v>
      </c>
      <c r="G573" s="3904"/>
    </row>
    <row r="574" spans="5:7">
      <c r="E574" s="1525" t="s">
        <v>3629</v>
      </c>
      <c r="F574" s="3904" t="s">
        <v>3630</v>
      </c>
      <c r="G574" s="3904"/>
    </row>
    <row r="575" spans="5:7">
      <c r="E575" s="1525" t="s">
        <v>3631</v>
      </c>
      <c r="F575" s="3904" t="s">
        <v>3632</v>
      </c>
      <c r="G575" s="3904"/>
    </row>
    <row r="576" spans="5:7">
      <c r="E576" s="1525" t="s">
        <v>3633</v>
      </c>
      <c r="F576" s="3904" t="s">
        <v>3634</v>
      </c>
      <c r="G576" s="3904"/>
    </row>
    <row r="577" spans="5:7">
      <c r="E577" s="1525" t="s">
        <v>3635</v>
      </c>
      <c r="F577" s="3904" t="s">
        <v>3636</v>
      </c>
      <c r="G577" s="3904"/>
    </row>
    <row r="578" spans="5:7">
      <c r="E578" s="1525" t="s">
        <v>3637</v>
      </c>
      <c r="F578" s="3904" t="s">
        <v>3638</v>
      </c>
      <c r="G578" s="3904"/>
    </row>
    <row r="579" spans="5:7">
      <c r="E579" s="1525" t="s">
        <v>3639</v>
      </c>
      <c r="F579" s="3904" t="s">
        <v>3640</v>
      </c>
      <c r="G579" s="3904"/>
    </row>
    <row r="580" spans="5:7">
      <c r="E580" s="1525" t="s">
        <v>3641</v>
      </c>
      <c r="F580" s="3904" t="s">
        <v>3642</v>
      </c>
      <c r="G580" s="3904"/>
    </row>
    <row r="581" spans="5:7">
      <c r="E581" s="1525" t="s">
        <v>3643</v>
      </c>
      <c r="F581" s="3904" t="s">
        <v>3644</v>
      </c>
      <c r="G581" s="3904"/>
    </row>
    <row r="582" spans="5:7">
      <c r="E582" s="1525" t="s">
        <v>3645</v>
      </c>
      <c r="F582" s="3904" t="s">
        <v>3646</v>
      </c>
      <c r="G582" s="3904"/>
    </row>
    <row r="583" spans="5:7">
      <c r="E583" s="1525" t="s">
        <v>3647</v>
      </c>
      <c r="F583" s="3904" t="s">
        <v>3648</v>
      </c>
      <c r="G583" s="3904"/>
    </row>
    <row r="584" spans="5:7">
      <c r="E584" s="1525" t="s">
        <v>3649</v>
      </c>
      <c r="F584" s="3904" t="s">
        <v>3650</v>
      </c>
      <c r="G584" s="3904"/>
    </row>
    <row r="585" spans="5:7">
      <c r="E585" s="1525" t="s">
        <v>3651</v>
      </c>
      <c r="F585" s="3904" t="s">
        <v>3652</v>
      </c>
      <c r="G585" s="3904"/>
    </row>
    <row r="586" spans="5:7">
      <c r="E586" s="1525" t="s">
        <v>3653</v>
      </c>
      <c r="F586" s="3904" t="s">
        <v>3654</v>
      </c>
      <c r="G586" s="3904"/>
    </row>
    <row r="587" spans="5:7">
      <c r="E587" s="1525" t="s">
        <v>3655</v>
      </c>
      <c r="F587" s="3904" t="s">
        <v>3656</v>
      </c>
      <c r="G587" s="3904"/>
    </row>
    <row r="588" spans="5:7">
      <c r="E588" s="1525" t="s">
        <v>3657</v>
      </c>
      <c r="F588" s="3904" t="s">
        <v>3658</v>
      </c>
      <c r="G588" s="3904"/>
    </row>
    <row r="589" spans="5:7">
      <c r="E589" s="1525" t="s">
        <v>3659</v>
      </c>
      <c r="F589" s="3904" t="s">
        <v>3660</v>
      </c>
      <c r="G589" s="3904"/>
    </row>
    <row r="590" spans="5:7">
      <c r="E590" s="1525" t="s">
        <v>3661</v>
      </c>
      <c r="F590" s="3904" t="s">
        <v>3662</v>
      </c>
      <c r="G590" s="3904"/>
    </row>
    <row r="591" spans="5:7">
      <c r="E591" s="1525" t="s">
        <v>3663</v>
      </c>
      <c r="F591" s="3904" t="s">
        <v>3664</v>
      </c>
      <c r="G591" s="3904"/>
    </row>
    <row r="592" spans="5:7">
      <c r="E592" s="1525" t="s">
        <v>3665</v>
      </c>
      <c r="F592" s="3904" t="s">
        <v>3666</v>
      </c>
      <c r="G592" s="3904"/>
    </row>
    <row r="593" spans="5:7">
      <c r="E593" s="1525" t="s">
        <v>3667</v>
      </c>
      <c r="F593" s="3904" t="s">
        <v>3668</v>
      </c>
      <c r="G593" s="3904"/>
    </row>
    <row r="594" spans="5:7">
      <c r="E594" s="1525" t="s">
        <v>3669</v>
      </c>
      <c r="F594" s="3904" t="s">
        <v>3670</v>
      </c>
      <c r="G594" s="3904"/>
    </row>
    <row r="595" spans="5:7">
      <c r="E595" s="1525" t="s">
        <v>3671</v>
      </c>
      <c r="F595" s="3904" t="s">
        <v>3672</v>
      </c>
      <c r="G595" s="3904"/>
    </row>
    <row r="596" spans="5:7">
      <c r="E596" s="1525" t="s">
        <v>3673</v>
      </c>
      <c r="F596" s="3904" t="s">
        <v>3674</v>
      </c>
      <c r="G596" s="3904"/>
    </row>
    <row r="597" spans="5:7">
      <c r="E597" s="1525" t="s">
        <v>3675</v>
      </c>
      <c r="F597" s="3904" t="s">
        <v>3676</v>
      </c>
      <c r="G597" s="3904"/>
    </row>
    <row r="598" spans="5:7">
      <c r="E598" s="1525" t="s">
        <v>3677</v>
      </c>
      <c r="F598" s="3904" t="s">
        <v>3678</v>
      </c>
      <c r="G598" s="3904"/>
    </row>
    <row r="599" spans="5:7">
      <c r="E599" s="1525" t="s">
        <v>3679</v>
      </c>
      <c r="F599" s="3904" t="s">
        <v>3680</v>
      </c>
      <c r="G599" s="3904"/>
    </row>
    <row r="600" spans="5:7">
      <c r="E600" s="1525" t="s">
        <v>3681</v>
      </c>
      <c r="F600" s="3904" t="s">
        <v>3682</v>
      </c>
      <c r="G600" s="3904"/>
    </row>
    <row r="601" spans="5:7">
      <c r="E601" s="1525" t="s">
        <v>3683</v>
      </c>
      <c r="F601" s="3904" t="s">
        <v>3684</v>
      </c>
      <c r="G601" s="3904"/>
    </row>
    <row r="602" spans="5:7">
      <c r="E602" s="1525" t="s">
        <v>3685</v>
      </c>
      <c r="F602" s="3904" t="s">
        <v>3686</v>
      </c>
      <c r="G602" s="3904"/>
    </row>
    <row r="603" spans="5:7">
      <c r="E603" s="1525" t="s">
        <v>3687</v>
      </c>
      <c r="F603" s="3904" t="s">
        <v>3688</v>
      </c>
      <c r="G603" s="3904"/>
    </row>
    <row r="604" spans="5:7">
      <c r="E604" s="1525" t="s">
        <v>3689</v>
      </c>
      <c r="F604" s="3904" t="s">
        <v>3690</v>
      </c>
      <c r="G604" s="3904"/>
    </row>
    <row r="605" spans="5:7">
      <c r="E605" s="1525" t="s">
        <v>3691</v>
      </c>
      <c r="F605" s="3904" t="s">
        <v>3692</v>
      </c>
      <c r="G605" s="3904"/>
    </row>
    <row r="606" spans="5:7">
      <c r="E606" s="1525" t="s">
        <v>3693</v>
      </c>
      <c r="F606" s="3904" t="s">
        <v>3694</v>
      </c>
      <c r="G606" s="3904"/>
    </row>
    <row r="607" spans="5:7">
      <c r="E607" s="1525" t="s">
        <v>3695</v>
      </c>
      <c r="F607" s="3904" t="s">
        <v>3696</v>
      </c>
      <c r="G607" s="3904"/>
    </row>
    <row r="608" spans="5:7">
      <c r="E608" s="1525" t="s">
        <v>3697</v>
      </c>
      <c r="F608" s="3904" t="s">
        <v>3698</v>
      </c>
      <c r="G608" s="3904"/>
    </row>
    <row r="609" spans="5:7">
      <c r="E609" s="1525" t="s">
        <v>3699</v>
      </c>
      <c r="F609" s="3904" t="s">
        <v>3700</v>
      </c>
      <c r="G609" s="3904"/>
    </row>
    <row r="610" spans="5:7">
      <c r="E610" s="1525" t="s">
        <v>3701</v>
      </c>
      <c r="F610" s="3904" t="s">
        <v>3702</v>
      </c>
      <c r="G610" s="3904"/>
    </row>
    <row r="611" spans="5:7">
      <c r="E611" s="1525" t="s">
        <v>3703</v>
      </c>
      <c r="F611" s="3904" t="s">
        <v>3704</v>
      </c>
      <c r="G611" s="3904"/>
    </row>
    <row r="612" spans="5:7">
      <c r="E612" s="1525" t="s">
        <v>3705</v>
      </c>
      <c r="F612" s="3904" t="s">
        <v>3706</v>
      </c>
      <c r="G612" s="3904"/>
    </row>
    <row r="613" spans="5:7">
      <c r="E613" s="1525" t="s">
        <v>3707</v>
      </c>
      <c r="F613" s="3904" t="s">
        <v>3708</v>
      </c>
      <c r="G613" s="3904"/>
    </row>
    <row r="614" spans="5:7">
      <c r="E614" s="1525" t="s">
        <v>3709</v>
      </c>
      <c r="F614" s="3904" t="s">
        <v>3710</v>
      </c>
      <c r="G614" s="3904"/>
    </row>
    <row r="615" spans="5:7">
      <c r="E615" s="1525" t="s">
        <v>3711</v>
      </c>
      <c r="F615" s="3904" t="s">
        <v>3712</v>
      </c>
      <c r="G615" s="3904"/>
    </row>
    <row r="616" spans="5:7">
      <c r="E616" s="1525" t="s">
        <v>3713</v>
      </c>
      <c r="F616" s="3904" t="s">
        <v>3714</v>
      </c>
      <c r="G616" s="3904"/>
    </row>
    <row r="617" spans="5:7">
      <c r="E617" s="1525" t="s">
        <v>3715</v>
      </c>
      <c r="F617" s="3904" t="s">
        <v>3716</v>
      </c>
      <c r="G617" s="3904"/>
    </row>
    <row r="618" spans="5:7">
      <c r="E618" s="1525" t="s">
        <v>3717</v>
      </c>
      <c r="F618" s="3904" t="s">
        <v>3718</v>
      </c>
      <c r="G618" s="3904"/>
    </row>
    <row r="619" spans="5:7">
      <c r="E619" s="1525" t="s">
        <v>3719</v>
      </c>
      <c r="F619" s="3904" t="s">
        <v>3720</v>
      </c>
      <c r="G619" s="3904"/>
    </row>
    <row r="620" spans="5:7">
      <c r="E620" s="1525" t="s">
        <v>3721</v>
      </c>
      <c r="F620" s="3904" t="s">
        <v>3722</v>
      </c>
      <c r="G620" s="3904"/>
    </row>
    <row r="621" spans="5:7">
      <c r="E621" s="1525" t="s">
        <v>3723</v>
      </c>
      <c r="F621" s="3904" t="s">
        <v>3724</v>
      </c>
      <c r="G621" s="3904"/>
    </row>
    <row r="622" spans="5:7">
      <c r="E622" s="1525" t="s">
        <v>3725</v>
      </c>
      <c r="F622" s="3904" t="s">
        <v>3726</v>
      </c>
      <c r="G622" s="3904"/>
    </row>
    <row r="623" spans="5:7">
      <c r="E623" s="1525" t="s">
        <v>3727</v>
      </c>
      <c r="F623" s="3904" t="s">
        <v>3728</v>
      </c>
      <c r="G623" s="3904"/>
    </row>
    <row r="624" spans="5:7">
      <c r="E624" s="1525" t="s">
        <v>3729</v>
      </c>
      <c r="F624" s="3904" t="s">
        <v>3730</v>
      </c>
      <c r="G624" s="3904"/>
    </row>
    <row r="625" spans="5:7">
      <c r="E625" s="1525" t="s">
        <v>3731</v>
      </c>
      <c r="F625" s="3904" t="s">
        <v>3732</v>
      </c>
      <c r="G625" s="3904"/>
    </row>
    <row r="626" spans="5:7">
      <c r="E626" s="1525" t="s">
        <v>3733</v>
      </c>
      <c r="F626" s="3904" t="s">
        <v>3734</v>
      </c>
      <c r="G626" s="3904"/>
    </row>
    <row r="627" spans="5:7">
      <c r="E627" s="1525" t="s">
        <v>3735</v>
      </c>
      <c r="F627" s="3904" t="s">
        <v>3736</v>
      </c>
      <c r="G627" s="3904"/>
    </row>
    <row r="628" spans="5:7">
      <c r="E628" s="1525" t="s">
        <v>3737</v>
      </c>
      <c r="F628" s="3904" t="s">
        <v>3738</v>
      </c>
      <c r="G628" s="3904"/>
    </row>
    <row r="629" spans="5:7">
      <c r="E629" s="1525" t="s">
        <v>3739</v>
      </c>
      <c r="F629" s="3904" t="s">
        <v>3740</v>
      </c>
      <c r="G629" s="3904"/>
    </row>
    <row r="630" spans="5:7">
      <c r="E630" s="1525" t="s">
        <v>3741</v>
      </c>
      <c r="F630" s="3904" t="s">
        <v>3742</v>
      </c>
      <c r="G630" s="3904"/>
    </row>
    <row r="631" spans="5:7">
      <c r="E631" s="1525" t="s">
        <v>3743</v>
      </c>
      <c r="F631" s="3904" t="s">
        <v>3744</v>
      </c>
      <c r="G631" s="3904"/>
    </row>
    <row r="632" spans="5:7">
      <c r="E632" s="1525" t="s">
        <v>3745</v>
      </c>
      <c r="F632" s="3904" t="s">
        <v>3746</v>
      </c>
      <c r="G632" s="3904"/>
    </row>
    <row r="633" spans="5:7">
      <c r="E633" s="1525" t="s">
        <v>3747</v>
      </c>
      <c r="F633" s="3904" t="s">
        <v>3748</v>
      </c>
      <c r="G633" s="3904"/>
    </row>
    <row r="634" spans="5:7">
      <c r="E634" s="1525" t="s">
        <v>3749</v>
      </c>
      <c r="F634" s="3904" t="s">
        <v>3750</v>
      </c>
      <c r="G634" s="3904"/>
    </row>
    <row r="635" spans="5:7">
      <c r="E635" s="1525" t="s">
        <v>3751</v>
      </c>
      <c r="F635" s="3904" t="s">
        <v>3752</v>
      </c>
      <c r="G635" s="3904"/>
    </row>
    <row r="636" spans="5:7">
      <c r="E636" s="1525" t="s">
        <v>3753</v>
      </c>
      <c r="F636" s="3904" t="s">
        <v>3754</v>
      </c>
      <c r="G636" s="3904"/>
    </row>
    <row r="637" spans="5:7">
      <c r="E637" s="1525" t="s">
        <v>3755</v>
      </c>
      <c r="F637" s="3904" t="s">
        <v>3756</v>
      </c>
      <c r="G637" s="3904"/>
    </row>
    <row r="638" spans="5:7">
      <c r="E638" s="1525" t="s">
        <v>3757</v>
      </c>
      <c r="F638" s="3904" t="s">
        <v>3758</v>
      </c>
      <c r="G638" s="3904"/>
    </row>
    <row r="639" spans="5:7">
      <c r="E639" s="1525" t="s">
        <v>3759</v>
      </c>
      <c r="F639" s="3904" t="s">
        <v>3760</v>
      </c>
      <c r="G639" s="3904"/>
    </row>
    <row r="640" spans="5:7">
      <c r="E640" s="1525" t="s">
        <v>3761</v>
      </c>
      <c r="F640" s="3904" t="s">
        <v>3762</v>
      </c>
      <c r="G640" s="3904"/>
    </row>
    <row r="641" spans="5:7">
      <c r="E641" s="1525" t="s">
        <v>3763</v>
      </c>
      <c r="F641" s="3904" t="s">
        <v>3764</v>
      </c>
      <c r="G641" s="3904"/>
    </row>
    <row r="642" spans="5:7">
      <c r="E642" s="1525" t="s">
        <v>3765</v>
      </c>
      <c r="F642" s="3904" t="s">
        <v>3766</v>
      </c>
      <c r="G642" s="3904"/>
    </row>
    <row r="643" spans="5:7">
      <c r="E643" s="1525" t="s">
        <v>3767</v>
      </c>
      <c r="F643" s="3904" t="s">
        <v>3768</v>
      </c>
      <c r="G643" s="3904"/>
    </row>
    <row r="644" spans="5:7">
      <c r="E644" s="1525" t="s">
        <v>3769</v>
      </c>
      <c r="F644" s="3904" t="s">
        <v>3770</v>
      </c>
      <c r="G644" s="3904"/>
    </row>
    <row r="645" spans="5:7">
      <c r="E645" s="1525" t="s">
        <v>3771</v>
      </c>
      <c r="F645" s="3904" t="s">
        <v>3772</v>
      </c>
      <c r="G645" s="3904"/>
    </row>
    <row r="646" spans="5:7">
      <c r="E646" s="1525" t="s">
        <v>3773</v>
      </c>
      <c r="F646" s="3904" t="s">
        <v>3774</v>
      </c>
      <c r="G646" s="3904"/>
    </row>
    <row r="647" spans="5:7">
      <c r="E647" s="1525" t="s">
        <v>3775</v>
      </c>
      <c r="F647" s="3904" t="s">
        <v>3776</v>
      </c>
      <c r="G647" s="3904"/>
    </row>
    <row r="648" spans="5:7">
      <c r="E648" s="1525" t="s">
        <v>3777</v>
      </c>
      <c r="F648" s="3904" t="s">
        <v>3778</v>
      </c>
      <c r="G648" s="3904"/>
    </row>
    <row r="649" spans="5:7">
      <c r="E649" s="1525" t="s">
        <v>3779</v>
      </c>
      <c r="F649" s="3904" t="s">
        <v>3780</v>
      </c>
      <c r="G649" s="3904"/>
    </row>
    <row r="650" spans="5:7">
      <c r="E650" s="1525" t="s">
        <v>3781</v>
      </c>
      <c r="F650" s="3904" t="s">
        <v>3782</v>
      </c>
      <c r="G650" s="3904"/>
    </row>
    <row r="651" spans="5:7">
      <c r="E651" s="1525" t="s">
        <v>3783</v>
      </c>
      <c r="F651" s="3904" t="s">
        <v>3784</v>
      </c>
      <c r="G651" s="3904"/>
    </row>
    <row r="652" spans="5:7">
      <c r="E652" s="1525" t="s">
        <v>3785</v>
      </c>
      <c r="F652" s="3904" t="s">
        <v>3786</v>
      </c>
      <c r="G652" s="3904"/>
    </row>
    <row r="653" spans="5:7">
      <c r="E653" s="1525" t="s">
        <v>3787</v>
      </c>
      <c r="F653" s="3904" t="s">
        <v>3788</v>
      </c>
      <c r="G653" s="3904"/>
    </row>
    <row r="654" spans="5:7">
      <c r="E654" s="1525" t="s">
        <v>3789</v>
      </c>
      <c r="F654" s="3904" t="s">
        <v>3790</v>
      </c>
      <c r="G654" s="3904"/>
    </row>
    <row r="655" spans="5:7">
      <c r="E655" s="1525" t="s">
        <v>3791</v>
      </c>
      <c r="F655" s="3904" t="s">
        <v>3792</v>
      </c>
      <c r="G655" s="3904"/>
    </row>
    <row r="656" spans="5:7">
      <c r="E656" s="1525" t="s">
        <v>3793</v>
      </c>
      <c r="F656" s="3904" t="s">
        <v>3794</v>
      </c>
      <c r="G656" s="3904"/>
    </row>
    <row r="657" spans="5:7">
      <c r="E657" s="1525" t="s">
        <v>3795</v>
      </c>
      <c r="F657" s="3904" t="s">
        <v>3796</v>
      </c>
      <c r="G657" s="3904"/>
    </row>
    <row r="658" spans="5:7">
      <c r="E658" s="1525" t="s">
        <v>3797</v>
      </c>
      <c r="F658" s="3904" t="s">
        <v>3798</v>
      </c>
      <c r="G658" s="3904"/>
    </row>
    <row r="659" spans="5:7">
      <c r="E659" s="1525" t="s">
        <v>3799</v>
      </c>
      <c r="F659" s="3904" t="s">
        <v>3800</v>
      </c>
      <c r="G659" s="3904"/>
    </row>
    <row r="660" spans="5:7">
      <c r="E660" s="1525" t="s">
        <v>3801</v>
      </c>
      <c r="F660" s="3904" t="s">
        <v>3802</v>
      </c>
      <c r="G660" s="3904"/>
    </row>
    <row r="661" spans="5:7">
      <c r="E661" s="1525" t="s">
        <v>3803</v>
      </c>
      <c r="F661" s="3904" t="s">
        <v>3804</v>
      </c>
      <c r="G661" s="3904"/>
    </row>
    <row r="662" spans="5:7">
      <c r="E662" s="1525" t="s">
        <v>3805</v>
      </c>
      <c r="F662" s="3904" t="s">
        <v>3806</v>
      </c>
      <c r="G662" s="3904"/>
    </row>
    <row r="663" spans="5:7">
      <c r="E663" s="1525" t="s">
        <v>3807</v>
      </c>
      <c r="F663" s="3904" t="s">
        <v>3808</v>
      </c>
      <c r="G663" s="3904"/>
    </row>
    <row r="664" spans="5:7">
      <c r="E664" s="1525" t="s">
        <v>3809</v>
      </c>
      <c r="F664" s="3904" t="s">
        <v>3810</v>
      </c>
      <c r="G664" s="3904"/>
    </row>
    <row r="665" spans="5:7">
      <c r="E665" s="1525" t="s">
        <v>3811</v>
      </c>
      <c r="F665" s="3904" t="s">
        <v>3812</v>
      </c>
      <c r="G665" s="3904"/>
    </row>
    <row r="666" spans="5:7">
      <c r="E666" s="1525" t="s">
        <v>3813</v>
      </c>
      <c r="F666" s="3904" t="s">
        <v>3814</v>
      </c>
      <c r="G666" s="3904"/>
    </row>
    <row r="667" spans="5:7">
      <c r="E667" s="1525" t="s">
        <v>3815</v>
      </c>
      <c r="F667" s="3904" t="s">
        <v>3816</v>
      </c>
      <c r="G667" s="3904"/>
    </row>
    <row r="668" spans="5:7">
      <c r="E668" s="1525" t="s">
        <v>3817</v>
      </c>
      <c r="F668" s="3904" t="s">
        <v>3818</v>
      </c>
      <c r="G668" s="3904"/>
    </row>
    <row r="669" spans="5:7">
      <c r="E669" s="1525" t="s">
        <v>3819</v>
      </c>
      <c r="F669" s="3904" t="s">
        <v>3820</v>
      </c>
      <c r="G669" s="3904"/>
    </row>
    <row r="670" spans="5:7">
      <c r="E670" s="1525" t="s">
        <v>3821</v>
      </c>
      <c r="F670" s="3904" t="s">
        <v>3822</v>
      </c>
      <c r="G670" s="3904"/>
    </row>
    <row r="671" spans="5:7">
      <c r="E671" s="1525" t="s">
        <v>3823</v>
      </c>
      <c r="F671" s="3904" t="s">
        <v>3824</v>
      </c>
      <c r="G671" s="3904"/>
    </row>
    <row r="672" spans="5:7">
      <c r="E672" s="1525" t="s">
        <v>3825</v>
      </c>
      <c r="F672" s="3904" t="s">
        <v>3826</v>
      </c>
      <c r="G672" s="3904"/>
    </row>
    <row r="673" spans="5:7">
      <c r="E673" s="1525" t="s">
        <v>3827</v>
      </c>
      <c r="F673" s="3904" t="s">
        <v>3828</v>
      </c>
      <c r="G673" s="3904"/>
    </row>
    <row r="674" spans="5:7">
      <c r="E674" s="1525" t="s">
        <v>3829</v>
      </c>
      <c r="F674" s="3904" t="s">
        <v>3830</v>
      </c>
      <c r="G674" s="3904"/>
    </row>
    <row r="675" spans="5:7">
      <c r="E675" s="1525" t="s">
        <v>3831</v>
      </c>
      <c r="F675" s="3904" t="s">
        <v>3832</v>
      </c>
      <c r="G675" s="3904"/>
    </row>
    <row r="676" spans="5:7">
      <c r="E676" s="1525" t="s">
        <v>3833</v>
      </c>
      <c r="F676" s="3904" t="s">
        <v>3834</v>
      </c>
      <c r="G676" s="3904"/>
    </row>
    <row r="677" spans="5:7">
      <c r="E677" s="1525" t="s">
        <v>3835</v>
      </c>
      <c r="F677" s="3904" t="s">
        <v>3836</v>
      </c>
      <c r="G677" s="3904"/>
    </row>
    <row r="678" spans="5:7">
      <c r="E678" s="1525" t="s">
        <v>3837</v>
      </c>
      <c r="F678" s="3904" t="s">
        <v>3838</v>
      </c>
      <c r="G678" s="3904"/>
    </row>
    <row r="679" spans="5:7">
      <c r="E679" s="1525" t="s">
        <v>3839</v>
      </c>
      <c r="F679" s="3904" t="s">
        <v>3840</v>
      </c>
      <c r="G679" s="3904"/>
    </row>
    <row r="680" spans="5:7">
      <c r="E680" s="1525" t="s">
        <v>3841</v>
      </c>
      <c r="F680" s="3904" t="s">
        <v>3842</v>
      </c>
      <c r="G680" s="3904"/>
    </row>
    <row r="681" spans="5:7">
      <c r="E681" s="1525" t="s">
        <v>3843</v>
      </c>
      <c r="F681" s="3904" t="s">
        <v>3844</v>
      </c>
      <c r="G681" s="3904"/>
    </row>
    <row r="682" spans="5:7">
      <c r="E682" s="1525" t="s">
        <v>3845</v>
      </c>
      <c r="F682" s="3904" t="s">
        <v>3846</v>
      </c>
      <c r="G682" s="3904"/>
    </row>
    <row r="683" spans="5:7">
      <c r="E683" s="1525" t="s">
        <v>3847</v>
      </c>
      <c r="F683" s="3904" t="s">
        <v>3848</v>
      </c>
      <c r="G683" s="3904"/>
    </row>
    <row r="684" spans="5:7">
      <c r="E684" s="1525" t="s">
        <v>3849</v>
      </c>
      <c r="F684" s="3904" t="s">
        <v>3850</v>
      </c>
      <c r="G684" s="3904"/>
    </row>
    <row r="685" spans="5:7">
      <c r="E685" s="1525" t="s">
        <v>3851</v>
      </c>
      <c r="F685" s="3904" t="s">
        <v>3852</v>
      </c>
      <c r="G685" s="3904"/>
    </row>
    <row r="686" spans="5:7">
      <c r="E686" s="1525" t="s">
        <v>3853</v>
      </c>
      <c r="F686" s="3904" t="s">
        <v>3854</v>
      </c>
      <c r="G686" s="3904"/>
    </row>
    <row r="687" spans="5:7">
      <c r="E687" s="1525" t="s">
        <v>3855</v>
      </c>
      <c r="F687" s="3904" t="s">
        <v>3856</v>
      </c>
      <c r="G687" s="3904"/>
    </row>
    <row r="688" spans="5:7">
      <c r="E688" s="1525" t="s">
        <v>3857</v>
      </c>
      <c r="F688" s="3904" t="s">
        <v>3858</v>
      </c>
      <c r="G688" s="3904"/>
    </row>
    <row r="689" spans="5:7">
      <c r="E689" s="1525" t="s">
        <v>3859</v>
      </c>
      <c r="F689" s="3904" t="s">
        <v>3860</v>
      </c>
      <c r="G689" s="3904"/>
    </row>
    <row r="690" spans="5:7">
      <c r="E690" s="1525" t="s">
        <v>3861</v>
      </c>
      <c r="F690" s="3904" t="s">
        <v>3862</v>
      </c>
      <c r="G690" s="3904"/>
    </row>
    <row r="691" spans="5:7">
      <c r="E691" s="1525" t="s">
        <v>3863</v>
      </c>
      <c r="F691" s="3904" t="s">
        <v>3864</v>
      </c>
      <c r="G691" s="3904"/>
    </row>
    <row r="692" spans="5:7">
      <c r="E692" s="1525" t="s">
        <v>3865</v>
      </c>
      <c r="F692" s="3904" t="s">
        <v>3866</v>
      </c>
      <c r="G692" s="3904"/>
    </row>
    <row r="693" spans="5:7">
      <c r="E693" s="1525" t="s">
        <v>3867</v>
      </c>
      <c r="F693" s="3904" t="s">
        <v>3868</v>
      </c>
      <c r="G693" s="3904"/>
    </row>
    <row r="694" spans="5:7">
      <c r="E694" s="1525" t="s">
        <v>3869</v>
      </c>
      <c r="F694" s="3904" t="s">
        <v>3870</v>
      </c>
      <c r="G694" s="3904"/>
    </row>
    <row r="695" spans="5:7">
      <c r="E695" s="1525" t="s">
        <v>3871</v>
      </c>
      <c r="F695" s="3904" t="s">
        <v>3872</v>
      </c>
      <c r="G695" s="3904"/>
    </row>
    <row r="696" spans="5:7">
      <c r="E696" s="1525" t="s">
        <v>3873</v>
      </c>
      <c r="F696" s="3904" t="s">
        <v>3874</v>
      </c>
      <c r="G696" s="3904"/>
    </row>
    <row r="697" spans="5:7">
      <c r="E697" s="1525" t="s">
        <v>3875</v>
      </c>
      <c r="F697" s="3904" t="s">
        <v>3876</v>
      </c>
      <c r="G697" s="3904"/>
    </row>
    <row r="698" spans="5:7">
      <c r="E698" s="1525" t="s">
        <v>3877</v>
      </c>
      <c r="F698" s="3904" t="s">
        <v>3878</v>
      </c>
      <c r="G698" s="3904"/>
    </row>
    <row r="699" spans="5:7">
      <c r="E699" s="1525" t="s">
        <v>3879</v>
      </c>
      <c r="F699" s="3904" t="s">
        <v>3880</v>
      </c>
      <c r="G699" s="3904"/>
    </row>
    <row r="700" spans="5:7">
      <c r="E700" s="1525" t="s">
        <v>3881</v>
      </c>
      <c r="F700" s="3904" t="s">
        <v>3882</v>
      </c>
      <c r="G700" s="3904"/>
    </row>
    <row r="701" spans="5:7">
      <c r="E701" s="1525" t="s">
        <v>3883</v>
      </c>
      <c r="F701" s="3904" t="s">
        <v>3884</v>
      </c>
      <c r="G701" s="3904"/>
    </row>
    <row r="702" spans="5:7">
      <c r="E702" s="1525" t="s">
        <v>3885</v>
      </c>
      <c r="F702" s="3904" t="s">
        <v>3886</v>
      </c>
      <c r="G702" s="3904"/>
    </row>
    <row r="703" spans="5:7">
      <c r="E703" s="1525" t="s">
        <v>3887</v>
      </c>
      <c r="F703" s="3904" t="s">
        <v>3888</v>
      </c>
      <c r="G703" s="3904"/>
    </row>
    <row r="704" spans="5:7">
      <c r="E704" s="1525" t="s">
        <v>3889</v>
      </c>
      <c r="F704" s="3904" t="s">
        <v>3890</v>
      </c>
      <c r="G704" s="3904"/>
    </row>
    <row r="705" spans="5:7">
      <c r="E705" s="1525" t="s">
        <v>3891</v>
      </c>
      <c r="F705" s="3904" t="s">
        <v>3892</v>
      </c>
      <c r="G705" s="3904"/>
    </row>
    <row r="706" spans="5:7">
      <c r="E706" s="1525" t="s">
        <v>3893</v>
      </c>
      <c r="F706" s="3904" t="s">
        <v>3894</v>
      </c>
      <c r="G706" s="3904"/>
    </row>
    <row r="707" spans="5:7">
      <c r="E707" s="1525" t="s">
        <v>3895</v>
      </c>
      <c r="F707" s="3904" t="s">
        <v>3896</v>
      </c>
      <c r="G707" s="3904"/>
    </row>
    <row r="708" spans="5:7">
      <c r="E708" s="1525" t="s">
        <v>3897</v>
      </c>
      <c r="F708" s="3904" t="s">
        <v>3898</v>
      </c>
      <c r="G708" s="3904"/>
    </row>
    <row r="709" spans="5:7">
      <c r="E709" s="1525" t="s">
        <v>3899</v>
      </c>
      <c r="F709" s="3904" t="s">
        <v>3900</v>
      </c>
      <c r="G709" s="3904"/>
    </row>
    <row r="710" spans="5:7">
      <c r="E710" s="1525" t="s">
        <v>3901</v>
      </c>
      <c r="F710" s="3904" t="s">
        <v>3902</v>
      </c>
      <c r="G710" s="3904"/>
    </row>
    <row r="711" spans="5:7">
      <c r="E711" s="1525" t="s">
        <v>3903</v>
      </c>
      <c r="F711" s="3904" t="s">
        <v>3904</v>
      </c>
      <c r="G711" s="3904"/>
    </row>
    <row r="712" spans="5:7">
      <c r="E712" s="1525" t="s">
        <v>3905</v>
      </c>
      <c r="F712" s="3904" t="s">
        <v>3906</v>
      </c>
      <c r="G712" s="3904"/>
    </row>
    <row r="713" spans="5:7">
      <c r="E713" s="1525" t="s">
        <v>3907</v>
      </c>
      <c r="F713" s="3904" t="s">
        <v>3908</v>
      </c>
      <c r="G713" s="3904"/>
    </row>
    <row r="714" spans="5:7">
      <c r="E714" s="1525" t="s">
        <v>3909</v>
      </c>
      <c r="F714" s="3904" t="s">
        <v>3910</v>
      </c>
      <c r="G714" s="3904"/>
    </row>
    <row r="715" spans="5:7">
      <c r="E715" s="1525" t="s">
        <v>3911</v>
      </c>
      <c r="F715" s="3904" t="s">
        <v>3912</v>
      </c>
      <c r="G715" s="3904"/>
    </row>
    <row r="716" spans="5:7">
      <c r="E716" s="1525" t="s">
        <v>3913</v>
      </c>
      <c r="F716" s="3904" t="s">
        <v>3914</v>
      </c>
      <c r="G716" s="3904"/>
    </row>
    <row r="717" spans="5:7">
      <c r="E717" s="1525" t="s">
        <v>3915</v>
      </c>
      <c r="F717" s="3904" t="s">
        <v>3916</v>
      </c>
      <c r="G717" s="3904"/>
    </row>
    <row r="718" spans="5:7">
      <c r="E718" s="1525" t="s">
        <v>3917</v>
      </c>
      <c r="F718" s="3904" t="s">
        <v>3918</v>
      </c>
      <c r="G718" s="3904"/>
    </row>
    <row r="719" spans="5:7">
      <c r="E719" s="1525" t="s">
        <v>3919</v>
      </c>
      <c r="F719" s="3904" t="s">
        <v>3920</v>
      </c>
      <c r="G719" s="3904"/>
    </row>
    <row r="720" spans="5:7">
      <c r="E720" s="1525" t="s">
        <v>3921</v>
      </c>
      <c r="F720" s="3904" t="s">
        <v>3922</v>
      </c>
      <c r="G720" s="3904"/>
    </row>
    <row r="721" spans="5:7">
      <c r="E721" s="1525" t="s">
        <v>3923</v>
      </c>
      <c r="F721" s="3904" t="s">
        <v>3924</v>
      </c>
      <c r="G721" s="3904"/>
    </row>
    <row r="722" spans="5:7">
      <c r="E722" s="1525" t="s">
        <v>3925</v>
      </c>
      <c r="F722" s="3904" t="s">
        <v>3926</v>
      </c>
      <c r="G722" s="3904"/>
    </row>
    <row r="723" spans="5:7">
      <c r="E723" s="1525" t="s">
        <v>3927</v>
      </c>
      <c r="F723" s="3904" t="s">
        <v>3928</v>
      </c>
      <c r="G723" s="3904"/>
    </row>
    <row r="724" spans="5:7">
      <c r="E724" s="1525" t="s">
        <v>3929</v>
      </c>
      <c r="F724" s="3904" t="s">
        <v>3930</v>
      </c>
      <c r="G724" s="3904"/>
    </row>
    <row r="725" spans="5:7">
      <c r="E725" s="1525" t="s">
        <v>3931</v>
      </c>
      <c r="F725" s="3904" t="s">
        <v>3932</v>
      </c>
      <c r="G725" s="3904"/>
    </row>
    <row r="726" spans="5:7">
      <c r="E726" s="1525" t="s">
        <v>3933</v>
      </c>
      <c r="F726" s="3904" t="s">
        <v>3934</v>
      </c>
      <c r="G726" s="3904"/>
    </row>
    <row r="727" spans="5:7">
      <c r="E727" s="1525" t="s">
        <v>3935</v>
      </c>
      <c r="F727" s="3904" t="s">
        <v>3936</v>
      </c>
      <c r="G727" s="3904"/>
    </row>
    <row r="728" spans="5:7">
      <c r="E728" s="1525" t="s">
        <v>3937</v>
      </c>
      <c r="F728" s="3904" t="s">
        <v>3938</v>
      </c>
      <c r="G728" s="3904"/>
    </row>
    <row r="729" spans="5:7">
      <c r="E729" s="1525" t="s">
        <v>3939</v>
      </c>
      <c r="F729" s="3904" t="s">
        <v>3940</v>
      </c>
      <c r="G729" s="3904"/>
    </row>
    <row r="730" spans="5:7">
      <c r="E730" s="1525" t="s">
        <v>3941</v>
      </c>
      <c r="F730" s="3904" t="s">
        <v>3942</v>
      </c>
      <c r="G730" s="3904"/>
    </row>
    <row r="731" spans="5:7">
      <c r="E731" s="1525" t="s">
        <v>3943</v>
      </c>
      <c r="F731" s="3904" t="s">
        <v>3944</v>
      </c>
      <c r="G731" s="3904"/>
    </row>
    <row r="732" spans="5:7">
      <c r="E732" s="1525" t="s">
        <v>3945</v>
      </c>
      <c r="F732" s="3904" t="s">
        <v>3946</v>
      </c>
      <c r="G732" s="3904"/>
    </row>
    <row r="733" spans="5:7">
      <c r="E733" s="1525" t="s">
        <v>3947</v>
      </c>
      <c r="F733" s="3904" t="s">
        <v>3948</v>
      </c>
      <c r="G733" s="3904"/>
    </row>
    <row r="734" spans="5:7">
      <c r="E734" s="1525" t="s">
        <v>3949</v>
      </c>
      <c r="F734" s="3904" t="s">
        <v>3950</v>
      </c>
      <c r="G734" s="3904"/>
    </row>
    <row r="735" spans="5:7">
      <c r="E735" s="1525" t="s">
        <v>3951</v>
      </c>
      <c r="F735" s="3904" t="s">
        <v>3952</v>
      </c>
      <c r="G735" s="3904"/>
    </row>
    <row r="736" spans="5:7">
      <c r="E736" s="1525" t="s">
        <v>3953</v>
      </c>
      <c r="F736" s="3904" t="s">
        <v>3954</v>
      </c>
      <c r="G736" s="3904"/>
    </row>
    <row r="737" spans="5:7">
      <c r="E737" s="1525" t="s">
        <v>3955</v>
      </c>
      <c r="F737" s="3904" t="s">
        <v>3956</v>
      </c>
      <c r="G737" s="3904"/>
    </row>
    <row r="738" spans="5:7">
      <c r="E738" s="1525" t="s">
        <v>3957</v>
      </c>
      <c r="F738" s="3904" t="s">
        <v>3958</v>
      </c>
      <c r="G738" s="3904"/>
    </row>
    <row r="739" spans="5:7">
      <c r="E739" s="1525" t="s">
        <v>3959</v>
      </c>
      <c r="F739" s="3904" t="s">
        <v>3960</v>
      </c>
      <c r="G739" s="3904"/>
    </row>
    <row r="740" spans="5:7">
      <c r="E740" s="1525" t="s">
        <v>3961</v>
      </c>
      <c r="F740" s="3904" t="s">
        <v>3962</v>
      </c>
      <c r="G740" s="3904"/>
    </row>
    <row r="741" spans="5:7">
      <c r="E741" s="1525" t="s">
        <v>3963</v>
      </c>
      <c r="F741" s="3904" t="s">
        <v>3964</v>
      </c>
      <c r="G741" s="3904"/>
    </row>
    <row r="742" spans="5:7">
      <c r="E742" s="1525" t="s">
        <v>3965</v>
      </c>
      <c r="F742" s="3904" t="s">
        <v>3966</v>
      </c>
      <c r="G742" s="3904"/>
    </row>
    <row r="743" spans="5:7">
      <c r="E743" s="1525" t="s">
        <v>3967</v>
      </c>
      <c r="F743" s="3904" t="s">
        <v>3968</v>
      </c>
      <c r="G743" s="3904"/>
    </row>
    <row r="744" spans="5:7">
      <c r="E744" s="1525" t="s">
        <v>3969</v>
      </c>
      <c r="F744" s="3904" t="s">
        <v>3970</v>
      </c>
      <c r="G744" s="3904"/>
    </row>
    <row r="745" spans="5:7">
      <c r="E745" s="1525" t="s">
        <v>3971</v>
      </c>
      <c r="F745" s="3904" t="s">
        <v>3972</v>
      </c>
      <c r="G745" s="3904"/>
    </row>
    <row r="746" spans="5:7">
      <c r="E746" s="1525" t="s">
        <v>3973</v>
      </c>
      <c r="F746" s="3904" t="s">
        <v>3974</v>
      </c>
      <c r="G746" s="3904"/>
    </row>
    <row r="747" spans="5:7">
      <c r="E747" s="1525" t="s">
        <v>3975</v>
      </c>
      <c r="F747" s="3904" t="s">
        <v>3976</v>
      </c>
      <c r="G747" s="3904"/>
    </row>
    <row r="748" spans="5:7">
      <c r="E748" s="1525" t="s">
        <v>3977</v>
      </c>
      <c r="F748" s="3904" t="s">
        <v>3978</v>
      </c>
      <c r="G748" s="3904"/>
    </row>
    <row r="749" spans="5:7">
      <c r="E749" s="1525" t="s">
        <v>3979</v>
      </c>
      <c r="F749" s="3904" t="s">
        <v>3980</v>
      </c>
      <c r="G749" s="3904"/>
    </row>
    <row r="750" spans="5:7">
      <c r="E750" s="1525" t="s">
        <v>3981</v>
      </c>
      <c r="F750" s="3904" t="s">
        <v>3982</v>
      </c>
      <c r="G750" s="3904"/>
    </row>
    <row r="751" spans="5:7">
      <c r="E751" s="1525" t="s">
        <v>3983</v>
      </c>
      <c r="F751" s="3904" t="s">
        <v>3984</v>
      </c>
      <c r="G751" s="3904"/>
    </row>
    <row r="752" spans="5:7">
      <c r="E752" s="1525" t="s">
        <v>3985</v>
      </c>
      <c r="F752" s="3904" t="s">
        <v>3986</v>
      </c>
      <c r="G752" s="3904"/>
    </row>
    <row r="753" spans="5:7">
      <c r="E753" s="1525" t="s">
        <v>3987</v>
      </c>
      <c r="F753" s="3904" t="s">
        <v>3988</v>
      </c>
      <c r="G753" s="3904"/>
    </row>
    <row r="754" spans="5:7">
      <c r="E754" s="1525" t="s">
        <v>3989</v>
      </c>
      <c r="F754" s="3904" t="s">
        <v>3990</v>
      </c>
      <c r="G754" s="3904"/>
    </row>
    <row r="755" spans="5:7">
      <c r="E755" s="1525" t="s">
        <v>3991</v>
      </c>
      <c r="F755" s="3904" t="s">
        <v>3992</v>
      </c>
      <c r="G755" s="3904"/>
    </row>
    <row r="756" spans="5:7">
      <c r="E756" s="1525" t="s">
        <v>3993</v>
      </c>
      <c r="F756" s="3904" t="s">
        <v>3994</v>
      </c>
      <c r="G756" s="3904"/>
    </row>
    <row r="757" spans="5:7">
      <c r="E757" s="1525" t="s">
        <v>3995</v>
      </c>
      <c r="F757" s="3904" t="s">
        <v>3996</v>
      </c>
      <c r="G757" s="3904"/>
    </row>
    <row r="758" spans="5:7">
      <c r="E758" s="1525" t="s">
        <v>3997</v>
      </c>
      <c r="F758" s="3904" t="s">
        <v>3998</v>
      </c>
      <c r="G758" s="3904"/>
    </row>
    <row r="759" spans="5:7">
      <c r="E759" s="1525" t="s">
        <v>3999</v>
      </c>
      <c r="F759" s="3904" t="s">
        <v>4000</v>
      </c>
      <c r="G759" s="3904"/>
    </row>
    <row r="760" spans="5:7">
      <c r="E760" s="1525" t="s">
        <v>4001</v>
      </c>
      <c r="F760" s="3904" t="s">
        <v>4002</v>
      </c>
      <c r="G760" s="3904"/>
    </row>
    <row r="761" spans="5:7">
      <c r="E761" s="1525" t="s">
        <v>4003</v>
      </c>
      <c r="F761" s="3904" t="s">
        <v>4004</v>
      </c>
      <c r="G761" s="3904"/>
    </row>
    <row r="762" spans="5:7">
      <c r="E762" s="1525" t="s">
        <v>4005</v>
      </c>
      <c r="F762" s="3904" t="s">
        <v>4006</v>
      </c>
      <c r="G762" s="3904"/>
    </row>
    <row r="763" spans="5:7">
      <c r="E763" s="1525" t="s">
        <v>4007</v>
      </c>
      <c r="F763" s="3904" t="s">
        <v>4008</v>
      </c>
      <c r="G763" s="3904"/>
    </row>
    <row r="764" spans="5:7">
      <c r="E764" s="1525" t="s">
        <v>4009</v>
      </c>
      <c r="F764" s="3904" t="s">
        <v>4010</v>
      </c>
      <c r="G764" s="3904"/>
    </row>
    <row r="765" spans="5:7">
      <c r="E765" s="1525" t="s">
        <v>4011</v>
      </c>
      <c r="F765" s="3904" t="s">
        <v>4012</v>
      </c>
      <c r="G765" s="3904"/>
    </row>
    <row r="766" spans="5:7">
      <c r="E766" s="1525" t="s">
        <v>4013</v>
      </c>
      <c r="F766" s="3904" t="s">
        <v>4014</v>
      </c>
      <c r="G766" s="3904"/>
    </row>
    <row r="767" spans="5:7">
      <c r="E767" s="1525" t="s">
        <v>4015</v>
      </c>
      <c r="F767" s="3904" t="s">
        <v>4016</v>
      </c>
      <c r="G767" s="3904"/>
    </row>
    <row r="768" spans="5:7">
      <c r="E768" s="1525" t="s">
        <v>4017</v>
      </c>
      <c r="F768" s="3904" t="s">
        <v>4018</v>
      </c>
      <c r="G768" s="3904"/>
    </row>
    <row r="769" spans="5:7">
      <c r="E769" s="1525" t="s">
        <v>4019</v>
      </c>
      <c r="F769" s="3904" t="s">
        <v>4020</v>
      </c>
      <c r="G769" s="3904"/>
    </row>
    <row r="770" spans="5:7">
      <c r="E770" s="1525" t="s">
        <v>4021</v>
      </c>
      <c r="F770" s="3904" t="s">
        <v>4022</v>
      </c>
      <c r="G770" s="3904"/>
    </row>
    <row r="771" spans="5:7">
      <c r="E771" s="1525" t="s">
        <v>4023</v>
      </c>
      <c r="F771" s="3904" t="s">
        <v>4024</v>
      </c>
      <c r="G771" s="3904"/>
    </row>
    <row r="772" spans="5:7">
      <c r="E772" s="1525" t="s">
        <v>4025</v>
      </c>
      <c r="F772" s="3904" t="s">
        <v>4026</v>
      </c>
      <c r="G772" s="3904"/>
    </row>
    <row r="773" spans="5:7">
      <c r="E773" s="1525" t="s">
        <v>4027</v>
      </c>
      <c r="F773" s="3904" t="s">
        <v>4028</v>
      </c>
      <c r="G773" s="3904"/>
    </row>
    <row r="774" spans="5:7">
      <c r="E774" s="1525" t="s">
        <v>4029</v>
      </c>
      <c r="F774" s="3904" t="s">
        <v>4030</v>
      </c>
      <c r="G774" s="3904"/>
    </row>
    <row r="775" spans="5:7">
      <c r="E775" s="1525" t="s">
        <v>4031</v>
      </c>
      <c r="F775" s="3904" t="s">
        <v>4032</v>
      </c>
      <c r="G775" s="3904"/>
    </row>
    <row r="776" spans="5:7">
      <c r="E776" s="1525" t="s">
        <v>4033</v>
      </c>
      <c r="F776" s="3904" t="s">
        <v>4034</v>
      </c>
      <c r="G776" s="3904"/>
    </row>
    <row r="777" spans="5:7">
      <c r="E777" s="1525" t="s">
        <v>4035</v>
      </c>
      <c r="F777" s="3904" t="s">
        <v>4036</v>
      </c>
      <c r="G777" s="3904"/>
    </row>
    <row r="778" spans="5:7">
      <c r="E778" s="1525" t="s">
        <v>4037</v>
      </c>
      <c r="F778" s="3904" t="s">
        <v>4038</v>
      </c>
      <c r="G778" s="3904"/>
    </row>
    <row r="779" spans="5:7">
      <c r="E779" s="1525" t="s">
        <v>4039</v>
      </c>
      <c r="F779" s="3904" t="s">
        <v>4040</v>
      </c>
      <c r="G779" s="3904"/>
    </row>
    <row r="780" spans="5:7">
      <c r="E780" s="1525" t="s">
        <v>4041</v>
      </c>
      <c r="F780" s="3904" t="s">
        <v>4042</v>
      </c>
      <c r="G780" s="3904"/>
    </row>
    <row r="781" spans="5:7">
      <c r="E781" s="1525" t="s">
        <v>4043</v>
      </c>
      <c r="F781" s="3904" t="s">
        <v>4044</v>
      </c>
      <c r="G781" s="3904"/>
    </row>
    <row r="782" spans="5:7">
      <c r="E782" s="1525" t="s">
        <v>4045</v>
      </c>
      <c r="F782" s="3904" t="s">
        <v>4046</v>
      </c>
      <c r="G782" s="3904"/>
    </row>
    <row r="783" spans="5:7">
      <c r="E783" s="1525" t="s">
        <v>4047</v>
      </c>
      <c r="F783" s="3904" t="s">
        <v>4048</v>
      </c>
      <c r="G783" s="3904"/>
    </row>
    <row r="784" spans="5:7">
      <c r="E784" s="1525" t="s">
        <v>4049</v>
      </c>
      <c r="F784" s="3904" t="s">
        <v>4050</v>
      </c>
      <c r="G784" s="3904"/>
    </row>
    <row r="785" spans="5:7">
      <c r="E785" s="1525" t="s">
        <v>4051</v>
      </c>
      <c r="F785" s="3904" t="s">
        <v>4052</v>
      </c>
      <c r="G785" s="3904"/>
    </row>
    <row r="786" spans="5:7">
      <c r="E786" s="1525" t="s">
        <v>4053</v>
      </c>
      <c r="F786" s="3904" t="s">
        <v>4054</v>
      </c>
      <c r="G786" s="3904"/>
    </row>
    <row r="787" spans="5:7">
      <c r="E787" s="1525" t="s">
        <v>4055</v>
      </c>
      <c r="F787" s="3904" t="s">
        <v>4056</v>
      </c>
      <c r="G787" s="3904"/>
    </row>
    <row r="788" spans="5:7">
      <c r="E788" s="1525" t="s">
        <v>4057</v>
      </c>
      <c r="F788" s="3904" t="s">
        <v>4058</v>
      </c>
      <c r="G788" s="3904"/>
    </row>
    <row r="789" spans="5:7">
      <c r="E789" s="1525" t="s">
        <v>4059</v>
      </c>
      <c r="F789" s="3904" t="s">
        <v>4060</v>
      </c>
      <c r="G789" s="3904"/>
    </row>
    <row r="790" spans="5:7">
      <c r="E790" s="1525" t="s">
        <v>4061</v>
      </c>
      <c r="F790" s="3904" t="s">
        <v>4062</v>
      </c>
      <c r="G790" s="3904"/>
    </row>
    <row r="791" spans="5:7">
      <c r="E791" s="1525" t="s">
        <v>4063</v>
      </c>
      <c r="F791" s="3904" t="s">
        <v>4064</v>
      </c>
      <c r="G791" s="3904"/>
    </row>
    <row r="792" spans="5:7">
      <c r="E792" s="1525" t="s">
        <v>4065</v>
      </c>
      <c r="F792" s="3904" t="s">
        <v>4066</v>
      </c>
      <c r="G792" s="3904"/>
    </row>
    <row r="793" spans="5:7">
      <c r="E793" s="1525" t="s">
        <v>4067</v>
      </c>
      <c r="F793" s="3904" t="s">
        <v>4068</v>
      </c>
      <c r="G793" s="3904"/>
    </row>
    <row r="794" spans="5:7">
      <c r="E794" s="1525" t="s">
        <v>4069</v>
      </c>
      <c r="F794" s="3904" t="s">
        <v>4070</v>
      </c>
      <c r="G794" s="3904"/>
    </row>
    <row r="795" spans="5:7">
      <c r="E795" s="1525" t="s">
        <v>4071</v>
      </c>
      <c r="F795" s="3904" t="s">
        <v>4072</v>
      </c>
      <c r="G795" s="3904"/>
    </row>
    <row r="796" spans="5:7">
      <c r="E796" s="1525" t="s">
        <v>4073</v>
      </c>
      <c r="F796" s="3904" t="s">
        <v>4074</v>
      </c>
      <c r="G796" s="3904"/>
    </row>
    <row r="797" spans="5:7">
      <c r="E797" s="1525" t="s">
        <v>4075</v>
      </c>
      <c r="F797" s="3904" t="s">
        <v>4076</v>
      </c>
      <c r="G797" s="3904"/>
    </row>
    <row r="798" spans="5:7">
      <c r="E798" s="1525" t="s">
        <v>4077</v>
      </c>
      <c r="F798" s="3904" t="s">
        <v>4078</v>
      </c>
      <c r="G798" s="3904"/>
    </row>
    <row r="799" spans="5:7">
      <c r="E799" s="1525" t="s">
        <v>4079</v>
      </c>
      <c r="F799" s="3904" t="s">
        <v>4080</v>
      </c>
      <c r="G799" s="3904"/>
    </row>
    <row r="800" spans="5:7">
      <c r="E800" s="1525" t="s">
        <v>4081</v>
      </c>
      <c r="F800" s="3904" t="s">
        <v>4082</v>
      </c>
      <c r="G800" s="3904"/>
    </row>
    <row r="801" spans="5:7">
      <c r="E801" s="1525" t="s">
        <v>4083</v>
      </c>
      <c r="F801" s="3904" t="s">
        <v>4084</v>
      </c>
      <c r="G801" s="3904"/>
    </row>
    <row r="802" spans="5:7">
      <c r="E802" s="1525" t="s">
        <v>4085</v>
      </c>
      <c r="F802" s="3904" t="s">
        <v>4086</v>
      </c>
      <c r="G802" s="3904"/>
    </row>
    <row r="803" spans="5:7">
      <c r="E803" s="1525" t="s">
        <v>4087</v>
      </c>
      <c r="F803" s="3904" t="s">
        <v>4088</v>
      </c>
      <c r="G803" s="3904"/>
    </row>
    <row r="804" spans="5:7">
      <c r="E804" s="1525" t="s">
        <v>4089</v>
      </c>
      <c r="F804" s="3904" t="s">
        <v>4090</v>
      </c>
      <c r="G804" s="3904"/>
    </row>
    <row r="805" spans="5:7">
      <c r="E805" s="1525" t="s">
        <v>4091</v>
      </c>
      <c r="F805" s="3904" t="s">
        <v>4092</v>
      </c>
      <c r="G805" s="3904"/>
    </row>
    <row r="806" spans="5:7">
      <c r="E806" s="1525" t="s">
        <v>4093</v>
      </c>
      <c r="F806" s="3904" t="s">
        <v>4094</v>
      </c>
      <c r="G806" s="3904"/>
    </row>
    <row r="807" spans="5:7">
      <c r="E807" s="1525" t="s">
        <v>4095</v>
      </c>
      <c r="F807" s="3904" t="s">
        <v>4096</v>
      </c>
      <c r="G807" s="3904"/>
    </row>
    <row r="808" spans="5:7">
      <c r="E808" s="1525" t="s">
        <v>4097</v>
      </c>
      <c r="F808" s="3904" t="s">
        <v>4098</v>
      </c>
      <c r="G808" s="3904"/>
    </row>
    <row r="809" spans="5:7">
      <c r="E809" s="1525" t="s">
        <v>4099</v>
      </c>
      <c r="F809" s="3904" t="s">
        <v>4100</v>
      </c>
      <c r="G809" s="3904"/>
    </row>
    <row r="810" spans="5:7">
      <c r="E810" s="1525" t="s">
        <v>4101</v>
      </c>
      <c r="F810" s="3904" t="s">
        <v>4102</v>
      </c>
      <c r="G810" s="3904"/>
    </row>
    <row r="811" spans="5:7">
      <c r="E811" s="1525" t="s">
        <v>4103</v>
      </c>
      <c r="F811" s="3904" t="s">
        <v>4104</v>
      </c>
      <c r="G811" s="3904"/>
    </row>
    <row r="812" spans="5:7">
      <c r="E812" s="1525" t="s">
        <v>4105</v>
      </c>
      <c r="F812" s="3904" t="s">
        <v>4106</v>
      </c>
      <c r="G812" s="3904"/>
    </row>
    <row r="813" spans="5:7">
      <c r="E813" s="1525" t="s">
        <v>4107</v>
      </c>
      <c r="F813" s="3904" t="s">
        <v>4108</v>
      </c>
      <c r="G813" s="3904"/>
    </row>
    <row r="814" spans="5:7">
      <c r="E814" s="1525" t="s">
        <v>4109</v>
      </c>
      <c r="F814" s="3904" t="s">
        <v>4110</v>
      </c>
      <c r="G814" s="3904"/>
    </row>
    <row r="815" spans="5:7">
      <c r="E815" s="1525" t="s">
        <v>4111</v>
      </c>
      <c r="F815" s="3904" t="s">
        <v>4112</v>
      </c>
      <c r="G815" s="3904"/>
    </row>
    <row r="816" spans="5:7">
      <c r="E816" s="1525" t="s">
        <v>4113</v>
      </c>
      <c r="F816" s="3904" t="s">
        <v>4114</v>
      </c>
      <c r="G816" s="3904"/>
    </row>
    <row r="817" spans="5:7">
      <c r="E817" s="1525" t="s">
        <v>4115</v>
      </c>
      <c r="F817" s="3904" t="s">
        <v>4116</v>
      </c>
      <c r="G817" s="3904"/>
    </row>
    <row r="818" spans="5:7">
      <c r="E818" s="1525" t="s">
        <v>4117</v>
      </c>
      <c r="F818" s="3904" t="s">
        <v>4118</v>
      </c>
      <c r="G818" s="3904"/>
    </row>
    <row r="819" spans="5:7">
      <c r="E819" s="1525" t="s">
        <v>4119</v>
      </c>
      <c r="F819" s="3904" t="s">
        <v>4120</v>
      </c>
      <c r="G819" s="3904"/>
    </row>
    <row r="820" spans="5:7">
      <c r="E820" s="1525" t="s">
        <v>4121</v>
      </c>
      <c r="F820" s="3904" t="s">
        <v>4122</v>
      </c>
      <c r="G820" s="3904"/>
    </row>
    <row r="821" spans="5:7">
      <c r="E821" s="1525" t="s">
        <v>4123</v>
      </c>
      <c r="F821" s="3904" t="s">
        <v>4124</v>
      </c>
      <c r="G821" s="3904"/>
    </row>
    <row r="822" spans="5:7">
      <c r="E822" s="1525" t="s">
        <v>4125</v>
      </c>
      <c r="F822" s="3904" t="s">
        <v>4126</v>
      </c>
      <c r="G822" s="3904"/>
    </row>
    <row r="823" spans="5:7">
      <c r="E823" s="1525" t="s">
        <v>4127</v>
      </c>
      <c r="F823" s="3904" t="s">
        <v>4128</v>
      </c>
      <c r="G823" s="3904"/>
    </row>
    <row r="824" spans="5:7">
      <c r="E824" s="1525" t="s">
        <v>4129</v>
      </c>
      <c r="F824" s="3904" t="s">
        <v>4130</v>
      </c>
      <c r="G824" s="3904"/>
    </row>
    <row r="825" spans="5:7">
      <c r="E825" s="1525" t="s">
        <v>4131</v>
      </c>
      <c r="F825" s="3904" t="s">
        <v>4132</v>
      </c>
      <c r="G825" s="3904"/>
    </row>
    <row r="826" spans="5:7">
      <c r="E826" s="1525" t="s">
        <v>4133</v>
      </c>
      <c r="F826" s="3904" t="s">
        <v>4134</v>
      </c>
      <c r="G826" s="3904"/>
    </row>
    <row r="827" spans="5:7">
      <c r="E827" s="1525" t="s">
        <v>4135</v>
      </c>
      <c r="F827" s="3904" t="s">
        <v>4136</v>
      </c>
      <c r="G827" s="3904"/>
    </row>
    <row r="828" spans="5:7">
      <c r="E828" s="1525" t="s">
        <v>4137</v>
      </c>
      <c r="F828" s="3904" t="s">
        <v>4138</v>
      </c>
      <c r="G828" s="3904"/>
    </row>
    <row r="829" spans="5:7">
      <c r="E829" s="1525" t="s">
        <v>4139</v>
      </c>
      <c r="F829" s="3904" t="s">
        <v>4140</v>
      </c>
      <c r="G829" s="3904"/>
    </row>
    <row r="830" spans="5:7">
      <c r="E830" s="1525" t="s">
        <v>4141</v>
      </c>
      <c r="F830" s="3904" t="s">
        <v>4142</v>
      </c>
      <c r="G830" s="3904"/>
    </row>
    <row r="831" spans="5:7">
      <c r="E831" s="1525" t="s">
        <v>4143</v>
      </c>
      <c r="F831" s="3904" t="s">
        <v>4144</v>
      </c>
      <c r="G831" s="3904"/>
    </row>
    <row r="832" spans="5:7">
      <c r="E832" s="1525" t="s">
        <v>4145</v>
      </c>
      <c r="F832" s="3904" t="s">
        <v>4146</v>
      </c>
      <c r="G832" s="3904"/>
    </row>
    <row r="833" spans="5:7">
      <c r="E833" s="1525" t="s">
        <v>4147</v>
      </c>
      <c r="F833" s="3904" t="s">
        <v>4148</v>
      </c>
      <c r="G833" s="3904"/>
    </row>
    <row r="834" spans="5:7">
      <c r="E834" s="1525" t="s">
        <v>4149</v>
      </c>
      <c r="F834" s="3904" t="s">
        <v>4150</v>
      </c>
      <c r="G834" s="3904"/>
    </row>
    <row r="835" spans="5:7">
      <c r="E835" s="1525" t="s">
        <v>4151</v>
      </c>
      <c r="F835" s="3904" t="s">
        <v>4152</v>
      </c>
      <c r="G835" s="3904"/>
    </row>
    <row r="836" spans="5:7">
      <c r="E836" s="1525" t="s">
        <v>4153</v>
      </c>
      <c r="F836" s="3904" t="s">
        <v>4154</v>
      </c>
      <c r="G836" s="3904"/>
    </row>
    <row r="837" spans="5:7">
      <c r="E837" s="1525" t="s">
        <v>4155</v>
      </c>
      <c r="F837" s="3904" t="s">
        <v>4156</v>
      </c>
      <c r="G837" s="3904"/>
    </row>
    <row r="838" spans="5:7">
      <c r="E838" s="1525" t="s">
        <v>4157</v>
      </c>
      <c r="F838" s="3904" t="s">
        <v>4158</v>
      </c>
      <c r="G838" s="3904"/>
    </row>
    <row r="839" spans="5:7">
      <c r="E839" s="1525" t="s">
        <v>4159</v>
      </c>
      <c r="F839" s="3904" t="s">
        <v>4160</v>
      </c>
      <c r="G839" s="3904"/>
    </row>
    <row r="840" spans="5:7">
      <c r="E840" s="1525" t="s">
        <v>4161</v>
      </c>
      <c r="F840" s="3904" t="s">
        <v>4162</v>
      </c>
      <c r="G840" s="3904"/>
    </row>
    <row r="841" spans="5:7">
      <c r="E841" s="1525" t="s">
        <v>4163</v>
      </c>
      <c r="F841" s="3904" t="s">
        <v>4164</v>
      </c>
      <c r="G841" s="3904"/>
    </row>
    <row r="842" spans="5:7">
      <c r="E842" s="1525" t="s">
        <v>4165</v>
      </c>
      <c r="F842" s="3904" t="s">
        <v>4166</v>
      </c>
      <c r="G842" s="3904"/>
    </row>
    <row r="843" spans="5:7">
      <c r="E843" s="1525" t="s">
        <v>4167</v>
      </c>
      <c r="F843" s="3904" t="s">
        <v>4168</v>
      </c>
      <c r="G843" s="3904"/>
    </row>
    <row r="844" spans="5:7">
      <c r="E844" s="1525" t="s">
        <v>4169</v>
      </c>
      <c r="F844" s="3904" t="s">
        <v>4170</v>
      </c>
      <c r="G844" s="3904"/>
    </row>
    <row r="845" spans="5:7">
      <c r="E845" s="1525" t="s">
        <v>4171</v>
      </c>
      <c r="F845" s="3904" t="s">
        <v>4172</v>
      </c>
      <c r="G845" s="3904"/>
    </row>
    <row r="846" spans="5:7">
      <c r="E846" s="1525" t="s">
        <v>4173</v>
      </c>
      <c r="F846" s="3904" t="s">
        <v>4174</v>
      </c>
      <c r="G846" s="3904"/>
    </row>
    <row r="847" spans="5:7">
      <c r="E847" s="1525" t="s">
        <v>4175</v>
      </c>
      <c r="F847" s="3904" t="s">
        <v>4176</v>
      </c>
      <c r="G847" s="3904"/>
    </row>
    <row r="848" spans="5:7">
      <c r="E848" s="1525" t="s">
        <v>4177</v>
      </c>
      <c r="F848" s="3904" t="s">
        <v>4178</v>
      </c>
      <c r="G848" s="3904"/>
    </row>
    <row r="849" spans="5:7">
      <c r="E849" s="1525" t="s">
        <v>4179</v>
      </c>
      <c r="F849" s="3904" t="s">
        <v>4180</v>
      </c>
      <c r="G849" s="3904"/>
    </row>
    <row r="850" spans="5:7">
      <c r="E850" s="1525" t="s">
        <v>4181</v>
      </c>
      <c r="F850" s="3904" t="s">
        <v>4182</v>
      </c>
      <c r="G850" s="3904"/>
    </row>
    <row r="851" spans="5:7">
      <c r="E851" s="1525" t="s">
        <v>4183</v>
      </c>
      <c r="F851" s="3904" t="s">
        <v>4184</v>
      </c>
      <c r="G851" s="3904"/>
    </row>
    <row r="852" spans="5:7">
      <c r="E852" s="1525" t="s">
        <v>4185</v>
      </c>
      <c r="F852" s="3904" t="s">
        <v>4186</v>
      </c>
      <c r="G852" s="3904"/>
    </row>
    <row r="853" spans="5:7">
      <c r="E853" s="1525" t="s">
        <v>4187</v>
      </c>
      <c r="F853" s="3904" t="s">
        <v>4188</v>
      </c>
      <c r="G853" s="3904"/>
    </row>
    <row r="854" spans="5:7">
      <c r="E854" s="1525" t="s">
        <v>4189</v>
      </c>
      <c r="F854" s="3904" t="s">
        <v>4190</v>
      </c>
      <c r="G854" s="3904"/>
    </row>
    <row r="855" spans="5:7">
      <c r="E855" s="1525" t="s">
        <v>4191</v>
      </c>
      <c r="F855" s="3904" t="s">
        <v>4192</v>
      </c>
      <c r="G855" s="3904"/>
    </row>
    <row r="856" spans="5:7">
      <c r="E856" s="1525" t="s">
        <v>4193</v>
      </c>
      <c r="F856" s="3904" t="s">
        <v>4194</v>
      </c>
      <c r="G856" s="3904"/>
    </row>
    <row r="857" spans="5:7">
      <c r="E857" s="1525" t="s">
        <v>4195</v>
      </c>
      <c r="F857" s="3904" t="s">
        <v>4196</v>
      </c>
      <c r="G857" s="3904"/>
    </row>
    <row r="858" spans="5:7">
      <c r="E858" s="1525" t="s">
        <v>4197</v>
      </c>
      <c r="F858" s="3904" t="s">
        <v>4198</v>
      </c>
      <c r="G858" s="3904"/>
    </row>
    <row r="859" spans="5:7">
      <c r="E859" s="1525" t="s">
        <v>4199</v>
      </c>
      <c r="F859" s="3904" t="s">
        <v>4200</v>
      </c>
      <c r="G859" s="3904"/>
    </row>
    <row r="860" spans="5:7">
      <c r="E860" s="1525" t="s">
        <v>4201</v>
      </c>
      <c r="F860" s="3904" t="s">
        <v>4202</v>
      </c>
      <c r="G860" s="3904"/>
    </row>
    <row r="861" spans="5:7">
      <c r="E861" s="1525" t="s">
        <v>4203</v>
      </c>
      <c r="F861" s="3904" t="s">
        <v>4204</v>
      </c>
      <c r="G861" s="3904"/>
    </row>
    <row r="862" spans="5:7">
      <c r="E862" s="1525" t="s">
        <v>4205</v>
      </c>
      <c r="F862" s="3904" t="s">
        <v>4206</v>
      </c>
      <c r="G862" s="3904"/>
    </row>
    <row r="863" spans="5:7">
      <c r="E863" s="1525" t="s">
        <v>4207</v>
      </c>
      <c r="F863" s="3904" t="s">
        <v>4208</v>
      </c>
      <c r="G863" s="3904"/>
    </row>
    <row r="864" spans="5:7">
      <c r="E864" s="1525" t="s">
        <v>4209</v>
      </c>
      <c r="F864" s="3904" t="s">
        <v>4210</v>
      </c>
      <c r="G864" s="3904"/>
    </row>
    <row r="865" spans="5:7">
      <c r="E865" s="1525" t="s">
        <v>4211</v>
      </c>
      <c r="F865" s="3904" t="s">
        <v>4212</v>
      </c>
      <c r="G865" s="3904"/>
    </row>
    <row r="866" spans="5:7">
      <c r="E866" s="1525" t="s">
        <v>4213</v>
      </c>
      <c r="F866" s="3904" t="s">
        <v>4214</v>
      </c>
      <c r="G866" s="3904"/>
    </row>
    <row r="867" spans="5:7">
      <c r="E867" s="1525" t="s">
        <v>4215</v>
      </c>
      <c r="F867" s="3904" t="s">
        <v>4216</v>
      </c>
      <c r="G867" s="3904"/>
    </row>
    <row r="868" spans="5:7">
      <c r="E868" s="1525" t="s">
        <v>4217</v>
      </c>
      <c r="F868" s="3904" t="s">
        <v>4218</v>
      </c>
      <c r="G868" s="3904"/>
    </row>
    <row r="869" spans="5:7">
      <c r="E869" s="1525" t="s">
        <v>4219</v>
      </c>
      <c r="F869" s="3904" t="s">
        <v>4220</v>
      </c>
      <c r="G869" s="3904"/>
    </row>
    <row r="870" spans="5:7">
      <c r="E870" s="1525" t="s">
        <v>4221</v>
      </c>
      <c r="F870" s="3904" t="s">
        <v>4222</v>
      </c>
      <c r="G870" s="3904"/>
    </row>
    <row r="871" spans="5:7">
      <c r="E871" s="1525" t="s">
        <v>4223</v>
      </c>
      <c r="F871" s="3904" t="s">
        <v>4224</v>
      </c>
      <c r="G871" s="3904"/>
    </row>
    <row r="872" spans="5:7">
      <c r="E872" s="1525" t="s">
        <v>4225</v>
      </c>
      <c r="F872" s="3904" t="s">
        <v>4226</v>
      </c>
      <c r="G872" s="3904"/>
    </row>
    <row r="873" spans="5:7">
      <c r="E873" s="1525" t="s">
        <v>4227</v>
      </c>
      <c r="F873" s="3904" t="s">
        <v>4228</v>
      </c>
      <c r="G873" s="3904"/>
    </row>
    <row r="874" spans="5:7">
      <c r="E874" s="1525" t="s">
        <v>4229</v>
      </c>
      <c r="F874" s="3904" t="s">
        <v>4230</v>
      </c>
      <c r="G874" s="3904"/>
    </row>
    <row r="875" spans="5:7">
      <c r="E875" s="1525" t="s">
        <v>4231</v>
      </c>
      <c r="F875" s="3904" t="s">
        <v>4232</v>
      </c>
      <c r="G875" s="3904"/>
    </row>
    <row r="876" spans="5:7">
      <c r="E876" s="1525" t="s">
        <v>4233</v>
      </c>
      <c r="F876" s="3904" t="s">
        <v>4234</v>
      </c>
      <c r="G876" s="3904"/>
    </row>
    <row r="877" spans="5:7">
      <c r="E877" s="1525" t="s">
        <v>4235</v>
      </c>
      <c r="F877" s="3904" t="s">
        <v>4236</v>
      </c>
      <c r="G877" s="3904"/>
    </row>
    <row r="878" spans="5:7">
      <c r="E878" s="1525" t="s">
        <v>4237</v>
      </c>
      <c r="F878" s="3904" t="s">
        <v>4238</v>
      </c>
      <c r="G878" s="3904"/>
    </row>
    <row r="879" spans="5:7">
      <c r="E879" s="1525" t="s">
        <v>4239</v>
      </c>
      <c r="F879" s="3904" t="s">
        <v>4240</v>
      </c>
      <c r="G879" s="3904"/>
    </row>
    <row r="880" spans="5:7">
      <c r="E880" s="1525" t="s">
        <v>4241</v>
      </c>
      <c r="F880" s="3904" t="s">
        <v>4242</v>
      </c>
      <c r="G880" s="3904"/>
    </row>
    <row r="881" spans="5:7">
      <c r="E881" s="1525" t="s">
        <v>4243</v>
      </c>
      <c r="F881" s="3904" t="s">
        <v>4244</v>
      </c>
      <c r="G881" s="3904"/>
    </row>
    <row r="882" spans="5:7">
      <c r="E882" s="1525" t="s">
        <v>4245</v>
      </c>
      <c r="F882" s="3904" t="s">
        <v>4246</v>
      </c>
      <c r="G882" s="3904"/>
    </row>
    <row r="883" spans="5:7">
      <c r="E883" s="1525" t="s">
        <v>4247</v>
      </c>
      <c r="F883" s="3904" t="s">
        <v>4248</v>
      </c>
      <c r="G883" s="3904"/>
    </row>
    <row r="884" spans="5:7">
      <c r="E884" s="1525" t="s">
        <v>4249</v>
      </c>
      <c r="F884" s="3904" t="s">
        <v>4250</v>
      </c>
      <c r="G884" s="3904"/>
    </row>
    <row r="885" spans="5:7">
      <c r="E885" s="1525" t="s">
        <v>4251</v>
      </c>
      <c r="F885" s="3904" t="s">
        <v>4252</v>
      </c>
      <c r="G885" s="3904"/>
    </row>
    <row r="886" spans="5:7">
      <c r="E886" s="1525" t="s">
        <v>4253</v>
      </c>
      <c r="F886" s="3904" t="s">
        <v>4254</v>
      </c>
      <c r="G886" s="3904"/>
    </row>
    <row r="887" spans="5:7">
      <c r="E887" s="1525" t="s">
        <v>4255</v>
      </c>
      <c r="F887" s="3904" t="s">
        <v>4256</v>
      </c>
      <c r="G887" s="3904"/>
    </row>
    <row r="888" spans="5:7">
      <c r="E888" s="1525" t="s">
        <v>4257</v>
      </c>
      <c r="F888" s="3904" t="s">
        <v>4258</v>
      </c>
      <c r="G888" s="3904"/>
    </row>
    <row r="889" spans="5:7">
      <c r="E889" s="1525" t="s">
        <v>4259</v>
      </c>
      <c r="F889" s="3904" t="s">
        <v>4260</v>
      </c>
      <c r="G889" s="3904"/>
    </row>
    <row r="890" spans="5:7">
      <c r="E890" s="1525" t="s">
        <v>4261</v>
      </c>
      <c r="F890" s="3904" t="s">
        <v>4262</v>
      </c>
      <c r="G890" s="3904"/>
    </row>
    <row r="891" spans="5:7">
      <c r="E891" s="1525" t="s">
        <v>4263</v>
      </c>
      <c r="F891" s="3904" t="s">
        <v>4264</v>
      </c>
      <c r="G891" s="3904"/>
    </row>
    <row r="892" spans="5:7">
      <c r="E892" s="1525" t="s">
        <v>4265</v>
      </c>
      <c r="F892" s="3904" t="s">
        <v>4266</v>
      </c>
      <c r="G892" s="3904"/>
    </row>
    <row r="893" spans="5:7">
      <c r="E893" s="1525" t="s">
        <v>4267</v>
      </c>
      <c r="F893" s="3904" t="s">
        <v>4268</v>
      </c>
      <c r="G893" s="3904"/>
    </row>
    <row r="894" spans="5:7">
      <c r="E894" s="1525" t="s">
        <v>4269</v>
      </c>
      <c r="F894" s="3904" t="s">
        <v>4270</v>
      </c>
      <c r="G894" s="3904"/>
    </row>
    <row r="895" spans="5:7">
      <c r="E895" s="1525" t="s">
        <v>4271</v>
      </c>
      <c r="F895" s="3904" t="s">
        <v>4272</v>
      </c>
      <c r="G895" s="3904"/>
    </row>
    <row r="896" spans="5:7">
      <c r="E896" s="1525" t="s">
        <v>4273</v>
      </c>
      <c r="F896" s="3904" t="s">
        <v>4274</v>
      </c>
      <c r="G896" s="3904"/>
    </row>
    <row r="897" spans="5:7">
      <c r="E897" s="1525" t="s">
        <v>4275</v>
      </c>
      <c r="F897" s="3904" t="s">
        <v>4276</v>
      </c>
      <c r="G897" s="3904"/>
    </row>
    <row r="898" spans="5:7">
      <c r="E898" s="1525" t="s">
        <v>4277</v>
      </c>
      <c r="F898" s="3904" t="s">
        <v>4278</v>
      </c>
      <c r="G898" s="3904"/>
    </row>
    <row r="899" spans="5:7">
      <c r="E899" s="1525" t="s">
        <v>4279</v>
      </c>
      <c r="F899" s="3904" t="s">
        <v>4280</v>
      </c>
      <c r="G899" s="3904"/>
    </row>
    <row r="900" spans="5:7">
      <c r="E900" s="1525" t="s">
        <v>4281</v>
      </c>
      <c r="F900" s="3904" t="s">
        <v>4282</v>
      </c>
      <c r="G900" s="3904"/>
    </row>
    <row r="901" spans="5:7">
      <c r="E901" s="1525" t="s">
        <v>4283</v>
      </c>
      <c r="F901" s="3904" t="s">
        <v>4284</v>
      </c>
      <c r="G901" s="3904"/>
    </row>
    <row r="902" spans="5:7">
      <c r="E902" s="1525" t="s">
        <v>4285</v>
      </c>
      <c r="F902" s="3904" t="s">
        <v>4286</v>
      </c>
      <c r="G902" s="3904"/>
    </row>
    <row r="903" spans="5:7">
      <c r="E903" s="1525" t="s">
        <v>4287</v>
      </c>
      <c r="F903" s="3904" t="s">
        <v>4288</v>
      </c>
      <c r="G903" s="3904"/>
    </row>
    <row r="904" spans="5:7">
      <c r="E904" s="1525" t="s">
        <v>4289</v>
      </c>
      <c r="F904" s="3904" t="s">
        <v>4290</v>
      </c>
      <c r="G904" s="3904"/>
    </row>
    <row r="905" spans="5:7">
      <c r="E905" s="1525" t="s">
        <v>4291</v>
      </c>
      <c r="F905" s="3904" t="s">
        <v>4292</v>
      </c>
      <c r="G905" s="3904"/>
    </row>
    <row r="906" spans="5:7">
      <c r="E906" s="1525" t="s">
        <v>4293</v>
      </c>
      <c r="F906" s="3904" t="s">
        <v>4294</v>
      </c>
      <c r="G906" s="3904"/>
    </row>
    <row r="907" spans="5:7">
      <c r="E907" s="1525" t="s">
        <v>4295</v>
      </c>
      <c r="F907" s="3904" t="s">
        <v>4296</v>
      </c>
      <c r="G907" s="3904"/>
    </row>
    <row r="908" spans="5:7">
      <c r="E908" s="1525" t="s">
        <v>4297</v>
      </c>
      <c r="F908" s="3904" t="s">
        <v>4298</v>
      </c>
      <c r="G908" s="3904"/>
    </row>
    <row r="909" spans="5:7">
      <c r="E909" s="1525" t="s">
        <v>4299</v>
      </c>
      <c r="F909" s="3904" t="s">
        <v>4300</v>
      </c>
      <c r="G909" s="3904"/>
    </row>
    <row r="910" spans="5:7">
      <c r="E910" s="1525" t="s">
        <v>4301</v>
      </c>
      <c r="F910" s="3904" t="s">
        <v>4302</v>
      </c>
      <c r="G910" s="3904"/>
    </row>
    <row r="911" spans="5:7">
      <c r="E911" s="1525" t="s">
        <v>4303</v>
      </c>
      <c r="F911" s="3904" t="s">
        <v>4304</v>
      </c>
      <c r="G911" s="3904"/>
    </row>
    <row r="912" spans="5:7">
      <c r="E912" s="1525" t="s">
        <v>4305</v>
      </c>
      <c r="F912" s="3904" t="s">
        <v>4306</v>
      </c>
      <c r="G912" s="3904"/>
    </row>
    <row r="913" spans="5:7">
      <c r="E913" s="1525" t="s">
        <v>4307</v>
      </c>
      <c r="F913" s="3904" t="s">
        <v>4308</v>
      </c>
      <c r="G913" s="3904"/>
    </row>
    <row r="914" spans="5:7">
      <c r="E914" s="1525" t="s">
        <v>4309</v>
      </c>
      <c r="F914" s="3904" t="s">
        <v>4310</v>
      </c>
      <c r="G914" s="3904"/>
    </row>
    <row r="915" spans="5:7">
      <c r="E915" s="1525" t="s">
        <v>4311</v>
      </c>
      <c r="F915" s="3904" t="s">
        <v>4312</v>
      </c>
      <c r="G915" s="3904"/>
    </row>
    <row r="916" spans="5:7">
      <c r="E916" s="1525" t="s">
        <v>4313</v>
      </c>
      <c r="F916" s="3904" t="s">
        <v>4314</v>
      </c>
      <c r="G916" s="3904"/>
    </row>
    <row r="917" spans="5:7">
      <c r="E917" s="1525" t="s">
        <v>4315</v>
      </c>
      <c r="F917" s="3904" t="s">
        <v>4316</v>
      </c>
      <c r="G917" s="3904"/>
    </row>
    <row r="918" spans="5:7">
      <c r="E918" s="1525" t="s">
        <v>4317</v>
      </c>
      <c r="F918" s="3904" t="s">
        <v>4318</v>
      </c>
      <c r="G918" s="3904"/>
    </row>
    <row r="919" spans="5:7">
      <c r="E919" s="1525" t="s">
        <v>4319</v>
      </c>
      <c r="F919" s="3904" t="s">
        <v>4320</v>
      </c>
      <c r="G919" s="3904"/>
    </row>
    <row r="920" spans="5:7">
      <c r="E920" s="1525" t="s">
        <v>4321</v>
      </c>
      <c r="F920" s="3904" t="s">
        <v>4322</v>
      </c>
      <c r="G920" s="3904"/>
    </row>
    <row r="921" spans="5:7">
      <c r="E921" s="1525" t="s">
        <v>4323</v>
      </c>
      <c r="F921" s="3904" t="s">
        <v>4324</v>
      </c>
      <c r="G921" s="3904"/>
    </row>
    <row r="922" spans="5:7">
      <c r="E922" s="1525" t="s">
        <v>4325</v>
      </c>
      <c r="F922" s="3904" t="s">
        <v>4326</v>
      </c>
      <c r="G922" s="3904"/>
    </row>
    <row r="923" spans="5:7">
      <c r="E923" s="1525" t="s">
        <v>4327</v>
      </c>
      <c r="F923" s="3904" t="s">
        <v>4328</v>
      </c>
      <c r="G923" s="3904"/>
    </row>
    <row r="924" spans="5:7">
      <c r="E924" s="1525" t="s">
        <v>4329</v>
      </c>
      <c r="F924" s="3904" t="s">
        <v>4330</v>
      </c>
      <c r="G924" s="3904"/>
    </row>
    <row r="925" spans="5:7">
      <c r="E925" s="1525" t="s">
        <v>4331</v>
      </c>
      <c r="F925" s="3904" t="s">
        <v>4332</v>
      </c>
      <c r="G925" s="3904"/>
    </row>
    <row r="926" spans="5:7">
      <c r="E926" s="1525" t="s">
        <v>4333</v>
      </c>
      <c r="F926" s="3904" t="s">
        <v>4334</v>
      </c>
      <c r="G926" s="3904"/>
    </row>
    <row r="927" spans="5:7">
      <c r="E927" s="1525" t="s">
        <v>4335</v>
      </c>
      <c r="F927" s="3904" t="s">
        <v>4336</v>
      </c>
      <c r="G927" s="3904"/>
    </row>
    <row r="928" spans="5:7">
      <c r="E928" s="1525" t="s">
        <v>4337</v>
      </c>
      <c r="F928" s="3904" t="s">
        <v>4338</v>
      </c>
      <c r="G928" s="3904"/>
    </row>
    <row r="929" spans="5:7">
      <c r="E929" s="1525" t="s">
        <v>4339</v>
      </c>
      <c r="F929" s="3904" t="s">
        <v>4340</v>
      </c>
      <c r="G929" s="3904"/>
    </row>
    <row r="930" spans="5:7">
      <c r="E930" s="1525" t="s">
        <v>4341</v>
      </c>
      <c r="F930" s="3904" t="s">
        <v>4342</v>
      </c>
      <c r="G930" s="3904"/>
    </row>
    <row r="931" spans="5:7">
      <c r="E931" s="1525" t="s">
        <v>4343</v>
      </c>
      <c r="F931" s="3904" t="s">
        <v>4344</v>
      </c>
      <c r="G931" s="3904"/>
    </row>
    <row r="932" spans="5:7">
      <c r="E932" s="1525" t="s">
        <v>4345</v>
      </c>
      <c r="F932" s="3904" t="s">
        <v>4346</v>
      </c>
      <c r="G932" s="3904"/>
    </row>
    <row r="933" spans="5:7">
      <c r="E933" s="1525" t="s">
        <v>4347</v>
      </c>
      <c r="F933" s="3904" t="s">
        <v>4348</v>
      </c>
      <c r="G933" s="3904"/>
    </row>
    <row r="934" spans="5:7">
      <c r="E934" s="1525" t="s">
        <v>4349</v>
      </c>
      <c r="F934" s="3904" t="s">
        <v>4350</v>
      </c>
      <c r="G934" s="3904"/>
    </row>
    <row r="935" spans="5:7">
      <c r="E935" s="1525" t="s">
        <v>4351</v>
      </c>
      <c r="F935" s="3904" t="s">
        <v>4352</v>
      </c>
      <c r="G935" s="3904"/>
    </row>
    <row r="936" spans="5:7">
      <c r="E936" s="1525" t="s">
        <v>4353</v>
      </c>
      <c r="F936" s="3904" t="s">
        <v>4354</v>
      </c>
      <c r="G936" s="3904"/>
    </row>
    <row r="937" spans="5:7">
      <c r="E937" s="1525" t="s">
        <v>4355</v>
      </c>
      <c r="F937" s="3904" t="s">
        <v>4356</v>
      </c>
      <c r="G937" s="3904"/>
    </row>
    <row r="938" spans="5:7">
      <c r="E938" s="1525" t="s">
        <v>4357</v>
      </c>
      <c r="F938" s="3904" t="s">
        <v>4358</v>
      </c>
      <c r="G938" s="3904"/>
    </row>
    <row r="939" spans="5:7">
      <c r="E939" s="1525" t="s">
        <v>4359</v>
      </c>
      <c r="F939" s="3904" t="s">
        <v>4360</v>
      </c>
      <c r="G939" s="3904"/>
    </row>
    <row r="940" spans="5:7">
      <c r="E940" s="1525" t="s">
        <v>4361</v>
      </c>
      <c r="F940" s="3904" t="s">
        <v>4362</v>
      </c>
      <c r="G940" s="3904"/>
    </row>
    <row r="941" spans="5:7">
      <c r="E941" s="1525" t="s">
        <v>4363</v>
      </c>
      <c r="F941" s="3904" t="s">
        <v>4364</v>
      </c>
      <c r="G941" s="3904"/>
    </row>
    <row r="942" spans="5:7">
      <c r="E942" s="1525" t="s">
        <v>4365</v>
      </c>
      <c r="F942" s="3904" t="s">
        <v>4366</v>
      </c>
      <c r="G942" s="3904"/>
    </row>
    <row r="943" spans="5:7">
      <c r="E943" s="1525" t="s">
        <v>4367</v>
      </c>
      <c r="F943" s="3904" t="s">
        <v>4368</v>
      </c>
      <c r="G943" s="3904"/>
    </row>
    <row r="944" spans="5:7">
      <c r="E944" s="1525" t="s">
        <v>4369</v>
      </c>
      <c r="F944" s="3904" t="s">
        <v>4370</v>
      </c>
      <c r="G944" s="3904"/>
    </row>
    <row r="945" spans="5:7">
      <c r="E945" s="1525" t="s">
        <v>4371</v>
      </c>
      <c r="F945" s="3904" t="s">
        <v>4372</v>
      </c>
      <c r="G945" s="3904"/>
    </row>
    <row r="946" spans="5:7">
      <c r="E946" s="1525" t="s">
        <v>4373</v>
      </c>
      <c r="F946" s="3904" t="s">
        <v>4374</v>
      </c>
      <c r="G946" s="3904"/>
    </row>
    <row r="947" spans="5:7">
      <c r="E947" s="1525" t="s">
        <v>4375</v>
      </c>
      <c r="F947" s="3904" t="s">
        <v>4376</v>
      </c>
      <c r="G947" s="3904"/>
    </row>
    <row r="948" spans="5:7">
      <c r="E948" s="1525" t="s">
        <v>4377</v>
      </c>
      <c r="F948" s="3904" t="s">
        <v>4378</v>
      </c>
      <c r="G948" s="3904"/>
    </row>
    <row r="949" spans="5:7">
      <c r="E949" s="1525" t="s">
        <v>4379</v>
      </c>
      <c r="F949" s="3904" t="s">
        <v>4380</v>
      </c>
      <c r="G949" s="3904"/>
    </row>
    <row r="950" spans="5:7">
      <c r="E950" s="1525" t="s">
        <v>4381</v>
      </c>
      <c r="F950" s="3904" t="s">
        <v>4382</v>
      </c>
      <c r="G950" s="3904"/>
    </row>
    <row r="951" spans="5:7">
      <c r="E951" s="1525" t="s">
        <v>4383</v>
      </c>
      <c r="F951" s="3904" t="s">
        <v>4384</v>
      </c>
      <c r="G951" s="3904"/>
    </row>
    <row r="952" spans="5:7">
      <c r="E952" s="1525" t="s">
        <v>4385</v>
      </c>
      <c r="F952" s="3904" t="s">
        <v>4386</v>
      </c>
      <c r="G952" s="3904"/>
    </row>
    <row r="953" spans="5:7">
      <c r="E953" s="1525" t="s">
        <v>4387</v>
      </c>
      <c r="F953" s="3904" t="s">
        <v>4388</v>
      </c>
      <c r="G953" s="3904"/>
    </row>
    <row r="954" spans="5:7">
      <c r="E954" s="1525" t="s">
        <v>4389</v>
      </c>
      <c r="F954" s="3904" t="s">
        <v>4390</v>
      </c>
      <c r="G954" s="3904"/>
    </row>
    <row r="955" spans="5:7">
      <c r="E955" s="1525" t="s">
        <v>4391</v>
      </c>
      <c r="F955" s="3904" t="s">
        <v>4392</v>
      </c>
      <c r="G955" s="3904"/>
    </row>
    <row r="956" spans="5:7">
      <c r="E956" s="1525" t="s">
        <v>4393</v>
      </c>
      <c r="F956" s="3904" t="s">
        <v>4394</v>
      </c>
      <c r="G956" s="3904"/>
    </row>
    <row r="957" spans="5:7">
      <c r="E957" s="1525" t="s">
        <v>4395</v>
      </c>
      <c r="F957" s="3904" t="s">
        <v>4396</v>
      </c>
      <c r="G957" s="3904"/>
    </row>
    <row r="958" spans="5:7">
      <c r="E958" s="1525" t="s">
        <v>4397</v>
      </c>
      <c r="F958" s="3904" t="s">
        <v>4398</v>
      </c>
      <c r="G958" s="3904"/>
    </row>
    <row r="959" spans="5:7">
      <c r="E959" s="1525" t="s">
        <v>4399</v>
      </c>
      <c r="F959" s="3904" t="s">
        <v>4400</v>
      </c>
      <c r="G959" s="3904"/>
    </row>
    <row r="960" spans="5:7">
      <c r="E960" s="1525" t="s">
        <v>4401</v>
      </c>
      <c r="F960" s="3904" t="s">
        <v>4402</v>
      </c>
      <c r="G960" s="3904"/>
    </row>
    <row r="961" spans="5:7">
      <c r="E961" s="1525" t="s">
        <v>4403</v>
      </c>
      <c r="F961" s="3904" t="s">
        <v>4404</v>
      </c>
      <c r="G961" s="3904"/>
    </row>
    <row r="962" spans="5:7">
      <c r="E962" s="1525" t="s">
        <v>4405</v>
      </c>
      <c r="F962" s="3904" t="s">
        <v>4406</v>
      </c>
      <c r="G962" s="3904"/>
    </row>
    <row r="963" spans="5:7">
      <c r="E963" s="1525" t="s">
        <v>4407</v>
      </c>
      <c r="F963" s="3904" t="s">
        <v>4408</v>
      </c>
      <c r="G963" s="3904"/>
    </row>
    <row r="964" spans="5:7">
      <c r="E964" s="1525" t="s">
        <v>4409</v>
      </c>
      <c r="F964" s="3904" t="s">
        <v>4410</v>
      </c>
      <c r="G964" s="3904"/>
    </row>
    <row r="965" spans="5:7">
      <c r="E965" s="1525" t="s">
        <v>4411</v>
      </c>
      <c r="F965" s="3904" t="s">
        <v>4412</v>
      </c>
      <c r="G965" s="3904"/>
    </row>
    <row r="966" spans="5:7">
      <c r="E966" s="1525" t="s">
        <v>4413</v>
      </c>
      <c r="F966" s="3904" t="s">
        <v>4414</v>
      </c>
      <c r="G966" s="3904"/>
    </row>
    <row r="967" spans="5:7">
      <c r="E967" s="1525" t="s">
        <v>4415</v>
      </c>
      <c r="F967" s="3904" t="s">
        <v>4416</v>
      </c>
      <c r="G967" s="3904"/>
    </row>
    <row r="968" spans="5:7">
      <c r="E968" s="1525" t="s">
        <v>4417</v>
      </c>
      <c r="F968" s="3904" t="s">
        <v>4418</v>
      </c>
      <c r="G968" s="3904"/>
    </row>
    <row r="969" spans="5:7">
      <c r="E969" s="1525" t="s">
        <v>4419</v>
      </c>
      <c r="F969" s="3904" t="s">
        <v>4420</v>
      </c>
      <c r="G969" s="3904"/>
    </row>
    <row r="970" spans="5:7">
      <c r="E970" s="1525" t="s">
        <v>4421</v>
      </c>
      <c r="F970" s="3904" t="s">
        <v>4422</v>
      </c>
      <c r="G970" s="3904"/>
    </row>
    <row r="971" spans="5:7">
      <c r="E971" s="1525" t="s">
        <v>4423</v>
      </c>
      <c r="F971" s="3904" t="s">
        <v>4424</v>
      </c>
      <c r="G971" s="3904"/>
    </row>
    <row r="972" spans="5:7">
      <c r="E972" s="1525" t="s">
        <v>4425</v>
      </c>
      <c r="F972" s="3904" t="s">
        <v>4426</v>
      </c>
      <c r="G972" s="3904"/>
    </row>
    <row r="973" spans="5:7">
      <c r="E973" s="1525" t="s">
        <v>4427</v>
      </c>
      <c r="F973" s="3904" t="s">
        <v>4428</v>
      </c>
      <c r="G973" s="3904"/>
    </row>
    <row r="974" spans="5:7">
      <c r="E974" s="1525" t="s">
        <v>4429</v>
      </c>
      <c r="F974" s="3904" t="s">
        <v>4430</v>
      </c>
      <c r="G974" s="3904"/>
    </row>
    <row r="975" spans="5:7">
      <c r="E975" s="1525" t="s">
        <v>4431</v>
      </c>
      <c r="F975" s="3904" t="s">
        <v>4432</v>
      </c>
      <c r="G975" s="3904"/>
    </row>
    <row r="976" spans="5:7">
      <c r="E976" s="1525" t="s">
        <v>4433</v>
      </c>
      <c r="F976" s="3904" t="s">
        <v>4434</v>
      </c>
      <c r="G976" s="3904"/>
    </row>
    <row r="977" spans="5:7">
      <c r="E977" s="1525" t="s">
        <v>4435</v>
      </c>
      <c r="F977" s="3904" t="s">
        <v>4436</v>
      </c>
      <c r="G977" s="3904"/>
    </row>
    <row r="978" spans="5:7">
      <c r="E978" s="1525" t="s">
        <v>4437</v>
      </c>
      <c r="F978" s="3904" t="s">
        <v>4438</v>
      </c>
      <c r="G978" s="3904"/>
    </row>
    <row r="979" spans="5:7">
      <c r="E979" s="1525" t="s">
        <v>4439</v>
      </c>
      <c r="F979" s="3904" t="s">
        <v>4440</v>
      </c>
      <c r="G979" s="3904"/>
    </row>
    <row r="980" spans="5:7">
      <c r="E980" s="1525" t="s">
        <v>4441</v>
      </c>
      <c r="F980" s="3904" t="s">
        <v>4442</v>
      </c>
      <c r="G980" s="3904"/>
    </row>
    <row r="981" spans="5:7">
      <c r="E981" s="1525" t="s">
        <v>4443</v>
      </c>
      <c r="F981" s="3904" t="s">
        <v>4444</v>
      </c>
      <c r="G981" s="3904"/>
    </row>
    <row r="982" spans="5:7">
      <c r="E982" s="1525" t="s">
        <v>4445</v>
      </c>
      <c r="F982" s="3904" t="s">
        <v>4446</v>
      </c>
      <c r="G982" s="3904"/>
    </row>
    <row r="983" spans="5:7">
      <c r="E983" s="1525" t="s">
        <v>4447</v>
      </c>
      <c r="F983" s="3904" t="s">
        <v>4448</v>
      </c>
      <c r="G983" s="3904"/>
    </row>
    <row r="984" spans="5:7">
      <c r="E984" s="1525" t="s">
        <v>4449</v>
      </c>
      <c r="F984" s="3904" t="s">
        <v>4450</v>
      </c>
      <c r="G984" s="3904"/>
    </row>
    <row r="985" spans="5:7">
      <c r="E985" s="1525" t="s">
        <v>4451</v>
      </c>
      <c r="F985" s="3904" t="s">
        <v>4452</v>
      </c>
      <c r="G985" s="3904"/>
    </row>
    <row r="986" spans="5:7">
      <c r="E986" s="1525" t="s">
        <v>4453</v>
      </c>
      <c r="F986" s="3904" t="s">
        <v>4454</v>
      </c>
      <c r="G986" s="3904"/>
    </row>
    <row r="987" spans="5:7">
      <c r="E987" s="1525" t="s">
        <v>4455</v>
      </c>
      <c r="F987" s="3904" t="s">
        <v>4456</v>
      </c>
      <c r="G987" s="3904"/>
    </row>
    <row r="988" spans="5:7">
      <c r="E988" s="1525" t="s">
        <v>4457</v>
      </c>
      <c r="F988" s="3904" t="s">
        <v>4458</v>
      </c>
      <c r="G988" s="3904"/>
    </row>
    <row r="989" spans="5:7">
      <c r="E989" s="1525" t="s">
        <v>4459</v>
      </c>
      <c r="F989" s="3904" t="s">
        <v>4460</v>
      </c>
      <c r="G989" s="3904"/>
    </row>
    <row r="990" spans="5:7">
      <c r="E990" s="1525" t="s">
        <v>4461</v>
      </c>
      <c r="F990" s="3904" t="s">
        <v>4462</v>
      </c>
      <c r="G990" s="3904"/>
    </row>
    <row r="991" spans="5:7">
      <c r="E991" s="1525" t="s">
        <v>4463</v>
      </c>
      <c r="F991" s="3904" t="s">
        <v>4464</v>
      </c>
      <c r="G991" s="3904"/>
    </row>
    <row r="992" spans="5:7">
      <c r="E992" s="1525" t="s">
        <v>4465</v>
      </c>
      <c r="F992" s="3904" t="s">
        <v>4466</v>
      </c>
      <c r="G992" s="3904"/>
    </row>
    <row r="993" spans="5:7">
      <c r="E993" s="1525" t="s">
        <v>4467</v>
      </c>
      <c r="F993" s="3904" t="s">
        <v>4468</v>
      </c>
      <c r="G993" s="3904"/>
    </row>
    <row r="994" spans="5:7">
      <c r="E994" s="1525" t="s">
        <v>4469</v>
      </c>
      <c r="F994" s="3904" t="s">
        <v>4470</v>
      </c>
      <c r="G994" s="3904"/>
    </row>
    <row r="995" spans="5:7">
      <c r="E995" s="1525" t="s">
        <v>4471</v>
      </c>
      <c r="F995" s="3904" t="s">
        <v>4472</v>
      </c>
      <c r="G995" s="3904"/>
    </row>
    <row r="996" spans="5:7">
      <c r="E996" s="1525" t="s">
        <v>4473</v>
      </c>
      <c r="F996" s="3904" t="s">
        <v>4474</v>
      </c>
      <c r="G996" s="3904"/>
    </row>
    <row r="997" spans="5:7">
      <c r="E997" s="1525" t="s">
        <v>4475</v>
      </c>
      <c r="F997" s="3904" t="s">
        <v>4476</v>
      </c>
      <c r="G997" s="3904"/>
    </row>
    <row r="998" spans="5:7">
      <c r="E998" s="1525" t="s">
        <v>4477</v>
      </c>
      <c r="F998" s="3904" t="s">
        <v>4478</v>
      </c>
      <c r="G998" s="3904"/>
    </row>
    <row r="999" spans="5:7">
      <c r="E999" s="1525" t="s">
        <v>4479</v>
      </c>
      <c r="F999" s="3904" t="s">
        <v>4480</v>
      </c>
      <c r="G999" s="3904"/>
    </row>
    <row r="1000" spans="5:7">
      <c r="E1000" s="1525" t="s">
        <v>4481</v>
      </c>
      <c r="F1000" s="3904" t="s">
        <v>4482</v>
      </c>
      <c r="G1000" s="3904"/>
    </row>
    <row r="1001" spans="5:7">
      <c r="E1001" s="1525" t="s">
        <v>4483</v>
      </c>
      <c r="F1001" s="3904" t="s">
        <v>4484</v>
      </c>
      <c r="G1001" s="3904"/>
    </row>
    <row r="1002" spans="5:7">
      <c r="E1002" s="1525" t="s">
        <v>4485</v>
      </c>
      <c r="F1002" s="3904" t="s">
        <v>4486</v>
      </c>
      <c r="G1002" s="3904"/>
    </row>
    <row r="1003" spans="5:7">
      <c r="E1003" s="1525" t="s">
        <v>4487</v>
      </c>
      <c r="F1003" s="3904" t="s">
        <v>4488</v>
      </c>
      <c r="G1003" s="3904"/>
    </row>
    <row r="1004" spans="5:7">
      <c r="E1004" s="1525" t="s">
        <v>4489</v>
      </c>
      <c r="F1004" s="3904" t="s">
        <v>4490</v>
      </c>
      <c r="G1004" s="3904"/>
    </row>
    <row r="1005" spans="5:7">
      <c r="E1005" s="1525" t="s">
        <v>4491</v>
      </c>
      <c r="F1005" s="3904" t="s">
        <v>4492</v>
      </c>
      <c r="G1005" s="3904"/>
    </row>
    <row r="1006" spans="5:7">
      <c r="E1006" s="1525" t="s">
        <v>4493</v>
      </c>
      <c r="F1006" s="3904" t="s">
        <v>4494</v>
      </c>
      <c r="G1006" s="3904"/>
    </row>
    <row r="1007" spans="5:7">
      <c r="E1007" s="1525" t="s">
        <v>4495</v>
      </c>
      <c r="F1007" s="3904" t="s">
        <v>4496</v>
      </c>
      <c r="G1007" s="3904"/>
    </row>
    <row r="1008" spans="5:7">
      <c r="E1008" s="1525" t="s">
        <v>4497</v>
      </c>
      <c r="F1008" s="3904" t="s">
        <v>4498</v>
      </c>
      <c r="G1008" s="3904"/>
    </row>
    <row r="1009" spans="5:7">
      <c r="E1009" s="1525" t="s">
        <v>4499</v>
      </c>
      <c r="F1009" s="3904" t="s">
        <v>4500</v>
      </c>
      <c r="G1009" s="3904"/>
    </row>
    <row r="1010" spans="5:7">
      <c r="E1010" s="1525" t="s">
        <v>4501</v>
      </c>
      <c r="F1010" s="3904" t="s">
        <v>4502</v>
      </c>
      <c r="G1010" s="3904"/>
    </row>
    <row r="1011" spans="5:7">
      <c r="E1011" s="1525" t="s">
        <v>4503</v>
      </c>
      <c r="F1011" s="3904" t="s">
        <v>4504</v>
      </c>
      <c r="G1011" s="3904"/>
    </row>
    <row r="1012" spans="5:7">
      <c r="E1012" s="1525" t="s">
        <v>4505</v>
      </c>
      <c r="F1012" s="3904" t="s">
        <v>4506</v>
      </c>
      <c r="G1012" s="3904"/>
    </row>
    <row r="1013" spans="5:7">
      <c r="E1013" s="1525" t="s">
        <v>4507</v>
      </c>
      <c r="F1013" s="3904" t="s">
        <v>4508</v>
      </c>
      <c r="G1013" s="3904"/>
    </row>
    <row r="1014" spans="5:7">
      <c r="E1014" s="1525" t="s">
        <v>4509</v>
      </c>
      <c r="F1014" s="3904" t="s">
        <v>4510</v>
      </c>
      <c r="G1014" s="3904"/>
    </row>
    <row r="1015" spans="5:7">
      <c r="E1015" s="1525" t="s">
        <v>4511</v>
      </c>
      <c r="F1015" s="3904" t="s">
        <v>4512</v>
      </c>
      <c r="G1015" s="3904"/>
    </row>
    <row r="1016" spans="5:7">
      <c r="E1016" s="1525" t="s">
        <v>4513</v>
      </c>
      <c r="F1016" s="3904" t="s">
        <v>4514</v>
      </c>
      <c r="G1016" s="3904"/>
    </row>
    <row r="1017" spans="5:7">
      <c r="E1017" s="1525" t="s">
        <v>4515</v>
      </c>
      <c r="F1017" s="3904" t="s">
        <v>4516</v>
      </c>
      <c r="G1017" s="3904"/>
    </row>
    <row r="1018" spans="5:7">
      <c r="E1018" s="1525" t="s">
        <v>4517</v>
      </c>
      <c r="F1018" s="3904" t="s">
        <v>4518</v>
      </c>
      <c r="G1018" s="3904"/>
    </row>
    <row r="1019" spans="5:7">
      <c r="E1019" s="1525" t="s">
        <v>4519</v>
      </c>
      <c r="F1019" s="3904" t="s">
        <v>4520</v>
      </c>
      <c r="G1019" s="3904"/>
    </row>
    <row r="1020" spans="5:7">
      <c r="E1020" s="1525" t="s">
        <v>4521</v>
      </c>
      <c r="F1020" s="3904" t="s">
        <v>4522</v>
      </c>
      <c r="G1020" s="3904"/>
    </row>
    <row r="1021" spans="5:7">
      <c r="E1021" s="1525" t="s">
        <v>4523</v>
      </c>
      <c r="F1021" s="3904" t="s">
        <v>4524</v>
      </c>
      <c r="G1021" s="3904"/>
    </row>
    <row r="1022" spans="5:7">
      <c r="E1022" s="1525" t="s">
        <v>4525</v>
      </c>
      <c r="F1022" s="3904" t="s">
        <v>4526</v>
      </c>
      <c r="G1022" s="3904"/>
    </row>
    <row r="1023" spans="5:7">
      <c r="E1023" s="1525" t="s">
        <v>4527</v>
      </c>
      <c r="F1023" s="3904" t="s">
        <v>4528</v>
      </c>
      <c r="G1023" s="3904"/>
    </row>
    <row r="1024" spans="5:7">
      <c r="E1024" s="1525" t="s">
        <v>4529</v>
      </c>
      <c r="F1024" s="3904" t="s">
        <v>4530</v>
      </c>
      <c r="G1024" s="3904"/>
    </row>
    <row r="1025" spans="5:7">
      <c r="E1025" s="1525" t="s">
        <v>4531</v>
      </c>
      <c r="F1025" s="3904" t="s">
        <v>4532</v>
      </c>
      <c r="G1025" s="3904"/>
    </row>
    <row r="1026" spans="5:7">
      <c r="E1026" s="1525" t="s">
        <v>4533</v>
      </c>
      <c r="F1026" s="3904" t="s">
        <v>4534</v>
      </c>
      <c r="G1026" s="3904"/>
    </row>
    <row r="1027" spans="5:7">
      <c r="E1027" s="1525" t="s">
        <v>4535</v>
      </c>
      <c r="F1027" s="3904" t="s">
        <v>4536</v>
      </c>
      <c r="G1027" s="3904"/>
    </row>
    <row r="1028" spans="5:7">
      <c r="E1028" s="1525" t="s">
        <v>4537</v>
      </c>
      <c r="F1028" s="3904" t="s">
        <v>4538</v>
      </c>
      <c r="G1028" s="3904"/>
    </row>
    <row r="1029" spans="5:7">
      <c r="E1029" s="1525" t="s">
        <v>4539</v>
      </c>
      <c r="F1029" s="3904" t="s">
        <v>4540</v>
      </c>
      <c r="G1029" s="3904"/>
    </row>
    <row r="1030" spans="5:7">
      <c r="E1030" s="1525" t="s">
        <v>4541</v>
      </c>
      <c r="F1030" s="3904" t="s">
        <v>4542</v>
      </c>
      <c r="G1030" s="3904"/>
    </row>
    <row r="1031" spans="5:7">
      <c r="E1031" s="1525" t="s">
        <v>4543</v>
      </c>
      <c r="F1031" s="3904" t="s">
        <v>4544</v>
      </c>
      <c r="G1031" s="3904"/>
    </row>
    <row r="1032" spans="5:7">
      <c r="E1032" s="1525" t="s">
        <v>4545</v>
      </c>
      <c r="F1032" s="3904" t="s">
        <v>4546</v>
      </c>
      <c r="G1032" s="3904"/>
    </row>
    <row r="1033" spans="5:7">
      <c r="E1033" s="1525" t="s">
        <v>4547</v>
      </c>
      <c r="F1033" s="3904" t="s">
        <v>4548</v>
      </c>
      <c r="G1033" s="3904"/>
    </row>
    <row r="1034" spans="5:7">
      <c r="E1034" s="1525" t="s">
        <v>4549</v>
      </c>
      <c r="F1034" s="3904" t="s">
        <v>4550</v>
      </c>
      <c r="G1034" s="3904"/>
    </row>
    <row r="1035" spans="5:7">
      <c r="E1035" s="1525" t="s">
        <v>4551</v>
      </c>
      <c r="F1035" s="3904" t="s">
        <v>4552</v>
      </c>
      <c r="G1035" s="3904"/>
    </row>
    <row r="1036" spans="5:7">
      <c r="E1036" s="1525" t="s">
        <v>4553</v>
      </c>
      <c r="F1036" s="3904" t="s">
        <v>4554</v>
      </c>
      <c r="G1036" s="3904"/>
    </row>
    <row r="1037" spans="5:7">
      <c r="E1037" s="1525" t="s">
        <v>4555</v>
      </c>
      <c r="F1037" s="3904" t="s">
        <v>4556</v>
      </c>
      <c r="G1037" s="3904"/>
    </row>
    <row r="1038" spans="5:7">
      <c r="E1038" s="1525" t="s">
        <v>4557</v>
      </c>
      <c r="F1038" s="3904" t="s">
        <v>4558</v>
      </c>
      <c r="G1038" s="3904"/>
    </row>
    <row r="1039" spans="5:7">
      <c r="E1039" s="1525" t="s">
        <v>4559</v>
      </c>
      <c r="F1039" s="3904" t="s">
        <v>4560</v>
      </c>
      <c r="G1039" s="3904"/>
    </row>
    <row r="1040" spans="5:7">
      <c r="E1040" s="1525" t="s">
        <v>4561</v>
      </c>
      <c r="F1040" s="3904" t="s">
        <v>4562</v>
      </c>
      <c r="G1040" s="3904"/>
    </row>
    <row r="1041" spans="5:7">
      <c r="E1041" s="1525" t="s">
        <v>4563</v>
      </c>
      <c r="F1041" s="3904" t="s">
        <v>4564</v>
      </c>
      <c r="G1041" s="3904"/>
    </row>
    <row r="1042" spans="5:7">
      <c r="E1042" s="1525" t="s">
        <v>4565</v>
      </c>
      <c r="F1042" s="3904" t="s">
        <v>4566</v>
      </c>
      <c r="G1042" s="3904"/>
    </row>
    <row r="1043" spans="5:7">
      <c r="E1043" s="1525" t="s">
        <v>4567</v>
      </c>
      <c r="F1043" s="3904" t="s">
        <v>4568</v>
      </c>
      <c r="G1043" s="3904"/>
    </row>
    <row r="1044" spans="5:7">
      <c r="E1044" s="1525" t="s">
        <v>4569</v>
      </c>
      <c r="F1044" s="3904" t="s">
        <v>4570</v>
      </c>
      <c r="G1044" s="3904"/>
    </row>
    <row r="1045" spans="5:7">
      <c r="E1045" s="1525" t="s">
        <v>4571</v>
      </c>
      <c r="F1045" s="3904" t="s">
        <v>4572</v>
      </c>
      <c r="G1045" s="3904"/>
    </row>
    <row r="1046" spans="5:7">
      <c r="E1046" s="1525" t="s">
        <v>4573</v>
      </c>
      <c r="F1046" s="3904" t="s">
        <v>4574</v>
      </c>
      <c r="G1046" s="3904"/>
    </row>
    <row r="1047" spans="5:7">
      <c r="E1047" s="1525" t="s">
        <v>4575</v>
      </c>
      <c r="F1047" s="3904" t="s">
        <v>4576</v>
      </c>
      <c r="G1047" s="3904"/>
    </row>
    <row r="1048" spans="5:7">
      <c r="E1048" s="1525" t="s">
        <v>4577</v>
      </c>
      <c r="F1048" s="3904" t="s">
        <v>4578</v>
      </c>
      <c r="G1048" s="3904"/>
    </row>
    <row r="1049" spans="5:7">
      <c r="E1049" s="1525" t="s">
        <v>4579</v>
      </c>
      <c r="F1049" s="3904" t="s">
        <v>4580</v>
      </c>
      <c r="G1049" s="3904"/>
    </row>
    <row r="1050" spans="5:7">
      <c r="E1050" s="1525" t="s">
        <v>4581</v>
      </c>
      <c r="F1050" s="3904" t="s">
        <v>4582</v>
      </c>
      <c r="G1050" s="3904"/>
    </row>
    <row r="1051" spans="5:7">
      <c r="E1051" s="1525" t="s">
        <v>4583</v>
      </c>
      <c r="F1051" s="3904" t="s">
        <v>4584</v>
      </c>
      <c r="G1051" s="3904"/>
    </row>
    <row r="1052" spans="5:7">
      <c r="E1052" s="1525" t="s">
        <v>4585</v>
      </c>
      <c r="F1052" s="3904" t="s">
        <v>4586</v>
      </c>
      <c r="G1052" s="3904"/>
    </row>
    <row r="1053" spans="5:7">
      <c r="E1053" s="1525" t="s">
        <v>4587</v>
      </c>
      <c r="F1053" s="3904" t="s">
        <v>4588</v>
      </c>
      <c r="G1053" s="3904"/>
    </row>
    <row r="1054" spans="5:7">
      <c r="E1054" s="1525" t="s">
        <v>4589</v>
      </c>
      <c r="F1054" s="3904" t="s">
        <v>4590</v>
      </c>
      <c r="G1054" s="3904"/>
    </row>
    <row r="1055" spans="5:7">
      <c r="E1055" s="1525" t="s">
        <v>4591</v>
      </c>
      <c r="F1055" s="3904" t="s">
        <v>4592</v>
      </c>
      <c r="G1055" s="3904"/>
    </row>
    <row r="1056" spans="5:7">
      <c r="E1056" s="1525" t="s">
        <v>4593</v>
      </c>
      <c r="F1056" s="3904" t="s">
        <v>4594</v>
      </c>
      <c r="G1056" s="3904"/>
    </row>
    <row r="1057" spans="5:7">
      <c r="E1057" s="1525" t="s">
        <v>4595</v>
      </c>
      <c r="F1057" s="3904" t="s">
        <v>4596</v>
      </c>
      <c r="G1057" s="3904"/>
    </row>
    <row r="1058" spans="5:7">
      <c r="E1058" s="1525" t="s">
        <v>4597</v>
      </c>
      <c r="F1058" s="3904" t="s">
        <v>4598</v>
      </c>
      <c r="G1058" s="3904"/>
    </row>
    <row r="1059" spans="5:7">
      <c r="E1059" s="1525" t="s">
        <v>4599</v>
      </c>
      <c r="F1059" s="3904" t="s">
        <v>4600</v>
      </c>
      <c r="G1059" s="3904"/>
    </row>
    <row r="1060" spans="5:7">
      <c r="E1060" s="1525" t="s">
        <v>4601</v>
      </c>
      <c r="F1060" s="3904" t="s">
        <v>4602</v>
      </c>
      <c r="G1060" s="3904"/>
    </row>
    <row r="1061" spans="5:7">
      <c r="E1061" s="1525" t="s">
        <v>4603</v>
      </c>
      <c r="F1061" s="3904" t="s">
        <v>4604</v>
      </c>
      <c r="G1061" s="3904"/>
    </row>
    <row r="1062" spans="5:7">
      <c r="E1062" s="1525" t="s">
        <v>4605</v>
      </c>
      <c r="F1062" s="3904" t="s">
        <v>4606</v>
      </c>
      <c r="G1062" s="3904"/>
    </row>
    <row r="1063" spans="5:7">
      <c r="E1063" s="1525" t="s">
        <v>4607</v>
      </c>
      <c r="F1063" s="3904" t="s">
        <v>4608</v>
      </c>
      <c r="G1063" s="3904"/>
    </row>
    <row r="1064" spans="5:7">
      <c r="E1064" s="1525" t="s">
        <v>4609</v>
      </c>
      <c r="F1064" s="3904" t="s">
        <v>4610</v>
      </c>
      <c r="G1064" s="3904"/>
    </row>
    <row r="1065" spans="5:7">
      <c r="E1065" s="1525" t="s">
        <v>4611</v>
      </c>
      <c r="F1065" s="3904" t="s">
        <v>4612</v>
      </c>
      <c r="G1065" s="3904"/>
    </row>
    <row r="1066" spans="5:7">
      <c r="E1066" s="1525" t="s">
        <v>4613</v>
      </c>
      <c r="F1066" s="3904" t="s">
        <v>4614</v>
      </c>
      <c r="G1066" s="3904"/>
    </row>
    <row r="1067" spans="5:7">
      <c r="E1067" s="1525" t="s">
        <v>4615</v>
      </c>
      <c r="F1067" s="3904" t="s">
        <v>4616</v>
      </c>
      <c r="G1067" s="3904"/>
    </row>
    <row r="1068" spans="5:7">
      <c r="E1068" s="1525" t="s">
        <v>4617</v>
      </c>
      <c r="F1068" s="3904" t="s">
        <v>4618</v>
      </c>
      <c r="G1068" s="3904"/>
    </row>
    <row r="1069" spans="5:7">
      <c r="E1069" s="1525" t="s">
        <v>4619</v>
      </c>
      <c r="F1069" s="3904" t="s">
        <v>4620</v>
      </c>
      <c r="G1069" s="3904"/>
    </row>
    <row r="1070" spans="5:7">
      <c r="E1070" s="1525" t="s">
        <v>4621</v>
      </c>
      <c r="F1070" s="3904" t="s">
        <v>4622</v>
      </c>
      <c r="G1070" s="3904"/>
    </row>
    <row r="1071" spans="5:7">
      <c r="E1071" s="1525" t="s">
        <v>4623</v>
      </c>
      <c r="F1071" s="3904" t="s">
        <v>4624</v>
      </c>
      <c r="G1071" s="3904"/>
    </row>
    <row r="1072" spans="5:7">
      <c r="E1072" s="1525" t="s">
        <v>4625</v>
      </c>
      <c r="F1072" s="3904" t="s">
        <v>4626</v>
      </c>
      <c r="G1072" s="3904"/>
    </row>
    <row r="1073" spans="5:7">
      <c r="E1073" s="1525" t="s">
        <v>4627</v>
      </c>
      <c r="F1073" s="3904" t="s">
        <v>4628</v>
      </c>
      <c r="G1073" s="3904"/>
    </row>
    <row r="1074" spans="5:7">
      <c r="E1074" s="1525" t="s">
        <v>4629</v>
      </c>
      <c r="F1074" s="3904" t="s">
        <v>4630</v>
      </c>
      <c r="G1074" s="3904"/>
    </row>
    <row r="1075" spans="5:7">
      <c r="E1075" s="1525" t="s">
        <v>4631</v>
      </c>
      <c r="F1075" s="3904" t="s">
        <v>4632</v>
      </c>
      <c r="G1075" s="3904"/>
    </row>
    <row r="1076" spans="5:7">
      <c r="E1076" s="1525" t="s">
        <v>4633</v>
      </c>
      <c r="F1076" s="3904" t="s">
        <v>4634</v>
      </c>
      <c r="G1076" s="3904"/>
    </row>
    <row r="1077" spans="5:7">
      <c r="E1077" s="1525" t="s">
        <v>4635</v>
      </c>
      <c r="F1077" s="3904" t="s">
        <v>4636</v>
      </c>
      <c r="G1077" s="3904"/>
    </row>
    <row r="1078" spans="5:7">
      <c r="E1078" s="1525" t="s">
        <v>4637</v>
      </c>
      <c r="F1078" s="3904" t="s">
        <v>4638</v>
      </c>
      <c r="G1078" s="3904"/>
    </row>
    <row r="1079" spans="5:7">
      <c r="E1079" s="1525" t="s">
        <v>4639</v>
      </c>
      <c r="F1079" s="3904" t="s">
        <v>4640</v>
      </c>
      <c r="G1079" s="3904"/>
    </row>
    <row r="1080" spans="5:7">
      <c r="E1080" s="1525" t="s">
        <v>4641</v>
      </c>
      <c r="F1080" s="3904" t="s">
        <v>4642</v>
      </c>
      <c r="G1080" s="3904"/>
    </row>
    <row r="1081" spans="5:7">
      <c r="E1081" s="1525" t="s">
        <v>4643</v>
      </c>
      <c r="F1081" s="3904" t="s">
        <v>4644</v>
      </c>
      <c r="G1081" s="3904"/>
    </row>
    <row r="1082" spans="5:7">
      <c r="E1082" s="1525" t="s">
        <v>4645</v>
      </c>
      <c r="F1082" s="3904" t="s">
        <v>4646</v>
      </c>
      <c r="G1082" s="3904"/>
    </row>
    <row r="1083" spans="5:7">
      <c r="E1083" s="1525" t="s">
        <v>4647</v>
      </c>
      <c r="F1083" s="3904" t="s">
        <v>4648</v>
      </c>
      <c r="G1083" s="3904"/>
    </row>
    <row r="1084" spans="5:7">
      <c r="E1084" s="1525" t="s">
        <v>4649</v>
      </c>
      <c r="F1084" s="3904" t="s">
        <v>4650</v>
      </c>
      <c r="G1084" s="3904"/>
    </row>
    <row r="1085" spans="5:7">
      <c r="E1085" s="1525" t="s">
        <v>4651</v>
      </c>
      <c r="F1085" s="3904" t="s">
        <v>4652</v>
      </c>
      <c r="G1085" s="3904"/>
    </row>
    <row r="1086" spans="5:7">
      <c r="E1086" s="1525" t="s">
        <v>4653</v>
      </c>
      <c r="F1086" s="3904" t="s">
        <v>4654</v>
      </c>
      <c r="G1086" s="3904"/>
    </row>
    <row r="1087" spans="5:7">
      <c r="E1087" s="1525" t="s">
        <v>4655</v>
      </c>
      <c r="F1087" s="3904" t="s">
        <v>4656</v>
      </c>
      <c r="G1087" s="3904"/>
    </row>
    <row r="1088" spans="5:7">
      <c r="E1088" s="1525" t="s">
        <v>4657</v>
      </c>
      <c r="F1088" s="3904" t="s">
        <v>4658</v>
      </c>
      <c r="G1088" s="3904"/>
    </row>
    <row r="1089" spans="5:7">
      <c r="E1089" s="1525" t="s">
        <v>4659</v>
      </c>
      <c r="F1089" s="3904" t="s">
        <v>4660</v>
      </c>
      <c r="G1089" s="3904"/>
    </row>
    <row r="1090" spans="5:7">
      <c r="E1090" s="1525" t="s">
        <v>4661</v>
      </c>
      <c r="F1090" s="3904" t="s">
        <v>4662</v>
      </c>
      <c r="G1090" s="3904"/>
    </row>
    <row r="1091" spans="5:7">
      <c r="E1091" s="1525" t="s">
        <v>4663</v>
      </c>
      <c r="F1091" s="3904" t="s">
        <v>4664</v>
      </c>
      <c r="G1091" s="3904"/>
    </row>
    <row r="1092" spans="5:7">
      <c r="E1092" s="1525" t="s">
        <v>4665</v>
      </c>
      <c r="F1092" s="3904" t="s">
        <v>4666</v>
      </c>
      <c r="G1092" s="3904"/>
    </row>
    <row r="1093" spans="5:7">
      <c r="E1093" s="1525" t="s">
        <v>4667</v>
      </c>
      <c r="F1093" s="3904" t="s">
        <v>4668</v>
      </c>
      <c r="G1093" s="3904"/>
    </row>
    <row r="1094" spans="5:7">
      <c r="E1094" s="1525" t="s">
        <v>4669</v>
      </c>
      <c r="F1094" s="3904" t="s">
        <v>4670</v>
      </c>
      <c r="G1094" s="3904"/>
    </row>
    <row r="1095" spans="5:7">
      <c r="E1095" s="1525" t="s">
        <v>4671</v>
      </c>
      <c r="F1095" s="3904" t="s">
        <v>4672</v>
      </c>
      <c r="G1095" s="3904"/>
    </row>
    <row r="1096" spans="5:7">
      <c r="E1096" s="1525" t="s">
        <v>4673</v>
      </c>
      <c r="F1096" s="3904" t="s">
        <v>4674</v>
      </c>
      <c r="G1096" s="3904"/>
    </row>
    <row r="1097" spans="5:7">
      <c r="E1097" s="1525" t="s">
        <v>4675</v>
      </c>
      <c r="F1097" s="3904" t="s">
        <v>4676</v>
      </c>
      <c r="G1097" s="3904"/>
    </row>
    <row r="1098" spans="5:7">
      <c r="E1098" s="1525" t="s">
        <v>4677</v>
      </c>
      <c r="F1098" s="3904" t="s">
        <v>4678</v>
      </c>
      <c r="G1098" s="3904"/>
    </row>
    <row r="1099" spans="5:7">
      <c r="E1099" s="1525" t="s">
        <v>4679</v>
      </c>
      <c r="F1099" s="3904" t="s">
        <v>4680</v>
      </c>
      <c r="G1099" s="3904"/>
    </row>
    <row r="1100" spans="5:7">
      <c r="E1100" s="1525" t="s">
        <v>4681</v>
      </c>
      <c r="F1100" s="3904" t="s">
        <v>4682</v>
      </c>
      <c r="G1100" s="3904"/>
    </row>
    <row r="1101" spans="5:7">
      <c r="E1101" s="1525" t="s">
        <v>4683</v>
      </c>
      <c r="F1101" s="3904" t="s">
        <v>4684</v>
      </c>
      <c r="G1101" s="3904"/>
    </row>
    <row r="1102" spans="5:7">
      <c r="E1102" s="1525" t="s">
        <v>4685</v>
      </c>
      <c r="F1102" s="3904" t="s">
        <v>4686</v>
      </c>
      <c r="G1102" s="3904"/>
    </row>
    <row r="1103" spans="5:7">
      <c r="E1103" s="1525" t="s">
        <v>4687</v>
      </c>
      <c r="F1103" s="3904" t="s">
        <v>4688</v>
      </c>
      <c r="G1103" s="3904"/>
    </row>
    <row r="1104" spans="5:7">
      <c r="E1104" s="1525" t="s">
        <v>4689</v>
      </c>
      <c r="F1104" s="3904" t="s">
        <v>4690</v>
      </c>
      <c r="G1104" s="3904"/>
    </row>
    <row r="1105" spans="5:7">
      <c r="E1105" s="1525" t="s">
        <v>4691</v>
      </c>
      <c r="F1105" s="3904" t="s">
        <v>4692</v>
      </c>
      <c r="G1105" s="3904"/>
    </row>
    <row r="1106" spans="5:7">
      <c r="E1106" s="1525" t="s">
        <v>4693</v>
      </c>
      <c r="F1106" s="3904" t="s">
        <v>4694</v>
      </c>
      <c r="G1106" s="3904"/>
    </row>
    <row r="1107" spans="5:7">
      <c r="E1107" s="1525" t="s">
        <v>4695</v>
      </c>
      <c r="F1107" s="3904" t="s">
        <v>4696</v>
      </c>
      <c r="G1107" s="3904"/>
    </row>
    <row r="1108" spans="5:7">
      <c r="E1108" s="1525" t="s">
        <v>4697</v>
      </c>
      <c r="F1108" s="3904" t="s">
        <v>4698</v>
      </c>
      <c r="G1108" s="3904"/>
    </row>
    <row r="1109" spans="5:7">
      <c r="E1109" s="1525" t="s">
        <v>4699</v>
      </c>
      <c r="F1109" s="3904" t="s">
        <v>4700</v>
      </c>
      <c r="G1109" s="3904"/>
    </row>
    <row r="1110" spans="5:7">
      <c r="E1110" s="1525" t="s">
        <v>4701</v>
      </c>
      <c r="F1110" s="3904" t="s">
        <v>4702</v>
      </c>
      <c r="G1110" s="3904"/>
    </row>
    <row r="1111" spans="5:7">
      <c r="E1111" s="1525" t="s">
        <v>4703</v>
      </c>
      <c r="F1111" s="3904" t="s">
        <v>4704</v>
      </c>
      <c r="G1111" s="3904"/>
    </row>
    <row r="1112" spans="5:7">
      <c r="E1112" s="1525" t="s">
        <v>4705</v>
      </c>
      <c r="F1112" s="3904" t="s">
        <v>4706</v>
      </c>
      <c r="G1112" s="3904"/>
    </row>
    <row r="1113" spans="5:7">
      <c r="E1113" s="1525" t="s">
        <v>4707</v>
      </c>
      <c r="F1113" s="3904" t="s">
        <v>4708</v>
      </c>
      <c r="G1113" s="3904"/>
    </row>
    <row r="1114" spans="5:7">
      <c r="E1114" s="1525" t="s">
        <v>4709</v>
      </c>
      <c r="F1114" s="3904" t="s">
        <v>4710</v>
      </c>
      <c r="G1114" s="3904"/>
    </row>
    <row r="1115" spans="5:7">
      <c r="E1115" s="1525" t="s">
        <v>4711</v>
      </c>
      <c r="F1115" s="3904" t="s">
        <v>4712</v>
      </c>
      <c r="G1115" s="3904"/>
    </row>
    <row r="1116" spans="5:7">
      <c r="E1116" s="1525" t="s">
        <v>4713</v>
      </c>
      <c r="F1116" s="3904" t="s">
        <v>4714</v>
      </c>
      <c r="G1116" s="3904"/>
    </row>
    <row r="1117" spans="5:7">
      <c r="E1117" s="1525" t="s">
        <v>4715</v>
      </c>
      <c r="F1117" s="3904" t="s">
        <v>4716</v>
      </c>
      <c r="G1117" s="3904"/>
    </row>
    <row r="1118" spans="5:7">
      <c r="E1118" s="1525" t="s">
        <v>4717</v>
      </c>
      <c r="F1118" s="3904" t="s">
        <v>4718</v>
      </c>
      <c r="G1118" s="3904"/>
    </row>
    <row r="1119" spans="5:7">
      <c r="E1119" s="1525" t="s">
        <v>4719</v>
      </c>
      <c r="F1119" s="3904" t="s">
        <v>4720</v>
      </c>
      <c r="G1119" s="3904"/>
    </row>
    <row r="1120" spans="5:7">
      <c r="E1120" s="1525" t="s">
        <v>4721</v>
      </c>
      <c r="F1120" s="3904" t="s">
        <v>4722</v>
      </c>
      <c r="G1120" s="3904"/>
    </row>
    <row r="1121" spans="5:7">
      <c r="E1121" s="1525" t="s">
        <v>4723</v>
      </c>
      <c r="F1121" s="3904" t="s">
        <v>4724</v>
      </c>
      <c r="G1121" s="3904"/>
    </row>
    <row r="1122" spans="5:7">
      <c r="E1122" s="1525" t="s">
        <v>4725</v>
      </c>
      <c r="F1122" s="3904" t="s">
        <v>4726</v>
      </c>
      <c r="G1122" s="3904"/>
    </row>
    <row r="1123" spans="5:7">
      <c r="E1123" s="1525" t="s">
        <v>4727</v>
      </c>
      <c r="F1123" s="3904" t="s">
        <v>4728</v>
      </c>
      <c r="G1123" s="3904"/>
    </row>
    <row r="1124" spans="5:7">
      <c r="E1124" s="1525" t="s">
        <v>4729</v>
      </c>
      <c r="F1124" s="3904" t="s">
        <v>4730</v>
      </c>
      <c r="G1124" s="3904"/>
    </row>
    <row r="1125" spans="5:7">
      <c r="E1125" s="1525" t="s">
        <v>4731</v>
      </c>
      <c r="F1125" s="3904" t="s">
        <v>4732</v>
      </c>
      <c r="G1125" s="3904"/>
    </row>
    <row r="1126" spans="5:7">
      <c r="E1126" s="1525" t="s">
        <v>4733</v>
      </c>
      <c r="F1126" s="3904" t="s">
        <v>4734</v>
      </c>
      <c r="G1126" s="3904"/>
    </row>
    <row r="1127" spans="5:7">
      <c r="E1127" s="1525" t="s">
        <v>4735</v>
      </c>
      <c r="F1127" s="3904" t="s">
        <v>4736</v>
      </c>
      <c r="G1127" s="3904"/>
    </row>
    <row r="1128" spans="5:7">
      <c r="E1128" s="1525" t="s">
        <v>4737</v>
      </c>
      <c r="F1128" s="3904" t="s">
        <v>4738</v>
      </c>
      <c r="G1128" s="3904"/>
    </row>
    <row r="1129" spans="5:7">
      <c r="E1129" s="1525" t="s">
        <v>4739</v>
      </c>
      <c r="F1129" s="3904" t="s">
        <v>4740</v>
      </c>
      <c r="G1129" s="3904"/>
    </row>
    <row r="1130" spans="5:7">
      <c r="E1130" s="1525" t="s">
        <v>4741</v>
      </c>
      <c r="F1130" s="3904" t="s">
        <v>4742</v>
      </c>
      <c r="G1130" s="3904"/>
    </row>
    <row r="1131" spans="5:7">
      <c r="E1131" s="1525" t="s">
        <v>4743</v>
      </c>
      <c r="F1131" s="3904" t="s">
        <v>4744</v>
      </c>
      <c r="G1131" s="3904"/>
    </row>
    <row r="1132" spans="5:7">
      <c r="E1132" s="1525" t="s">
        <v>4745</v>
      </c>
      <c r="F1132" s="3904" t="s">
        <v>4746</v>
      </c>
      <c r="G1132" s="3904"/>
    </row>
    <row r="1133" spans="5:7">
      <c r="E1133" s="1525" t="s">
        <v>4747</v>
      </c>
      <c r="F1133" s="3904" t="s">
        <v>4748</v>
      </c>
      <c r="G1133" s="3904"/>
    </row>
    <row r="1134" spans="5:7">
      <c r="E1134" s="1525" t="s">
        <v>4749</v>
      </c>
      <c r="F1134" s="3904" t="s">
        <v>4750</v>
      </c>
      <c r="G1134" s="3904"/>
    </row>
    <row r="1135" spans="5:7">
      <c r="E1135" s="1525" t="s">
        <v>4751</v>
      </c>
      <c r="F1135" s="3904" t="s">
        <v>4752</v>
      </c>
      <c r="G1135" s="3904"/>
    </row>
    <row r="1136" spans="5:7">
      <c r="E1136" s="1525" t="s">
        <v>4753</v>
      </c>
      <c r="F1136" s="3904" t="s">
        <v>4754</v>
      </c>
      <c r="G1136" s="3904"/>
    </row>
    <row r="1137" spans="5:7">
      <c r="E1137" s="1525" t="s">
        <v>4755</v>
      </c>
      <c r="F1137" s="3904" t="s">
        <v>4756</v>
      </c>
      <c r="G1137" s="3904"/>
    </row>
    <row r="1138" spans="5:7">
      <c r="E1138" s="1525" t="s">
        <v>4757</v>
      </c>
      <c r="F1138" s="3904" t="s">
        <v>4758</v>
      </c>
      <c r="G1138" s="3904"/>
    </row>
    <row r="1139" spans="5:7">
      <c r="E1139" s="1525" t="s">
        <v>4759</v>
      </c>
      <c r="F1139" s="3904" t="s">
        <v>4760</v>
      </c>
      <c r="G1139" s="3904"/>
    </row>
    <row r="1140" spans="5:7">
      <c r="E1140" s="1525" t="s">
        <v>4761</v>
      </c>
      <c r="F1140" s="3904" t="s">
        <v>4762</v>
      </c>
      <c r="G1140" s="3904"/>
    </row>
    <row r="1141" spans="5:7">
      <c r="E1141" s="1525" t="s">
        <v>4763</v>
      </c>
      <c r="F1141" s="3904" t="s">
        <v>4764</v>
      </c>
      <c r="G1141" s="3904"/>
    </row>
    <row r="1142" spans="5:7">
      <c r="E1142" s="1525" t="s">
        <v>4765</v>
      </c>
      <c r="F1142" s="3904" t="s">
        <v>4766</v>
      </c>
      <c r="G1142" s="3904"/>
    </row>
    <row r="1143" spans="5:7">
      <c r="E1143" s="1525" t="s">
        <v>4767</v>
      </c>
      <c r="F1143" s="3904" t="s">
        <v>4768</v>
      </c>
      <c r="G1143" s="3904"/>
    </row>
    <row r="1144" spans="5:7">
      <c r="E1144" s="1525" t="s">
        <v>4769</v>
      </c>
      <c r="F1144" s="3904" t="s">
        <v>4770</v>
      </c>
      <c r="G1144" s="3904"/>
    </row>
    <row r="1145" spans="5:7">
      <c r="E1145" s="1525" t="s">
        <v>4771</v>
      </c>
      <c r="F1145" s="3904" t="s">
        <v>4772</v>
      </c>
      <c r="G1145" s="3904"/>
    </row>
    <row r="1146" spans="5:7">
      <c r="E1146" s="1525" t="s">
        <v>4773</v>
      </c>
      <c r="F1146" s="3904" t="s">
        <v>4774</v>
      </c>
      <c r="G1146" s="3904"/>
    </row>
    <row r="1147" spans="5:7">
      <c r="E1147" s="1525" t="s">
        <v>4775</v>
      </c>
      <c r="F1147" s="3904" t="s">
        <v>4776</v>
      </c>
      <c r="G1147" s="3904"/>
    </row>
    <row r="1148" spans="5:7">
      <c r="E1148" s="1525" t="s">
        <v>4777</v>
      </c>
      <c r="F1148" s="3904" t="s">
        <v>4778</v>
      </c>
      <c r="G1148" s="3904"/>
    </row>
    <row r="1149" spans="5:7">
      <c r="E1149" s="1525" t="s">
        <v>4779</v>
      </c>
      <c r="F1149" s="3904" t="s">
        <v>4780</v>
      </c>
      <c r="G1149" s="3904"/>
    </row>
    <row r="1150" spans="5:7">
      <c r="E1150" s="1525" t="s">
        <v>4781</v>
      </c>
      <c r="F1150" s="3904" t="s">
        <v>4782</v>
      </c>
      <c r="G1150" s="3904"/>
    </row>
    <row r="1151" spans="5:7">
      <c r="E1151" s="1525" t="s">
        <v>4783</v>
      </c>
      <c r="F1151" s="3904" t="s">
        <v>4784</v>
      </c>
      <c r="G1151" s="3904"/>
    </row>
    <row r="1152" spans="5:7">
      <c r="E1152" s="1525" t="s">
        <v>4785</v>
      </c>
      <c r="F1152" s="3904" t="s">
        <v>4786</v>
      </c>
      <c r="G1152" s="3904"/>
    </row>
    <row r="1153" spans="5:7">
      <c r="E1153" s="1525" t="s">
        <v>4787</v>
      </c>
      <c r="F1153" s="3904" t="s">
        <v>4788</v>
      </c>
      <c r="G1153" s="3904"/>
    </row>
    <row r="1154" spans="5:7">
      <c r="E1154" s="1525" t="s">
        <v>4789</v>
      </c>
      <c r="F1154" s="3904" t="s">
        <v>4790</v>
      </c>
      <c r="G1154" s="3904"/>
    </row>
    <row r="1155" spans="5:7">
      <c r="E1155" s="1525" t="s">
        <v>4791</v>
      </c>
      <c r="F1155" s="3904" t="s">
        <v>4792</v>
      </c>
      <c r="G1155" s="3904"/>
    </row>
    <row r="1156" spans="5:7">
      <c r="E1156" s="1525" t="s">
        <v>4793</v>
      </c>
      <c r="F1156" s="3904" t="s">
        <v>4794</v>
      </c>
      <c r="G1156" s="3904"/>
    </row>
    <row r="1157" spans="5:7">
      <c r="E1157" s="1525" t="s">
        <v>4795</v>
      </c>
      <c r="F1157" s="3904" t="s">
        <v>4796</v>
      </c>
      <c r="G1157" s="3904"/>
    </row>
    <row r="1158" spans="5:7">
      <c r="E1158" s="1525" t="s">
        <v>4797</v>
      </c>
      <c r="F1158" s="3904" t="s">
        <v>4798</v>
      </c>
      <c r="G1158" s="3904"/>
    </row>
    <row r="1159" spans="5:7">
      <c r="E1159" s="1525" t="s">
        <v>4799</v>
      </c>
      <c r="F1159" s="3904" t="s">
        <v>4800</v>
      </c>
      <c r="G1159" s="3904"/>
    </row>
    <row r="1160" spans="5:7">
      <c r="E1160" s="1525" t="s">
        <v>4801</v>
      </c>
      <c r="F1160" s="3904" t="s">
        <v>4802</v>
      </c>
      <c r="G1160" s="3904"/>
    </row>
    <row r="1161" spans="5:7">
      <c r="E1161" s="1525" t="s">
        <v>4803</v>
      </c>
      <c r="F1161" s="3904" t="s">
        <v>4804</v>
      </c>
      <c r="G1161" s="3904"/>
    </row>
    <row r="1162" spans="5:7">
      <c r="E1162" s="1525" t="s">
        <v>4805</v>
      </c>
      <c r="F1162" s="3904" t="s">
        <v>1797</v>
      </c>
      <c r="G1162" s="3904"/>
    </row>
    <row r="1163" spans="5:7">
      <c r="E1163" s="1527"/>
      <c r="F1163" s="1527"/>
    </row>
    <row r="1164" spans="5:7">
      <c r="E1164" s="1527"/>
      <c r="F1164" s="1527"/>
    </row>
    <row r="1165" spans="5:7">
      <c r="E1165" s="1527"/>
      <c r="F1165" s="1527"/>
    </row>
    <row r="1166" spans="5:7">
      <c r="E1166" s="1527"/>
      <c r="F1166" s="1527"/>
    </row>
    <row r="1167" spans="5:7">
      <c r="E1167" s="1527"/>
      <c r="F1167" s="1527"/>
    </row>
    <row r="1168" spans="5:7">
      <c r="E1168" s="1527"/>
      <c r="F1168" s="1527"/>
    </row>
    <row r="1169" spans="5:6">
      <c r="E1169" s="1527"/>
      <c r="F1169" s="1527"/>
    </row>
    <row r="1170" spans="5:6">
      <c r="E1170" s="1527"/>
      <c r="F1170" s="1527"/>
    </row>
    <row r="1171" spans="5:6">
      <c r="E1171" s="1527"/>
      <c r="F1171" s="1527"/>
    </row>
    <row r="1172" spans="5:6">
      <c r="E1172" s="1527"/>
      <c r="F1172" s="1527"/>
    </row>
    <row r="1173" spans="5:6">
      <c r="E1173" s="1527"/>
      <c r="F1173" s="1527"/>
    </row>
    <row r="1174" spans="5:6">
      <c r="E1174" s="1527"/>
      <c r="F1174" s="1527"/>
    </row>
    <row r="1175" spans="5:6">
      <c r="E1175" s="1527"/>
      <c r="F1175" s="1527"/>
    </row>
    <row r="1176" spans="5:6">
      <c r="E1176" s="1527"/>
      <c r="F1176" s="1527"/>
    </row>
    <row r="1177" spans="5:6">
      <c r="E1177" s="1527"/>
      <c r="F1177" s="1527"/>
    </row>
    <row r="1178" spans="5:6">
      <c r="E1178" s="1527"/>
      <c r="F1178" s="1527"/>
    </row>
    <row r="1179" spans="5:6">
      <c r="E1179" s="1527"/>
      <c r="F1179" s="1527"/>
    </row>
    <row r="1180" spans="5:6">
      <c r="E1180" s="1527"/>
      <c r="F1180" s="1527"/>
    </row>
    <row r="1181" spans="5:6">
      <c r="E1181" s="1527"/>
      <c r="F1181" s="1527"/>
    </row>
    <row r="1182" spans="5:6">
      <c r="E1182" s="1527"/>
      <c r="F1182" s="1527"/>
    </row>
    <row r="1183" spans="5:6">
      <c r="E1183" s="1527"/>
      <c r="F1183" s="1527"/>
    </row>
    <row r="1184" spans="5:6">
      <c r="E1184" s="1527"/>
      <c r="F1184" s="1527"/>
    </row>
    <row r="1185" spans="5:6">
      <c r="E1185" s="1527"/>
      <c r="F1185" s="1527"/>
    </row>
    <row r="1186" spans="5:6">
      <c r="E1186" s="1527"/>
      <c r="F1186" s="1527"/>
    </row>
    <row r="1187" spans="5:6">
      <c r="E1187" s="1527"/>
      <c r="F1187" s="1527"/>
    </row>
    <row r="1188" spans="5:6">
      <c r="E1188" s="1527"/>
      <c r="F1188" s="1527"/>
    </row>
    <row r="1189" spans="5:6">
      <c r="E1189" s="1527"/>
      <c r="F1189" s="1527"/>
    </row>
    <row r="1190" spans="5:6">
      <c r="E1190" s="1527"/>
      <c r="F1190" s="1527"/>
    </row>
    <row r="1191" spans="5:6">
      <c r="E1191" s="1527"/>
      <c r="F1191" s="1527"/>
    </row>
    <row r="1192" spans="5:6">
      <c r="E1192" s="1527"/>
      <c r="F1192" s="1527"/>
    </row>
    <row r="1193" spans="5:6">
      <c r="E1193" s="1527"/>
      <c r="F1193" s="1527"/>
    </row>
    <row r="1194" spans="5:6">
      <c r="E1194" s="1527"/>
      <c r="F1194" s="1527"/>
    </row>
    <row r="1195" spans="5:6">
      <c r="E1195" s="1527"/>
      <c r="F1195" s="1527"/>
    </row>
    <row r="1196" spans="5:6">
      <c r="E1196" s="1527"/>
      <c r="F1196" s="1527"/>
    </row>
    <row r="1197" spans="5:6">
      <c r="E1197" s="1527"/>
      <c r="F1197" s="1527"/>
    </row>
    <row r="1198" spans="5:6">
      <c r="E1198" s="1527"/>
      <c r="F1198" s="1527"/>
    </row>
    <row r="1199" spans="5:6">
      <c r="E1199" s="1527"/>
      <c r="F1199" s="1527"/>
    </row>
    <row r="1200" spans="5:6">
      <c r="E1200" s="1527"/>
      <c r="F1200" s="1527"/>
    </row>
    <row r="1201" spans="5:6">
      <c r="E1201" s="1527"/>
      <c r="F1201" s="1527"/>
    </row>
    <row r="1202" spans="5:6">
      <c r="E1202" s="1527"/>
      <c r="F1202" s="1527"/>
    </row>
    <row r="1203" spans="5:6">
      <c r="E1203" s="1527"/>
      <c r="F1203" s="1527"/>
    </row>
    <row r="1204" spans="5:6">
      <c r="E1204" s="1527"/>
      <c r="F1204" s="1527"/>
    </row>
    <row r="1205" spans="5:6">
      <c r="E1205" s="1527"/>
      <c r="F1205" s="1527"/>
    </row>
    <row r="1206" spans="5:6">
      <c r="E1206" s="1527"/>
      <c r="F1206" s="1527"/>
    </row>
    <row r="1207" spans="5:6">
      <c r="E1207" s="1527"/>
      <c r="F1207" s="1527"/>
    </row>
    <row r="1208" spans="5:6">
      <c r="E1208" s="1527"/>
      <c r="F1208" s="1527"/>
    </row>
    <row r="1209" spans="5:6">
      <c r="E1209" s="1527"/>
      <c r="F1209" s="1527"/>
    </row>
    <row r="1210" spans="5:6">
      <c r="E1210" s="1527"/>
      <c r="F1210" s="1527"/>
    </row>
    <row r="1211" spans="5:6">
      <c r="E1211" s="1527"/>
      <c r="F1211" s="1527"/>
    </row>
    <row r="1212" spans="5:6">
      <c r="E1212" s="1527"/>
      <c r="F1212" s="1527"/>
    </row>
    <row r="1213" spans="5:6">
      <c r="E1213" s="1527"/>
      <c r="F1213" s="1527"/>
    </row>
    <row r="1214" spans="5:6">
      <c r="E1214" s="1527"/>
      <c r="F1214" s="1527"/>
    </row>
    <row r="1215" spans="5:6">
      <c r="E1215" s="1527"/>
      <c r="F1215" s="1527"/>
    </row>
    <row r="1216" spans="5:6">
      <c r="E1216" s="1527"/>
      <c r="F1216" s="1527"/>
    </row>
    <row r="1217" spans="5:6">
      <c r="E1217" s="1527"/>
      <c r="F1217" s="1527"/>
    </row>
    <row r="1218" spans="5:6">
      <c r="E1218" s="1527"/>
      <c r="F1218" s="1527"/>
    </row>
    <row r="1219" spans="5:6">
      <c r="E1219" s="1527"/>
      <c r="F1219" s="1527"/>
    </row>
    <row r="1220" spans="5:6">
      <c r="E1220" s="1527"/>
      <c r="F1220" s="1527"/>
    </row>
    <row r="1221" spans="5:6">
      <c r="E1221" s="1527"/>
      <c r="F1221" s="1527"/>
    </row>
    <row r="1222" spans="5:6">
      <c r="E1222" s="1527"/>
      <c r="F1222" s="1527"/>
    </row>
    <row r="1223" spans="5:6">
      <c r="E1223" s="1527"/>
      <c r="F1223" s="1527"/>
    </row>
    <row r="1224" spans="5:6">
      <c r="E1224" s="1527"/>
      <c r="F1224" s="1527"/>
    </row>
    <row r="1225" spans="5:6">
      <c r="E1225" s="1527"/>
      <c r="F1225" s="1527"/>
    </row>
    <row r="1226" spans="5:6">
      <c r="E1226" s="1527"/>
      <c r="F1226" s="1527"/>
    </row>
    <row r="1227" spans="5:6">
      <c r="E1227" s="1527"/>
      <c r="F1227" s="1527"/>
    </row>
    <row r="1228" spans="5:6">
      <c r="E1228" s="1527"/>
      <c r="F1228" s="1527"/>
    </row>
    <row r="1229" spans="5:6">
      <c r="E1229" s="1527"/>
      <c r="F1229" s="1527"/>
    </row>
    <row r="1230" spans="5:6">
      <c r="E1230" s="1527"/>
      <c r="F1230" s="1527"/>
    </row>
    <row r="1231" spans="5:6">
      <c r="E1231" s="1527"/>
      <c r="F1231" s="1527"/>
    </row>
    <row r="1232" spans="5:6">
      <c r="E1232" s="1527"/>
      <c r="F1232" s="1527"/>
    </row>
    <row r="1233" spans="5:6">
      <c r="E1233" s="1527"/>
      <c r="F1233" s="1527"/>
    </row>
    <row r="1234" spans="5:6">
      <c r="E1234" s="1527"/>
      <c r="F1234" s="1527"/>
    </row>
    <row r="1235" spans="5:6">
      <c r="E1235" s="1527"/>
      <c r="F1235" s="1527"/>
    </row>
    <row r="1236" spans="5:6">
      <c r="E1236" s="1527"/>
      <c r="F1236" s="1527"/>
    </row>
    <row r="1237" spans="5:6">
      <c r="E1237" s="1527"/>
      <c r="F1237" s="1527"/>
    </row>
    <row r="1238" spans="5:6">
      <c r="E1238" s="1527"/>
      <c r="F1238" s="1527"/>
    </row>
    <row r="1239" spans="5:6">
      <c r="E1239" s="1527"/>
      <c r="F1239" s="1527"/>
    </row>
    <row r="1240" spans="5:6">
      <c r="E1240" s="1527"/>
      <c r="F1240" s="1527"/>
    </row>
    <row r="1241" spans="5:6">
      <c r="E1241" s="1527"/>
      <c r="F1241" s="1527"/>
    </row>
    <row r="1242" spans="5:6">
      <c r="E1242" s="1527"/>
      <c r="F1242" s="1527"/>
    </row>
    <row r="1243" spans="5:6">
      <c r="E1243" s="1527"/>
      <c r="F1243" s="1527"/>
    </row>
    <row r="1244" spans="5:6">
      <c r="E1244" s="1527"/>
      <c r="F1244" s="1527"/>
    </row>
    <row r="1245" spans="5:6">
      <c r="E1245" s="1527"/>
      <c r="F1245" s="1527"/>
    </row>
    <row r="1246" spans="5:6">
      <c r="E1246" s="1527"/>
      <c r="F1246" s="1527"/>
    </row>
    <row r="1247" spans="5:6">
      <c r="E1247" s="1527"/>
      <c r="F1247" s="1527"/>
    </row>
    <row r="1248" spans="5:6">
      <c r="E1248" s="1527"/>
      <c r="F1248" s="1527"/>
    </row>
    <row r="1249" spans="5:6">
      <c r="E1249" s="1527"/>
      <c r="F1249" s="1527"/>
    </row>
    <row r="1250" spans="5:6">
      <c r="E1250" s="1527"/>
      <c r="F1250" s="1527"/>
    </row>
    <row r="1251" spans="5:6">
      <c r="E1251" s="1527"/>
      <c r="F1251" s="1527"/>
    </row>
    <row r="1252" spans="5:6">
      <c r="E1252" s="1527"/>
      <c r="F1252" s="1527"/>
    </row>
    <row r="1253" spans="5:6">
      <c r="E1253" s="1527"/>
      <c r="F1253" s="1527"/>
    </row>
    <row r="1254" spans="5:6">
      <c r="E1254" s="1527"/>
      <c r="F1254" s="1527"/>
    </row>
    <row r="1255" spans="5:6">
      <c r="E1255" s="1527"/>
      <c r="F1255" s="1527"/>
    </row>
    <row r="1256" spans="5:6">
      <c r="E1256" s="1527"/>
      <c r="F1256" s="1527"/>
    </row>
    <row r="1257" spans="5:6">
      <c r="E1257" s="1527"/>
      <c r="F1257" s="1527"/>
    </row>
    <row r="1258" spans="5:6">
      <c r="E1258" s="1527"/>
      <c r="F1258" s="1527"/>
    </row>
    <row r="1259" spans="5:6">
      <c r="E1259" s="1527"/>
      <c r="F1259" s="1527"/>
    </row>
    <row r="1260" spans="5:6">
      <c r="E1260" s="1527"/>
      <c r="F1260" s="1527"/>
    </row>
    <row r="1261" spans="5:6">
      <c r="E1261" s="1527"/>
      <c r="F1261" s="1527"/>
    </row>
    <row r="1262" spans="5:6">
      <c r="E1262" s="1527"/>
      <c r="F1262" s="1527"/>
    </row>
    <row r="1263" spans="5:6">
      <c r="E1263" s="1527"/>
      <c r="F1263" s="1527"/>
    </row>
    <row r="1264" spans="5:6">
      <c r="E1264" s="1527"/>
      <c r="F1264" s="1527"/>
    </row>
    <row r="1265" spans="5:6">
      <c r="E1265" s="1527"/>
      <c r="F1265" s="1527"/>
    </row>
    <row r="1266" spans="5:6">
      <c r="E1266" s="1527"/>
      <c r="F1266" s="1527"/>
    </row>
    <row r="1267" spans="5:6">
      <c r="E1267" s="1527"/>
      <c r="F1267" s="1527"/>
    </row>
    <row r="1268" spans="5:6">
      <c r="E1268" s="1527"/>
      <c r="F1268" s="1527"/>
    </row>
    <row r="1269" spans="5:6">
      <c r="E1269" s="1527"/>
      <c r="F1269" s="1527"/>
    </row>
    <row r="1270" spans="5:6">
      <c r="E1270" s="1527"/>
      <c r="F1270" s="1527"/>
    </row>
    <row r="1271" spans="5:6">
      <c r="E1271" s="1527"/>
      <c r="F1271" s="1527"/>
    </row>
    <row r="1272" spans="5:6">
      <c r="E1272" s="1527"/>
      <c r="F1272" s="1527"/>
    </row>
    <row r="1273" spans="5:6">
      <c r="E1273" s="1527"/>
      <c r="F1273" s="1527"/>
    </row>
    <row r="1274" spans="5:6">
      <c r="E1274" s="1527"/>
      <c r="F1274" s="1527"/>
    </row>
    <row r="1275" spans="5:6">
      <c r="E1275" s="1527"/>
      <c r="F1275" s="1527"/>
    </row>
    <row r="1276" spans="5:6">
      <c r="E1276" s="1527"/>
      <c r="F1276" s="1527"/>
    </row>
    <row r="1277" spans="5:6">
      <c r="E1277" s="1527"/>
      <c r="F1277" s="1527"/>
    </row>
    <row r="1278" spans="5:6">
      <c r="E1278" s="1527"/>
      <c r="F1278" s="1527"/>
    </row>
    <row r="1279" spans="5:6">
      <c r="E1279" s="1527"/>
      <c r="F1279" s="1527"/>
    </row>
    <row r="1280" spans="5:6">
      <c r="E1280" s="1527"/>
      <c r="F1280" s="1527"/>
    </row>
    <row r="1281" spans="5:6">
      <c r="E1281" s="1527"/>
      <c r="F1281" s="1527"/>
    </row>
    <row r="1282" spans="5:6">
      <c r="E1282" s="1527"/>
      <c r="F1282" s="1527"/>
    </row>
    <row r="1283" spans="5:6">
      <c r="E1283" s="1527"/>
      <c r="F1283" s="1527"/>
    </row>
    <row r="1284" spans="5:6">
      <c r="E1284" s="1527"/>
      <c r="F1284" s="1527"/>
    </row>
    <row r="1285" spans="5:6">
      <c r="E1285" s="1527"/>
      <c r="F1285" s="1527"/>
    </row>
    <row r="1286" spans="5:6">
      <c r="E1286" s="1527"/>
      <c r="F1286" s="1527"/>
    </row>
    <row r="1287" spans="5:6">
      <c r="E1287" s="1527"/>
      <c r="F1287" s="1527"/>
    </row>
    <row r="1288" spans="5:6">
      <c r="E1288" s="1527"/>
      <c r="F1288" s="1527"/>
    </row>
    <row r="1289" spans="5:6">
      <c r="E1289" s="1527"/>
      <c r="F1289" s="1527"/>
    </row>
    <row r="1290" spans="5:6">
      <c r="E1290" s="1527"/>
      <c r="F1290" s="1527"/>
    </row>
    <row r="1291" spans="5:6">
      <c r="E1291" s="1527"/>
      <c r="F1291" s="1527"/>
    </row>
    <row r="1292" spans="5:6">
      <c r="E1292" s="1527"/>
      <c r="F1292" s="1527"/>
    </row>
    <row r="1293" spans="5:6">
      <c r="E1293" s="1527"/>
      <c r="F1293" s="1527"/>
    </row>
    <row r="1294" spans="5:6">
      <c r="E1294" s="1527"/>
      <c r="F1294" s="1527"/>
    </row>
    <row r="1295" spans="5:6">
      <c r="E1295" s="1527"/>
      <c r="F1295" s="1527"/>
    </row>
    <row r="1296" spans="5:6">
      <c r="E1296" s="1527"/>
      <c r="F1296" s="1527"/>
    </row>
    <row r="1297" spans="5:6">
      <c r="E1297" s="1527"/>
      <c r="F1297" s="1527"/>
    </row>
    <row r="1298" spans="5:6">
      <c r="E1298" s="1527"/>
      <c r="F1298" s="1527"/>
    </row>
    <row r="1299" spans="5:6">
      <c r="E1299" s="1527"/>
      <c r="F1299" s="1527"/>
    </row>
    <row r="1300" spans="5:6">
      <c r="E1300" s="1527"/>
      <c r="F1300" s="1527"/>
    </row>
    <row r="1301" spans="5:6">
      <c r="E1301" s="1527"/>
      <c r="F1301" s="1527"/>
    </row>
    <row r="1302" spans="5:6">
      <c r="E1302" s="1527"/>
      <c r="F1302" s="1527"/>
    </row>
    <row r="1303" spans="5:6">
      <c r="E1303" s="1527"/>
      <c r="F1303" s="1527"/>
    </row>
    <row r="1304" spans="5:6">
      <c r="E1304" s="1527"/>
      <c r="F1304" s="1527"/>
    </row>
    <row r="1305" spans="5:6">
      <c r="E1305" s="1527"/>
      <c r="F1305" s="1527"/>
    </row>
    <row r="1306" spans="5:6">
      <c r="E1306" s="1527"/>
      <c r="F1306" s="1527"/>
    </row>
    <row r="1307" spans="5:6">
      <c r="E1307" s="1527"/>
      <c r="F1307" s="1527"/>
    </row>
    <row r="1308" spans="5:6">
      <c r="E1308" s="1527"/>
      <c r="F1308" s="1527"/>
    </row>
    <row r="1309" spans="5:6">
      <c r="E1309" s="1527"/>
      <c r="F1309" s="1527"/>
    </row>
    <row r="1310" spans="5:6">
      <c r="E1310" s="1527"/>
      <c r="F1310" s="1527"/>
    </row>
    <row r="1311" spans="5:6">
      <c r="E1311" s="1527"/>
      <c r="F1311" s="1527"/>
    </row>
    <row r="1312" spans="5:6">
      <c r="E1312" s="1527"/>
      <c r="F1312" s="1527"/>
    </row>
    <row r="1313" spans="5:6">
      <c r="E1313" s="1527"/>
      <c r="F1313" s="1527"/>
    </row>
    <row r="1314" spans="5:6">
      <c r="E1314" s="1527"/>
      <c r="F1314" s="1527"/>
    </row>
    <row r="1315" spans="5:6">
      <c r="E1315" s="1527"/>
      <c r="F1315" s="1527"/>
    </row>
    <row r="1316" spans="5:6">
      <c r="E1316" s="1527"/>
      <c r="F1316" s="1527"/>
    </row>
    <row r="1317" spans="5:6">
      <c r="E1317" s="1527"/>
      <c r="F1317" s="1527"/>
    </row>
    <row r="1318" spans="5:6">
      <c r="E1318" s="1527"/>
      <c r="F1318" s="1527"/>
    </row>
    <row r="1319" spans="5:6">
      <c r="E1319" s="1527"/>
      <c r="F1319" s="1527"/>
    </row>
    <row r="1320" spans="5:6">
      <c r="E1320" s="1527"/>
      <c r="F1320" s="1527"/>
    </row>
    <row r="1321" spans="5:6">
      <c r="E1321" s="1527"/>
      <c r="F1321" s="1527"/>
    </row>
    <row r="1322" spans="5:6">
      <c r="E1322" s="1527"/>
      <c r="F1322" s="1527"/>
    </row>
    <row r="1323" spans="5:6">
      <c r="E1323" s="1527"/>
      <c r="F1323" s="1527"/>
    </row>
    <row r="1324" spans="5:6">
      <c r="E1324" s="1527"/>
      <c r="F1324" s="1527"/>
    </row>
    <row r="1325" spans="5:6">
      <c r="E1325" s="1527"/>
      <c r="F1325" s="1527"/>
    </row>
    <row r="1326" spans="5:6">
      <c r="E1326" s="1527"/>
      <c r="F1326" s="1527"/>
    </row>
    <row r="1327" spans="5:6">
      <c r="E1327" s="1527"/>
      <c r="F1327" s="1527"/>
    </row>
    <row r="1328" spans="5:6">
      <c r="E1328" s="1527"/>
      <c r="F1328" s="1527"/>
    </row>
    <row r="1329" spans="5:6">
      <c r="E1329" s="1527"/>
      <c r="F1329" s="1527"/>
    </row>
    <row r="1330" spans="5:6">
      <c r="E1330" s="1527"/>
      <c r="F1330" s="1527"/>
    </row>
    <row r="1331" spans="5:6">
      <c r="E1331" s="1527"/>
      <c r="F1331" s="1527"/>
    </row>
    <row r="1332" spans="5:6">
      <c r="E1332" s="1527"/>
      <c r="F1332" s="1527"/>
    </row>
    <row r="1333" spans="5:6">
      <c r="E1333" s="1527"/>
      <c r="F1333" s="1527"/>
    </row>
    <row r="1334" spans="5:6">
      <c r="E1334" s="1527"/>
      <c r="F1334" s="1527"/>
    </row>
    <row r="1335" spans="5:6">
      <c r="E1335" s="1527"/>
      <c r="F1335" s="1527"/>
    </row>
    <row r="1336" spans="5:6">
      <c r="E1336" s="1527"/>
      <c r="F1336" s="1527"/>
    </row>
    <row r="1337" spans="5:6">
      <c r="E1337" s="1527"/>
      <c r="F1337" s="1527"/>
    </row>
    <row r="1338" spans="5:6">
      <c r="E1338" s="1527"/>
      <c r="F1338" s="1527"/>
    </row>
    <row r="1339" spans="5:6">
      <c r="E1339" s="1527"/>
      <c r="F1339" s="1527"/>
    </row>
    <row r="1340" spans="5:6">
      <c r="E1340" s="1527"/>
      <c r="F1340" s="1527"/>
    </row>
    <row r="1341" spans="5:6">
      <c r="E1341" s="1527"/>
      <c r="F1341" s="1527"/>
    </row>
    <row r="1342" spans="5:6">
      <c r="E1342" s="1527"/>
      <c r="F1342" s="1527"/>
    </row>
    <row r="1343" spans="5:6">
      <c r="E1343" s="1527"/>
      <c r="F1343" s="1527"/>
    </row>
    <row r="1344" spans="5:6">
      <c r="E1344" s="1527"/>
      <c r="F1344" s="1527"/>
    </row>
    <row r="1345" spans="5:6">
      <c r="E1345" s="1527"/>
      <c r="F1345" s="1527"/>
    </row>
    <row r="1346" spans="5:6">
      <c r="E1346" s="1527"/>
      <c r="F1346" s="1527"/>
    </row>
    <row r="1347" spans="5:6">
      <c r="E1347" s="1527"/>
      <c r="F1347" s="1527"/>
    </row>
    <row r="1348" spans="5:6">
      <c r="E1348" s="1527"/>
      <c r="F1348" s="1527"/>
    </row>
    <row r="1349" spans="5:6">
      <c r="E1349" s="1527"/>
      <c r="F1349" s="1527"/>
    </row>
    <row r="1350" spans="5:6">
      <c r="E1350" s="1527"/>
      <c r="F1350" s="1527"/>
    </row>
    <row r="1351" spans="5:6">
      <c r="E1351" s="1527"/>
      <c r="F1351" s="1527"/>
    </row>
    <row r="1352" spans="5:6">
      <c r="E1352" s="1527"/>
      <c r="F1352" s="1527"/>
    </row>
    <row r="1353" spans="5:6">
      <c r="E1353" s="1527"/>
      <c r="F1353" s="1527"/>
    </row>
    <row r="1354" spans="5:6">
      <c r="E1354" s="1527"/>
      <c r="F1354" s="1527"/>
    </row>
    <row r="1355" spans="5:6">
      <c r="E1355" s="1527"/>
      <c r="F1355" s="1527"/>
    </row>
    <row r="1356" spans="5:6">
      <c r="E1356" s="1527"/>
      <c r="F1356" s="1527"/>
    </row>
    <row r="1357" spans="5:6">
      <c r="E1357" s="1527"/>
      <c r="F1357" s="1527"/>
    </row>
    <row r="1358" spans="5:6">
      <c r="E1358" s="1527"/>
      <c r="F1358" s="1527"/>
    </row>
    <row r="1359" spans="5:6">
      <c r="E1359" s="1527"/>
      <c r="F1359" s="1527"/>
    </row>
    <row r="1360" spans="5:6">
      <c r="E1360" s="1527"/>
      <c r="F1360" s="1527"/>
    </row>
    <row r="1361" spans="5:6">
      <c r="E1361" s="1527"/>
      <c r="F1361" s="1527"/>
    </row>
    <row r="1362" spans="5:6">
      <c r="E1362" s="1527"/>
      <c r="F1362" s="1527"/>
    </row>
    <row r="1363" spans="5:6">
      <c r="E1363" s="1527"/>
      <c r="F1363" s="1527"/>
    </row>
    <row r="1364" spans="5:6">
      <c r="E1364" s="1527"/>
      <c r="F1364" s="1527"/>
    </row>
    <row r="1365" spans="5:6">
      <c r="E1365" s="1527"/>
      <c r="F1365" s="1527"/>
    </row>
    <row r="1366" spans="5:6">
      <c r="E1366" s="1527"/>
      <c r="F1366" s="1527"/>
    </row>
    <row r="1367" spans="5:6">
      <c r="E1367" s="1527"/>
      <c r="F1367" s="1527"/>
    </row>
    <row r="1368" spans="5:6">
      <c r="E1368" s="1527"/>
      <c r="F1368" s="1527"/>
    </row>
    <row r="1369" spans="5:6">
      <c r="E1369" s="1527"/>
      <c r="F1369" s="1527"/>
    </row>
    <row r="1370" spans="5:6">
      <c r="E1370" s="1527"/>
      <c r="F1370" s="1527"/>
    </row>
    <row r="1371" spans="5:6">
      <c r="E1371" s="1527"/>
      <c r="F1371" s="1527"/>
    </row>
    <row r="1372" spans="5:6">
      <c r="E1372" s="1527"/>
      <c r="F1372" s="1527"/>
    </row>
    <row r="1373" spans="5:6">
      <c r="E1373" s="1527"/>
      <c r="F1373" s="1527"/>
    </row>
    <row r="1374" spans="5:6">
      <c r="E1374" s="1527"/>
      <c r="F1374" s="1527"/>
    </row>
    <row r="1375" spans="5:6">
      <c r="E1375" s="1527"/>
      <c r="F1375" s="1527"/>
    </row>
    <row r="1376" spans="5:6">
      <c r="E1376" s="1527"/>
      <c r="F1376" s="1527"/>
    </row>
    <row r="1377" spans="5:6">
      <c r="E1377" s="1527"/>
      <c r="F1377" s="1527"/>
    </row>
    <row r="1378" spans="5:6">
      <c r="E1378" s="1527"/>
      <c r="F1378" s="1527"/>
    </row>
    <row r="1379" spans="5:6">
      <c r="E1379" s="1527"/>
      <c r="F1379" s="1527"/>
    </row>
    <row r="1380" spans="5:6">
      <c r="E1380" s="1527"/>
      <c r="F1380" s="1527"/>
    </row>
    <row r="1381" spans="5:6">
      <c r="E1381" s="1527"/>
      <c r="F1381" s="1527"/>
    </row>
    <row r="1382" spans="5:6">
      <c r="E1382" s="1527"/>
      <c r="F1382" s="1527"/>
    </row>
    <row r="1383" spans="5:6">
      <c r="E1383" s="1527"/>
      <c r="F1383" s="1527"/>
    </row>
    <row r="1384" spans="5:6">
      <c r="E1384" s="1527"/>
      <c r="F1384" s="1527"/>
    </row>
    <row r="1385" spans="5:6">
      <c r="E1385" s="1527"/>
      <c r="F1385" s="1527"/>
    </row>
    <row r="1386" spans="5:6">
      <c r="E1386" s="1527"/>
      <c r="F1386" s="1527"/>
    </row>
    <row r="1387" spans="5:6">
      <c r="E1387" s="1527"/>
      <c r="F1387" s="1527"/>
    </row>
    <row r="1388" spans="5:6">
      <c r="E1388" s="1527"/>
      <c r="F1388" s="1527"/>
    </row>
    <row r="1389" spans="5:6">
      <c r="E1389" s="1527"/>
      <c r="F1389" s="1527"/>
    </row>
    <row r="1390" spans="5:6">
      <c r="E1390" s="1527"/>
      <c r="F1390" s="1527"/>
    </row>
    <row r="1391" spans="5:6">
      <c r="E1391" s="1527"/>
      <c r="F1391" s="1527"/>
    </row>
    <row r="1392" spans="5:6">
      <c r="E1392" s="1527"/>
      <c r="F1392" s="1527"/>
    </row>
    <row r="1393" spans="5:6">
      <c r="E1393" s="1527"/>
      <c r="F1393" s="1527"/>
    </row>
    <row r="1394" spans="5:6">
      <c r="E1394" s="1527"/>
      <c r="F1394" s="1527"/>
    </row>
    <row r="1395" spans="5:6">
      <c r="E1395" s="1527"/>
      <c r="F1395" s="1527"/>
    </row>
    <row r="1396" spans="5:6">
      <c r="E1396" s="1527"/>
      <c r="F1396" s="1527"/>
    </row>
    <row r="1397" spans="5:6">
      <c r="E1397" s="1527"/>
      <c r="F1397" s="1527"/>
    </row>
    <row r="1398" spans="5:6">
      <c r="E1398" s="1527"/>
      <c r="F1398" s="1527"/>
    </row>
    <row r="1399" spans="5:6">
      <c r="E1399" s="1527"/>
      <c r="F1399" s="1527"/>
    </row>
    <row r="1400" spans="5:6">
      <c r="E1400" s="1527"/>
      <c r="F1400" s="1527"/>
    </row>
    <row r="1401" spans="5:6">
      <c r="E1401" s="1527"/>
      <c r="F1401" s="1527"/>
    </row>
    <row r="1402" spans="5:6">
      <c r="E1402" s="1527"/>
      <c r="F1402" s="1527"/>
    </row>
    <row r="1403" spans="5:6">
      <c r="E1403" s="1527"/>
      <c r="F1403" s="1527"/>
    </row>
    <row r="1404" spans="5:6">
      <c r="E1404" s="1527"/>
      <c r="F1404" s="1527"/>
    </row>
    <row r="1405" spans="5:6">
      <c r="E1405" s="1527"/>
      <c r="F1405" s="1527"/>
    </row>
    <row r="1406" spans="5:6">
      <c r="E1406" s="1527"/>
      <c r="F1406" s="1527"/>
    </row>
    <row r="1407" spans="5:6">
      <c r="E1407" s="1527"/>
      <c r="F1407" s="1527"/>
    </row>
    <row r="1408" spans="5:6">
      <c r="E1408" s="1527"/>
      <c r="F1408" s="1527"/>
    </row>
    <row r="1409" spans="5:6">
      <c r="E1409" s="1527"/>
      <c r="F1409" s="1527"/>
    </row>
    <row r="1410" spans="5:6">
      <c r="E1410" s="1527"/>
      <c r="F1410" s="1527"/>
    </row>
    <row r="1411" spans="5:6">
      <c r="E1411" s="1527"/>
      <c r="F1411" s="1527"/>
    </row>
    <row r="1412" spans="5:6">
      <c r="E1412" s="1527"/>
      <c r="F1412" s="1527"/>
    </row>
    <row r="1413" spans="5:6">
      <c r="E1413" s="1527"/>
      <c r="F1413" s="1527"/>
    </row>
    <row r="1414" spans="5:6">
      <c r="E1414" s="1527"/>
      <c r="F1414" s="1527"/>
    </row>
    <row r="1415" spans="5:6">
      <c r="E1415" s="1527"/>
      <c r="F1415" s="1527"/>
    </row>
    <row r="1416" spans="5:6">
      <c r="E1416" s="1527"/>
      <c r="F1416" s="1527"/>
    </row>
    <row r="1417" spans="5:6">
      <c r="E1417" s="1527"/>
      <c r="F1417" s="1527"/>
    </row>
    <row r="1418" spans="5:6">
      <c r="E1418" s="1527"/>
      <c r="F1418" s="1527"/>
    </row>
    <row r="1419" spans="5:6">
      <c r="E1419" s="1527"/>
      <c r="F1419" s="1527"/>
    </row>
    <row r="1420" spans="5:6">
      <c r="E1420" s="1527"/>
      <c r="F1420" s="1527"/>
    </row>
    <row r="1421" spans="5:6">
      <c r="E1421" s="1527"/>
      <c r="F1421" s="1527"/>
    </row>
    <row r="1422" spans="5:6">
      <c r="E1422" s="1527"/>
      <c r="F1422" s="1527"/>
    </row>
    <row r="1423" spans="5:6">
      <c r="E1423" s="1527"/>
      <c r="F1423" s="1527"/>
    </row>
    <row r="1424" spans="5:6">
      <c r="E1424" s="1527"/>
      <c r="F1424" s="1527"/>
    </row>
    <row r="1425" spans="5:6">
      <c r="E1425" s="1527"/>
      <c r="F1425" s="1527"/>
    </row>
    <row r="1426" spans="5:6">
      <c r="E1426" s="1527"/>
      <c r="F1426" s="1527"/>
    </row>
    <row r="1427" spans="5:6">
      <c r="E1427" s="1527"/>
      <c r="F1427" s="1527"/>
    </row>
    <row r="1428" spans="5:6">
      <c r="E1428" s="1527"/>
      <c r="F1428" s="1527"/>
    </row>
    <row r="1429" spans="5:6">
      <c r="E1429" s="1527"/>
      <c r="F1429" s="1527"/>
    </row>
    <row r="1430" spans="5:6">
      <c r="E1430" s="1527"/>
      <c r="F1430" s="1527"/>
    </row>
    <row r="1431" spans="5:6">
      <c r="E1431" s="1527"/>
      <c r="F1431" s="1527"/>
    </row>
    <row r="1432" spans="5:6">
      <c r="E1432" s="1527"/>
      <c r="F1432" s="1527"/>
    </row>
    <row r="1433" spans="5:6">
      <c r="E1433" s="1527"/>
      <c r="F1433" s="1527"/>
    </row>
    <row r="1434" spans="5:6">
      <c r="E1434" s="1527"/>
      <c r="F1434" s="1527"/>
    </row>
    <row r="1435" spans="5:6">
      <c r="E1435" s="1527"/>
      <c r="F1435" s="1527"/>
    </row>
    <row r="1436" spans="5:6">
      <c r="E1436" s="1527"/>
      <c r="F1436" s="1527"/>
    </row>
    <row r="1437" spans="5:6">
      <c r="E1437" s="1527"/>
      <c r="F1437" s="1527"/>
    </row>
    <row r="1438" spans="5:6">
      <c r="E1438" s="1527"/>
      <c r="F1438" s="1527"/>
    </row>
    <row r="1439" spans="5:6">
      <c r="E1439" s="1527"/>
      <c r="F1439" s="1527"/>
    </row>
    <row r="1440" spans="5:6">
      <c r="E1440" s="1527"/>
      <c r="F1440" s="1527"/>
    </row>
    <row r="1441" spans="5:6">
      <c r="E1441" s="1527"/>
      <c r="F1441" s="1527"/>
    </row>
    <row r="1442" spans="5:6">
      <c r="E1442" s="1527"/>
      <c r="F1442" s="1527"/>
    </row>
    <row r="1443" spans="5:6">
      <c r="E1443" s="1527"/>
      <c r="F1443" s="1527"/>
    </row>
    <row r="1444" spans="5:6">
      <c r="E1444" s="1527"/>
      <c r="F1444" s="1527"/>
    </row>
    <row r="1445" spans="5:6">
      <c r="E1445" s="1527"/>
      <c r="F1445" s="1527"/>
    </row>
    <row r="1446" spans="5:6">
      <c r="E1446" s="1527"/>
      <c r="F1446" s="1527"/>
    </row>
    <row r="1447" spans="5:6">
      <c r="E1447" s="1527"/>
      <c r="F1447" s="1527"/>
    </row>
    <row r="1448" spans="5:6">
      <c r="E1448" s="1527"/>
      <c r="F1448" s="1527"/>
    </row>
    <row r="1449" spans="5:6">
      <c r="E1449" s="1527"/>
      <c r="F1449" s="1527"/>
    </row>
    <row r="1450" spans="5:6">
      <c r="E1450" s="1527"/>
      <c r="F1450" s="1527"/>
    </row>
    <row r="1451" spans="5:6">
      <c r="E1451" s="1527"/>
      <c r="F1451" s="1527"/>
    </row>
    <row r="1452" spans="5:6">
      <c r="E1452" s="1527"/>
      <c r="F1452" s="1527"/>
    </row>
    <row r="1453" spans="5:6">
      <c r="E1453" s="1527"/>
      <c r="F1453" s="1527"/>
    </row>
    <row r="1454" spans="5:6">
      <c r="E1454" s="1527"/>
      <c r="F1454" s="1527"/>
    </row>
    <row r="1455" spans="5:6">
      <c r="E1455" s="1527"/>
      <c r="F1455" s="1527"/>
    </row>
    <row r="1456" spans="5:6">
      <c r="E1456" s="1527"/>
      <c r="F1456" s="1527"/>
    </row>
    <row r="1457" spans="5:6">
      <c r="E1457" s="1527"/>
      <c r="F1457" s="1527"/>
    </row>
    <row r="1458" spans="5:6">
      <c r="E1458" s="1527"/>
      <c r="F1458" s="1527"/>
    </row>
    <row r="1459" spans="5:6">
      <c r="E1459" s="1527"/>
      <c r="F1459" s="1527"/>
    </row>
    <row r="1460" spans="5:6">
      <c r="E1460" s="1527"/>
      <c r="F1460" s="1527"/>
    </row>
    <row r="1461" spans="5:6">
      <c r="E1461" s="1527"/>
      <c r="F1461" s="1527"/>
    </row>
    <row r="1462" spans="5:6">
      <c r="E1462" s="1527"/>
      <c r="F1462" s="1527"/>
    </row>
    <row r="1463" spans="5:6">
      <c r="E1463" s="1527"/>
      <c r="F1463" s="1527"/>
    </row>
    <row r="1464" spans="5:6">
      <c r="E1464" s="1527"/>
      <c r="F1464" s="1527"/>
    </row>
    <row r="1465" spans="5:6">
      <c r="E1465" s="1527"/>
      <c r="F1465" s="1527"/>
    </row>
    <row r="1466" spans="5:6">
      <c r="E1466" s="1527"/>
      <c r="F1466" s="1527"/>
    </row>
    <row r="1467" spans="5:6">
      <c r="E1467" s="1527"/>
      <c r="F1467" s="1527"/>
    </row>
    <row r="1468" spans="5:6">
      <c r="E1468" s="1527"/>
      <c r="F1468" s="1527"/>
    </row>
    <row r="1469" spans="5:6">
      <c r="E1469" s="1527"/>
      <c r="F1469" s="1527"/>
    </row>
    <row r="1470" spans="5:6">
      <c r="E1470" s="1527"/>
      <c r="F1470" s="1527"/>
    </row>
    <row r="1471" spans="5:6">
      <c r="E1471" s="1527"/>
      <c r="F1471" s="1527"/>
    </row>
    <row r="1472" spans="5:6">
      <c r="E1472" s="1527"/>
      <c r="F1472" s="1527"/>
    </row>
    <row r="1473" spans="5:6">
      <c r="E1473" s="1527"/>
      <c r="F1473" s="1527"/>
    </row>
    <row r="1474" spans="5:6">
      <c r="E1474" s="1527"/>
      <c r="F1474" s="1527"/>
    </row>
    <row r="1475" spans="5:6">
      <c r="E1475" s="1527"/>
      <c r="F1475" s="1527"/>
    </row>
    <row r="1476" spans="5:6">
      <c r="E1476" s="1527"/>
      <c r="F1476" s="1527"/>
    </row>
    <row r="1477" spans="5:6">
      <c r="E1477" s="1527"/>
      <c r="F1477" s="1527"/>
    </row>
    <row r="1478" spans="5:6">
      <c r="E1478" s="1527"/>
      <c r="F1478" s="1527"/>
    </row>
    <row r="1479" spans="5:6">
      <c r="E1479" s="1527"/>
      <c r="F1479" s="1527"/>
    </row>
    <row r="1480" spans="5:6">
      <c r="E1480" s="1527"/>
      <c r="F1480" s="1527"/>
    </row>
    <row r="1481" spans="5:6">
      <c r="E1481" s="1527"/>
      <c r="F1481" s="1527"/>
    </row>
    <row r="1482" spans="5:6">
      <c r="E1482" s="1527"/>
      <c r="F1482" s="1527"/>
    </row>
    <row r="1483" spans="5:6">
      <c r="E1483" s="1527"/>
      <c r="F1483" s="1527"/>
    </row>
    <row r="1484" spans="5:6">
      <c r="E1484" s="1527"/>
      <c r="F1484" s="1527"/>
    </row>
    <row r="1485" spans="5:6">
      <c r="E1485" s="1527"/>
      <c r="F1485" s="1527"/>
    </row>
    <row r="1486" spans="5:6">
      <c r="E1486" s="1527"/>
      <c r="F1486" s="1527"/>
    </row>
    <row r="1487" spans="5:6">
      <c r="E1487" s="1527"/>
      <c r="F1487" s="1527"/>
    </row>
    <row r="1488" spans="5:6">
      <c r="E1488" s="1527"/>
      <c r="F1488" s="1527"/>
    </row>
    <row r="1489" spans="5:6">
      <c r="E1489" s="1527"/>
      <c r="F1489" s="1527"/>
    </row>
    <row r="1490" spans="5:6">
      <c r="E1490" s="1527"/>
      <c r="F1490" s="1527"/>
    </row>
    <row r="1491" spans="5:6">
      <c r="E1491" s="1527"/>
      <c r="F1491" s="1527"/>
    </row>
    <row r="1492" spans="5:6">
      <c r="E1492" s="1527"/>
      <c r="F1492" s="1527"/>
    </row>
    <row r="1493" spans="5:6">
      <c r="E1493" s="1527"/>
      <c r="F1493" s="1527"/>
    </row>
    <row r="1494" spans="5:6">
      <c r="E1494" s="1527"/>
      <c r="F1494" s="1527"/>
    </row>
    <row r="1495" spans="5:6">
      <c r="E1495" s="1527"/>
      <c r="F1495" s="1527"/>
    </row>
    <row r="1496" spans="5:6">
      <c r="E1496" s="1527"/>
      <c r="F1496" s="1527"/>
    </row>
    <row r="1497" spans="5:6">
      <c r="E1497" s="1527"/>
      <c r="F1497" s="1527"/>
    </row>
    <row r="1498" spans="5:6">
      <c r="E1498" s="1527"/>
      <c r="F1498" s="1527"/>
    </row>
    <row r="1499" spans="5:6">
      <c r="E1499" s="1527"/>
      <c r="F1499" s="1527"/>
    </row>
    <row r="1500" spans="5:6">
      <c r="E1500" s="1527"/>
      <c r="F1500" s="1527"/>
    </row>
    <row r="1501" spans="5:6">
      <c r="E1501" s="1527"/>
      <c r="F1501" s="1527"/>
    </row>
    <row r="1502" spans="5:6">
      <c r="E1502" s="1527"/>
      <c r="F1502" s="1527"/>
    </row>
    <row r="1503" spans="5:6">
      <c r="E1503" s="1527"/>
      <c r="F1503" s="1527"/>
    </row>
    <row r="1504" spans="5:6">
      <c r="E1504" s="1527"/>
      <c r="F1504" s="1527"/>
    </row>
    <row r="1505" spans="5:6">
      <c r="E1505" s="1527"/>
      <c r="F1505" s="1527"/>
    </row>
    <row r="1506" spans="5:6">
      <c r="E1506" s="1527"/>
      <c r="F1506" s="1527"/>
    </row>
    <row r="1507" spans="5:6">
      <c r="E1507" s="1527"/>
      <c r="F1507" s="1527"/>
    </row>
    <row r="1508" spans="5:6">
      <c r="E1508" s="1527"/>
      <c r="F1508" s="1527"/>
    </row>
    <row r="1509" spans="5:6">
      <c r="E1509" s="1527"/>
      <c r="F1509" s="1527"/>
    </row>
    <row r="1510" spans="5:6">
      <c r="E1510" s="1527"/>
      <c r="F1510" s="1527"/>
    </row>
    <row r="1511" spans="5:6">
      <c r="E1511" s="1527"/>
      <c r="F1511" s="1527"/>
    </row>
    <row r="1512" spans="5:6">
      <c r="E1512" s="1527"/>
      <c r="F1512" s="1527"/>
    </row>
    <row r="1513" spans="5:6">
      <c r="E1513" s="1527"/>
      <c r="F1513" s="1527"/>
    </row>
    <row r="1514" spans="5:6">
      <c r="E1514" s="1527"/>
      <c r="F1514" s="1527"/>
    </row>
    <row r="1515" spans="5:6">
      <c r="E1515" s="1527"/>
      <c r="F1515" s="1527"/>
    </row>
    <row r="1516" spans="5:6">
      <c r="E1516" s="1527"/>
      <c r="F1516" s="1527"/>
    </row>
    <row r="1517" spans="5:6">
      <c r="E1517" s="1527"/>
      <c r="F1517" s="1527"/>
    </row>
    <row r="1518" spans="5:6">
      <c r="E1518" s="1527"/>
      <c r="F1518" s="1527"/>
    </row>
    <row r="1519" spans="5:6">
      <c r="E1519" s="1527"/>
      <c r="F1519" s="1527"/>
    </row>
    <row r="1520" spans="5:6">
      <c r="E1520" s="1527"/>
      <c r="F1520" s="1527"/>
    </row>
    <row r="1521" spans="5:6">
      <c r="E1521" s="1527"/>
      <c r="F1521" s="1527"/>
    </row>
    <row r="1522" spans="5:6">
      <c r="E1522" s="1527"/>
      <c r="F1522" s="1527"/>
    </row>
    <row r="1523" spans="5:6">
      <c r="E1523" s="1527"/>
      <c r="F1523" s="1527"/>
    </row>
    <row r="1524" spans="5:6">
      <c r="E1524" s="1527"/>
      <c r="F1524" s="1527"/>
    </row>
    <row r="1525" spans="5:6">
      <c r="E1525" s="1527"/>
      <c r="F1525" s="1527"/>
    </row>
    <row r="1526" spans="5:6">
      <c r="E1526" s="1527"/>
      <c r="F1526" s="1527"/>
    </row>
    <row r="1527" spans="5:6">
      <c r="E1527" s="1527"/>
      <c r="F1527" s="1527"/>
    </row>
    <row r="1528" spans="5:6">
      <c r="E1528" s="1527"/>
      <c r="F1528" s="1527"/>
    </row>
    <row r="1529" spans="5:6">
      <c r="E1529" s="1527"/>
      <c r="F1529" s="1527"/>
    </row>
    <row r="1530" spans="5:6">
      <c r="E1530" s="1527"/>
      <c r="F1530" s="1527"/>
    </row>
    <row r="1531" spans="5:6">
      <c r="E1531" s="1527"/>
      <c r="F1531" s="1527"/>
    </row>
    <row r="1532" spans="5:6">
      <c r="E1532" s="1527"/>
      <c r="F1532" s="1527"/>
    </row>
    <row r="1533" spans="5:6">
      <c r="E1533" s="1527"/>
      <c r="F1533" s="1527"/>
    </row>
    <row r="1534" spans="5:6">
      <c r="E1534" s="1527"/>
      <c r="F1534" s="1527"/>
    </row>
    <row r="1535" spans="5:6">
      <c r="E1535" s="1527"/>
      <c r="F1535" s="1527"/>
    </row>
    <row r="1536" spans="5:6">
      <c r="E1536" s="1527"/>
      <c r="F1536" s="1527"/>
    </row>
    <row r="1537" spans="5:6">
      <c r="E1537" s="1527"/>
      <c r="F1537" s="1527"/>
    </row>
    <row r="1538" spans="5:6">
      <c r="E1538" s="1527"/>
      <c r="F1538" s="1527"/>
    </row>
    <row r="1539" spans="5:6">
      <c r="E1539" s="1527"/>
      <c r="F1539" s="1527"/>
    </row>
    <row r="1540" spans="5:6">
      <c r="E1540" s="1527"/>
      <c r="F1540" s="1527"/>
    </row>
    <row r="1541" spans="5:6">
      <c r="E1541" s="1527"/>
      <c r="F1541" s="1527"/>
    </row>
    <row r="1542" spans="5:6">
      <c r="E1542" s="1527"/>
      <c r="F1542" s="1527"/>
    </row>
    <row r="1543" spans="5:6">
      <c r="E1543" s="1527"/>
      <c r="F1543" s="1527"/>
    </row>
    <row r="1544" spans="5:6">
      <c r="E1544" s="1527"/>
      <c r="F1544" s="1527"/>
    </row>
    <row r="1545" spans="5:6">
      <c r="E1545" s="1527"/>
      <c r="F1545" s="1527"/>
    </row>
    <row r="1546" spans="5:6">
      <c r="E1546" s="1527"/>
      <c r="F1546" s="1527"/>
    </row>
    <row r="1547" spans="5:6">
      <c r="E1547" s="1527"/>
      <c r="F1547" s="1527"/>
    </row>
    <row r="1548" spans="5:6">
      <c r="E1548" s="1527"/>
      <c r="F1548" s="1527"/>
    </row>
    <row r="1549" spans="5:6">
      <c r="E1549" s="1527"/>
      <c r="F1549" s="1527"/>
    </row>
    <row r="1550" spans="5:6">
      <c r="E1550" s="1527"/>
      <c r="F1550" s="1527"/>
    </row>
    <row r="1551" spans="5:6">
      <c r="E1551" s="1527"/>
      <c r="F1551" s="1527"/>
    </row>
    <row r="1552" spans="5:6">
      <c r="E1552" s="1527"/>
      <c r="F1552" s="1527"/>
    </row>
    <row r="1553" spans="5:6">
      <c r="E1553" s="1527"/>
      <c r="F1553" s="1527"/>
    </row>
    <row r="1554" spans="5:6">
      <c r="E1554" s="1527"/>
      <c r="F1554" s="1527"/>
    </row>
    <row r="1555" spans="5:6">
      <c r="E1555" s="1527"/>
      <c r="F1555" s="1527"/>
    </row>
    <row r="1556" spans="5:6">
      <c r="E1556" s="1527"/>
      <c r="F1556" s="1527"/>
    </row>
    <row r="1557" spans="5:6">
      <c r="E1557" s="1527"/>
      <c r="F1557" s="1527"/>
    </row>
    <row r="1558" spans="5:6">
      <c r="E1558" s="1527"/>
      <c r="F1558" s="1527"/>
    </row>
    <row r="1559" spans="5:6">
      <c r="E1559" s="1527"/>
      <c r="F1559" s="1527"/>
    </row>
    <row r="1560" spans="5:6">
      <c r="E1560" s="1527"/>
      <c r="F1560" s="1527"/>
    </row>
    <row r="1561" spans="5:6">
      <c r="E1561" s="1527"/>
      <c r="F1561" s="1527"/>
    </row>
    <row r="1562" spans="5:6">
      <c r="E1562" s="1527"/>
      <c r="F1562" s="1527"/>
    </row>
    <row r="1563" spans="5:6">
      <c r="E1563" s="1527"/>
      <c r="F1563" s="1527"/>
    </row>
    <row r="1564" spans="5:6">
      <c r="E1564" s="1527"/>
      <c r="F1564" s="1527"/>
    </row>
    <row r="1565" spans="5:6">
      <c r="E1565" s="1527"/>
      <c r="F1565" s="1527"/>
    </row>
    <row r="1566" spans="5:6">
      <c r="E1566" s="1527"/>
      <c r="F1566" s="1527"/>
    </row>
    <row r="1567" spans="5:6">
      <c r="E1567" s="1527"/>
      <c r="F1567" s="1527"/>
    </row>
    <row r="1568" spans="5:6">
      <c r="E1568" s="1527"/>
      <c r="F1568" s="1527"/>
    </row>
    <row r="1569" spans="5:6">
      <c r="E1569" s="1527"/>
      <c r="F1569" s="1527"/>
    </row>
    <row r="1570" spans="5:6">
      <c r="E1570" s="1527"/>
      <c r="F1570" s="1527"/>
    </row>
    <row r="1571" spans="5:6">
      <c r="E1571" s="1527"/>
      <c r="F1571" s="1527"/>
    </row>
    <row r="1572" spans="5:6">
      <c r="E1572" s="1527"/>
      <c r="F1572" s="1527"/>
    </row>
    <row r="1573" spans="5:6">
      <c r="E1573" s="1527"/>
      <c r="F1573" s="1527"/>
    </row>
    <row r="1574" spans="5:6">
      <c r="E1574" s="1527"/>
      <c r="F1574" s="1527"/>
    </row>
    <row r="1575" spans="5:6">
      <c r="E1575" s="1527"/>
      <c r="F1575" s="1527"/>
    </row>
    <row r="1576" spans="5:6">
      <c r="E1576" s="1527"/>
      <c r="F1576" s="1527"/>
    </row>
    <row r="1577" spans="5:6">
      <c r="E1577" s="1527"/>
      <c r="F1577" s="1527"/>
    </row>
    <row r="1578" spans="5:6">
      <c r="E1578" s="1527"/>
      <c r="F1578" s="1527"/>
    </row>
    <row r="1579" spans="5:6">
      <c r="E1579" s="1527"/>
      <c r="F1579" s="1527"/>
    </row>
    <row r="1580" spans="5:6">
      <c r="E1580" s="1527"/>
      <c r="F1580" s="1527"/>
    </row>
    <row r="1581" spans="5:6">
      <c r="E1581" s="1527"/>
      <c r="F1581" s="1527"/>
    </row>
    <row r="1582" spans="5:6">
      <c r="E1582" s="1527"/>
      <c r="F1582" s="1527"/>
    </row>
    <row r="1583" spans="5:6">
      <c r="E1583" s="1527"/>
      <c r="F1583" s="1527"/>
    </row>
    <row r="1584" spans="5:6">
      <c r="E1584" s="1527"/>
      <c r="F1584" s="1527"/>
    </row>
    <row r="1585" spans="5:6">
      <c r="E1585" s="1527"/>
      <c r="F1585" s="1527"/>
    </row>
    <row r="1586" spans="5:6">
      <c r="E1586" s="1527"/>
      <c r="F1586" s="1527"/>
    </row>
    <row r="1587" spans="5:6">
      <c r="E1587" s="1527"/>
      <c r="F1587" s="1527"/>
    </row>
    <row r="1588" spans="5:6">
      <c r="E1588" s="1527"/>
      <c r="F1588" s="1527"/>
    </row>
    <row r="1589" spans="5:6">
      <c r="E1589" s="1527"/>
      <c r="F1589" s="1527"/>
    </row>
    <row r="1590" spans="5:6">
      <c r="E1590" s="1527"/>
      <c r="F1590" s="1527"/>
    </row>
    <row r="1591" spans="5:6">
      <c r="E1591" s="1527"/>
      <c r="F1591" s="1527"/>
    </row>
    <row r="1592" spans="5:6">
      <c r="E1592" s="1527"/>
      <c r="F1592" s="1527"/>
    </row>
    <row r="1593" spans="5:6">
      <c r="E1593" s="1527"/>
      <c r="F1593" s="1527"/>
    </row>
    <row r="1594" spans="5:6">
      <c r="E1594" s="1527"/>
      <c r="F1594" s="1527"/>
    </row>
    <row r="1595" spans="5:6">
      <c r="E1595" s="1527"/>
      <c r="F1595" s="1527"/>
    </row>
    <row r="1596" spans="5:6">
      <c r="E1596" s="1527"/>
      <c r="F1596" s="1527"/>
    </row>
    <row r="1597" spans="5:6">
      <c r="E1597" s="1527"/>
      <c r="F1597" s="1527"/>
    </row>
    <row r="1598" spans="5:6">
      <c r="E1598" s="1527"/>
      <c r="F1598" s="1527"/>
    </row>
    <row r="1599" spans="5:6">
      <c r="E1599" s="1527"/>
      <c r="F1599" s="1527"/>
    </row>
    <row r="1600" spans="5:6">
      <c r="E1600" s="1527"/>
      <c r="F1600" s="1527"/>
    </row>
    <row r="1601" spans="5:6">
      <c r="E1601" s="1527"/>
      <c r="F1601" s="1527"/>
    </row>
    <row r="1602" spans="5:6">
      <c r="E1602" s="1527"/>
      <c r="F1602" s="1527"/>
    </row>
    <row r="1603" spans="5:6">
      <c r="E1603" s="1527"/>
      <c r="F1603" s="1527"/>
    </row>
    <row r="1604" spans="5:6">
      <c r="E1604" s="1527"/>
      <c r="F1604" s="1527"/>
    </row>
    <row r="1605" spans="5:6">
      <c r="E1605" s="1527"/>
      <c r="F1605" s="1527"/>
    </row>
    <row r="1606" spans="5:6">
      <c r="E1606" s="1527"/>
      <c r="F1606" s="1527"/>
    </row>
    <row r="1607" spans="5:6">
      <c r="E1607" s="1527"/>
      <c r="F1607" s="1527"/>
    </row>
    <row r="1608" spans="5:6">
      <c r="E1608" s="1527"/>
      <c r="F1608" s="1527"/>
    </row>
    <row r="1609" spans="5:6">
      <c r="E1609" s="1527"/>
      <c r="F1609" s="1527"/>
    </row>
    <row r="1610" spans="5:6">
      <c r="E1610" s="1527"/>
      <c r="F1610" s="1527"/>
    </row>
    <row r="1611" spans="5:6">
      <c r="E1611" s="1527"/>
      <c r="F1611" s="1527"/>
    </row>
    <row r="1612" spans="5:6">
      <c r="E1612" s="1527"/>
      <c r="F1612" s="1527"/>
    </row>
    <row r="1613" spans="5:6">
      <c r="E1613" s="1527"/>
      <c r="F1613" s="1527"/>
    </row>
    <row r="1614" spans="5:6">
      <c r="E1614" s="1527"/>
      <c r="F1614" s="1527"/>
    </row>
    <row r="1615" spans="5:6">
      <c r="E1615" s="1527"/>
      <c r="F1615" s="1527"/>
    </row>
    <row r="1616" spans="5:6">
      <c r="E1616" s="1527"/>
      <c r="F1616" s="1527"/>
    </row>
    <row r="1617" spans="5:6">
      <c r="E1617" s="1527"/>
      <c r="F1617" s="1527"/>
    </row>
    <row r="1618" spans="5:6">
      <c r="E1618" s="1527"/>
      <c r="F1618" s="1527"/>
    </row>
    <row r="1619" spans="5:6">
      <c r="E1619" s="1527"/>
      <c r="F1619" s="1527"/>
    </row>
    <row r="1620" spans="5:6">
      <c r="E1620" s="1527"/>
      <c r="F1620" s="1527"/>
    </row>
    <row r="1621" spans="5:6">
      <c r="E1621" s="1527"/>
      <c r="F1621" s="1527"/>
    </row>
    <row r="1622" spans="5:6">
      <c r="E1622" s="1527"/>
      <c r="F1622" s="1527"/>
    </row>
    <row r="1623" spans="5:6">
      <c r="E1623" s="1527"/>
      <c r="F1623" s="1527"/>
    </row>
    <row r="1624" spans="5:6">
      <c r="E1624" s="1527"/>
      <c r="F1624" s="1527"/>
    </row>
    <row r="1625" spans="5:6">
      <c r="E1625" s="1527"/>
      <c r="F1625" s="1527"/>
    </row>
    <row r="1626" spans="5:6">
      <c r="E1626" s="1527"/>
      <c r="F1626" s="1527"/>
    </row>
    <row r="1627" spans="5:6">
      <c r="E1627" s="1527"/>
      <c r="F1627" s="1527"/>
    </row>
    <row r="1628" spans="5:6">
      <c r="E1628" s="1527"/>
      <c r="F1628" s="1527"/>
    </row>
    <row r="1629" spans="5:6">
      <c r="E1629" s="1527"/>
      <c r="F1629" s="1527"/>
    </row>
    <row r="1630" spans="5:6">
      <c r="E1630" s="1527"/>
      <c r="F1630" s="1527"/>
    </row>
    <row r="1631" spans="5:6">
      <c r="E1631" s="1527"/>
      <c r="F1631" s="1527"/>
    </row>
    <row r="1632" spans="5:6">
      <c r="E1632" s="1527"/>
      <c r="F1632" s="1527"/>
    </row>
    <row r="1633" spans="5:6">
      <c r="E1633" s="1527"/>
      <c r="F1633" s="1527"/>
    </row>
    <row r="1634" spans="5:6">
      <c r="E1634" s="1527"/>
      <c r="F1634" s="1527"/>
    </row>
    <row r="1635" spans="5:6">
      <c r="E1635" s="1527"/>
      <c r="F1635" s="1527"/>
    </row>
    <row r="1636" spans="5:6">
      <c r="E1636" s="1527"/>
      <c r="F1636" s="1527"/>
    </row>
    <row r="1637" spans="5:6">
      <c r="E1637" s="1527"/>
      <c r="F1637" s="1527"/>
    </row>
    <row r="1638" spans="5:6">
      <c r="E1638" s="1527"/>
      <c r="F1638" s="1527"/>
    </row>
    <row r="1639" spans="5:6">
      <c r="E1639" s="1527"/>
      <c r="F1639" s="1527"/>
    </row>
    <row r="1640" spans="5:6">
      <c r="E1640" s="1527"/>
      <c r="F1640" s="1527"/>
    </row>
    <row r="1641" spans="5:6">
      <c r="E1641" s="1527"/>
      <c r="F1641" s="1527"/>
    </row>
    <row r="1642" spans="5:6">
      <c r="E1642" s="1527"/>
      <c r="F1642" s="1527"/>
    </row>
    <row r="1643" spans="5:6">
      <c r="E1643" s="1527"/>
      <c r="F1643" s="1527"/>
    </row>
    <row r="1644" spans="5:6">
      <c r="E1644" s="1527"/>
      <c r="F1644" s="1527"/>
    </row>
    <row r="1645" spans="5:6">
      <c r="E1645" s="1527"/>
      <c r="F1645" s="1527"/>
    </row>
    <row r="1646" spans="5:6">
      <c r="E1646" s="1527"/>
      <c r="F1646" s="1527"/>
    </row>
    <row r="1647" spans="5:6">
      <c r="E1647" s="1527"/>
      <c r="F1647" s="1527"/>
    </row>
    <row r="1648" spans="5:6">
      <c r="E1648" s="1527"/>
      <c r="F1648" s="1527"/>
    </row>
    <row r="1649" spans="5:6">
      <c r="E1649" s="1527"/>
      <c r="F1649" s="1527"/>
    </row>
    <row r="1650" spans="5:6">
      <c r="E1650" s="1527"/>
      <c r="F1650" s="1527"/>
    </row>
    <row r="1651" spans="5:6">
      <c r="E1651" s="1527"/>
      <c r="F1651" s="1527"/>
    </row>
    <row r="1652" spans="5:6">
      <c r="E1652" s="1527"/>
      <c r="F1652" s="1527"/>
    </row>
    <row r="1653" spans="5:6">
      <c r="E1653" s="1527"/>
      <c r="F1653" s="1527"/>
    </row>
    <row r="1654" spans="5:6">
      <c r="E1654" s="1527"/>
      <c r="F1654" s="1527"/>
    </row>
    <row r="1655" spans="5:6">
      <c r="E1655" s="1527"/>
      <c r="F1655" s="1527"/>
    </row>
    <row r="1656" spans="5:6">
      <c r="E1656" s="1527"/>
      <c r="F1656" s="1527"/>
    </row>
    <row r="1657" spans="5:6">
      <c r="E1657" s="1527"/>
      <c r="F1657" s="1527"/>
    </row>
    <row r="1658" spans="5:6">
      <c r="E1658" s="1527"/>
      <c r="F1658" s="1527"/>
    </row>
    <row r="1659" spans="5:6">
      <c r="E1659" s="1527"/>
      <c r="F1659" s="1527"/>
    </row>
    <row r="1660" spans="5:6">
      <c r="E1660" s="1527"/>
      <c r="F1660" s="1527"/>
    </row>
    <row r="1661" spans="5:6">
      <c r="E1661" s="1527"/>
      <c r="F1661" s="1527"/>
    </row>
    <row r="1662" spans="5:6">
      <c r="E1662" s="1527"/>
      <c r="F1662" s="1527"/>
    </row>
    <row r="1663" spans="5:6">
      <c r="E1663" s="1527"/>
      <c r="F1663" s="1527"/>
    </row>
    <row r="1664" spans="5:6">
      <c r="E1664" s="1527"/>
      <c r="F1664" s="1527"/>
    </row>
    <row r="1665" spans="5:6">
      <c r="E1665" s="1527"/>
      <c r="F1665" s="1527"/>
    </row>
    <row r="1666" spans="5:6">
      <c r="E1666" s="1527"/>
      <c r="F1666" s="1527"/>
    </row>
    <row r="1667" spans="5:6">
      <c r="E1667" s="1527"/>
      <c r="F1667" s="1527"/>
    </row>
    <row r="1668" spans="5:6">
      <c r="E1668" s="1527"/>
      <c r="F1668" s="1527"/>
    </row>
    <row r="1669" spans="5:6">
      <c r="E1669" s="1527"/>
      <c r="F1669" s="1527"/>
    </row>
    <row r="1670" spans="5:6">
      <c r="E1670" s="1527"/>
      <c r="F1670" s="1527"/>
    </row>
    <row r="1671" spans="5:6">
      <c r="E1671" s="1527"/>
      <c r="F1671" s="1527"/>
    </row>
    <row r="1672" spans="5:6">
      <c r="E1672" s="1527"/>
      <c r="F1672" s="1527"/>
    </row>
    <row r="1673" spans="5:6">
      <c r="E1673" s="1527"/>
      <c r="F1673" s="1527"/>
    </row>
    <row r="1674" spans="5:6">
      <c r="E1674" s="1527"/>
      <c r="F1674" s="1527"/>
    </row>
    <row r="1675" spans="5:6">
      <c r="E1675" s="1527"/>
      <c r="F1675" s="1527"/>
    </row>
    <row r="1676" spans="5:6">
      <c r="E1676" s="1527"/>
      <c r="F1676" s="1527"/>
    </row>
    <row r="1677" spans="5:6">
      <c r="E1677" s="1527"/>
      <c r="F1677" s="1527"/>
    </row>
    <row r="1678" spans="5:6">
      <c r="E1678" s="1527"/>
      <c r="F1678" s="1527"/>
    </row>
    <row r="1679" spans="5:6">
      <c r="E1679" s="1527"/>
      <c r="F1679" s="1527"/>
    </row>
    <row r="1680" spans="5:6">
      <c r="E1680" s="1527"/>
      <c r="F1680" s="1527"/>
    </row>
    <row r="1681" spans="5:6">
      <c r="E1681" s="1527"/>
      <c r="F1681" s="1527"/>
    </row>
    <row r="1682" spans="5:6">
      <c r="E1682" s="1527"/>
      <c r="F1682" s="1527"/>
    </row>
    <row r="1683" spans="5:6">
      <c r="E1683" s="1527"/>
      <c r="F1683" s="1527"/>
    </row>
    <row r="1684" spans="5:6">
      <c r="E1684" s="1527"/>
      <c r="F1684" s="1527"/>
    </row>
    <row r="1685" spans="5:6">
      <c r="E1685" s="1527"/>
      <c r="F1685" s="1527"/>
    </row>
    <row r="1686" spans="5:6">
      <c r="E1686" s="1527"/>
      <c r="F1686" s="1527"/>
    </row>
    <row r="1687" spans="5:6">
      <c r="E1687" s="1527"/>
      <c r="F1687" s="1527"/>
    </row>
    <row r="1688" spans="5:6">
      <c r="E1688" s="1527"/>
      <c r="F1688" s="1527"/>
    </row>
    <row r="1689" spans="5:6">
      <c r="E1689" s="1527"/>
      <c r="F1689" s="1527"/>
    </row>
    <row r="1690" spans="5:6">
      <c r="E1690" s="1527"/>
      <c r="F1690" s="1527"/>
    </row>
    <row r="1691" spans="5:6">
      <c r="E1691" s="1527"/>
      <c r="F1691" s="1527"/>
    </row>
    <row r="1692" spans="5:6">
      <c r="E1692" s="1527"/>
      <c r="F1692" s="1527"/>
    </row>
    <row r="1693" spans="5:6">
      <c r="E1693" s="1527"/>
      <c r="F1693" s="1527"/>
    </row>
    <row r="1694" spans="5:6">
      <c r="E1694" s="1527"/>
      <c r="F1694" s="1527"/>
    </row>
    <row r="1695" spans="5:6">
      <c r="E1695" s="1527"/>
      <c r="F1695" s="1527"/>
    </row>
    <row r="1696" spans="5:6">
      <c r="E1696" s="1527"/>
      <c r="F1696" s="1527"/>
    </row>
    <row r="1697" spans="5:6">
      <c r="E1697" s="1527"/>
      <c r="F1697" s="1527"/>
    </row>
    <row r="1698" spans="5:6">
      <c r="E1698" s="1527"/>
      <c r="F1698" s="1527"/>
    </row>
    <row r="1699" spans="5:6">
      <c r="E1699" s="1527"/>
      <c r="F1699" s="1527"/>
    </row>
    <row r="1700" spans="5:6">
      <c r="E1700" s="1527"/>
      <c r="F1700" s="1527"/>
    </row>
    <row r="1701" spans="5:6">
      <c r="E1701" s="1527"/>
      <c r="F1701" s="1527"/>
    </row>
    <row r="1702" spans="5:6">
      <c r="E1702" s="1527"/>
      <c r="F1702" s="1527"/>
    </row>
    <row r="1703" spans="5:6">
      <c r="E1703" s="1527"/>
      <c r="F1703" s="1527"/>
    </row>
    <row r="1704" spans="5:6">
      <c r="E1704" s="1527"/>
      <c r="F1704" s="1527"/>
    </row>
    <row r="1705" spans="5:6">
      <c r="E1705" s="1527"/>
      <c r="F1705" s="1527"/>
    </row>
    <row r="1706" spans="5:6">
      <c r="E1706" s="1527"/>
      <c r="F1706" s="1527"/>
    </row>
    <row r="1707" spans="5:6">
      <c r="E1707" s="1527"/>
      <c r="F1707" s="1527"/>
    </row>
    <row r="1708" spans="5:6">
      <c r="E1708" s="1527"/>
      <c r="F1708" s="1527"/>
    </row>
    <row r="1709" spans="5:6">
      <c r="E1709" s="1527"/>
      <c r="F1709" s="1527"/>
    </row>
    <row r="1710" spans="5:6">
      <c r="E1710" s="1527"/>
      <c r="F1710" s="1527"/>
    </row>
    <row r="1711" spans="5:6">
      <c r="E1711" s="1527"/>
      <c r="F1711" s="1527"/>
    </row>
    <row r="1712" spans="5:6">
      <c r="E1712" s="1527"/>
      <c r="F1712" s="1527"/>
    </row>
    <row r="1713" spans="5:6">
      <c r="E1713" s="1527"/>
      <c r="F1713" s="1527"/>
    </row>
    <row r="1714" spans="5:6">
      <c r="E1714" s="1527"/>
      <c r="F1714" s="1527"/>
    </row>
    <row r="1715" spans="5:6">
      <c r="E1715" s="1527"/>
      <c r="F1715" s="1527"/>
    </row>
    <row r="1716" spans="5:6">
      <c r="E1716" s="1527"/>
      <c r="F1716" s="1527"/>
    </row>
    <row r="1717" spans="5:6">
      <c r="E1717" s="1527"/>
      <c r="F1717" s="1527"/>
    </row>
    <row r="1718" spans="5:6">
      <c r="E1718" s="1527"/>
      <c r="F1718" s="1527"/>
    </row>
    <row r="1719" spans="5:6">
      <c r="E1719" s="1527"/>
      <c r="F1719" s="1527"/>
    </row>
    <row r="1720" spans="5:6">
      <c r="E1720" s="1527"/>
      <c r="F1720" s="1527"/>
    </row>
    <row r="1721" spans="5:6">
      <c r="E1721" s="1527"/>
      <c r="F1721" s="1527"/>
    </row>
    <row r="1722" spans="5:6">
      <c r="E1722" s="1527"/>
      <c r="F1722" s="1527"/>
    </row>
    <row r="1723" spans="5:6">
      <c r="E1723" s="1527"/>
      <c r="F1723" s="1527"/>
    </row>
    <row r="1724" spans="5:6">
      <c r="E1724" s="1527"/>
      <c r="F1724" s="1527"/>
    </row>
    <row r="1725" spans="5:6">
      <c r="E1725" s="1527"/>
      <c r="F1725" s="1527"/>
    </row>
    <row r="1726" spans="5:6">
      <c r="E1726" s="1527"/>
      <c r="F1726" s="1527"/>
    </row>
    <row r="1727" spans="5:6">
      <c r="E1727" s="1527"/>
      <c r="F1727" s="1527"/>
    </row>
    <row r="1728" spans="5:6">
      <c r="E1728" s="1527"/>
      <c r="F1728" s="1527"/>
    </row>
    <row r="1729" spans="5:6">
      <c r="E1729" s="1527"/>
      <c r="F1729" s="1527"/>
    </row>
    <row r="1730" spans="5:6">
      <c r="E1730" s="1527"/>
      <c r="F1730" s="1527"/>
    </row>
    <row r="1731" spans="5:6">
      <c r="E1731" s="1527"/>
      <c r="F1731" s="1527"/>
    </row>
    <row r="1732" spans="5:6">
      <c r="E1732" s="1527"/>
      <c r="F1732" s="1527"/>
    </row>
    <row r="1733" spans="5:6">
      <c r="E1733" s="1527"/>
      <c r="F1733" s="1527"/>
    </row>
    <row r="1734" spans="5:6">
      <c r="E1734" s="1527"/>
      <c r="F1734" s="1527"/>
    </row>
    <row r="1735" spans="5:6">
      <c r="E1735" s="1527"/>
      <c r="F1735" s="1527"/>
    </row>
    <row r="1736" spans="5:6">
      <c r="E1736" s="1527"/>
      <c r="F1736" s="1527"/>
    </row>
    <row r="1737" spans="5:6">
      <c r="E1737" s="1527"/>
      <c r="F1737" s="1527"/>
    </row>
    <row r="1738" spans="5:6">
      <c r="E1738" s="1527"/>
      <c r="F1738" s="1527"/>
    </row>
    <row r="1739" spans="5:6">
      <c r="E1739" s="1527"/>
      <c r="F1739" s="1527"/>
    </row>
    <row r="1740" spans="5:6">
      <c r="E1740" s="1527"/>
      <c r="F1740" s="1527"/>
    </row>
    <row r="1741" spans="5:6">
      <c r="E1741" s="1527"/>
      <c r="F1741" s="1527"/>
    </row>
    <row r="1742" spans="5:6">
      <c r="E1742" s="1527"/>
      <c r="F1742" s="1527"/>
    </row>
    <row r="1743" spans="5:6">
      <c r="E1743" s="1527"/>
      <c r="F1743" s="1527"/>
    </row>
    <row r="1744" spans="5:6">
      <c r="E1744" s="1527"/>
      <c r="F1744" s="1527"/>
    </row>
    <row r="1745" spans="5:6">
      <c r="E1745" s="1527"/>
      <c r="F1745" s="1527"/>
    </row>
    <row r="1746" spans="5:6">
      <c r="E1746" s="1527"/>
      <c r="F1746" s="1527"/>
    </row>
    <row r="1747" spans="5:6">
      <c r="E1747" s="1527"/>
      <c r="F1747" s="1527"/>
    </row>
    <row r="1748" spans="5:6">
      <c r="E1748" s="1527"/>
      <c r="F1748" s="1527"/>
    </row>
    <row r="1749" spans="5:6">
      <c r="E1749" s="1527"/>
      <c r="F1749" s="1527"/>
    </row>
    <row r="1750" spans="5:6">
      <c r="E1750" s="1527"/>
      <c r="F1750" s="1527"/>
    </row>
    <row r="1751" spans="5:6">
      <c r="E1751" s="1527"/>
      <c r="F1751" s="1527"/>
    </row>
    <row r="1752" spans="5:6">
      <c r="E1752" s="1527"/>
      <c r="F1752" s="1527"/>
    </row>
    <row r="1753" spans="5:6">
      <c r="E1753" s="1527"/>
      <c r="F1753" s="1527"/>
    </row>
    <row r="1754" spans="5:6">
      <c r="E1754" s="1527"/>
      <c r="F1754" s="1527"/>
    </row>
    <row r="1755" spans="5:6">
      <c r="E1755" s="1527"/>
      <c r="F1755" s="1527"/>
    </row>
    <row r="1756" spans="5:6">
      <c r="E1756" s="1527"/>
      <c r="F1756" s="1527"/>
    </row>
    <row r="1757" spans="5:6">
      <c r="E1757" s="1527"/>
      <c r="F1757" s="1527"/>
    </row>
    <row r="1758" spans="5:6">
      <c r="E1758" s="1527"/>
      <c r="F1758" s="1527"/>
    </row>
    <row r="1759" spans="5:6">
      <c r="E1759" s="1527"/>
      <c r="F1759" s="1527"/>
    </row>
    <row r="1760" spans="5:6">
      <c r="E1760" s="1527"/>
      <c r="F1760" s="1527"/>
    </row>
    <row r="1761" spans="5:6">
      <c r="E1761" s="1527"/>
      <c r="F1761" s="1527"/>
    </row>
    <row r="1762" spans="5:6">
      <c r="E1762" s="1527"/>
      <c r="F1762" s="1527"/>
    </row>
    <row r="1763" spans="5:6">
      <c r="E1763" s="1527"/>
      <c r="F1763" s="1527"/>
    </row>
    <row r="1764" spans="5:6">
      <c r="E1764" s="1527"/>
      <c r="F1764" s="1527"/>
    </row>
    <row r="1765" spans="5:6">
      <c r="E1765" s="1527"/>
      <c r="F1765" s="1527"/>
    </row>
    <row r="1766" spans="5:6">
      <c r="E1766" s="1527"/>
      <c r="F1766" s="1527"/>
    </row>
    <row r="1767" spans="5:6">
      <c r="E1767" s="1527"/>
      <c r="F1767" s="1527"/>
    </row>
    <row r="1768" spans="5:6">
      <c r="E1768" s="1527"/>
      <c r="F1768" s="1527"/>
    </row>
    <row r="1769" spans="5:6">
      <c r="E1769" s="1527"/>
      <c r="F1769" s="1527"/>
    </row>
    <row r="1770" spans="5:6">
      <c r="E1770" s="1527"/>
      <c r="F1770" s="1527"/>
    </row>
    <row r="1771" spans="5:6">
      <c r="E1771" s="1527"/>
      <c r="F1771" s="1527"/>
    </row>
    <row r="1772" spans="5:6">
      <c r="E1772" s="1527"/>
      <c r="F1772" s="1527"/>
    </row>
    <row r="1773" spans="5:6">
      <c r="E1773" s="1527"/>
      <c r="F1773" s="1527"/>
    </row>
    <row r="1774" spans="5:6">
      <c r="E1774" s="1527"/>
      <c r="F1774" s="1527"/>
    </row>
    <row r="1775" spans="5:6">
      <c r="E1775" s="1527"/>
      <c r="F1775" s="1527"/>
    </row>
    <row r="1776" spans="5:6">
      <c r="E1776" s="1527"/>
      <c r="F1776" s="1527"/>
    </row>
    <row r="1777" spans="5:6">
      <c r="E1777" s="1527"/>
      <c r="F1777" s="1527"/>
    </row>
    <row r="1778" spans="5:6">
      <c r="E1778" s="1527"/>
      <c r="F1778" s="1527"/>
    </row>
    <row r="1779" spans="5:6">
      <c r="E1779" s="1527"/>
      <c r="F1779" s="1527"/>
    </row>
    <row r="1780" spans="5:6">
      <c r="E1780" s="1527"/>
      <c r="F1780" s="1527"/>
    </row>
    <row r="1781" spans="5:6">
      <c r="E1781" s="1527"/>
      <c r="F1781" s="1527"/>
    </row>
    <row r="1782" spans="5:6">
      <c r="E1782" s="1527"/>
      <c r="F1782" s="1527"/>
    </row>
    <row r="1783" spans="5:6">
      <c r="E1783" s="1527"/>
      <c r="F1783" s="1527"/>
    </row>
    <row r="1784" spans="5:6">
      <c r="E1784" s="1527"/>
      <c r="F1784" s="1527"/>
    </row>
    <row r="1785" spans="5:6">
      <c r="E1785" s="1527"/>
      <c r="F1785" s="1527"/>
    </row>
    <row r="1786" spans="5:6">
      <c r="E1786" s="1527"/>
      <c r="F1786" s="1527"/>
    </row>
    <row r="1787" spans="5:6">
      <c r="E1787" s="1527"/>
      <c r="F1787" s="1527"/>
    </row>
    <row r="1788" spans="5:6">
      <c r="E1788" s="1527"/>
      <c r="F1788" s="1527"/>
    </row>
    <row r="1789" spans="5:6">
      <c r="E1789" s="1527"/>
      <c r="F1789" s="1527"/>
    </row>
    <row r="1790" spans="5:6">
      <c r="E1790" s="1527"/>
      <c r="F1790" s="1527"/>
    </row>
    <row r="1791" spans="5:6">
      <c r="E1791" s="1527"/>
      <c r="F1791" s="1527"/>
    </row>
    <row r="1792" spans="5:6">
      <c r="E1792" s="1527"/>
      <c r="F1792" s="1527"/>
    </row>
    <row r="1793" spans="5:6">
      <c r="E1793" s="1527"/>
      <c r="F1793" s="1527"/>
    </row>
    <row r="1794" spans="5:6">
      <c r="E1794" s="1527"/>
      <c r="F1794" s="1527"/>
    </row>
    <row r="1795" spans="5:6">
      <c r="E1795" s="1527"/>
      <c r="F1795" s="1527"/>
    </row>
    <row r="1796" spans="5:6">
      <c r="E1796" s="1527"/>
      <c r="F1796" s="1527"/>
    </row>
    <row r="1797" spans="5:6">
      <c r="E1797" s="1527"/>
      <c r="F1797" s="1527"/>
    </row>
    <row r="1798" spans="5:6">
      <c r="E1798" s="1527"/>
      <c r="F1798" s="1527"/>
    </row>
    <row r="1799" spans="5:6">
      <c r="E1799" s="1527"/>
      <c r="F1799" s="1527"/>
    </row>
    <row r="1800" spans="5:6">
      <c r="E1800" s="1527"/>
      <c r="F1800" s="1527"/>
    </row>
    <row r="1801" spans="5:6">
      <c r="E1801" s="1527"/>
      <c r="F1801" s="1527"/>
    </row>
    <row r="1802" spans="5:6">
      <c r="E1802" s="1527"/>
      <c r="F1802" s="1527"/>
    </row>
    <row r="1803" spans="5:6">
      <c r="E1803" s="1527"/>
      <c r="F1803" s="1527"/>
    </row>
    <row r="1804" spans="5:6">
      <c r="E1804" s="1527"/>
      <c r="F1804" s="1527"/>
    </row>
    <row r="1805" spans="5:6">
      <c r="E1805" s="1527"/>
      <c r="F1805" s="1527"/>
    </row>
    <row r="1806" spans="5:6">
      <c r="E1806" s="1527"/>
      <c r="F1806" s="1527"/>
    </row>
    <row r="1807" spans="5:6">
      <c r="E1807" s="1527"/>
      <c r="F1807" s="1527"/>
    </row>
    <row r="1808" spans="5:6">
      <c r="E1808" s="1527"/>
      <c r="F1808" s="1527"/>
    </row>
    <row r="1809" spans="5:6">
      <c r="E1809" s="1527"/>
      <c r="F1809" s="1527"/>
    </row>
    <row r="1810" spans="5:6">
      <c r="E1810" s="1527"/>
      <c r="F1810" s="1527"/>
    </row>
    <row r="1811" spans="5:6">
      <c r="E1811" s="1527"/>
      <c r="F1811" s="1527"/>
    </row>
    <row r="1812" spans="5:6">
      <c r="E1812" s="1527"/>
      <c r="F1812" s="1527"/>
    </row>
    <row r="1813" spans="5:6">
      <c r="E1813" s="1527"/>
      <c r="F1813" s="1527"/>
    </row>
    <row r="1814" spans="5:6">
      <c r="E1814" s="1527"/>
      <c r="F1814" s="1527"/>
    </row>
    <row r="1815" spans="5:6">
      <c r="E1815" s="1527"/>
      <c r="F1815" s="1527"/>
    </row>
    <row r="1816" spans="5:6">
      <c r="E1816" s="1527"/>
      <c r="F1816" s="1527"/>
    </row>
    <row r="1817" spans="5:6">
      <c r="E1817" s="1527"/>
      <c r="F1817" s="1527"/>
    </row>
    <row r="1818" spans="5:6">
      <c r="E1818" s="1527"/>
      <c r="F1818" s="1527"/>
    </row>
    <row r="1819" spans="5:6">
      <c r="E1819" s="1527"/>
      <c r="F1819" s="1527"/>
    </row>
    <row r="1820" spans="5:6">
      <c r="E1820" s="1527"/>
      <c r="F1820" s="1527"/>
    </row>
    <row r="1821" spans="5:6">
      <c r="E1821" s="1527"/>
      <c r="F1821" s="1527"/>
    </row>
    <row r="1822" spans="5:6">
      <c r="E1822" s="1527"/>
      <c r="F1822" s="1527"/>
    </row>
    <row r="1823" spans="5:6">
      <c r="E1823" s="1527"/>
      <c r="F1823" s="1527"/>
    </row>
    <row r="1824" spans="5:6">
      <c r="E1824" s="1527"/>
      <c r="F1824" s="1527"/>
    </row>
    <row r="1825" spans="5:6">
      <c r="E1825" s="1527"/>
      <c r="F1825" s="1527"/>
    </row>
    <row r="1826" spans="5:6">
      <c r="E1826" s="1527"/>
      <c r="F1826" s="1527"/>
    </row>
    <row r="1827" spans="5:6">
      <c r="E1827" s="1527"/>
      <c r="F1827" s="1527"/>
    </row>
    <row r="1828" spans="5:6">
      <c r="E1828" s="1527"/>
      <c r="F1828" s="1527"/>
    </row>
    <row r="1829" spans="5:6">
      <c r="E1829" s="1527"/>
      <c r="F1829" s="1527"/>
    </row>
    <row r="1830" spans="5:6">
      <c r="E1830" s="1527"/>
      <c r="F1830" s="1527"/>
    </row>
    <row r="1831" spans="5:6">
      <c r="E1831" s="1527"/>
      <c r="F1831" s="1527"/>
    </row>
    <row r="1832" spans="5:6">
      <c r="E1832" s="1527"/>
      <c r="F1832" s="1527"/>
    </row>
    <row r="1833" spans="5:6">
      <c r="E1833" s="1527"/>
      <c r="F1833" s="1527"/>
    </row>
    <row r="1834" spans="5:6">
      <c r="E1834" s="1527"/>
      <c r="F1834" s="1527"/>
    </row>
    <row r="1835" spans="5:6">
      <c r="E1835" s="1527"/>
      <c r="F1835" s="1527"/>
    </row>
    <row r="1836" spans="5:6">
      <c r="E1836" s="1527"/>
      <c r="F1836" s="1527"/>
    </row>
    <row r="1837" spans="5:6">
      <c r="E1837" s="1527"/>
      <c r="F1837" s="1527"/>
    </row>
    <row r="1838" spans="5:6">
      <c r="E1838" s="1527"/>
      <c r="F1838" s="1527"/>
    </row>
    <row r="1839" spans="5:6">
      <c r="E1839" s="1527"/>
      <c r="F1839" s="1527"/>
    </row>
    <row r="1840" spans="5:6">
      <c r="E1840" s="1527"/>
      <c r="F1840" s="1527"/>
    </row>
    <row r="1841" spans="5:6">
      <c r="E1841" s="1527"/>
      <c r="F1841" s="1527"/>
    </row>
    <row r="1842" spans="5:6">
      <c r="E1842" s="1527"/>
      <c r="F1842" s="1527"/>
    </row>
    <row r="1843" spans="5:6">
      <c r="E1843" s="1527"/>
      <c r="F1843" s="1527"/>
    </row>
    <row r="1844" spans="5:6">
      <c r="E1844" s="1527"/>
      <c r="F1844" s="1527"/>
    </row>
    <row r="1845" spans="5:6">
      <c r="E1845" s="1527"/>
      <c r="F1845" s="1527"/>
    </row>
    <row r="1846" spans="5:6">
      <c r="E1846" s="1527"/>
      <c r="F1846" s="1527"/>
    </row>
    <row r="1847" spans="5:6">
      <c r="E1847" s="1527"/>
      <c r="F1847" s="1527"/>
    </row>
    <row r="1848" spans="5:6">
      <c r="E1848" s="1527"/>
      <c r="F1848" s="1527"/>
    </row>
    <row r="1849" spans="5:6">
      <c r="E1849" s="1527"/>
      <c r="F1849" s="1527"/>
    </row>
    <row r="1850" spans="5:6">
      <c r="E1850" s="1527"/>
      <c r="F1850" s="1527"/>
    </row>
    <row r="1851" spans="5:6">
      <c r="E1851" s="1527"/>
      <c r="F1851" s="1527"/>
    </row>
    <row r="1852" spans="5:6">
      <c r="E1852" s="1527"/>
      <c r="F1852" s="1527"/>
    </row>
    <row r="1853" spans="5:6">
      <c r="E1853" s="1527"/>
      <c r="F1853" s="1527"/>
    </row>
    <row r="1854" spans="5:6">
      <c r="E1854" s="1527"/>
      <c r="F1854" s="1527"/>
    </row>
    <row r="1855" spans="5:6">
      <c r="E1855" s="1527"/>
      <c r="F1855" s="1527"/>
    </row>
    <row r="1856" spans="5:6">
      <c r="E1856" s="1527"/>
      <c r="F1856" s="1527"/>
    </row>
    <row r="1857" spans="5:6">
      <c r="E1857" s="1527"/>
      <c r="F1857" s="1527"/>
    </row>
    <row r="1858" spans="5:6">
      <c r="E1858" s="1527"/>
      <c r="F1858" s="1527"/>
    </row>
    <row r="1859" spans="5:6">
      <c r="E1859" s="1527"/>
      <c r="F1859" s="1527"/>
    </row>
    <row r="1860" spans="5:6">
      <c r="E1860" s="1527"/>
      <c r="F1860" s="1527"/>
    </row>
    <row r="1861" spans="5:6">
      <c r="E1861" s="1527"/>
      <c r="F1861" s="1527"/>
    </row>
    <row r="1862" spans="5:6">
      <c r="E1862" s="1527"/>
      <c r="F1862" s="1527"/>
    </row>
    <row r="1863" spans="5:6">
      <c r="E1863" s="1527"/>
      <c r="F1863" s="1527"/>
    </row>
    <row r="1864" spans="5:6">
      <c r="E1864" s="1527"/>
      <c r="F1864" s="1527"/>
    </row>
    <row r="1865" spans="5:6">
      <c r="E1865" s="1527"/>
      <c r="F1865" s="1527"/>
    </row>
    <row r="1866" spans="5:6">
      <c r="E1866" s="1527"/>
      <c r="F1866" s="1527"/>
    </row>
    <row r="1867" spans="5:6">
      <c r="E1867" s="1527"/>
      <c r="F1867" s="1527"/>
    </row>
    <row r="1868" spans="5:6">
      <c r="E1868" s="1527"/>
      <c r="F1868" s="1527"/>
    </row>
    <row r="1869" spans="5:6">
      <c r="E1869" s="1527"/>
      <c r="F1869" s="1527"/>
    </row>
    <row r="1870" spans="5:6">
      <c r="E1870" s="1527"/>
      <c r="F1870" s="1527"/>
    </row>
    <row r="1871" spans="5:6">
      <c r="E1871" s="1527"/>
      <c r="F1871" s="1527"/>
    </row>
    <row r="1872" spans="5:6">
      <c r="E1872" s="1527"/>
      <c r="F1872" s="1527"/>
    </row>
    <row r="1873" spans="5:6">
      <c r="E1873" s="1527"/>
      <c r="F1873" s="1527"/>
    </row>
    <row r="1874" spans="5:6">
      <c r="E1874" s="1527"/>
      <c r="F1874" s="1527"/>
    </row>
    <row r="1875" spans="5:6">
      <c r="E1875" s="1527"/>
      <c r="F1875" s="1527"/>
    </row>
    <row r="1876" spans="5:6">
      <c r="E1876" s="1527"/>
      <c r="F1876" s="1527"/>
    </row>
    <row r="1877" spans="5:6">
      <c r="E1877" s="1527"/>
      <c r="F1877" s="1527"/>
    </row>
    <row r="1878" spans="5:6">
      <c r="E1878" s="1527"/>
      <c r="F1878" s="1527"/>
    </row>
    <row r="1879" spans="5:6">
      <c r="E1879" s="1527"/>
      <c r="F1879" s="1527"/>
    </row>
    <row r="1880" spans="5:6">
      <c r="E1880" s="1527"/>
      <c r="F1880" s="1527"/>
    </row>
    <row r="1881" spans="5:6">
      <c r="E1881" s="1527"/>
      <c r="F1881" s="1527"/>
    </row>
    <row r="1882" spans="5:6">
      <c r="E1882" s="1527"/>
      <c r="F1882" s="1527"/>
    </row>
    <row r="1883" spans="5:6">
      <c r="E1883" s="1527"/>
      <c r="F1883" s="1527"/>
    </row>
    <row r="1884" spans="5:6">
      <c r="E1884" s="1527"/>
      <c r="F1884" s="1527"/>
    </row>
    <row r="1885" spans="5:6">
      <c r="E1885" s="1527"/>
      <c r="F1885" s="1527"/>
    </row>
    <row r="1886" spans="5:6">
      <c r="E1886" s="1527"/>
      <c r="F1886" s="1527"/>
    </row>
    <row r="1887" spans="5:6">
      <c r="E1887" s="1527"/>
      <c r="F1887" s="1527"/>
    </row>
    <row r="1888" spans="5:6">
      <c r="E1888" s="1527"/>
      <c r="F1888" s="1527"/>
    </row>
    <row r="1889" spans="5:6">
      <c r="E1889" s="1527"/>
      <c r="F1889" s="1527"/>
    </row>
    <row r="1890" spans="5:6">
      <c r="E1890" s="1527"/>
      <c r="F1890" s="1527"/>
    </row>
    <row r="1891" spans="5:6">
      <c r="E1891" s="1527"/>
      <c r="F1891" s="1527"/>
    </row>
    <row r="1892" spans="5:6">
      <c r="E1892" s="1527"/>
      <c r="F1892" s="1527"/>
    </row>
    <row r="1893" spans="5:6">
      <c r="E1893" s="1527"/>
      <c r="F1893" s="1527"/>
    </row>
    <row r="1894" spans="5:6">
      <c r="E1894" s="1527"/>
      <c r="F1894" s="1527"/>
    </row>
    <row r="1895" spans="5:6">
      <c r="E1895" s="1527"/>
      <c r="F1895" s="1527"/>
    </row>
    <row r="1896" spans="5:6">
      <c r="E1896" s="1527"/>
      <c r="F1896" s="1527"/>
    </row>
    <row r="1897" spans="5:6">
      <c r="E1897" s="1527"/>
      <c r="F1897" s="1527"/>
    </row>
    <row r="1898" spans="5:6">
      <c r="E1898" s="1527"/>
      <c r="F1898" s="1527"/>
    </row>
    <row r="1899" spans="5:6">
      <c r="E1899" s="1527"/>
      <c r="F1899" s="1527"/>
    </row>
    <row r="1900" spans="5:6">
      <c r="E1900" s="1527"/>
      <c r="F1900" s="1527"/>
    </row>
    <row r="1901" spans="5:6">
      <c r="E1901" s="1527"/>
      <c r="F1901" s="1527"/>
    </row>
    <row r="1902" spans="5:6">
      <c r="E1902" s="1527"/>
      <c r="F1902" s="1527"/>
    </row>
    <row r="1903" spans="5:6">
      <c r="E1903" s="1527"/>
      <c r="F1903" s="1527"/>
    </row>
    <row r="1904" spans="5:6">
      <c r="E1904" s="1527"/>
      <c r="F1904" s="1527"/>
    </row>
    <row r="1905" spans="5:6">
      <c r="E1905" s="1527"/>
      <c r="F1905" s="1527"/>
    </row>
    <row r="1906" spans="5:6">
      <c r="E1906" s="1527"/>
      <c r="F1906" s="1527"/>
    </row>
    <row r="1907" spans="5:6">
      <c r="E1907" s="1527"/>
      <c r="F1907" s="1527"/>
    </row>
    <row r="1908" spans="5:6">
      <c r="E1908" s="1527"/>
      <c r="F1908" s="1527"/>
    </row>
    <row r="1909" spans="5:6">
      <c r="E1909" s="1527"/>
      <c r="F1909" s="1527"/>
    </row>
    <row r="1910" spans="5:6">
      <c r="E1910" s="1527"/>
      <c r="F1910" s="1527"/>
    </row>
    <row r="1911" spans="5:6">
      <c r="E1911" s="1527"/>
      <c r="F1911" s="1527"/>
    </row>
    <row r="1912" spans="5:6">
      <c r="E1912" s="1527"/>
      <c r="F1912" s="1527"/>
    </row>
    <row r="1913" spans="5:6">
      <c r="E1913" s="1527"/>
      <c r="F1913" s="1527"/>
    </row>
    <row r="1914" spans="5:6">
      <c r="E1914" s="1527"/>
      <c r="F1914" s="1527"/>
    </row>
    <row r="1915" spans="5:6">
      <c r="E1915" s="1527"/>
      <c r="F1915" s="1527"/>
    </row>
    <row r="1916" spans="5:6">
      <c r="E1916" s="1527"/>
      <c r="F1916" s="1527"/>
    </row>
    <row r="1917" spans="5:6">
      <c r="E1917" s="1527"/>
      <c r="F1917" s="1527"/>
    </row>
    <row r="1918" spans="5:6">
      <c r="E1918" s="1527"/>
      <c r="F1918" s="1527"/>
    </row>
    <row r="1919" spans="5:6">
      <c r="E1919" s="1527"/>
      <c r="F1919" s="1527"/>
    </row>
    <row r="1920" spans="5:6">
      <c r="E1920" s="1527"/>
      <c r="F1920" s="1527"/>
    </row>
    <row r="1921" spans="5:6">
      <c r="E1921" s="1527"/>
      <c r="F1921" s="1527"/>
    </row>
    <row r="1922" spans="5:6">
      <c r="E1922" s="1527"/>
      <c r="F1922" s="1527"/>
    </row>
    <row r="1923" spans="5:6">
      <c r="E1923" s="1527"/>
      <c r="F1923" s="1527"/>
    </row>
    <row r="1924" spans="5:6">
      <c r="E1924" s="1527"/>
      <c r="F1924" s="1527"/>
    </row>
    <row r="1925" spans="5:6">
      <c r="E1925" s="1527"/>
      <c r="F1925" s="1527"/>
    </row>
    <row r="1926" spans="5:6">
      <c r="E1926" s="1527"/>
      <c r="F1926" s="1527"/>
    </row>
    <row r="1927" spans="5:6">
      <c r="E1927" s="1527"/>
      <c r="F1927" s="1527"/>
    </row>
    <row r="1928" spans="5:6">
      <c r="E1928" s="1527"/>
      <c r="F1928" s="1527"/>
    </row>
    <row r="1929" spans="5:6">
      <c r="E1929" s="1527"/>
      <c r="F1929" s="1527"/>
    </row>
    <row r="1930" spans="5:6">
      <c r="E1930" s="1527"/>
      <c r="F1930" s="1527"/>
    </row>
    <row r="1931" spans="5:6">
      <c r="E1931" s="1527"/>
      <c r="F1931" s="1527"/>
    </row>
    <row r="1932" spans="5:6">
      <c r="E1932" s="1527"/>
      <c r="F1932" s="1527"/>
    </row>
    <row r="1933" spans="5:6">
      <c r="E1933" s="1527"/>
      <c r="F1933" s="1527"/>
    </row>
    <row r="1934" spans="5:6">
      <c r="E1934" s="1527"/>
      <c r="F1934" s="1527"/>
    </row>
    <row r="1935" spans="5:6">
      <c r="E1935" s="1527"/>
      <c r="F1935" s="1527"/>
    </row>
    <row r="1936" spans="5:6">
      <c r="E1936" s="1527"/>
      <c r="F1936" s="1527"/>
    </row>
    <row r="1937" spans="5:6">
      <c r="E1937" s="1527"/>
      <c r="F1937" s="1527"/>
    </row>
    <row r="1938" spans="5:6">
      <c r="E1938" s="1527"/>
      <c r="F1938" s="1527"/>
    </row>
    <row r="1939" spans="5:6">
      <c r="E1939" s="1527"/>
      <c r="F1939" s="1527"/>
    </row>
    <row r="1940" spans="5:6">
      <c r="E1940" s="1527"/>
      <c r="F1940" s="1527"/>
    </row>
    <row r="1941" spans="5:6">
      <c r="E1941" s="1527"/>
      <c r="F1941" s="1527"/>
    </row>
    <row r="1942" spans="5:6">
      <c r="E1942" s="1527"/>
      <c r="F1942" s="1527"/>
    </row>
    <row r="1943" spans="5:6">
      <c r="E1943" s="1527"/>
      <c r="F1943" s="1527"/>
    </row>
    <row r="1944" spans="5:6">
      <c r="E1944" s="1527"/>
      <c r="F1944" s="1527"/>
    </row>
    <row r="1945" spans="5:6">
      <c r="E1945" s="1527"/>
      <c r="F1945" s="1527"/>
    </row>
    <row r="1946" spans="5:6">
      <c r="E1946" s="1527"/>
      <c r="F1946" s="1527"/>
    </row>
    <row r="1947" spans="5:6">
      <c r="E1947" s="1527"/>
      <c r="F1947" s="1527"/>
    </row>
    <row r="1948" spans="5:6">
      <c r="E1948" s="1527"/>
      <c r="F1948" s="1527"/>
    </row>
    <row r="1949" spans="5:6">
      <c r="E1949" s="1527"/>
      <c r="F1949" s="1527"/>
    </row>
    <row r="1950" spans="5:6">
      <c r="E1950" s="1527"/>
      <c r="F1950" s="1527"/>
    </row>
    <row r="1951" spans="5:6">
      <c r="E1951" s="1527"/>
      <c r="F1951" s="1527"/>
    </row>
    <row r="1952" spans="5:6">
      <c r="E1952" s="1527"/>
      <c r="F1952" s="1527"/>
    </row>
    <row r="1953" spans="5:6">
      <c r="E1953" s="1527"/>
      <c r="F1953" s="1527"/>
    </row>
    <row r="1954" spans="5:6">
      <c r="E1954" s="1527"/>
      <c r="F1954" s="1527"/>
    </row>
    <row r="1955" spans="5:6">
      <c r="E1955" s="1527"/>
      <c r="F1955" s="1527"/>
    </row>
    <row r="1956" spans="5:6">
      <c r="E1956" s="1527"/>
      <c r="F1956" s="1527"/>
    </row>
    <row r="1957" spans="5:6">
      <c r="E1957" s="1527"/>
      <c r="F1957" s="1527"/>
    </row>
    <row r="1958" spans="5:6">
      <c r="E1958" s="1527"/>
      <c r="F1958" s="1527"/>
    </row>
    <row r="1959" spans="5:6">
      <c r="E1959" s="1527"/>
      <c r="F1959" s="1527"/>
    </row>
    <row r="1960" spans="5:6">
      <c r="E1960" s="1527"/>
      <c r="F1960" s="1527"/>
    </row>
    <row r="1961" spans="5:6">
      <c r="E1961" s="1527"/>
      <c r="F1961" s="1527"/>
    </row>
    <row r="1962" spans="5:6">
      <c r="E1962" s="1527"/>
      <c r="F1962" s="1527"/>
    </row>
    <row r="1963" spans="5:6">
      <c r="E1963" s="1527"/>
      <c r="F1963" s="1527"/>
    </row>
    <row r="1964" spans="5:6">
      <c r="E1964" s="1527"/>
      <c r="F1964" s="1527"/>
    </row>
    <row r="1965" spans="5:6">
      <c r="E1965" s="1527"/>
      <c r="F1965" s="1527"/>
    </row>
    <row r="1966" spans="5:6">
      <c r="E1966" s="1527"/>
      <c r="F1966" s="1527"/>
    </row>
    <row r="1967" spans="5:6">
      <c r="E1967" s="1527"/>
      <c r="F1967" s="1527"/>
    </row>
    <row r="1968" spans="5:6">
      <c r="E1968" s="1527"/>
      <c r="F1968" s="1527"/>
    </row>
    <row r="1969" spans="5:6">
      <c r="E1969" s="1527"/>
      <c r="F1969" s="1527"/>
    </row>
    <row r="1970" spans="5:6">
      <c r="E1970" s="1527"/>
      <c r="F1970" s="1527"/>
    </row>
    <row r="1971" spans="5:6">
      <c r="E1971" s="1527"/>
      <c r="F1971" s="1527"/>
    </row>
    <row r="1972" spans="5:6">
      <c r="E1972" s="1527"/>
      <c r="F1972" s="1527"/>
    </row>
    <row r="1973" spans="5:6">
      <c r="E1973" s="1527"/>
      <c r="F1973" s="1527"/>
    </row>
    <row r="1974" spans="5:6">
      <c r="E1974" s="1527"/>
      <c r="F1974" s="1527"/>
    </row>
    <row r="1975" spans="5:6">
      <c r="E1975" s="1527"/>
      <c r="F1975" s="1527"/>
    </row>
    <row r="1976" spans="5:6">
      <c r="E1976" s="1527"/>
      <c r="F1976" s="1527"/>
    </row>
    <row r="1977" spans="5:6">
      <c r="E1977" s="1527"/>
      <c r="F1977" s="1527"/>
    </row>
    <row r="1978" spans="5:6">
      <c r="E1978" s="1527"/>
      <c r="F1978" s="1527"/>
    </row>
    <row r="1979" spans="5:6">
      <c r="E1979" s="1527"/>
      <c r="F1979" s="1527"/>
    </row>
    <row r="1980" spans="5:6">
      <c r="E1980" s="1527"/>
      <c r="F1980" s="1527"/>
    </row>
    <row r="1981" spans="5:6">
      <c r="E1981" s="1527"/>
      <c r="F1981" s="1527"/>
    </row>
  </sheetData>
  <mergeCells count="1471">
    <mergeCell ref="C6:D6"/>
    <mergeCell ref="E6:F6"/>
    <mergeCell ref="C7:D7"/>
    <mergeCell ref="E7:F7"/>
    <mergeCell ref="C8:D8"/>
    <mergeCell ref="E8:F8"/>
    <mergeCell ref="A1:F1"/>
    <mergeCell ref="A2:F2"/>
    <mergeCell ref="A3:B3"/>
    <mergeCell ref="C3:F3"/>
    <mergeCell ref="A4:F4"/>
    <mergeCell ref="B5:F5"/>
    <mergeCell ref="A18:F18"/>
    <mergeCell ref="A19:F19"/>
    <mergeCell ref="A26:F26"/>
    <mergeCell ref="A68:C68"/>
    <mergeCell ref="E68:G68"/>
    <mergeCell ref="A34:F34"/>
    <mergeCell ref="A35:F35"/>
    <mergeCell ref="A36:F36"/>
    <mergeCell ref="A37:F37"/>
    <mergeCell ref="A38:F38"/>
    <mergeCell ref="A39:F39"/>
    <mergeCell ref="A40:F40"/>
    <mergeCell ref="A41:F41"/>
    <mergeCell ref="A42:F42"/>
    <mergeCell ref="A43:F43"/>
    <mergeCell ref="A44:F44"/>
    <mergeCell ref="A45:F45"/>
    <mergeCell ref="A46:F46"/>
    <mergeCell ref="A47:F47"/>
    <mergeCell ref="A48:F48"/>
    <mergeCell ref="I68:K68"/>
    <mergeCell ref="C13:D13"/>
    <mergeCell ref="E13:F13"/>
    <mergeCell ref="B14:F14"/>
    <mergeCell ref="B15:F15"/>
    <mergeCell ref="B16:F16"/>
    <mergeCell ref="B17:F17"/>
    <mergeCell ref="C9:D9"/>
    <mergeCell ref="E9:F9"/>
    <mergeCell ref="A10:F10"/>
    <mergeCell ref="B11:F11"/>
    <mergeCell ref="C12:D12"/>
    <mergeCell ref="E12:F12"/>
    <mergeCell ref="B74:C74"/>
    <mergeCell ref="F74:G74"/>
    <mergeCell ref="J74:K74"/>
    <mergeCell ref="B75:C75"/>
    <mergeCell ref="F75:G75"/>
    <mergeCell ref="J75:K75"/>
    <mergeCell ref="B71:C71"/>
    <mergeCell ref="F71:G71"/>
    <mergeCell ref="J71:K71"/>
    <mergeCell ref="F72:G72"/>
    <mergeCell ref="J72:K72"/>
    <mergeCell ref="B73:C73"/>
    <mergeCell ref="F73:G73"/>
    <mergeCell ref="J73:K73"/>
    <mergeCell ref="B69:C69"/>
    <mergeCell ref="F69:G69"/>
    <mergeCell ref="J69:K69"/>
    <mergeCell ref="B70:C70"/>
    <mergeCell ref="F70:G70"/>
    <mergeCell ref="J70:K70"/>
    <mergeCell ref="B80:C80"/>
    <mergeCell ref="F80:G80"/>
    <mergeCell ref="J80:K80"/>
    <mergeCell ref="B81:C81"/>
    <mergeCell ref="F81:G81"/>
    <mergeCell ref="J81:K81"/>
    <mergeCell ref="B78:C78"/>
    <mergeCell ref="F78:G78"/>
    <mergeCell ref="J78:K78"/>
    <mergeCell ref="B79:C79"/>
    <mergeCell ref="F79:G79"/>
    <mergeCell ref="J79:K79"/>
    <mergeCell ref="B76:C76"/>
    <mergeCell ref="F76:G76"/>
    <mergeCell ref="J76:K76"/>
    <mergeCell ref="B77:C77"/>
    <mergeCell ref="F77:G77"/>
    <mergeCell ref="J77:K77"/>
    <mergeCell ref="B86:C86"/>
    <mergeCell ref="F86:G86"/>
    <mergeCell ref="J86:K86"/>
    <mergeCell ref="B87:C87"/>
    <mergeCell ref="F87:G87"/>
    <mergeCell ref="J87:K87"/>
    <mergeCell ref="B84:C84"/>
    <mergeCell ref="F84:G84"/>
    <mergeCell ref="J84:K84"/>
    <mergeCell ref="B85:C85"/>
    <mergeCell ref="F85:G85"/>
    <mergeCell ref="J85:K85"/>
    <mergeCell ref="B82:C82"/>
    <mergeCell ref="F82:G82"/>
    <mergeCell ref="J82:K82"/>
    <mergeCell ref="B83:C83"/>
    <mergeCell ref="F83:G83"/>
    <mergeCell ref="J83:K83"/>
    <mergeCell ref="B92:C92"/>
    <mergeCell ref="F92:G92"/>
    <mergeCell ref="J92:K92"/>
    <mergeCell ref="B93:C93"/>
    <mergeCell ref="F93:G93"/>
    <mergeCell ref="J93:K93"/>
    <mergeCell ref="B90:C90"/>
    <mergeCell ref="F90:G90"/>
    <mergeCell ref="J90:K90"/>
    <mergeCell ref="B91:C91"/>
    <mergeCell ref="F91:G91"/>
    <mergeCell ref="J91:K91"/>
    <mergeCell ref="B88:C88"/>
    <mergeCell ref="F88:G88"/>
    <mergeCell ref="J88:K88"/>
    <mergeCell ref="B89:C89"/>
    <mergeCell ref="F89:G89"/>
    <mergeCell ref="J89:K89"/>
    <mergeCell ref="B98:C98"/>
    <mergeCell ref="F98:G98"/>
    <mergeCell ref="J98:K98"/>
    <mergeCell ref="B99:C99"/>
    <mergeCell ref="F99:G99"/>
    <mergeCell ref="J99:K99"/>
    <mergeCell ref="B96:C96"/>
    <mergeCell ref="F96:G96"/>
    <mergeCell ref="J96:K96"/>
    <mergeCell ref="B97:C97"/>
    <mergeCell ref="F97:G97"/>
    <mergeCell ref="J97:K97"/>
    <mergeCell ref="B94:C94"/>
    <mergeCell ref="F94:G94"/>
    <mergeCell ref="J94:K94"/>
    <mergeCell ref="B95:C95"/>
    <mergeCell ref="F95:G95"/>
    <mergeCell ref="J95:K95"/>
    <mergeCell ref="B104:C104"/>
    <mergeCell ref="F104:G104"/>
    <mergeCell ref="J104:K104"/>
    <mergeCell ref="B105:C105"/>
    <mergeCell ref="F105:G105"/>
    <mergeCell ref="J105:K105"/>
    <mergeCell ref="B102:C102"/>
    <mergeCell ref="F102:G102"/>
    <mergeCell ref="J102:K102"/>
    <mergeCell ref="B103:C103"/>
    <mergeCell ref="F103:G103"/>
    <mergeCell ref="J103:K103"/>
    <mergeCell ref="B100:C100"/>
    <mergeCell ref="F100:G100"/>
    <mergeCell ref="J100:K100"/>
    <mergeCell ref="B101:C101"/>
    <mergeCell ref="F101:G101"/>
    <mergeCell ref="J101:K101"/>
    <mergeCell ref="B110:C110"/>
    <mergeCell ref="F110:G110"/>
    <mergeCell ref="J110:K110"/>
    <mergeCell ref="B111:C111"/>
    <mergeCell ref="F111:G111"/>
    <mergeCell ref="J111:K111"/>
    <mergeCell ref="B108:C108"/>
    <mergeCell ref="F108:G108"/>
    <mergeCell ref="J108:K108"/>
    <mergeCell ref="B109:C109"/>
    <mergeCell ref="F109:G109"/>
    <mergeCell ref="J109:K109"/>
    <mergeCell ref="B106:C106"/>
    <mergeCell ref="F106:G106"/>
    <mergeCell ref="J106:K106"/>
    <mergeCell ref="B107:C107"/>
    <mergeCell ref="F107:G107"/>
    <mergeCell ref="J107:K107"/>
    <mergeCell ref="B116:C116"/>
    <mergeCell ref="F116:G116"/>
    <mergeCell ref="J116:K116"/>
    <mergeCell ref="B117:C117"/>
    <mergeCell ref="F117:G117"/>
    <mergeCell ref="J117:K117"/>
    <mergeCell ref="B114:C114"/>
    <mergeCell ref="F114:G114"/>
    <mergeCell ref="J114:K114"/>
    <mergeCell ref="B115:C115"/>
    <mergeCell ref="F115:G115"/>
    <mergeCell ref="J115:K115"/>
    <mergeCell ref="B112:C112"/>
    <mergeCell ref="F112:G112"/>
    <mergeCell ref="J112:K112"/>
    <mergeCell ref="B113:C113"/>
    <mergeCell ref="F113:G113"/>
    <mergeCell ref="J113:K113"/>
    <mergeCell ref="B122:C122"/>
    <mergeCell ref="F122:G122"/>
    <mergeCell ref="J122:K122"/>
    <mergeCell ref="B123:C123"/>
    <mergeCell ref="F123:G123"/>
    <mergeCell ref="J123:K123"/>
    <mergeCell ref="B120:C120"/>
    <mergeCell ref="F120:G120"/>
    <mergeCell ref="J120:K120"/>
    <mergeCell ref="B121:C121"/>
    <mergeCell ref="F121:G121"/>
    <mergeCell ref="J121:K121"/>
    <mergeCell ref="B118:C118"/>
    <mergeCell ref="F118:G118"/>
    <mergeCell ref="J118:K118"/>
    <mergeCell ref="B119:C119"/>
    <mergeCell ref="F119:G119"/>
    <mergeCell ref="J119:K119"/>
    <mergeCell ref="B128:C128"/>
    <mergeCell ref="F128:G128"/>
    <mergeCell ref="J128:K128"/>
    <mergeCell ref="B129:C129"/>
    <mergeCell ref="F129:G129"/>
    <mergeCell ref="J129:K129"/>
    <mergeCell ref="B126:C126"/>
    <mergeCell ref="F126:G126"/>
    <mergeCell ref="J126:K126"/>
    <mergeCell ref="B127:C127"/>
    <mergeCell ref="F127:G127"/>
    <mergeCell ref="J127:K127"/>
    <mergeCell ref="B124:C124"/>
    <mergeCell ref="F124:G124"/>
    <mergeCell ref="J124:K124"/>
    <mergeCell ref="B125:C125"/>
    <mergeCell ref="F125:G125"/>
    <mergeCell ref="J125:K125"/>
    <mergeCell ref="B134:C134"/>
    <mergeCell ref="F134:G134"/>
    <mergeCell ref="B135:C135"/>
    <mergeCell ref="F135:G135"/>
    <mergeCell ref="B136:C136"/>
    <mergeCell ref="F136:G136"/>
    <mergeCell ref="B132:C132"/>
    <mergeCell ref="F132:G132"/>
    <mergeCell ref="J132:K132"/>
    <mergeCell ref="B133:C133"/>
    <mergeCell ref="F133:G133"/>
    <mergeCell ref="J133:K133"/>
    <mergeCell ref="B130:C130"/>
    <mergeCell ref="F130:G130"/>
    <mergeCell ref="J130:K130"/>
    <mergeCell ref="B131:C131"/>
    <mergeCell ref="F131:G131"/>
    <mergeCell ref="J131:K131"/>
    <mergeCell ref="B143:C143"/>
    <mergeCell ref="F143:G143"/>
    <mergeCell ref="B144:C144"/>
    <mergeCell ref="F144:G144"/>
    <mergeCell ref="B145:C145"/>
    <mergeCell ref="F145:G145"/>
    <mergeCell ref="B140:C140"/>
    <mergeCell ref="F140:G140"/>
    <mergeCell ref="B141:C141"/>
    <mergeCell ref="F141:G141"/>
    <mergeCell ref="B142:C142"/>
    <mergeCell ref="F142:G142"/>
    <mergeCell ref="B137:C137"/>
    <mergeCell ref="F137:G137"/>
    <mergeCell ref="B138:C138"/>
    <mergeCell ref="F138:G138"/>
    <mergeCell ref="B139:C139"/>
    <mergeCell ref="F139:G139"/>
    <mergeCell ref="B152:C152"/>
    <mergeCell ref="F152:G152"/>
    <mergeCell ref="B153:C153"/>
    <mergeCell ref="F153:G153"/>
    <mergeCell ref="B154:C154"/>
    <mergeCell ref="F154:G154"/>
    <mergeCell ref="B149:C149"/>
    <mergeCell ref="F149:G149"/>
    <mergeCell ref="B150:C150"/>
    <mergeCell ref="F150:G150"/>
    <mergeCell ref="B151:C151"/>
    <mergeCell ref="F151:G151"/>
    <mergeCell ref="B146:C146"/>
    <mergeCell ref="F146:G146"/>
    <mergeCell ref="B147:C147"/>
    <mergeCell ref="F147:G147"/>
    <mergeCell ref="B148:C148"/>
    <mergeCell ref="F148:G148"/>
    <mergeCell ref="B161:C161"/>
    <mergeCell ref="F161:G161"/>
    <mergeCell ref="B162:C162"/>
    <mergeCell ref="F162:G162"/>
    <mergeCell ref="B163:C163"/>
    <mergeCell ref="F163:G163"/>
    <mergeCell ref="B158:C158"/>
    <mergeCell ref="F158:G158"/>
    <mergeCell ref="B159:C159"/>
    <mergeCell ref="F159:G159"/>
    <mergeCell ref="B160:C160"/>
    <mergeCell ref="F160:G160"/>
    <mergeCell ref="B155:C155"/>
    <mergeCell ref="F155:G155"/>
    <mergeCell ref="B156:C156"/>
    <mergeCell ref="F156:G156"/>
    <mergeCell ref="B157:C157"/>
    <mergeCell ref="F157:G157"/>
    <mergeCell ref="B170:C170"/>
    <mergeCell ref="F170:G170"/>
    <mergeCell ref="B171:C171"/>
    <mergeCell ref="F171:G171"/>
    <mergeCell ref="B172:C172"/>
    <mergeCell ref="F172:G172"/>
    <mergeCell ref="B167:C167"/>
    <mergeCell ref="F167:G167"/>
    <mergeCell ref="B168:C168"/>
    <mergeCell ref="F168:G168"/>
    <mergeCell ref="B169:C169"/>
    <mergeCell ref="F169:G169"/>
    <mergeCell ref="B164:C164"/>
    <mergeCell ref="F164:G164"/>
    <mergeCell ref="B165:C165"/>
    <mergeCell ref="F165:G165"/>
    <mergeCell ref="B166:C166"/>
    <mergeCell ref="F166:G166"/>
    <mergeCell ref="B179:C179"/>
    <mergeCell ref="F179:G179"/>
    <mergeCell ref="B180:C180"/>
    <mergeCell ref="F180:G180"/>
    <mergeCell ref="B181:C181"/>
    <mergeCell ref="F181:G181"/>
    <mergeCell ref="B176:C176"/>
    <mergeCell ref="F176:G176"/>
    <mergeCell ref="B177:C177"/>
    <mergeCell ref="F177:G177"/>
    <mergeCell ref="B178:C178"/>
    <mergeCell ref="F178:G178"/>
    <mergeCell ref="B173:C173"/>
    <mergeCell ref="F173:G173"/>
    <mergeCell ref="B174:C174"/>
    <mergeCell ref="F174:G174"/>
    <mergeCell ref="B175:C175"/>
    <mergeCell ref="F175:G175"/>
    <mergeCell ref="B188:C188"/>
    <mergeCell ref="F188:G188"/>
    <mergeCell ref="B189:C189"/>
    <mergeCell ref="F189:G189"/>
    <mergeCell ref="B190:C190"/>
    <mergeCell ref="F190:G190"/>
    <mergeCell ref="B185:C185"/>
    <mergeCell ref="F185:G185"/>
    <mergeCell ref="B186:C186"/>
    <mergeCell ref="F186:G186"/>
    <mergeCell ref="B187:C187"/>
    <mergeCell ref="F187:G187"/>
    <mergeCell ref="B182:C182"/>
    <mergeCell ref="F182:G182"/>
    <mergeCell ref="B183:C183"/>
    <mergeCell ref="F183:G183"/>
    <mergeCell ref="B184:C184"/>
    <mergeCell ref="F184:G184"/>
    <mergeCell ref="B197:C197"/>
    <mergeCell ref="F197:G197"/>
    <mergeCell ref="B198:C198"/>
    <mergeCell ref="F198:G198"/>
    <mergeCell ref="B199:C199"/>
    <mergeCell ref="F199:G199"/>
    <mergeCell ref="B194:C194"/>
    <mergeCell ref="F194:G194"/>
    <mergeCell ref="B195:C195"/>
    <mergeCell ref="F195:G195"/>
    <mergeCell ref="B196:C196"/>
    <mergeCell ref="F196:G196"/>
    <mergeCell ref="B191:C191"/>
    <mergeCell ref="F191:G191"/>
    <mergeCell ref="B192:C192"/>
    <mergeCell ref="F192:G192"/>
    <mergeCell ref="B193:C193"/>
    <mergeCell ref="F193:G193"/>
    <mergeCell ref="B206:C206"/>
    <mergeCell ref="F206:G206"/>
    <mergeCell ref="B207:C207"/>
    <mergeCell ref="F207:G207"/>
    <mergeCell ref="B208:C208"/>
    <mergeCell ref="F208:G208"/>
    <mergeCell ref="B203:C203"/>
    <mergeCell ref="F203:G203"/>
    <mergeCell ref="B204:C204"/>
    <mergeCell ref="F204:G204"/>
    <mergeCell ref="B205:C205"/>
    <mergeCell ref="F205:G205"/>
    <mergeCell ref="B200:C200"/>
    <mergeCell ref="F200:G200"/>
    <mergeCell ref="B201:C201"/>
    <mergeCell ref="F201:G201"/>
    <mergeCell ref="B202:C202"/>
    <mergeCell ref="F202:G202"/>
    <mergeCell ref="B215:C215"/>
    <mergeCell ref="F215:G215"/>
    <mergeCell ref="B216:C216"/>
    <mergeCell ref="F216:G216"/>
    <mergeCell ref="B217:C217"/>
    <mergeCell ref="F217:G217"/>
    <mergeCell ref="B212:C212"/>
    <mergeCell ref="F212:G212"/>
    <mergeCell ref="B213:C213"/>
    <mergeCell ref="F213:G213"/>
    <mergeCell ref="B214:C214"/>
    <mergeCell ref="F214:G214"/>
    <mergeCell ref="B209:C209"/>
    <mergeCell ref="F209:G209"/>
    <mergeCell ref="B210:C210"/>
    <mergeCell ref="F210:G210"/>
    <mergeCell ref="B211:C211"/>
    <mergeCell ref="F211:G211"/>
    <mergeCell ref="B224:C224"/>
    <mergeCell ref="F224:G224"/>
    <mergeCell ref="B225:C225"/>
    <mergeCell ref="F225:G225"/>
    <mergeCell ref="B226:C226"/>
    <mergeCell ref="F226:G226"/>
    <mergeCell ref="B221:C221"/>
    <mergeCell ref="F221:G221"/>
    <mergeCell ref="B222:C222"/>
    <mergeCell ref="F222:G222"/>
    <mergeCell ref="B223:C223"/>
    <mergeCell ref="F223:G223"/>
    <mergeCell ref="B218:C218"/>
    <mergeCell ref="F218:G218"/>
    <mergeCell ref="B219:C219"/>
    <mergeCell ref="F219:G219"/>
    <mergeCell ref="B220:C220"/>
    <mergeCell ref="F220:G220"/>
    <mergeCell ref="B233:C233"/>
    <mergeCell ref="F233:G233"/>
    <mergeCell ref="B234:C234"/>
    <mergeCell ref="F234:G234"/>
    <mergeCell ref="B235:C235"/>
    <mergeCell ref="F235:G235"/>
    <mergeCell ref="B230:C230"/>
    <mergeCell ref="F230:G230"/>
    <mergeCell ref="B231:C231"/>
    <mergeCell ref="F231:G231"/>
    <mergeCell ref="B232:C232"/>
    <mergeCell ref="F232:G232"/>
    <mergeCell ref="B227:C227"/>
    <mergeCell ref="F227:G227"/>
    <mergeCell ref="B228:C228"/>
    <mergeCell ref="F228:G228"/>
    <mergeCell ref="B229:C229"/>
    <mergeCell ref="F229:G229"/>
    <mergeCell ref="B242:C242"/>
    <mergeCell ref="F242:G242"/>
    <mergeCell ref="B243:C243"/>
    <mergeCell ref="F243:G243"/>
    <mergeCell ref="B244:C244"/>
    <mergeCell ref="F244:G244"/>
    <mergeCell ref="B239:C239"/>
    <mergeCell ref="F239:G239"/>
    <mergeCell ref="B240:C240"/>
    <mergeCell ref="F240:G240"/>
    <mergeCell ref="B241:C241"/>
    <mergeCell ref="F241:G241"/>
    <mergeCell ref="B236:C236"/>
    <mergeCell ref="F236:G236"/>
    <mergeCell ref="B237:C237"/>
    <mergeCell ref="F237:G237"/>
    <mergeCell ref="B238:C238"/>
    <mergeCell ref="F238:G238"/>
    <mergeCell ref="B251:C251"/>
    <mergeCell ref="F251:G251"/>
    <mergeCell ref="B252:C252"/>
    <mergeCell ref="F252:G252"/>
    <mergeCell ref="B253:C253"/>
    <mergeCell ref="F253:G253"/>
    <mergeCell ref="B248:C248"/>
    <mergeCell ref="F248:G248"/>
    <mergeCell ref="B249:C249"/>
    <mergeCell ref="F249:G249"/>
    <mergeCell ref="B250:C250"/>
    <mergeCell ref="F250:G250"/>
    <mergeCell ref="B245:C245"/>
    <mergeCell ref="F245:G245"/>
    <mergeCell ref="B246:C246"/>
    <mergeCell ref="F246:G246"/>
    <mergeCell ref="B247:C247"/>
    <mergeCell ref="F247:G247"/>
    <mergeCell ref="B260:C260"/>
    <mergeCell ref="F260:G260"/>
    <mergeCell ref="B261:C261"/>
    <mergeCell ref="F261:G261"/>
    <mergeCell ref="B262:C262"/>
    <mergeCell ref="F262:G262"/>
    <mergeCell ref="B257:C257"/>
    <mergeCell ref="F257:G257"/>
    <mergeCell ref="B258:C258"/>
    <mergeCell ref="F258:G258"/>
    <mergeCell ref="B259:C259"/>
    <mergeCell ref="F259:G259"/>
    <mergeCell ref="B254:C254"/>
    <mergeCell ref="F254:G254"/>
    <mergeCell ref="B255:C255"/>
    <mergeCell ref="F255:G255"/>
    <mergeCell ref="B256:C256"/>
    <mergeCell ref="F256:G256"/>
    <mergeCell ref="B269:C269"/>
    <mergeCell ref="F269:G269"/>
    <mergeCell ref="B270:C270"/>
    <mergeCell ref="F270:G270"/>
    <mergeCell ref="B271:C271"/>
    <mergeCell ref="F271:G271"/>
    <mergeCell ref="B266:C266"/>
    <mergeCell ref="F266:G266"/>
    <mergeCell ref="B267:C267"/>
    <mergeCell ref="F267:G267"/>
    <mergeCell ref="B268:C268"/>
    <mergeCell ref="F268:G268"/>
    <mergeCell ref="B263:C263"/>
    <mergeCell ref="F263:G263"/>
    <mergeCell ref="B264:C264"/>
    <mergeCell ref="F264:G264"/>
    <mergeCell ref="B265:C265"/>
    <mergeCell ref="F265:G265"/>
    <mergeCell ref="B278:C278"/>
    <mergeCell ref="F278:G278"/>
    <mergeCell ref="B279:C279"/>
    <mergeCell ref="F279:G279"/>
    <mergeCell ref="B280:C280"/>
    <mergeCell ref="F280:G280"/>
    <mergeCell ref="B275:C275"/>
    <mergeCell ref="F275:G275"/>
    <mergeCell ref="B276:C276"/>
    <mergeCell ref="F276:G276"/>
    <mergeCell ref="B277:C277"/>
    <mergeCell ref="F277:G277"/>
    <mergeCell ref="B272:C272"/>
    <mergeCell ref="F272:G272"/>
    <mergeCell ref="B273:C273"/>
    <mergeCell ref="F273:G273"/>
    <mergeCell ref="B274:C274"/>
    <mergeCell ref="F274:G274"/>
    <mergeCell ref="B287:C287"/>
    <mergeCell ref="F287:G287"/>
    <mergeCell ref="B288:C288"/>
    <mergeCell ref="F288:G288"/>
    <mergeCell ref="B289:C289"/>
    <mergeCell ref="F289:G289"/>
    <mergeCell ref="B284:C284"/>
    <mergeCell ref="F284:G284"/>
    <mergeCell ref="B285:C285"/>
    <mergeCell ref="F285:G285"/>
    <mergeCell ref="B286:C286"/>
    <mergeCell ref="F286:G286"/>
    <mergeCell ref="B281:C281"/>
    <mergeCell ref="F281:G281"/>
    <mergeCell ref="B282:C282"/>
    <mergeCell ref="F282:G282"/>
    <mergeCell ref="B283:C283"/>
    <mergeCell ref="F283:G283"/>
    <mergeCell ref="B296:C296"/>
    <mergeCell ref="F296:G296"/>
    <mergeCell ref="B297:C297"/>
    <mergeCell ref="F297:G297"/>
    <mergeCell ref="B298:C298"/>
    <mergeCell ref="F298:G298"/>
    <mergeCell ref="B293:C293"/>
    <mergeCell ref="F293:G293"/>
    <mergeCell ref="B294:C294"/>
    <mergeCell ref="F294:G294"/>
    <mergeCell ref="B295:C295"/>
    <mergeCell ref="F295:G295"/>
    <mergeCell ref="B290:C290"/>
    <mergeCell ref="F290:G290"/>
    <mergeCell ref="B291:C291"/>
    <mergeCell ref="F291:G291"/>
    <mergeCell ref="B292:C292"/>
    <mergeCell ref="F292:G292"/>
    <mergeCell ref="B305:C305"/>
    <mergeCell ref="F305:G305"/>
    <mergeCell ref="B306:C306"/>
    <mergeCell ref="F306:G306"/>
    <mergeCell ref="B307:C307"/>
    <mergeCell ref="F307:G307"/>
    <mergeCell ref="B302:C302"/>
    <mergeCell ref="F302:G302"/>
    <mergeCell ref="B303:C303"/>
    <mergeCell ref="F303:G303"/>
    <mergeCell ref="B304:C304"/>
    <mergeCell ref="F304:G304"/>
    <mergeCell ref="B299:C299"/>
    <mergeCell ref="F299:G299"/>
    <mergeCell ref="B300:C300"/>
    <mergeCell ref="F300:G300"/>
    <mergeCell ref="B301:C301"/>
    <mergeCell ref="F301:G301"/>
    <mergeCell ref="B314:C314"/>
    <mergeCell ref="F314:G314"/>
    <mergeCell ref="B315:C315"/>
    <mergeCell ref="F315:G315"/>
    <mergeCell ref="B316:C316"/>
    <mergeCell ref="F316:G316"/>
    <mergeCell ref="B311:C311"/>
    <mergeCell ref="F311:G311"/>
    <mergeCell ref="B312:C312"/>
    <mergeCell ref="F312:G312"/>
    <mergeCell ref="B313:C313"/>
    <mergeCell ref="F313:G313"/>
    <mergeCell ref="B308:C308"/>
    <mergeCell ref="F308:G308"/>
    <mergeCell ref="B309:C309"/>
    <mergeCell ref="F309:G309"/>
    <mergeCell ref="B310:C310"/>
    <mergeCell ref="F310:G310"/>
    <mergeCell ref="F326:G326"/>
    <mergeCell ref="F327:G327"/>
    <mergeCell ref="F328:G328"/>
    <mergeCell ref="F329:G329"/>
    <mergeCell ref="F330:G330"/>
    <mergeCell ref="F331:G331"/>
    <mergeCell ref="F320:G320"/>
    <mergeCell ref="F321:G321"/>
    <mergeCell ref="F322:G322"/>
    <mergeCell ref="F323:G323"/>
    <mergeCell ref="F324:G324"/>
    <mergeCell ref="F325:G325"/>
    <mergeCell ref="B317:C317"/>
    <mergeCell ref="F317:G317"/>
    <mergeCell ref="B318:C318"/>
    <mergeCell ref="F318:G318"/>
    <mergeCell ref="B319:C319"/>
    <mergeCell ref="F319:G319"/>
    <mergeCell ref="F344:G344"/>
    <mergeCell ref="F345:G345"/>
    <mergeCell ref="F346:G346"/>
    <mergeCell ref="F347:G347"/>
    <mergeCell ref="F348:G348"/>
    <mergeCell ref="F349:G349"/>
    <mergeCell ref="F338:G338"/>
    <mergeCell ref="F339:G339"/>
    <mergeCell ref="F340:G340"/>
    <mergeCell ref="F341:G341"/>
    <mergeCell ref="F342:G342"/>
    <mergeCell ref="F343:G343"/>
    <mergeCell ref="F332:G332"/>
    <mergeCell ref="F333:G333"/>
    <mergeCell ref="F334:G334"/>
    <mergeCell ref="F335:G335"/>
    <mergeCell ref="F336:G336"/>
    <mergeCell ref="F337:G337"/>
    <mergeCell ref="F362:G362"/>
    <mergeCell ref="F363:G363"/>
    <mergeCell ref="F364:G364"/>
    <mergeCell ref="F365:G365"/>
    <mergeCell ref="F366:G366"/>
    <mergeCell ref="F367:G367"/>
    <mergeCell ref="F356:G356"/>
    <mergeCell ref="F357:G357"/>
    <mergeCell ref="F358:G358"/>
    <mergeCell ref="F359:G359"/>
    <mergeCell ref="F360:G360"/>
    <mergeCell ref="F361:G361"/>
    <mergeCell ref="F350:G350"/>
    <mergeCell ref="F351:G351"/>
    <mergeCell ref="F352:G352"/>
    <mergeCell ref="F353:G353"/>
    <mergeCell ref="F354:G354"/>
    <mergeCell ref="F355:G355"/>
    <mergeCell ref="F380:G380"/>
    <mergeCell ref="F381:G381"/>
    <mergeCell ref="F382:G382"/>
    <mergeCell ref="F383:G383"/>
    <mergeCell ref="F384:G384"/>
    <mergeCell ref="F385:G385"/>
    <mergeCell ref="F374:G374"/>
    <mergeCell ref="F375:G375"/>
    <mergeCell ref="F376:G376"/>
    <mergeCell ref="F377:G377"/>
    <mergeCell ref="F378:G378"/>
    <mergeCell ref="F379:G379"/>
    <mergeCell ref="F368:G368"/>
    <mergeCell ref="F369:G369"/>
    <mergeCell ref="F370:G370"/>
    <mergeCell ref="F371:G371"/>
    <mergeCell ref="F372:G372"/>
    <mergeCell ref="F373:G373"/>
    <mergeCell ref="F398:G398"/>
    <mergeCell ref="F399:G399"/>
    <mergeCell ref="F400:G400"/>
    <mergeCell ref="F401:G401"/>
    <mergeCell ref="F402:G402"/>
    <mergeCell ref="F403:G403"/>
    <mergeCell ref="F392:G392"/>
    <mergeCell ref="F393:G393"/>
    <mergeCell ref="F394:G394"/>
    <mergeCell ref="F395:G395"/>
    <mergeCell ref="F396:G396"/>
    <mergeCell ref="F397:G397"/>
    <mergeCell ref="F386:G386"/>
    <mergeCell ref="F387:G387"/>
    <mergeCell ref="F388:G388"/>
    <mergeCell ref="F389:G389"/>
    <mergeCell ref="F390:G390"/>
    <mergeCell ref="F391:G391"/>
    <mergeCell ref="F416:G416"/>
    <mergeCell ref="F417:G417"/>
    <mergeCell ref="F418:G418"/>
    <mergeCell ref="F419:G419"/>
    <mergeCell ref="F420:G420"/>
    <mergeCell ref="F421:G421"/>
    <mergeCell ref="F410:G410"/>
    <mergeCell ref="F411:G411"/>
    <mergeCell ref="F412:G412"/>
    <mergeCell ref="F413:G413"/>
    <mergeCell ref="F414:G414"/>
    <mergeCell ref="F415:G415"/>
    <mergeCell ref="F404:G404"/>
    <mergeCell ref="F405:G405"/>
    <mergeCell ref="F406:G406"/>
    <mergeCell ref="F407:G407"/>
    <mergeCell ref="F408:G408"/>
    <mergeCell ref="F409:G409"/>
    <mergeCell ref="F434:G434"/>
    <mergeCell ref="F435:G435"/>
    <mergeCell ref="F436:G436"/>
    <mergeCell ref="F437:G437"/>
    <mergeCell ref="F438:G438"/>
    <mergeCell ref="F439:G439"/>
    <mergeCell ref="F428:G428"/>
    <mergeCell ref="F429:G429"/>
    <mergeCell ref="F430:G430"/>
    <mergeCell ref="F431:G431"/>
    <mergeCell ref="F432:G432"/>
    <mergeCell ref="F433:G433"/>
    <mergeCell ref="F422:G422"/>
    <mergeCell ref="F423:G423"/>
    <mergeCell ref="F424:G424"/>
    <mergeCell ref="F425:G425"/>
    <mergeCell ref="F426:G426"/>
    <mergeCell ref="F427:G427"/>
    <mergeCell ref="F452:G452"/>
    <mergeCell ref="F453:G453"/>
    <mergeCell ref="F454:G454"/>
    <mergeCell ref="F455:G455"/>
    <mergeCell ref="F456:G456"/>
    <mergeCell ref="F457:G457"/>
    <mergeCell ref="F446:G446"/>
    <mergeCell ref="F447:G447"/>
    <mergeCell ref="F448:G448"/>
    <mergeCell ref="F449:G449"/>
    <mergeCell ref="F450:G450"/>
    <mergeCell ref="F451:G451"/>
    <mergeCell ref="F440:G440"/>
    <mergeCell ref="F441:G441"/>
    <mergeCell ref="F442:G442"/>
    <mergeCell ref="F443:G443"/>
    <mergeCell ref="F444:G444"/>
    <mergeCell ref="F445:G445"/>
    <mergeCell ref="F470:G470"/>
    <mergeCell ref="F471:G471"/>
    <mergeCell ref="F472:G472"/>
    <mergeCell ref="F473:G473"/>
    <mergeCell ref="F474:G474"/>
    <mergeCell ref="F475:G475"/>
    <mergeCell ref="F464:G464"/>
    <mergeCell ref="F465:G465"/>
    <mergeCell ref="F466:G466"/>
    <mergeCell ref="F467:G467"/>
    <mergeCell ref="F468:G468"/>
    <mergeCell ref="F469:G469"/>
    <mergeCell ref="F458:G458"/>
    <mergeCell ref="F459:G459"/>
    <mergeCell ref="F460:G460"/>
    <mergeCell ref="F461:G461"/>
    <mergeCell ref="F462:G462"/>
    <mergeCell ref="F463:G463"/>
    <mergeCell ref="F488:G488"/>
    <mergeCell ref="F489:G489"/>
    <mergeCell ref="F490:G490"/>
    <mergeCell ref="F491:G491"/>
    <mergeCell ref="F492:G492"/>
    <mergeCell ref="F493:G493"/>
    <mergeCell ref="F482:G482"/>
    <mergeCell ref="F483:G483"/>
    <mergeCell ref="F484:G484"/>
    <mergeCell ref="F485:G485"/>
    <mergeCell ref="F486:G486"/>
    <mergeCell ref="F487:G487"/>
    <mergeCell ref="F476:G476"/>
    <mergeCell ref="F477:G477"/>
    <mergeCell ref="F478:G478"/>
    <mergeCell ref="F479:G479"/>
    <mergeCell ref="F480:G480"/>
    <mergeCell ref="F481:G481"/>
    <mergeCell ref="F506:G506"/>
    <mergeCell ref="F507:G507"/>
    <mergeCell ref="F508:G508"/>
    <mergeCell ref="F509:G509"/>
    <mergeCell ref="F510:G510"/>
    <mergeCell ref="F511:G511"/>
    <mergeCell ref="F500:G500"/>
    <mergeCell ref="F501:G501"/>
    <mergeCell ref="F502:G502"/>
    <mergeCell ref="F503:G503"/>
    <mergeCell ref="F504:G504"/>
    <mergeCell ref="F505:G505"/>
    <mergeCell ref="F494:G494"/>
    <mergeCell ref="F495:G495"/>
    <mergeCell ref="F496:G496"/>
    <mergeCell ref="F497:G497"/>
    <mergeCell ref="F498:G498"/>
    <mergeCell ref="F499:G499"/>
    <mergeCell ref="F524:G524"/>
    <mergeCell ref="F525:G525"/>
    <mergeCell ref="F526:G526"/>
    <mergeCell ref="F527:G527"/>
    <mergeCell ref="F528:G528"/>
    <mergeCell ref="F529:G529"/>
    <mergeCell ref="F518:G518"/>
    <mergeCell ref="F519:G519"/>
    <mergeCell ref="F520:G520"/>
    <mergeCell ref="F521:G521"/>
    <mergeCell ref="F522:G522"/>
    <mergeCell ref="F523:G523"/>
    <mergeCell ref="F512:G512"/>
    <mergeCell ref="F513:G513"/>
    <mergeCell ref="F514:G514"/>
    <mergeCell ref="F515:G515"/>
    <mergeCell ref="F516:G516"/>
    <mergeCell ref="F517:G517"/>
    <mergeCell ref="F542:G542"/>
    <mergeCell ref="F543:G543"/>
    <mergeCell ref="F544:G544"/>
    <mergeCell ref="F545:G545"/>
    <mergeCell ref="F546:G546"/>
    <mergeCell ref="F547:G547"/>
    <mergeCell ref="F536:G536"/>
    <mergeCell ref="F537:G537"/>
    <mergeCell ref="F538:G538"/>
    <mergeCell ref="F539:G539"/>
    <mergeCell ref="F540:G540"/>
    <mergeCell ref="F541:G541"/>
    <mergeCell ref="F530:G530"/>
    <mergeCell ref="F531:G531"/>
    <mergeCell ref="F532:G532"/>
    <mergeCell ref="F533:G533"/>
    <mergeCell ref="F534:G534"/>
    <mergeCell ref="F535:G535"/>
    <mergeCell ref="F560:G560"/>
    <mergeCell ref="F561:G561"/>
    <mergeCell ref="F562:G562"/>
    <mergeCell ref="F563:G563"/>
    <mergeCell ref="F564:G564"/>
    <mergeCell ref="F565:G565"/>
    <mergeCell ref="F554:G554"/>
    <mergeCell ref="F555:G555"/>
    <mergeCell ref="F556:G556"/>
    <mergeCell ref="F557:G557"/>
    <mergeCell ref="F558:G558"/>
    <mergeCell ref="F559:G559"/>
    <mergeCell ref="F548:G548"/>
    <mergeCell ref="F549:G549"/>
    <mergeCell ref="F550:G550"/>
    <mergeCell ref="F551:G551"/>
    <mergeCell ref="F552:G552"/>
    <mergeCell ref="F553:G553"/>
    <mergeCell ref="F578:G578"/>
    <mergeCell ref="F579:G579"/>
    <mergeCell ref="F580:G580"/>
    <mergeCell ref="F581:G581"/>
    <mergeCell ref="F582:G582"/>
    <mergeCell ref="F583:G583"/>
    <mergeCell ref="F572:G572"/>
    <mergeCell ref="F573:G573"/>
    <mergeCell ref="F574:G574"/>
    <mergeCell ref="F575:G575"/>
    <mergeCell ref="F576:G576"/>
    <mergeCell ref="F577:G577"/>
    <mergeCell ref="F566:G566"/>
    <mergeCell ref="F567:G567"/>
    <mergeCell ref="F568:G568"/>
    <mergeCell ref="F569:G569"/>
    <mergeCell ref="F570:G570"/>
    <mergeCell ref="F571:G571"/>
    <mergeCell ref="F596:G596"/>
    <mergeCell ref="F597:G597"/>
    <mergeCell ref="F598:G598"/>
    <mergeCell ref="F599:G599"/>
    <mergeCell ref="F600:G600"/>
    <mergeCell ref="F601:G601"/>
    <mergeCell ref="F590:G590"/>
    <mergeCell ref="F591:G591"/>
    <mergeCell ref="F592:G592"/>
    <mergeCell ref="F593:G593"/>
    <mergeCell ref="F594:G594"/>
    <mergeCell ref="F595:G595"/>
    <mergeCell ref="F584:G584"/>
    <mergeCell ref="F585:G585"/>
    <mergeCell ref="F586:G586"/>
    <mergeCell ref="F587:G587"/>
    <mergeCell ref="F588:G588"/>
    <mergeCell ref="F589:G589"/>
    <mergeCell ref="F614:G614"/>
    <mergeCell ref="F615:G615"/>
    <mergeCell ref="F616:G616"/>
    <mergeCell ref="F617:G617"/>
    <mergeCell ref="F618:G618"/>
    <mergeCell ref="F619:G619"/>
    <mergeCell ref="F608:G608"/>
    <mergeCell ref="F609:G609"/>
    <mergeCell ref="F610:G610"/>
    <mergeCell ref="F611:G611"/>
    <mergeCell ref="F612:G612"/>
    <mergeCell ref="F613:G613"/>
    <mergeCell ref="F602:G602"/>
    <mergeCell ref="F603:G603"/>
    <mergeCell ref="F604:G604"/>
    <mergeCell ref="F605:G605"/>
    <mergeCell ref="F606:G606"/>
    <mergeCell ref="F607:G607"/>
    <mergeCell ref="F632:G632"/>
    <mergeCell ref="F633:G633"/>
    <mergeCell ref="F634:G634"/>
    <mergeCell ref="F635:G635"/>
    <mergeCell ref="F636:G636"/>
    <mergeCell ref="F637:G637"/>
    <mergeCell ref="F626:G626"/>
    <mergeCell ref="F627:G627"/>
    <mergeCell ref="F628:G628"/>
    <mergeCell ref="F629:G629"/>
    <mergeCell ref="F630:G630"/>
    <mergeCell ref="F631:G631"/>
    <mergeCell ref="F620:G620"/>
    <mergeCell ref="F621:G621"/>
    <mergeCell ref="F622:G622"/>
    <mergeCell ref="F623:G623"/>
    <mergeCell ref="F624:G624"/>
    <mergeCell ref="F625:G625"/>
    <mergeCell ref="F650:G650"/>
    <mergeCell ref="F651:G651"/>
    <mergeCell ref="F652:G652"/>
    <mergeCell ref="F653:G653"/>
    <mergeCell ref="F654:G654"/>
    <mergeCell ref="F655:G655"/>
    <mergeCell ref="F644:G644"/>
    <mergeCell ref="F645:G645"/>
    <mergeCell ref="F646:G646"/>
    <mergeCell ref="F647:G647"/>
    <mergeCell ref="F648:G648"/>
    <mergeCell ref="F649:G649"/>
    <mergeCell ref="F638:G638"/>
    <mergeCell ref="F639:G639"/>
    <mergeCell ref="F640:G640"/>
    <mergeCell ref="F641:G641"/>
    <mergeCell ref="F642:G642"/>
    <mergeCell ref="F643:G643"/>
    <mergeCell ref="F668:G668"/>
    <mergeCell ref="F669:G669"/>
    <mergeCell ref="F670:G670"/>
    <mergeCell ref="F671:G671"/>
    <mergeCell ref="F672:G672"/>
    <mergeCell ref="F673:G673"/>
    <mergeCell ref="F662:G662"/>
    <mergeCell ref="F663:G663"/>
    <mergeCell ref="F664:G664"/>
    <mergeCell ref="F665:G665"/>
    <mergeCell ref="F666:G666"/>
    <mergeCell ref="F667:G667"/>
    <mergeCell ref="F656:G656"/>
    <mergeCell ref="F657:G657"/>
    <mergeCell ref="F658:G658"/>
    <mergeCell ref="F659:G659"/>
    <mergeCell ref="F660:G660"/>
    <mergeCell ref="F661:G661"/>
    <mergeCell ref="F686:G686"/>
    <mergeCell ref="F687:G687"/>
    <mergeCell ref="F688:G688"/>
    <mergeCell ref="F689:G689"/>
    <mergeCell ref="F690:G690"/>
    <mergeCell ref="F691:G691"/>
    <mergeCell ref="F680:G680"/>
    <mergeCell ref="F681:G681"/>
    <mergeCell ref="F682:G682"/>
    <mergeCell ref="F683:G683"/>
    <mergeCell ref="F684:G684"/>
    <mergeCell ref="F685:G685"/>
    <mergeCell ref="F674:G674"/>
    <mergeCell ref="F675:G675"/>
    <mergeCell ref="F676:G676"/>
    <mergeCell ref="F677:G677"/>
    <mergeCell ref="F678:G678"/>
    <mergeCell ref="F679:G679"/>
    <mergeCell ref="F704:G704"/>
    <mergeCell ref="F705:G705"/>
    <mergeCell ref="F706:G706"/>
    <mergeCell ref="F707:G707"/>
    <mergeCell ref="F708:G708"/>
    <mergeCell ref="F709:G709"/>
    <mergeCell ref="F698:G698"/>
    <mergeCell ref="F699:G699"/>
    <mergeCell ref="F700:G700"/>
    <mergeCell ref="F701:G701"/>
    <mergeCell ref="F702:G702"/>
    <mergeCell ref="F703:G703"/>
    <mergeCell ref="F692:G692"/>
    <mergeCell ref="F693:G693"/>
    <mergeCell ref="F694:G694"/>
    <mergeCell ref="F695:G695"/>
    <mergeCell ref="F696:G696"/>
    <mergeCell ref="F697:G697"/>
    <mergeCell ref="F722:G722"/>
    <mergeCell ref="F723:G723"/>
    <mergeCell ref="F724:G724"/>
    <mergeCell ref="F725:G725"/>
    <mergeCell ref="F726:G726"/>
    <mergeCell ref="F727:G727"/>
    <mergeCell ref="F716:G716"/>
    <mergeCell ref="F717:G717"/>
    <mergeCell ref="F718:G718"/>
    <mergeCell ref="F719:G719"/>
    <mergeCell ref="F720:G720"/>
    <mergeCell ref="F721:G721"/>
    <mergeCell ref="F710:G710"/>
    <mergeCell ref="F711:G711"/>
    <mergeCell ref="F712:G712"/>
    <mergeCell ref="F713:G713"/>
    <mergeCell ref="F714:G714"/>
    <mergeCell ref="F715:G715"/>
    <mergeCell ref="F740:G740"/>
    <mergeCell ref="F741:G741"/>
    <mergeCell ref="F742:G742"/>
    <mergeCell ref="F743:G743"/>
    <mergeCell ref="F744:G744"/>
    <mergeCell ref="F745:G745"/>
    <mergeCell ref="F734:G734"/>
    <mergeCell ref="F735:G735"/>
    <mergeCell ref="F736:G736"/>
    <mergeCell ref="F737:G737"/>
    <mergeCell ref="F738:G738"/>
    <mergeCell ref="F739:G739"/>
    <mergeCell ref="F728:G728"/>
    <mergeCell ref="F729:G729"/>
    <mergeCell ref="F730:G730"/>
    <mergeCell ref="F731:G731"/>
    <mergeCell ref="F732:G732"/>
    <mergeCell ref="F733:G733"/>
    <mergeCell ref="F758:G758"/>
    <mergeCell ref="F759:G759"/>
    <mergeCell ref="F760:G760"/>
    <mergeCell ref="F761:G761"/>
    <mergeCell ref="F762:G762"/>
    <mergeCell ref="F763:G763"/>
    <mergeCell ref="F752:G752"/>
    <mergeCell ref="F753:G753"/>
    <mergeCell ref="F754:G754"/>
    <mergeCell ref="F755:G755"/>
    <mergeCell ref="F756:G756"/>
    <mergeCell ref="F757:G757"/>
    <mergeCell ref="F746:G746"/>
    <mergeCell ref="F747:G747"/>
    <mergeCell ref="F748:G748"/>
    <mergeCell ref="F749:G749"/>
    <mergeCell ref="F750:G750"/>
    <mergeCell ref="F751:G751"/>
    <mergeCell ref="F776:G776"/>
    <mergeCell ref="F777:G777"/>
    <mergeCell ref="F778:G778"/>
    <mergeCell ref="F779:G779"/>
    <mergeCell ref="F780:G780"/>
    <mergeCell ref="F781:G781"/>
    <mergeCell ref="F770:G770"/>
    <mergeCell ref="F771:G771"/>
    <mergeCell ref="F772:G772"/>
    <mergeCell ref="F773:G773"/>
    <mergeCell ref="F774:G774"/>
    <mergeCell ref="F775:G775"/>
    <mergeCell ref="F764:G764"/>
    <mergeCell ref="F765:G765"/>
    <mergeCell ref="F766:G766"/>
    <mergeCell ref="F767:G767"/>
    <mergeCell ref="F768:G768"/>
    <mergeCell ref="F769:G769"/>
    <mergeCell ref="F794:G794"/>
    <mergeCell ref="F795:G795"/>
    <mergeCell ref="F796:G796"/>
    <mergeCell ref="F797:G797"/>
    <mergeCell ref="F798:G798"/>
    <mergeCell ref="F799:G799"/>
    <mergeCell ref="F788:G788"/>
    <mergeCell ref="F789:G789"/>
    <mergeCell ref="F790:G790"/>
    <mergeCell ref="F791:G791"/>
    <mergeCell ref="F792:G792"/>
    <mergeCell ref="F793:G793"/>
    <mergeCell ref="F782:G782"/>
    <mergeCell ref="F783:G783"/>
    <mergeCell ref="F784:G784"/>
    <mergeCell ref="F785:G785"/>
    <mergeCell ref="F786:G786"/>
    <mergeCell ref="F787:G787"/>
    <mergeCell ref="F812:G812"/>
    <mergeCell ref="F813:G813"/>
    <mergeCell ref="F814:G814"/>
    <mergeCell ref="F815:G815"/>
    <mergeCell ref="F816:G816"/>
    <mergeCell ref="F817:G817"/>
    <mergeCell ref="F806:G806"/>
    <mergeCell ref="F807:G807"/>
    <mergeCell ref="F808:G808"/>
    <mergeCell ref="F809:G809"/>
    <mergeCell ref="F810:G810"/>
    <mergeCell ref="F811:G811"/>
    <mergeCell ref="F800:G800"/>
    <mergeCell ref="F801:G801"/>
    <mergeCell ref="F802:G802"/>
    <mergeCell ref="F803:G803"/>
    <mergeCell ref="F804:G804"/>
    <mergeCell ref="F805:G805"/>
    <mergeCell ref="F830:G830"/>
    <mergeCell ref="F831:G831"/>
    <mergeCell ref="F832:G832"/>
    <mergeCell ref="F833:G833"/>
    <mergeCell ref="F834:G834"/>
    <mergeCell ref="F835:G835"/>
    <mergeCell ref="F824:G824"/>
    <mergeCell ref="F825:G825"/>
    <mergeCell ref="F826:G826"/>
    <mergeCell ref="F827:G827"/>
    <mergeCell ref="F828:G828"/>
    <mergeCell ref="F829:G829"/>
    <mergeCell ref="F818:G818"/>
    <mergeCell ref="F819:G819"/>
    <mergeCell ref="F820:G820"/>
    <mergeCell ref="F821:G821"/>
    <mergeCell ref="F822:G822"/>
    <mergeCell ref="F823:G823"/>
    <mergeCell ref="F848:G848"/>
    <mergeCell ref="F849:G849"/>
    <mergeCell ref="F850:G850"/>
    <mergeCell ref="F851:G851"/>
    <mergeCell ref="F852:G852"/>
    <mergeCell ref="F853:G853"/>
    <mergeCell ref="F842:G842"/>
    <mergeCell ref="F843:G843"/>
    <mergeCell ref="F844:G844"/>
    <mergeCell ref="F845:G845"/>
    <mergeCell ref="F846:G846"/>
    <mergeCell ref="F847:G847"/>
    <mergeCell ref="F836:G836"/>
    <mergeCell ref="F837:G837"/>
    <mergeCell ref="F838:G838"/>
    <mergeCell ref="F839:G839"/>
    <mergeCell ref="F840:G840"/>
    <mergeCell ref="F841:G841"/>
    <mergeCell ref="F866:G866"/>
    <mergeCell ref="F867:G867"/>
    <mergeCell ref="F868:G868"/>
    <mergeCell ref="F869:G869"/>
    <mergeCell ref="F870:G870"/>
    <mergeCell ref="F871:G871"/>
    <mergeCell ref="F860:G860"/>
    <mergeCell ref="F861:G861"/>
    <mergeCell ref="F862:G862"/>
    <mergeCell ref="F863:G863"/>
    <mergeCell ref="F864:G864"/>
    <mergeCell ref="F865:G865"/>
    <mergeCell ref="F854:G854"/>
    <mergeCell ref="F855:G855"/>
    <mergeCell ref="F856:G856"/>
    <mergeCell ref="F857:G857"/>
    <mergeCell ref="F858:G858"/>
    <mergeCell ref="F859:G859"/>
    <mergeCell ref="F884:G884"/>
    <mergeCell ref="F885:G885"/>
    <mergeCell ref="F886:G886"/>
    <mergeCell ref="F887:G887"/>
    <mergeCell ref="F888:G888"/>
    <mergeCell ref="F889:G889"/>
    <mergeCell ref="F878:G878"/>
    <mergeCell ref="F879:G879"/>
    <mergeCell ref="F880:G880"/>
    <mergeCell ref="F881:G881"/>
    <mergeCell ref="F882:G882"/>
    <mergeCell ref="F883:G883"/>
    <mergeCell ref="F872:G872"/>
    <mergeCell ref="F873:G873"/>
    <mergeCell ref="F874:G874"/>
    <mergeCell ref="F875:G875"/>
    <mergeCell ref="F876:G876"/>
    <mergeCell ref="F877:G877"/>
    <mergeCell ref="F902:G902"/>
    <mergeCell ref="F903:G903"/>
    <mergeCell ref="F904:G904"/>
    <mergeCell ref="F905:G905"/>
    <mergeCell ref="F906:G906"/>
    <mergeCell ref="F907:G907"/>
    <mergeCell ref="F896:G896"/>
    <mergeCell ref="F897:G897"/>
    <mergeCell ref="F898:G898"/>
    <mergeCell ref="F899:G899"/>
    <mergeCell ref="F900:G900"/>
    <mergeCell ref="F901:G901"/>
    <mergeCell ref="F890:G890"/>
    <mergeCell ref="F891:G891"/>
    <mergeCell ref="F892:G892"/>
    <mergeCell ref="F893:G893"/>
    <mergeCell ref="F894:G894"/>
    <mergeCell ref="F895:G895"/>
    <mergeCell ref="F920:G920"/>
    <mergeCell ref="F921:G921"/>
    <mergeCell ref="F922:G922"/>
    <mergeCell ref="F923:G923"/>
    <mergeCell ref="F924:G924"/>
    <mergeCell ref="F925:G925"/>
    <mergeCell ref="F914:G914"/>
    <mergeCell ref="F915:G915"/>
    <mergeCell ref="F916:G916"/>
    <mergeCell ref="F917:G917"/>
    <mergeCell ref="F918:G918"/>
    <mergeCell ref="F919:G919"/>
    <mergeCell ref="F908:G908"/>
    <mergeCell ref="F909:G909"/>
    <mergeCell ref="F910:G910"/>
    <mergeCell ref="F911:G911"/>
    <mergeCell ref="F912:G912"/>
    <mergeCell ref="F913:G913"/>
    <mergeCell ref="F938:G938"/>
    <mergeCell ref="F939:G939"/>
    <mergeCell ref="F940:G940"/>
    <mergeCell ref="F941:G941"/>
    <mergeCell ref="F942:G942"/>
    <mergeCell ref="F943:G943"/>
    <mergeCell ref="F932:G932"/>
    <mergeCell ref="F933:G933"/>
    <mergeCell ref="F934:G934"/>
    <mergeCell ref="F935:G935"/>
    <mergeCell ref="F936:G936"/>
    <mergeCell ref="F937:G937"/>
    <mergeCell ref="F926:G926"/>
    <mergeCell ref="F927:G927"/>
    <mergeCell ref="F928:G928"/>
    <mergeCell ref="F929:G929"/>
    <mergeCell ref="F930:G930"/>
    <mergeCell ref="F931:G931"/>
    <mergeCell ref="F956:G956"/>
    <mergeCell ref="F957:G957"/>
    <mergeCell ref="F958:G958"/>
    <mergeCell ref="F959:G959"/>
    <mergeCell ref="F960:G960"/>
    <mergeCell ref="F961:G961"/>
    <mergeCell ref="F950:G950"/>
    <mergeCell ref="F951:G951"/>
    <mergeCell ref="F952:G952"/>
    <mergeCell ref="F953:G953"/>
    <mergeCell ref="F954:G954"/>
    <mergeCell ref="F955:G955"/>
    <mergeCell ref="F944:G944"/>
    <mergeCell ref="F945:G945"/>
    <mergeCell ref="F946:G946"/>
    <mergeCell ref="F947:G947"/>
    <mergeCell ref="F948:G948"/>
    <mergeCell ref="F949:G949"/>
    <mergeCell ref="F974:G974"/>
    <mergeCell ref="F975:G975"/>
    <mergeCell ref="F976:G976"/>
    <mergeCell ref="F977:G977"/>
    <mergeCell ref="F978:G978"/>
    <mergeCell ref="F979:G979"/>
    <mergeCell ref="F968:G968"/>
    <mergeCell ref="F969:G969"/>
    <mergeCell ref="F970:G970"/>
    <mergeCell ref="F971:G971"/>
    <mergeCell ref="F972:G972"/>
    <mergeCell ref="F973:G973"/>
    <mergeCell ref="F962:G962"/>
    <mergeCell ref="F963:G963"/>
    <mergeCell ref="F964:G964"/>
    <mergeCell ref="F965:G965"/>
    <mergeCell ref="F966:G966"/>
    <mergeCell ref="F967:G967"/>
    <mergeCell ref="F992:G992"/>
    <mergeCell ref="F993:G993"/>
    <mergeCell ref="F994:G994"/>
    <mergeCell ref="F995:G995"/>
    <mergeCell ref="F996:G996"/>
    <mergeCell ref="F997:G997"/>
    <mergeCell ref="F986:G986"/>
    <mergeCell ref="F987:G987"/>
    <mergeCell ref="F988:G988"/>
    <mergeCell ref="F989:G989"/>
    <mergeCell ref="F990:G990"/>
    <mergeCell ref="F991:G991"/>
    <mergeCell ref="F980:G980"/>
    <mergeCell ref="F981:G981"/>
    <mergeCell ref="F982:G982"/>
    <mergeCell ref="F983:G983"/>
    <mergeCell ref="F984:G984"/>
    <mergeCell ref="F985:G985"/>
    <mergeCell ref="F1010:G1010"/>
    <mergeCell ref="F1011:G1011"/>
    <mergeCell ref="F1012:G1012"/>
    <mergeCell ref="F1013:G1013"/>
    <mergeCell ref="F1014:G1014"/>
    <mergeCell ref="F1015:G1015"/>
    <mergeCell ref="F1004:G1004"/>
    <mergeCell ref="F1005:G1005"/>
    <mergeCell ref="F1006:G1006"/>
    <mergeCell ref="F1007:G1007"/>
    <mergeCell ref="F1008:G1008"/>
    <mergeCell ref="F1009:G1009"/>
    <mergeCell ref="F998:G998"/>
    <mergeCell ref="F999:G999"/>
    <mergeCell ref="F1000:G1000"/>
    <mergeCell ref="F1001:G1001"/>
    <mergeCell ref="F1002:G1002"/>
    <mergeCell ref="F1003:G1003"/>
    <mergeCell ref="F1028:G1028"/>
    <mergeCell ref="F1029:G1029"/>
    <mergeCell ref="F1030:G1030"/>
    <mergeCell ref="F1031:G1031"/>
    <mergeCell ref="F1032:G1032"/>
    <mergeCell ref="F1033:G1033"/>
    <mergeCell ref="F1022:G1022"/>
    <mergeCell ref="F1023:G1023"/>
    <mergeCell ref="F1024:G1024"/>
    <mergeCell ref="F1025:G1025"/>
    <mergeCell ref="F1026:G1026"/>
    <mergeCell ref="F1027:G1027"/>
    <mergeCell ref="F1016:G1016"/>
    <mergeCell ref="F1017:G1017"/>
    <mergeCell ref="F1018:G1018"/>
    <mergeCell ref="F1019:G1019"/>
    <mergeCell ref="F1020:G1020"/>
    <mergeCell ref="F1021:G1021"/>
    <mergeCell ref="F1046:G1046"/>
    <mergeCell ref="F1047:G1047"/>
    <mergeCell ref="F1048:G1048"/>
    <mergeCell ref="F1049:G1049"/>
    <mergeCell ref="F1050:G1050"/>
    <mergeCell ref="F1051:G1051"/>
    <mergeCell ref="F1040:G1040"/>
    <mergeCell ref="F1041:G1041"/>
    <mergeCell ref="F1042:G1042"/>
    <mergeCell ref="F1043:G1043"/>
    <mergeCell ref="F1044:G1044"/>
    <mergeCell ref="F1045:G1045"/>
    <mergeCell ref="F1034:G1034"/>
    <mergeCell ref="F1035:G1035"/>
    <mergeCell ref="F1036:G1036"/>
    <mergeCell ref="F1037:G1037"/>
    <mergeCell ref="F1038:G1038"/>
    <mergeCell ref="F1039:G1039"/>
    <mergeCell ref="F1064:G1064"/>
    <mergeCell ref="F1065:G1065"/>
    <mergeCell ref="F1066:G1066"/>
    <mergeCell ref="F1067:G1067"/>
    <mergeCell ref="F1068:G1068"/>
    <mergeCell ref="F1069:G1069"/>
    <mergeCell ref="F1058:G1058"/>
    <mergeCell ref="F1059:G1059"/>
    <mergeCell ref="F1060:G1060"/>
    <mergeCell ref="F1061:G1061"/>
    <mergeCell ref="F1062:G1062"/>
    <mergeCell ref="F1063:G1063"/>
    <mergeCell ref="F1052:G1052"/>
    <mergeCell ref="F1053:G1053"/>
    <mergeCell ref="F1054:G1054"/>
    <mergeCell ref="F1055:G1055"/>
    <mergeCell ref="F1056:G1056"/>
    <mergeCell ref="F1057:G1057"/>
    <mergeCell ref="F1082:G1082"/>
    <mergeCell ref="F1083:G1083"/>
    <mergeCell ref="F1084:G1084"/>
    <mergeCell ref="F1085:G1085"/>
    <mergeCell ref="F1086:G1086"/>
    <mergeCell ref="F1087:G1087"/>
    <mergeCell ref="F1076:G1076"/>
    <mergeCell ref="F1077:G1077"/>
    <mergeCell ref="F1078:G1078"/>
    <mergeCell ref="F1079:G1079"/>
    <mergeCell ref="F1080:G1080"/>
    <mergeCell ref="F1081:G1081"/>
    <mergeCell ref="F1070:G1070"/>
    <mergeCell ref="F1071:G1071"/>
    <mergeCell ref="F1072:G1072"/>
    <mergeCell ref="F1073:G1073"/>
    <mergeCell ref="F1074:G1074"/>
    <mergeCell ref="F1075:G1075"/>
    <mergeCell ref="F1100:G1100"/>
    <mergeCell ref="F1101:G1101"/>
    <mergeCell ref="F1102:G1102"/>
    <mergeCell ref="F1103:G1103"/>
    <mergeCell ref="F1104:G1104"/>
    <mergeCell ref="F1105:G1105"/>
    <mergeCell ref="F1094:G1094"/>
    <mergeCell ref="F1095:G1095"/>
    <mergeCell ref="F1096:G1096"/>
    <mergeCell ref="F1097:G1097"/>
    <mergeCell ref="F1098:G1098"/>
    <mergeCell ref="F1099:G1099"/>
    <mergeCell ref="F1088:G1088"/>
    <mergeCell ref="F1089:G1089"/>
    <mergeCell ref="F1090:G1090"/>
    <mergeCell ref="F1091:G1091"/>
    <mergeCell ref="F1092:G1092"/>
    <mergeCell ref="F1093:G1093"/>
    <mergeCell ref="F1118:G1118"/>
    <mergeCell ref="F1119:G1119"/>
    <mergeCell ref="F1120:G1120"/>
    <mergeCell ref="F1121:G1121"/>
    <mergeCell ref="F1122:G1122"/>
    <mergeCell ref="F1123:G1123"/>
    <mergeCell ref="F1112:G1112"/>
    <mergeCell ref="F1113:G1113"/>
    <mergeCell ref="F1114:G1114"/>
    <mergeCell ref="F1115:G1115"/>
    <mergeCell ref="F1116:G1116"/>
    <mergeCell ref="F1117:G1117"/>
    <mergeCell ref="F1106:G1106"/>
    <mergeCell ref="F1107:G1107"/>
    <mergeCell ref="F1108:G1108"/>
    <mergeCell ref="F1109:G1109"/>
    <mergeCell ref="F1110:G1110"/>
    <mergeCell ref="F1111:G1111"/>
    <mergeCell ref="F1136:G1136"/>
    <mergeCell ref="F1137:G1137"/>
    <mergeCell ref="F1138:G1138"/>
    <mergeCell ref="F1139:G1139"/>
    <mergeCell ref="F1140:G1140"/>
    <mergeCell ref="F1141:G1141"/>
    <mergeCell ref="F1130:G1130"/>
    <mergeCell ref="F1131:G1131"/>
    <mergeCell ref="F1132:G1132"/>
    <mergeCell ref="F1133:G1133"/>
    <mergeCell ref="F1134:G1134"/>
    <mergeCell ref="F1135:G1135"/>
    <mergeCell ref="F1124:G1124"/>
    <mergeCell ref="F1125:G1125"/>
    <mergeCell ref="F1126:G1126"/>
    <mergeCell ref="F1127:G1127"/>
    <mergeCell ref="F1128:G1128"/>
    <mergeCell ref="F1129:G1129"/>
    <mergeCell ref="F1160:G1160"/>
    <mergeCell ref="F1161:G1161"/>
    <mergeCell ref="F1162:G1162"/>
    <mergeCell ref="F1154:G1154"/>
    <mergeCell ref="F1155:G1155"/>
    <mergeCell ref="F1156:G1156"/>
    <mergeCell ref="F1157:G1157"/>
    <mergeCell ref="F1158:G1158"/>
    <mergeCell ref="F1159:G1159"/>
    <mergeCell ref="F1148:G1148"/>
    <mergeCell ref="F1149:G1149"/>
    <mergeCell ref="F1150:G1150"/>
    <mergeCell ref="F1151:G1151"/>
    <mergeCell ref="F1152:G1152"/>
    <mergeCell ref="F1153:G1153"/>
    <mergeCell ref="F1142:G1142"/>
    <mergeCell ref="F1143:G1143"/>
    <mergeCell ref="F1144:G1144"/>
    <mergeCell ref="F1145:G1145"/>
    <mergeCell ref="F1146:G1146"/>
    <mergeCell ref="F1147:G1147"/>
    <mergeCell ref="A49:F49"/>
    <mergeCell ref="A50:F50"/>
    <mergeCell ref="A51:F51"/>
    <mergeCell ref="A52:F52"/>
    <mergeCell ref="A53:F53"/>
    <mergeCell ref="A54:F54"/>
    <mergeCell ref="A55:F55"/>
    <mergeCell ref="A56:F56"/>
    <mergeCell ref="A57:F57"/>
    <mergeCell ref="A58:F58"/>
    <mergeCell ref="A59:F59"/>
    <mergeCell ref="A60:F60"/>
    <mergeCell ref="A61:F61"/>
    <mergeCell ref="A62:F62"/>
    <mergeCell ref="A63:F63"/>
    <mergeCell ref="A64:F64"/>
    <mergeCell ref="A65:F65"/>
  </mergeCells>
  <phoneticPr fontId="51" type="noConversion"/>
  <dataValidations count="12">
    <dataValidation type="list" allowBlank="1" showInputMessage="1" showErrorMessage="1" sqref="B65580:F65580 IX65580:JB65580 ST65580:SX65580 ACP65580:ACT65580 AML65580:AMP65580 AWH65580:AWL65580 BGD65580:BGH65580 BPZ65580:BQD65580 BZV65580:BZZ65580 CJR65580:CJV65580 CTN65580:CTR65580 DDJ65580:DDN65580 DNF65580:DNJ65580 DXB65580:DXF65580 EGX65580:EHB65580 EQT65580:EQX65580 FAP65580:FAT65580 FKL65580:FKP65580 FUH65580:FUL65580 GED65580:GEH65580 GNZ65580:GOD65580 GXV65580:GXZ65580 HHR65580:HHV65580 HRN65580:HRR65580 IBJ65580:IBN65580 ILF65580:ILJ65580 IVB65580:IVF65580 JEX65580:JFB65580 JOT65580:JOX65580 JYP65580:JYT65580 KIL65580:KIP65580 KSH65580:KSL65580 LCD65580:LCH65580 LLZ65580:LMD65580 LVV65580:LVZ65580 MFR65580:MFV65580 MPN65580:MPR65580 MZJ65580:MZN65580 NJF65580:NJJ65580 NTB65580:NTF65580 OCX65580:ODB65580 OMT65580:OMX65580 OWP65580:OWT65580 PGL65580:PGP65580 PQH65580:PQL65580 QAD65580:QAH65580 QJZ65580:QKD65580 QTV65580:QTZ65580 RDR65580:RDV65580 RNN65580:RNR65580 RXJ65580:RXN65580 SHF65580:SHJ65580 SRB65580:SRF65580 TAX65580:TBB65580 TKT65580:TKX65580 TUP65580:TUT65580 UEL65580:UEP65580 UOH65580:UOL65580 UYD65580:UYH65580 VHZ65580:VID65580 VRV65580:VRZ65580 WBR65580:WBV65580 WLN65580:WLR65580 WVJ65580:WVN65580 B131116:F131116 IX131116:JB131116 ST131116:SX131116 ACP131116:ACT131116 AML131116:AMP131116 AWH131116:AWL131116 BGD131116:BGH131116 BPZ131116:BQD131116 BZV131116:BZZ131116 CJR131116:CJV131116 CTN131116:CTR131116 DDJ131116:DDN131116 DNF131116:DNJ131116 DXB131116:DXF131116 EGX131116:EHB131116 EQT131116:EQX131116 FAP131116:FAT131116 FKL131116:FKP131116 FUH131116:FUL131116 GED131116:GEH131116 GNZ131116:GOD131116 GXV131116:GXZ131116 HHR131116:HHV131116 HRN131116:HRR131116 IBJ131116:IBN131116 ILF131116:ILJ131116 IVB131116:IVF131116 JEX131116:JFB131116 JOT131116:JOX131116 JYP131116:JYT131116 KIL131116:KIP131116 KSH131116:KSL131116 LCD131116:LCH131116 LLZ131116:LMD131116 LVV131116:LVZ131116 MFR131116:MFV131116 MPN131116:MPR131116 MZJ131116:MZN131116 NJF131116:NJJ131116 NTB131116:NTF131116 OCX131116:ODB131116 OMT131116:OMX131116 OWP131116:OWT131116 PGL131116:PGP131116 PQH131116:PQL131116 QAD131116:QAH131116 QJZ131116:QKD131116 QTV131116:QTZ131116 RDR131116:RDV131116 RNN131116:RNR131116 RXJ131116:RXN131116 SHF131116:SHJ131116 SRB131116:SRF131116 TAX131116:TBB131116 TKT131116:TKX131116 TUP131116:TUT131116 UEL131116:UEP131116 UOH131116:UOL131116 UYD131116:UYH131116 VHZ131116:VID131116 VRV131116:VRZ131116 WBR131116:WBV131116 WLN131116:WLR131116 WVJ131116:WVN131116 B196652:F196652 IX196652:JB196652 ST196652:SX196652 ACP196652:ACT196652 AML196652:AMP196652 AWH196652:AWL196652 BGD196652:BGH196652 BPZ196652:BQD196652 BZV196652:BZZ196652 CJR196652:CJV196652 CTN196652:CTR196652 DDJ196652:DDN196652 DNF196652:DNJ196652 DXB196652:DXF196652 EGX196652:EHB196652 EQT196652:EQX196652 FAP196652:FAT196652 FKL196652:FKP196652 FUH196652:FUL196652 GED196652:GEH196652 GNZ196652:GOD196652 GXV196652:GXZ196652 HHR196652:HHV196652 HRN196652:HRR196652 IBJ196652:IBN196652 ILF196652:ILJ196652 IVB196652:IVF196652 JEX196652:JFB196652 JOT196652:JOX196652 JYP196652:JYT196652 KIL196652:KIP196652 KSH196652:KSL196652 LCD196652:LCH196652 LLZ196652:LMD196652 LVV196652:LVZ196652 MFR196652:MFV196652 MPN196652:MPR196652 MZJ196652:MZN196652 NJF196652:NJJ196652 NTB196652:NTF196652 OCX196652:ODB196652 OMT196652:OMX196652 OWP196652:OWT196652 PGL196652:PGP196652 PQH196652:PQL196652 QAD196652:QAH196652 QJZ196652:QKD196652 QTV196652:QTZ196652 RDR196652:RDV196652 RNN196652:RNR196652 RXJ196652:RXN196652 SHF196652:SHJ196652 SRB196652:SRF196652 TAX196652:TBB196652 TKT196652:TKX196652 TUP196652:TUT196652 UEL196652:UEP196652 UOH196652:UOL196652 UYD196652:UYH196652 VHZ196652:VID196652 VRV196652:VRZ196652 WBR196652:WBV196652 WLN196652:WLR196652 WVJ196652:WVN196652 B262188:F262188 IX262188:JB262188 ST262188:SX262188 ACP262188:ACT262188 AML262188:AMP262188 AWH262188:AWL262188 BGD262188:BGH262188 BPZ262188:BQD262188 BZV262188:BZZ262188 CJR262188:CJV262188 CTN262188:CTR262188 DDJ262188:DDN262188 DNF262188:DNJ262188 DXB262188:DXF262188 EGX262188:EHB262188 EQT262188:EQX262188 FAP262188:FAT262188 FKL262188:FKP262188 FUH262188:FUL262188 GED262188:GEH262188 GNZ262188:GOD262188 GXV262188:GXZ262188 HHR262188:HHV262188 HRN262188:HRR262188 IBJ262188:IBN262188 ILF262188:ILJ262188 IVB262188:IVF262188 JEX262188:JFB262188 JOT262188:JOX262188 JYP262188:JYT262188 KIL262188:KIP262188 KSH262188:KSL262188 LCD262188:LCH262188 LLZ262188:LMD262188 LVV262188:LVZ262188 MFR262188:MFV262188 MPN262188:MPR262188 MZJ262188:MZN262188 NJF262188:NJJ262188 NTB262188:NTF262188 OCX262188:ODB262188 OMT262188:OMX262188 OWP262188:OWT262188 PGL262188:PGP262188 PQH262188:PQL262188 QAD262188:QAH262188 QJZ262188:QKD262188 QTV262188:QTZ262188 RDR262188:RDV262188 RNN262188:RNR262188 RXJ262188:RXN262188 SHF262188:SHJ262188 SRB262188:SRF262188 TAX262188:TBB262188 TKT262188:TKX262188 TUP262188:TUT262188 UEL262188:UEP262188 UOH262188:UOL262188 UYD262188:UYH262188 VHZ262188:VID262188 VRV262188:VRZ262188 WBR262188:WBV262188 WLN262188:WLR262188 WVJ262188:WVN262188 B327724:F327724 IX327724:JB327724 ST327724:SX327724 ACP327724:ACT327724 AML327724:AMP327724 AWH327724:AWL327724 BGD327724:BGH327724 BPZ327724:BQD327724 BZV327724:BZZ327724 CJR327724:CJV327724 CTN327724:CTR327724 DDJ327724:DDN327724 DNF327724:DNJ327724 DXB327724:DXF327724 EGX327724:EHB327724 EQT327724:EQX327724 FAP327724:FAT327724 FKL327724:FKP327724 FUH327724:FUL327724 GED327724:GEH327724 GNZ327724:GOD327724 GXV327724:GXZ327724 HHR327724:HHV327724 HRN327724:HRR327724 IBJ327724:IBN327724 ILF327724:ILJ327724 IVB327724:IVF327724 JEX327724:JFB327724 JOT327724:JOX327724 JYP327724:JYT327724 KIL327724:KIP327724 KSH327724:KSL327724 LCD327724:LCH327724 LLZ327724:LMD327724 LVV327724:LVZ327724 MFR327724:MFV327724 MPN327724:MPR327724 MZJ327724:MZN327724 NJF327724:NJJ327724 NTB327724:NTF327724 OCX327724:ODB327724 OMT327724:OMX327724 OWP327724:OWT327724 PGL327724:PGP327724 PQH327724:PQL327724 QAD327724:QAH327724 QJZ327724:QKD327724 QTV327724:QTZ327724 RDR327724:RDV327724 RNN327724:RNR327724 RXJ327724:RXN327724 SHF327724:SHJ327724 SRB327724:SRF327724 TAX327724:TBB327724 TKT327724:TKX327724 TUP327724:TUT327724 UEL327724:UEP327724 UOH327724:UOL327724 UYD327724:UYH327724 VHZ327724:VID327724 VRV327724:VRZ327724 WBR327724:WBV327724 WLN327724:WLR327724 WVJ327724:WVN327724 B393260:F393260 IX393260:JB393260 ST393260:SX393260 ACP393260:ACT393260 AML393260:AMP393260 AWH393260:AWL393260 BGD393260:BGH393260 BPZ393260:BQD393260 BZV393260:BZZ393260 CJR393260:CJV393260 CTN393260:CTR393260 DDJ393260:DDN393260 DNF393260:DNJ393260 DXB393260:DXF393260 EGX393260:EHB393260 EQT393260:EQX393260 FAP393260:FAT393260 FKL393260:FKP393260 FUH393260:FUL393260 GED393260:GEH393260 GNZ393260:GOD393260 GXV393260:GXZ393260 HHR393260:HHV393260 HRN393260:HRR393260 IBJ393260:IBN393260 ILF393260:ILJ393260 IVB393260:IVF393260 JEX393260:JFB393260 JOT393260:JOX393260 JYP393260:JYT393260 KIL393260:KIP393260 KSH393260:KSL393260 LCD393260:LCH393260 LLZ393260:LMD393260 LVV393260:LVZ393260 MFR393260:MFV393260 MPN393260:MPR393260 MZJ393260:MZN393260 NJF393260:NJJ393260 NTB393260:NTF393260 OCX393260:ODB393260 OMT393260:OMX393260 OWP393260:OWT393260 PGL393260:PGP393260 PQH393260:PQL393260 QAD393260:QAH393260 QJZ393260:QKD393260 QTV393260:QTZ393260 RDR393260:RDV393260 RNN393260:RNR393260 RXJ393260:RXN393260 SHF393260:SHJ393260 SRB393260:SRF393260 TAX393260:TBB393260 TKT393260:TKX393260 TUP393260:TUT393260 UEL393260:UEP393260 UOH393260:UOL393260 UYD393260:UYH393260 VHZ393260:VID393260 VRV393260:VRZ393260 WBR393260:WBV393260 WLN393260:WLR393260 WVJ393260:WVN393260 B458796:F458796 IX458796:JB458796 ST458796:SX458796 ACP458796:ACT458796 AML458796:AMP458796 AWH458796:AWL458796 BGD458796:BGH458796 BPZ458796:BQD458796 BZV458796:BZZ458796 CJR458796:CJV458796 CTN458796:CTR458796 DDJ458796:DDN458796 DNF458796:DNJ458796 DXB458796:DXF458796 EGX458796:EHB458796 EQT458796:EQX458796 FAP458796:FAT458796 FKL458796:FKP458796 FUH458796:FUL458796 GED458796:GEH458796 GNZ458796:GOD458796 GXV458796:GXZ458796 HHR458796:HHV458796 HRN458796:HRR458796 IBJ458796:IBN458796 ILF458796:ILJ458796 IVB458796:IVF458796 JEX458796:JFB458796 JOT458796:JOX458796 JYP458796:JYT458796 KIL458796:KIP458796 KSH458796:KSL458796 LCD458796:LCH458796 LLZ458796:LMD458796 LVV458796:LVZ458796 MFR458796:MFV458796 MPN458796:MPR458796 MZJ458796:MZN458796 NJF458796:NJJ458796 NTB458796:NTF458796 OCX458796:ODB458796 OMT458796:OMX458796 OWP458796:OWT458796 PGL458796:PGP458796 PQH458796:PQL458796 QAD458796:QAH458796 QJZ458796:QKD458796 QTV458796:QTZ458796 RDR458796:RDV458796 RNN458796:RNR458796 RXJ458796:RXN458796 SHF458796:SHJ458796 SRB458796:SRF458796 TAX458796:TBB458796 TKT458796:TKX458796 TUP458796:TUT458796 UEL458796:UEP458796 UOH458796:UOL458796 UYD458796:UYH458796 VHZ458796:VID458796 VRV458796:VRZ458796 WBR458796:WBV458796 WLN458796:WLR458796 WVJ458796:WVN458796 B524332:F524332 IX524332:JB524332 ST524332:SX524332 ACP524332:ACT524332 AML524332:AMP524332 AWH524332:AWL524332 BGD524332:BGH524332 BPZ524332:BQD524332 BZV524332:BZZ524332 CJR524332:CJV524332 CTN524332:CTR524332 DDJ524332:DDN524332 DNF524332:DNJ524332 DXB524332:DXF524332 EGX524332:EHB524332 EQT524332:EQX524332 FAP524332:FAT524332 FKL524332:FKP524332 FUH524332:FUL524332 GED524332:GEH524332 GNZ524332:GOD524332 GXV524332:GXZ524332 HHR524332:HHV524332 HRN524332:HRR524332 IBJ524332:IBN524332 ILF524332:ILJ524332 IVB524332:IVF524332 JEX524332:JFB524332 JOT524332:JOX524332 JYP524332:JYT524332 KIL524332:KIP524332 KSH524332:KSL524332 LCD524332:LCH524332 LLZ524332:LMD524332 LVV524332:LVZ524332 MFR524332:MFV524332 MPN524332:MPR524332 MZJ524332:MZN524332 NJF524332:NJJ524332 NTB524332:NTF524332 OCX524332:ODB524332 OMT524332:OMX524332 OWP524332:OWT524332 PGL524332:PGP524332 PQH524332:PQL524332 QAD524332:QAH524332 QJZ524332:QKD524332 QTV524332:QTZ524332 RDR524332:RDV524332 RNN524332:RNR524332 RXJ524332:RXN524332 SHF524332:SHJ524332 SRB524332:SRF524332 TAX524332:TBB524332 TKT524332:TKX524332 TUP524332:TUT524332 UEL524332:UEP524332 UOH524332:UOL524332 UYD524332:UYH524332 VHZ524332:VID524332 VRV524332:VRZ524332 WBR524332:WBV524332 WLN524332:WLR524332 WVJ524332:WVN524332 B589868:F589868 IX589868:JB589868 ST589868:SX589868 ACP589868:ACT589868 AML589868:AMP589868 AWH589868:AWL589868 BGD589868:BGH589868 BPZ589868:BQD589868 BZV589868:BZZ589868 CJR589868:CJV589868 CTN589868:CTR589868 DDJ589868:DDN589868 DNF589868:DNJ589868 DXB589868:DXF589868 EGX589868:EHB589868 EQT589868:EQX589868 FAP589868:FAT589868 FKL589868:FKP589868 FUH589868:FUL589868 GED589868:GEH589868 GNZ589868:GOD589868 GXV589868:GXZ589868 HHR589868:HHV589868 HRN589868:HRR589868 IBJ589868:IBN589868 ILF589868:ILJ589868 IVB589868:IVF589868 JEX589868:JFB589868 JOT589868:JOX589868 JYP589868:JYT589868 KIL589868:KIP589868 KSH589868:KSL589868 LCD589868:LCH589868 LLZ589868:LMD589868 LVV589868:LVZ589868 MFR589868:MFV589868 MPN589868:MPR589868 MZJ589868:MZN589868 NJF589868:NJJ589868 NTB589868:NTF589868 OCX589868:ODB589868 OMT589868:OMX589868 OWP589868:OWT589868 PGL589868:PGP589868 PQH589868:PQL589868 QAD589868:QAH589868 QJZ589868:QKD589868 QTV589868:QTZ589868 RDR589868:RDV589868 RNN589868:RNR589868 RXJ589868:RXN589868 SHF589868:SHJ589868 SRB589868:SRF589868 TAX589868:TBB589868 TKT589868:TKX589868 TUP589868:TUT589868 UEL589868:UEP589868 UOH589868:UOL589868 UYD589868:UYH589868 VHZ589868:VID589868 VRV589868:VRZ589868 WBR589868:WBV589868 WLN589868:WLR589868 WVJ589868:WVN589868 B655404:F655404 IX655404:JB655404 ST655404:SX655404 ACP655404:ACT655404 AML655404:AMP655404 AWH655404:AWL655404 BGD655404:BGH655404 BPZ655404:BQD655404 BZV655404:BZZ655404 CJR655404:CJV655404 CTN655404:CTR655404 DDJ655404:DDN655404 DNF655404:DNJ655404 DXB655404:DXF655404 EGX655404:EHB655404 EQT655404:EQX655404 FAP655404:FAT655404 FKL655404:FKP655404 FUH655404:FUL655404 GED655404:GEH655404 GNZ655404:GOD655404 GXV655404:GXZ655404 HHR655404:HHV655404 HRN655404:HRR655404 IBJ655404:IBN655404 ILF655404:ILJ655404 IVB655404:IVF655404 JEX655404:JFB655404 JOT655404:JOX655404 JYP655404:JYT655404 KIL655404:KIP655404 KSH655404:KSL655404 LCD655404:LCH655404 LLZ655404:LMD655404 LVV655404:LVZ655404 MFR655404:MFV655404 MPN655404:MPR655404 MZJ655404:MZN655404 NJF655404:NJJ655404 NTB655404:NTF655404 OCX655404:ODB655404 OMT655404:OMX655404 OWP655404:OWT655404 PGL655404:PGP655404 PQH655404:PQL655404 QAD655404:QAH655404 QJZ655404:QKD655404 QTV655404:QTZ655404 RDR655404:RDV655404 RNN655404:RNR655404 RXJ655404:RXN655404 SHF655404:SHJ655404 SRB655404:SRF655404 TAX655404:TBB655404 TKT655404:TKX655404 TUP655404:TUT655404 UEL655404:UEP655404 UOH655404:UOL655404 UYD655404:UYH655404 VHZ655404:VID655404 VRV655404:VRZ655404 WBR655404:WBV655404 WLN655404:WLR655404 WVJ655404:WVN655404 B720940:F720940 IX720940:JB720940 ST720940:SX720940 ACP720940:ACT720940 AML720940:AMP720940 AWH720940:AWL720940 BGD720940:BGH720940 BPZ720940:BQD720940 BZV720940:BZZ720940 CJR720940:CJV720940 CTN720940:CTR720940 DDJ720940:DDN720940 DNF720940:DNJ720940 DXB720940:DXF720940 EGX720940:EHB720940 EQT720940:EQX720940 FAP720940:FAT720940 FKL720940:FKP720940 FUH720940:FUL720940 GED720940:GEH720940 GNZ720940:GOD720940 GXV720940:GXZ720940 HHR720940:HHV720940 HRN720940:HRR720940 IBJ720940:IBN720940 ILF720940:ILJ720940 IVB720940:IVF720940 JEX720940:JFB720940 JOT720940:JOX720940 JYP720940:JYT720940 KIL720940:KIP720940 KSH720940:KSL720940 LCD720940:LCH720940 LLZ720940:LMD720940 LVV720940:LVZ720940 MFR720940:MFV720940 MPN720940:MPR720940 MZJ720940:MZN720940 NJF720940:NJJ720940 NTB720940:NTF720940 OCX720940:ODB720940 OMT720940:OMX720940 OWP720940:OWT720940 PGL720940:PGP720940 PQH720940:PQL720940 QAD720940:QAH720940 QJZ720940:QKD720940 QTV720940:QTZ720940 RDR720940:RDV720940 RNN720940:RNR720940 RXJ720940:RXN720940 SHF720940:SHJ720940 SRB720940:SRF720940 TAX720940:TBB720940 TKT720940:TKX720940 TUP720940:TUT720940 UEL720940:UEP720940 UOH720940:UOL720940 UYD720940:UYH720940 VHZ720940:VID720940 VRV720940:VRZ720940 WBR720940:WBV720940 WLN720940:WLR720940 WVJ720940:WVN720940 B786476:F786476 IX786476:JB786476 ST786476:SX786476 ACP786476:ACT786476 AML786476:AMP786476 AWH786476:AWL786476 BGD786476:BGH786476 BPZ786476:BQD786476 BZV786476:BZZ786476 CJR786476:CJV786476 CTN786476:CTR786476 DDJ786476:DDN786476 DNF786476:DNJ786476 DXB786476:DXF786476 EGX786476:EHB786476 EQT786476:EQX786476 FAP786476:FAT786476 FKL786476:FKP786476 FUH786476:FUL786476 GED786476:GEH786476 GNZ786476:GOD786476 GXV786476:GXZ786476 HHR786476:HHV786476 HRN786476:HRR786476 IBJ786476:IBN786476 ILF786476:ILJ786476 IVB786476:IVF786476 JEX786476:JFB786476 JOT786476:JOX786476 JYP786476:JYT786476 KIL786476:KIP786476 KSH786476:KSL786476 LCD786476:LCH786476 LLZ786476:LMD786476 LVV786476:LVZ786476 MFR786476:MFV786476 MPN786476:MPR786476 MZJ786476:MZN786476 NJF786476:NJJ786476 NTB786476:NTF786476 OCX786476:ODB786476 OMT786476:OMX786476 OWP786476:OWT786476 PGL786476:PGP786476 PQH786476:PQL786476 QAD786476:QAH786476 QJZ786476:QKD786476 QTV786476:QTZ786476 RDR786476:RDV786476 RNN786476:RNR786476 RXJ786476:RXN786476 SHF786476:SHJ786476 SRB786476:SRF786476 TAX786476:TBB786476 TKT786476:TKX786476 TUP786476:TUT786476 UEL786476:UEP786476 UOH786476:UOL786476 UYD786476:UYH786476 VHZ786476:VID786476 VRV786476:VRZ786476 WBR786476:WBV786476 WLN786476:WLR786476 WVJ786476:WVN786476 B852012:F852012 IX852012:JB852012 ST852012:SX852012 ACP852012:ACT852012 AML852012:AMP852012 AWH852012:AWL852012 BGD852012:BGH852012 BPZ852012:BQD852012 BZV852012:BZZ852012 CJR852012:CJV852012 CTN852012:CTR852012 DDJ852012:DDN852012 DNF852012:DNJ852012 DXB852012:DXF852012 EGX852012:EHB852012 EQT852012:EQX852012 FAP852012:FAT852012 FKL852012:FKP852012 FUH852012:FUL852012 GED852012:GEH852012 GNZ852012:GOD852012 GXV852012:GXZ852012 HHR852012:HHV852012 HRN852012:HRR852012 IBJ852012:IBN852012 ILF852012:ILJ852012 IVB852012:IVF852012 JEX852012:JFB852012 JOT852012:JOX852012 JYP852012:JYT852012 KIL852012:KIP852012 KSH852012:KSL852012 LCD852012:LCH852012 LLZ852012:LMD852012 LVV852012:LVZ852012 MFR852012:MFV852012 MPN852012:MPR852012 MZJ852012:MZN852012 NJF852012:NJJ852012 NTB852012:NTF852012 OCX852012:ODB852012 OMT852012:OMX852012 OWP852012:OWT852012 PGL852012:PGP852012 PQH852012:PQL852012 QAD852012:QAH852012 QJZ852012:QKD852012 QTV852012:QTZ852012 RDR852012:RDV852012 RNN852012:RNR852012 RXJ852012:RXN852012 SHF852012:SHJ852012 SRB852012:SRF852012 TAX852012:TBB852012 TKT852012:TKX852012 TUP852012:TUT852012 UEL852012:UEP852012 UOH852012:UOL852012 UYD852012:UYH852012 VHZ852012:VID852012 VRV852012:VRZ852012 WBR852012:WBV852012 WLN852012:WLR852012 WVJ852012:WVN852012 B917548:F917548 IX917548:JB917548 ST917548:SX917548 ACP917548:ACT917548 AML917548:AMP917548 AWH917548:AWL917548 BGD917548:BGH917548 BPZ917548:BQD917548 BZV917548:BZZ917548 CJR917548:CJV917548 CTN917548:CTR917548 DDJ917548:DDN917548 DNF917548:DNJ917548 DXB917548:DXF917548 EGX917548:EHB917548 EQT917548:EQX917548 FAP917548:FAT917548 FKL917548:FKP917548 FUH917548:FUL917548 GED917548:GEH917548 GNZ917548:GOD917548 GXV917548:GXZ917548 HHR917548:HHV917548 HRN917548:HRR917548 IBJ917548:IBN917548 ILF917548:ILJ917548 IVB917548:IVF917548 JEX917548:JFB917548 JOT917548:JOX917548 JYP917548:JYT917548 KIL917548:KIP917548 KSH917548:KSL917548 LCD917548:LCH917548 LLZ917548:LMD917548 LVV917548:LVZ917548 MFR917548:MFV917548 MPN917548:MPR917548 MZJ917548:MZN917548 NJF917548:NJJ917548 NTB917548:NTF917548 OCX917548:ODB917548 OMT917548:OMX917548 OWP917548:OWT917548 PGL917548:PGP917548 PQH917548:PQL917548 QAD917548:QAH917548 QJZ917548:QKD917548 QTV917548:QTZ917548 RDR917548:RDV917548 RNN917548:RNR917548 RXJ917548:RXN917548 SHF917548:SHJ917548 SRB917548:SRF917548 TAX917548:TBB917548 TKT917548:TKX917548 TUP917548:TUT917548 UEL917548:UEP917548 UOH917548:UOL917548 UYD917548:UYH917548 VHZ917548:VID917548 VRV917548:VRZ917548 WBR917548:WBV917548 WLN917548:WLR917548 WVJ917548:WVN917548 B983084:F983084 IX983084:JB983084 ST983084:SX983084 ACP983084:ACT983084 AML983084:AMP983084 AWH983084:AWL983084 BGD983084:BGH983084 BPZ983084:BQD983084 BZV983084:BZZ983084 CJR983084:CJV983084 CTN983084:CTR983084 DDJ983084:DDN983084 DNF983084:DNJ983084 DXB983084:DXF983084 EGX983084:EHB983084 EQT983084:EQX983084 FAP983084:FAT983084 FKL983084:FKP983084 FUH983084:FUL983084 GED983084:GEH983084 GNZ983084:GOD983084 GXV983084:GXZ983084 HHR983084:HHV983084 HRN983084:HRR983084 IBJ983084:IBN983084 ILF983084:ILJ983084 IVB983084:IVF983084 JEX983084:JFB983084 JOT983084:JOX983084 JYP983084:JYT983084 KIL983084:KIP983084 KSH983084:KSL983084 LCD983084:LCH983084 LLZ983084:LMD983084 LVV983084:LVZ983084 MFR983084:MFV983084 MPN983084:MPR983084 MZJ983084:MZN983084 NJF983084:NJJ983084 NTB983084:NTF983084 OCX983084:ODB983084 OMT983084:OMX983084 OWP983084:OWT983084 PGL983084:PGP983084 PQH983084:PQL983084 QAD983084:QAH983084 QJZ983084:QKD983084 QTV983084:QTZ983084 RDR983084:RDV983084 RNN983084:RNR983084 RXJ983084:RXN983084 SHF983084:SHJ983084 SRB983084:SRF983084 TAX983084:TBB983084 TKT983084:TKX983084 TUP983084:TUT983084 UEL983084:UEP983084 UOH983084:UOL983084 UYD983084:UYH983084 VHZ983084:VID983084 VRV983084:VRZ983084 WBR983084:WBV983084 WLN983084:WLR983084 WVJ983084:WVN983084 B17:F17 IX17:JB17 ST17:SX17 ACP17:ACT17 AML17:AMP17 AWH17:AWL17 BGD17:BGH17 BPZ17:BQD17 BZV17:BZZ17 CJR17:CJV17 CTN17:CTR17 DDJ17:DDN17 DNF17:DNJ17 DXB17:DXF17 EGX17:EHB17 EQT17:EQX17 FAP17:FAT17 FKL17:FKP17 FUH17:FUL17 GED17:GEH17 GNZ17:GOD17 GXV17:GXZ17 HHR17:HHV17 HRN17:HRR17 IBJ17:IBN17 ILF17:ILJ17 IVB17:IVF17 JEX17:JFB17 JOT17:JOX17 JYP17:JYT17 KIL17:KIP17 KSH17:KSL17 LCD17:LCH17 LLZ17:LMD17 LVV17:LVZ17 MFR17:MFV17 MPN17:MPR17 MZJ17:MZN17 NJF17:NJJ17 NTB17:NTF17 OCX17:ODB17 OMT17:OMX17 OWP17:OWT17 PGL17:PGP17 PQH17:PQL17 QAD17:QAH17 QJZ17:QKD17 QTV17:QTZ17 RDR17:RDV17 RNN17:RNR17 RXJ17:RXN17 SHF17:SHJ17 SRB17:SRF17 TAX17:TBB17 TKT17:TKX17 TUP17:TUT17 UEL17:UEP17 UOH17:UOL17 UYD17:UYH17 VHZ17:VID17 VRV17:VRZ17 WBR17:WBV17 WLN17:WLR17 WVJ17:WVN17">
      <formula1>"应付税款法,资产负债表债务法,其他"</formula1>
    </dataValidation>
    <dataValidation type="list" allowBlank="1" showInputMessage="1" showErrorMessage="1" sqref="B65579:F65579 IX65579:JB65579 ST65579:SX65579 ACP65579:ACT65579 AML65579:AMP65579 AWH65579:AWL65579 BGD65579:BGH65579 BPZ65579:BQD65579 BZV65579:BZZ65579 CJR65579:CJV65579 CTN65579:CTR65579 DDJ65579:DDN65579 DNF65579:DNJ65579 DXB65579:DXF65579 EGX65579:EHB65579 EQT65579:EQX65579 FAP65579:FAT65579 FKL65579:FKP65579 FUH65579:FUL65579 GED65579:GEH65579 GNZ65579:GOD65579 GXV65579:GXZ65579 HHR65579:HHV65579 HRN65579:HRR65579 IBJ65579:IBN65579 ILF65579:ILJ65579 IVB65579:IVF65579 JEX65579:JFB65579 JOT65579:JOX65579 JYP65579:JYT65579 KIL65579:KIP65579 KSH65579:KSL65579 LCD65579:LCH65579 LLZ65579:LMD65579 LVV65579:LVZ65579 MFR65579:MFV65579 MPN65579:MPR65579 MZJ65579:MZN65579 NJF65579:NJJ65579 NTB65579:NTF65579 OCX65579:ODB65579 OMT65579:OMX65579 OWP65579:OWT65579 PGL65579:PGP65579 PQH65579:PQL65579 QAD65579:QAH65579 QJZ65579:QKD65579 QTV65579:QTZ65579 RDR65579:RDV65579 RNN65579:RNR65579 RXJ65579:RXN65579 SHF65579:SHJ65579 SRB65579:SRF65579 TAX65579:TBB65579 TKT65579:TKX65579 TUP65579:TUT65579 UEL65579:UEP65579 UOH65579:UOL65579 UYD65579:UYH65579 VHZ65579:VID65579 VRV65579:VRZ65579 WBR65579:WBV65579 WLN65579:WLR65579 WVJ65579:WVN65579 B131115:F131115 IX131115:JB131115 ST131115:SX131115 ACP131115:ACT131115 AML131115:AMP131115 AWH131115:AWL131115 BGD131115:BGH131115 BPZ131115:BQD131115 BZV131115:BZZ131115 CJR131115:CJV131115 CTN131115:CTR131115 DDJ131115:DDN131115 DNF131115:DNJ131115 DXB131115:DXF131115 EGX131115:EHB131115 EQT131115:EQX131115 FAP131115:FAT131115 FKL131115:FKP131115 FUH131115:FUL131115 GED131115:GEH131115 GNZ131115:GOD131115 GXV131115:GXZ131115 HHR131115:HHV131115 HRN131115:HRR131115 IBJ131115:IBN131115 ILF131115:ILJ131115 IVB131115:IVF131115 JEX131115:JFB131115 JOT131115:JOX131115 JYP131115:JYT131115 KIL131115:KIP131115 KSH131115:KSL131115 LCD131115:LCH131115 LLZ131115:LMD131115 LVV131115:LVZ131115 MFR131115:MFV131115 MPN131115:MPR131115 MZJ131115:MZN131115 NJF131115:NJJ131115 NTB131115:NTF131115 OCX131115:ODB131115 OMT131115:OMX131115 OWP131115:OWT131115 PGL131115:PGP131115 PQH131115:PQL131115 QAD131115:QAH131115 QJZ131115:QKD131115 QTV131115:QTZ131115 RDR131115:RDV131115 RNN131115:RNR131115 RXJ131115:RXN131115 SHF131115:SHJ131115 SRB131115:SRF131115 TAX131115:TBB131115 TKT131115:TKX131115 TUP131115:TUT131115 UEL131115:UEP131115 UOH131115:UOL131115 UYD131115:UYH131115 VHZ131115:VID131115 VRV131115:VRZ131115 WBR131115:WBV131115 WLN131115:WLR131115 WVJ131115:WVN131115 B196651:F196651 IX196651:JB196651 ST196651:SX196651 ACP196651:ACT196651 AML196651:AMP196651 AWH196651:AWL196651 BGD196651:BGH196651 BPZ196651:BQD196651 BZV196651:BZZ196651 CJR196651:CJV196651 CTN196651:CTR196651 DDJ196651:DDN196651 DNF196651:DNJ196651 DXB196651:DXF196651 EGX196651:EHB196651 EQT196651:EQX196651 FAP196651:FAT196651 FKL196651:FKP196651 FUH196651:FUL196651 GED196651:GEH196651 GNZ196651:GOD196651 GXV196651:GXZ196651 HHR196651:HHV196651 HRN196651:HRR196651 IBJ196651:IBN196651 ILF196651:ILJ196651 IVB196651:IVF196651 JEX196651:JFB196651 JOT196651:JOX196651 JYP196651:JYT196651 KIL196651:KIP196651 KSH196651:KSL196651 LCD196651:LCH196651 LLZ196651:LMD196651 LVV196651:LVZ196651 MFR196651:MFV196651 MPN196651:MPR196651 MZJ196651:MZN196651 NJF196651:NJJ196651 NTB196651:NTF196651 OCX196651:ODB196651 OMT196651:OMX196651 OWP196651:OWT196651 PGL196651:PGP196651 PQH196651:PQL196651 QAD196651:QAH196651 QJZ196651:QKD196651 QTV196651:QTZ196651 RDR196651:RDV196651 RNN196651:RNR196651 RXJ196651:RXN196651 SHF196651:SHJ196651 SRB196651:SRF196651 TAX196651:TBB196651 TKT196651:TKX196651 TUP196651:TUT196651 UEL196651:UEP196651 UOH196651:UOL196651 UYD196651:UYH196651 VHZ196651:VID196651 VRV196651:VRZ196651 WBR196651:WBV196651 WLN196651:WLR196651 WVJ196651:WVN196651 B262187:F262187 IX262187:JB262187 ST262187:SX262187 ACP262187:ACT262187 AML262187:AMP262187 AWH262187:AWL262187 BGD262187:BGH262187 BPZ262187:BQD262187 BZV262187:BZZ262187 CJR262187:CJV262187 CTN262187:CTR262187 DDJ262187:DDN262187 DNF262187:DNJ262187 DXB262187:DXF262187 EGX262187:EHB262187 EQT262187:EQX262187 FAP262187:FAT262187 FKL262187:FKP262187 FUH262187:FUL262187 GED262187:GEH262187 GNZ262187:GOD262187 GXV262187:GXZ262187 HHR262187:HHV262187 HRN262187:HRR262187 IBJ262187:IBN262187 ILF262187:ILJ262187 IVB262187:IVF262187 JEX262187:JFB262187 JOT262187:JOX262187 JYP262187:JYT262187 KIL262187:KIP262187 KSH262187:KSL262187 LCD262187:LCH262187 LLZ262187:LMD262187 LVV262187:LVZ262187 MFR262187:MFV262187 MPN262187:MPR262187 MZJ262187:MZN262187 NJF262187:NJJ262187 NTB262187:NTF262187 OCX262187:ODB262187 OMT262187:OMX262187 OWP262187:OWT262187 PGL262187:PGP262187 PQH262187:PQL262187 QAD262187:QAH262187 QJZ262187:QKD262187 QTV262187:QTZ262187 RDR262187:RDV262187 RNN262187:RNR262187 RXJ262187:RXN262187 SHF262187:SHJ262187 SRB262187:SRF262187 TAX262187:TBB262187 TKT262187:TKX262187 TUP262187:TUT262187 UEL262187:UEP262187 UOH262187:UOL262187 UYD262187:UYH262187 VHZ262187:VID262187 VRV262187:VRZ262187 WBR262187:WBV262187 WLN262187:WLR262187 WVJ262187:WVN262187 B327723:F327723 IX327723:JB327723 ST327723:SX327723 ACP327723:ACT327723 AML327723:AMP327723 AWH327723:AWL327723 BGD327723:BGH327723 BPZ327723:BQD327723 BZV327723:BZZ327723 CJR327723:CJV327723 CTN327723:CTR327723 DDJ327723:DDN327723 DNF327723:DNJ327723 DXB327723:DXF327723 EGX327723:EHB327723 EQT327723:EQX327723 FAP327723:FAT327723 FKL327723:FKP327723 FUH327723:FUL327723 GED327723:GEH327723 GNZ327723:GOD327723 GXV327723:GXZ327723 HHR327723:HHV327723 HRN327723:HRR327723 IBJ327723:IBN327723 ILF327723:ILJ327723 IVB327723:IVF327723 JEX327723:JFB327723 JOT327723:JOX327723 JYP327723:JYT327723 KIL327723:KIP327723 KSH327723:KSL327723 LCD327723:LCH327723 LLZ327723:LMD327723 LVV327723:LVZ327723 MFR327723:MFV327723 MPN327723:MPR327723 MZJ327723:MZN327723 NJF327723:NJJ327723 NTB327723:NTF327723 OCX327723:ODB327723 OMT327723:OMX327723 OWP327723:OWT327723 PGL327723:PGP327723 PQH327723:PQL327723 QAD327723:QAH327723 QJZ327723:QKD327723 QTV327723:QTZ327723 RDR327723:RDV327723 RNN327723:RNR327723 RXJ327723:RXN327723 SHF327723:SHJ327723 SRB327723:SRF327723 TAX327723:TBB327723 TKT327723:TKX327723 TUP327723:TUT327723 UEL327723:UEP327723 UOH327723:UOL327723 UYD327723:UYH327723 VHZ327723:VID327723 VRV327723:VRZ327723 WBR327723:WBV327723 WLN327723:WLR327723 WVJ327723:WVN327723 B393259:F393259 IX393259:JB393259 ST393259:SX393259 ACP393259:ACT393259 AML393259:AMP393259 AWH393259:AWL393259 BGD393259:BGH393259 BPZ393259:BQD393259 BZV393259:BZZ393259 CJR393259:CJV393259 CTN393259:CTR393259 DDJ393259:DDN393259 DNF393259:DNJ393259 DXB393259:DXF393259 EGX393259:EHB393259 EQT393259:EQX393259 FAP393259:FAT393259 FKL393259:FKP393259 FUH393259:FUL393259 GED393259:GEH393259 GNZ393259:GOD393259 GXV393259:GXZ393259 HHR393259:HHV393259 HRN393259:HRR393259 IBJ393259:IBN393259 ILF393259:ILJ393259 IVB393259:IVF393259 JEX393259:JFB393259 JOT393259:JOX393259 JYP393259:JYT393259 KIL393259:KIP393259 KSH393259:KSL393259 LCD393259:LCH393259 LLZ393259:LMD393259 LVV393259:LVZ393259 MFR393259:MFV393259 MPN393259:MPR393259 MZJ393259:MZN393259 NJF393259:NJJ393259 NTB393259:NTF393259 OCX393259:ODB393259 OMT393259:OMX393259 OWP393259:OWT393259 PGL393259:PGP393259 PQH393259:PQL393259 QAD393259:QAH393259 QJZ393259:QKD393259 QTV393259:QTZ393259 RDR393259:RDV393259 RNN393259:RNR393259 RXJ393259:RXN393259 SHF393259:SHJ393259 SRB393259:SRF393259 TAX393259:TBB393259 TKT393259:TKX393259 TUP393259:TUT393259 UEL393259:UEP393259 UOH393259:UOL393259 UYD393259:UYH393259 VHZ393259:VID393259 VRV393259:VRZ393259 WBR393259:WBV393259 WLN393259:WLR393259 WVJ393259:WVN393259 B458795:F458795 IX458795:JB458795 ST458795:SX458795 ACP458795:ACT458795 AML458795:AMP458795 AWH458795:AWL458795 BGD458795:BGH458795 BPZ458795:BQD458795 BZV458795:BZZ458795 CJR458795:CJV458795 CTN458795:CTR458795 DDJ458795:DDN458795 DNF458795:DNJ458795 DXB458795:DXF458795 EGX458795:EHB458795 EQT458795:EQX458795 FAP458795:FAT458795 FKL458795:FKP458795 FUH458795:FUL458795 GED458795:GEH458795 GNZ458795:GOD458795 GXV458795:GXZ458795 HHR458795:HHV458795 HRN458795:HRR458795 IBJ458795:IBN458795 ILF458795:ILJ458795 IVB458795:IVF458795 JEX458795:JFB458795 JOT458795:JOX458795 JYP458795:JYT458795 KIL458795:KIP458795 KSH458795:KSL458795 LCD458795:LCH458795 LLZ458795:LMD458795 LVV458795:LVZ458795 MFR458795:MFV458795 MPN458795:MPR458795 MZJ458795:MZN458795 NJF458795:NJJ458795 NTB458795:NTF458795 OCX458795:ODB458795 OMT458795:OMX458795 OWP458795:OWT458795 PGL458795:PGP458795 PQH458795:PQL458795 QAD458795:QAH458795 QJZ458795:QKD458795 QTV458795:QTZ458795 RDR458795:RDV458795 RNN458795:RNR458795 RXJ458795:RXN458795 SHF458795:SHJ458795 SRB458795:SRF458795 TAX458795:TBB458795 TKT458795:TKX458795 TUP458795:TUT458795 UEL458795:UEP458795 UOH458795:UOL458795 UYD458795:UYH458795 VHZ458795:VID458795 VRV458795:VRZ458795 WBR458795:WBV458795 WLN458795:WLR458795 WVJ458795:WVN458795 B524331:F524331 IX524331:JB524331 ST524331:SX524331 ACP524331:ACT524331 AML524331:AMP524331 AWH524331:AWL524331 BGD524331:BGH524331 BPZ524331:BQD524331 BZV524331:BZZ524331 CJR524331:CJV524331 CTN524331:CTR524331 DDJ524331:DDN524331 DNF524331:DNJ524331 DXB524331:DXF524331 EGX524331:EHB524331 EQT524331:EQX524331 FAP524331:FAT524331 FKL524331:FKP524331 FUH524331:FUL524331 GED524331:GEH524331 GNZ524331:GOD524331 GXV524331:GXZ524331 HHR524331:HHV524331 HRN524331:HRR524331 IBJ524331:IBN524331 ILF524331:ILJ524331 IVB524331:IVF524331 JEX524331:JFB524331 JOT524331:JOX524331 JYP524331:JYT524331 KIL524331:KIP524331 KSH524331:KSL524331 LCD524331:LCH524331 LLZ524331:LMD524331 LVV524331:LVZ524331 MFR524331:MFV524331 MPN524331:MPR524331 MZJ524331:MZN524331 NJF524331:NJJ524331 NTB524331:NTF524331 OCX524331:ODB524331 OMT524331:OMX524331 OWP524331:OWT524331 PGL524331:PGP524331 PQH524331:PQL524331 QAD524331:QAH524331 QJZ524331:QKD524331 QTV524331:QTZ524331 RDR524331:RDV524331 RNN524331:RNR524331 RXJ524331:RXN524331 SHF524331:SHJ524331 SRB524331:SRF524331 TAX524331:TBB524331 TKT524331:TKX524331 TUP524331:TUT524331 UEL524331:UEP524331 UOH524331:UOL524331 UYD524331:UYH524331 VHZ524331:VID524331 VRV524331:VRZ524331 WBR524331:WBV524331 WLN524331:WLR524331 WVJ524331:WVN524331 B589867:F589867 IX589867:JB589867 ST589867:SX589867 ACP589867:ACT589867 AML589867:AMP589867 AWH589867:AWL589867 BGD589867:BGH589867 BPZ589867:BQD589867 BZV589867:BZZ589867 CJR589867:CJV589867 CTN589867:CTR589867 DDJ589867:DDN589867 DNF589867:DNJ589867 DXB589867:DXF589867 EGX589867:EHB589867 EQT589867:EQX589867 FAP589867:FAT589867 FKL589867:FKP589867 FUH589867:FUL589867 GED589867:GEH589867 GNZ589867:GOD589867 GXV589867:GXZ589867 HHR589867:HHV589867 HRN589867:HRR589867 IBJ589867:IBN589867 ILF589867:ILJ589867 IVB589867:IVF589867 JEX589867:JFB589867 JOT589867:JOX589867 JYP589867:JYT589867 KIL589867:KIP589867 KSH589867:KSL589867 LCD589867:LCH589867 LLZ589867:LMD589867 LVV589867:LVZ589867 MFR589867:MFV589867 MPN589867:MPR589867 MZJ589867:MZN589867 NJF589867:NJJ589867 NTB589867:NTF589867 OCX589867:ODB589867 OMT589867:OMX589867 OWP589867:OWT589867 PGL589867:PGP589867 PQH589867:PQL589867 QAD589867:QAH589867 QJZ589867:QKD589867 QTV589867:QTZ589867 RDR589867:RDV589867 RNN589867:RNR589867 RXJ589867:RXN589867 SHF589867:SHJ589867 SRB589867:SRF589867 TAX589867:TBB589867 TKT589867:TKX589867 TUP589867:TUT589867 UEL589867:UEP589867 UOH589867:UOL589867 UYD589867:UYH589867 VHZ589867:VID589867 VRV589867:VRZ589867 WBR589867:WBV589867 WLN589867:WLR589867 WVJ589867:WVN589867 B655403:F655403 IX655403:JB655403 ST655403:SX655403 ACP655403:ACT655403 AML655403:AMP655403 AWH655403:AWL655403 BGD655403:BGH655403 BPZ655403:BQD655403 BZV655403:BZZ655403 CJR655403:CJV655403 CTN655403:CTR655403 DDJ655403:DDN655403 DNF655403:DNJ655403 DXB655403:DXF655403 EGX655403:EHB655403 EQT655403:EQX655403 FAP655403:FAT655403 FKL655403:FKP655403 FUH655403:FUL655403 GED655403:GEH655403 GNZ655403:GOD655403 GXV655403:GXZ655403 HHR655403:HHV655403 HRN655403:HRR655403 IBJ655403:IBN655403 ILF655403:ILJ655403 IVB655403:IVF655403 JEX655403:JFB655403 JOT655403:JOX655403 JYP655403:JYT655403 KIL655403:KIP655403 KSH655403:KSL655403 LCD655403:LCH655403 LLZ655403:LMD655403 LVV655403:LVZ655403 MFR655403:MFV655403 MPN655403:MPR655403 MZJ655403:MZN655403 NJF655403:NJJ655403 NTB655403:NTF655403 OCX655403:ODB655403 OMT655403:OMX655403 OWP655403:OWT655403 PGL655403:PGP655403 PQH655403:PQL655403 QAD655403:QAH655403 QJZ655403:QKD655403 QTV655403:QTZ655403 RDR655403:RDV655403 RNN655403:RNR655403 RXJ655403:RXN655403 SHF655403:SHJ655403 SRB655403:SRF655403 TAX655403:TBB655403 TKT655403:TKX655403 TUP655403:TUT655403 UEL655403:UEP655403 UOH655403:UOL655403 UYD655403:UYH655403 VHZ655403:VID655403 VRV655403:VRZ655403 WBR655403:WBV655403 WLN655403:WLR655403 WVJ655403:WVN655403 B720939:F720939 IX720939:JB720939 ST720939:SX720939 ACP720939:ACT720939 AML720939:AMP720939 AWH720939:AWL720939 BGD720939:BGH720939 BPZ720939:BQD720939 BZV720939:BZZ720939 CJR720939:CJV720939 CTN720939:CTR720939 DDJ720939:DDN720939 DNF720939:DNJ720939 DXB720939:DXF720939 EGX720939:EHB720939 EQT720939:EQX720939 FAP720939:FAT720939 FKL720939:FKP720939 FUH720939:FUL720939 GED720939:GEH720939 GNZ720939:GOD720939 GXV720939:GXZ720939 HHR720939:HHV720939 HRN720939:HRR720939 IBJ720939:IBN720939 ILF720939:ILJ720939 IVB720939:IVF720939 JEX720939:JFB720939 JOT720939:JOX720939 JYP720939:JYT720939 KIL720939:KIP720939 KSH720939:KSL720939 LCD720939:LCH720939 LLZ720939:LMD720939 LVV720939:LVZ720939 MFR720939:MFV720939 MPN720939:MPR720939 MZJ720939:MZN720939 NJF720939:NJJ720939 NTB720939:NTF720939 OCX720939:ODB720939 OMT720939:OMX720939 OWP720939:OWT720939 PGL720939:PGP720939 PQH720939:PQL720939 QAD720939:QAH720939 QJZ720939:QKD720939 QTV720939:QTZ720939 RDR720939:RDV720939 RNN720939:RNR720939 RXJ720939:RXN720939 SHF720939:SHJ720939 SRB720939:SRF720939 TAX720939:TBB720939 TKT720939:TKX720939 TUP720939:TUT720939 UEL720939:UEP720939 UOH720939:UOL720939 UYD720939:UYH720939 VHZ720939:VID720939 VRV720939:VRZ720939 WBR720939:WBV720939 WLN720939:WLR720939 WVJ720939:WVN720939 B786475:F786475 IX786475:JB786475 ST786475:SX786475 ACP786475:ACT786475 AML786475:AMP786475 AWH786475:AWL786475 BGD786475:BGH786475 BPZ786475:BQD786475 BZV786475:BZZ786475 CJR786475:CJV786475 CTN786475:CTR786475 DDJ786475:DDN786475 DNF786475:DNJ786475 DXB786475:DXF786475 EGX786475:EHB786475 EQT786475:EQX786475 FAP786475:FAT786475 FKL786475:FKP786475 FUH786475:FUL786475 GED786475:GEH786475 GNZ786475:GOD786475 GXV786475:GXZ786475 HHR786475:HHV786475 HRN786475:HRR786475 IBJ786475:IBN786475 ILF786475:ILJ786475 IVB786475:IVF786475 JEX786475:JFB786475 JOT786475:JOX786475 JYP786475:JYT786475 KIL786475:KIP786475 KSH786475:KSL786475 LCD786475:LCH786475 LLZ786475:LMD786475 LVV786475:LVZ786475 MFR786475:MFV786475 MPN786475:MPR786475 MZJ786475:MZN786475 NJF786475:NJJ786475 NTB786475:NTF786475 OCX786475:ODB786475 OMT786475:OMX786475 OWP786475:OWT786475 PGL786475:PGP786475 PQH786475:PQL786475 QAD786475:QAH786475 QJZ786475:QKD786475 QTV786475:QTZ786475 RDR786475:RDV786475 RNN786475:RNR786475 RXJ786475:RXN786475 SHF786475:SHJ786475 SRB786475:SRF786475 TAX786475:TBB786475 TKT786475:TKX786475 TUP786475:TUT786475 UEL786475:UEP786475 UOH786475:UOL786475 UYD786475:UYH786475 VHZ786475:VID786475 VRV786475:VRZ786475 WBR786475:WBV786475 WLN786475:WLR786475 WVJ786475:WVN786475 B852011:F852011 IX852011:JB852011 ST852011:SX852011 ACP852011:ACT852011 AML852011:AMP852011 AWH852011:AWL852011 BGD852011:BGH852011 BPZ852011:BQD852011 BZV852011:BZZ852011 CJR852011:CJV852011 CTN852011:CTR852011 DDJ852011:DDN852011 DNF852011:DNJ852011 DXB852011:DXF852011 EGX852011:EHB852011 EQT852011:EQX852011 FAP852011:FAT852011 FKL852011:FKP852011 FUH852011:FUL852011 GED852011:GEH852011 GNZ852011:GOD852011 GXV852011:GXZ852011 HHR852011:HHV852011 HRN852011:HRR852011 IBJ852011:IBN852011 ILF852011:ILJ852011 IVB852011:IVF852011 JEX852011:JFB852011 JOT852011:JOX852011 JYP852011:JYT852011 KIL852011:KIP852011 KSH852011:KSL852011 LCD852011:LCH852011 LLZ852011:LMD852011 LVV852011:LVZ852011 MFR852011:MFV852011 MPN852011:MPR852011 MZJ852011:MZN852011 NJF852011:NJJ852011 NTB852011:NTF852011 OCX852011:ODB852011 OMT852011:OMX852011 OWP852011:OWT852011 PGL852011:PGP852011 PQH852011:PQL852011 QAD852011:QAH852011 QJZ852011:QKD852011 QTV852011:QTZ852011 RDR852011:RDV852011 RNN852011:RNR852011 RXJ852011:RXN852011 SHF852011:SHJ852011 SRB852011:SRF852011 TAX852011:TBB852011 TKT852011:TKX852011 TUP852011:TUT852011 UEL852011:UEP852011 UOH852011:UOL852011 UYD852011:UYH852011 VHZ852011:VID852011 VRV852011:VRZ852011 WBR852011:WBV852011 WLN852011:WLR852011 WVJ852011:WVN852011 B917547:F917547 IX917547:JB917547 ST917547:SX917547 ACP917547:ACT917547 AML917547:AMP917547 AWH917547:AWL917547 BGD917547:BGH917547 BPZ917547:BQD917547 BZV917547:BZZ917547 CJR917547:CJV917547 CTN917547:CTR917547 DDJ917547:DDN917547 DNF917547:DNJ917547 DXB917547:DXF917547 EGX917547:EHB917547 EQT917547:EQX917547 FAP917547:FAT917547 FKL917547:FKP917547 FUH917547:FUL917547 GED917547:GEH917547 GNZ917547:GOD917547 GXV917547:GXZ917547 HHR917547:HHV917547 HRN917547:HRR917547 IBJ917547:IBN917547 ILF917547:ILJ917547 IVB917547:IVF917547 JEX917547:JFB917547 JOT917547:JOX917547 JYP917547:JYT917547 KIL917547:KIP917547 KSH917547:KSL917547 LCD917547:LCH917547 LLZ917547:LMD917547 LVV917547:LVZ917547 MFR917547:MFV917547 MPN917547:MPR917547 MZJ917547:MZN917547 NJF917547:NJJ917547 NTB917547:NTF917547 OCX917547:ODB917547 OMT917547:OMX917547 OWP917547:OWT917547 PGL917547:PGP917547 PQH917547:PQL917547 QAD917547:QAH917547 QJZ917547:QKD917547 QTV917547:QTZ917547 RDR917547:RDV917547 RNN917547:RNR917547 RXJ917547:RXN917547 SHF917547:SHJ917547 SRB917547:SRF917547 TAX917547:TBB917547 TKT917547:TKX917547 TUP917547:TUT917547 UEL917547:UEP917547 UOH917547:UOL917547 UYD917547:UYH917547 VHZ917547:VID917547 VRV917547:VRZ917547 WBR917547:WBV917547 WLN917547:WLR917547 WVJ917547:WVN917547 B983083:F983083 IX983083:JB983083 ST983083:SX983083 ACP983083:ACT983083 AML983083:AMP983083 AWH983083:AWL983083 BGD983083:BGH983083 BPZ983083:BQD983083 BZV983083:BZZ983083 CJR983083:CJV983083 CTN983083:CTR983083 DDJ983083:DDN983083 DNF983083:DNJ983083 DXB983083:DXF983083 EGX983083:EHB983083 EQT983083:EQX983083 FAP983083:FAT983083 FKL983083:FKP983083 FUH983083:FUL983083 GED983083:GEH983083 GNZ983083:GOD983083 GXV983083:GXZ983083 HHR983083:HHV983083 HRN983083:HRR983083 IBJ983083:IBN983083 ILF983083:ILJ983083 IVB983083:IVF983083 JEX983083:JFB983083 JOT983083:JOX983083 JYP983083:JYT983083 KIL983083:KIP983083 KSH983083:KSL983083 LCD983083:LCH983083 LLZ983083:LMD983083 LVV983083:LVZ983083 MFR983083:MFV983083 MPN983083:MPR983083 MZJ983083:MZN983083 NJF983083:NJJ983083 NTB983083:NTF983083 OCX983083:ODB983083 OMT983083:OMX983083 OWP983083:OWT983083 PGL983083:PGP983083 PQH983083:PQL983083 QAD983083:QAH983083 QJZ983083:QKD983083 QTV983083:QTZ983083 RDR983083:RDV983083 RNN983083:RNR983083 RXJ983083:RXN983083 SHF983083:SHJ983083 SRB983083:SRF983083 TAX983083:TBB983083 TKT983083:TKX983083 TUP983083:TUT983083 UEL983083:UEP983083 UOH983083:UOL983083 UYD983083:UYH983083 VHZ983083:VID983083 VRV983083:VRZ983083 WBR983083:WBV983083 WLN983083:WLR983083 WVJ983083:WVN983083 B16:F16 IX16:JB16 ST16:SX16 ACP16:ACT16 AML16:AMP16 AWH16:AWL16 BGD16:BGH16 BPZ16:BQD16 BZV16:BZZ16 CJR16:CJV16 CTN16:CTR16 DDJ16:DDN16 DNF16:DNJ16 DXB16:DXF16 EGX16:EHB16 EQT16:EQX16 FAP16:FAT16 FKL16:FKP16 FUH16:FUL16 GED16:GEH16 GNZ16:GOD16 GXV16:GXZ16 HHR16:HHV16 HRN16:HRR16 IBJ16:IBN16 ILF16:ILJ16 IVB16:IVF16 JEX16:JFB16 JOT16:JOX16 JYP16:JYT16 KIL16:KIP16 KSH16:KSL16 LCD16:LCH16 LLZ16:LMD16 LVV16:LVZ16 MFR16:MFV16 MPN16:MPR16 MZJ16:MZN16 NJF16:NJJ16 NTB16:NTF16 OCX16:ODB16 OMT16:OMX16 OWP16:OWT16 PGL16:PGP16 PQH16:PQL16 QAD16:QAH16 QJZ16:QKD16 QTV16:QTZ16 RDR16:RDV16 RNN16:RNR16 RXJ16:RXN16 SHF16:SHJ16 SRB16:SRF16 TAX16:TBB16 TKT16:TKX16 TUP16:TUT16 UEL16:UEP16 UOH16:UOL16 UYD16:UYH16 VHZ16:VID16 VRV16:VRZ16 WBR16:WBV16 WLN16:WLR16 WVJ16:WVN16">
      <formula1>"备抵法,直接核销法"</formula1>
    </dataValidation>
    <dataValidation type="list" allowBlank="1" showInputMessage="1" showErrorMessage="1" sqref="WVJ983082:WVN983082 B65578:F65578 IX65578:JB65578 ST65578:SX65578 ACP65578:ACT65578 AML65578:AMP65578 AWH65578:AWL65578 BGD65578:BGH65578 BPZ65578:BQD65578 BZV65578:BZZ65578 CJR65578:CJV65578 CTN65578:CTR65578 DDJ65578:DDN65578 DNF65578:DNJ65578 DXB65578:DXF65578 EGX65578:EHB65578 EQT65578:EQX65578 FAP65578:FAT65578 FKL65578:FKP65578 FUH65578:FUL65578 GED65578:GEH65578 GNZ65578:GOD65578 GXV65578:GXZ65578 HHR65578:HHV65578 HRN65578:HRR65578 IBJ65578:IBN65578 ILF65578:ILJ65578 IVB65578:IVF65578 JEX65578:JFB65578 JOT65578:JOX65578 JYP65578:JYT65578 KIL65578:KIP65578 KSH65578:KSL65578 LCD65578:LCH65578 LLZ65578:LMD65578 LVV65578:LVZ65578 MFR65578:MFV65578 MPN65578:MPR65578 MZJ65578:MZN65578 NJF65578:NJJ65578 NTB65578:NTF65578 OCX65578:ODB65578 OMT65578:OMX65578 OWP65578:OWT65578 PGL65578:PGP65578 PQH65578:PQL65578 QAD65578:QAH65578 QJZ65578:QKD65578 QTV65578:QTZ65578 RDR65578:RDV65578 RNN65578:RNR65578 RXJ65578:RXN65578 SHF65578:SHJ65578 SRB65578:SRF65578 TAX65578:TBB65578 TKT65578:TKX65578 TUP65578:TUT65578 UEL65578:UEP65578 UOH65578:UOL65578 UYD65578:UYH65578 VHZ65578:VID65578 VRV65578:VRZ65578 WBR65578:WBV65578 WLN65578:WLR65578 WVJ65578:WVN65578 B131114:F131114 IX131114:JB131114 ST131114:SX131114 ACP131114:ACT131114 AML131114:AMP131114 AWH131114:AWL131114 BGD131114:BGH131114 BPZ131114:BQD131114 BZV131114:BZZ131114 CJR131114:CJV131114 CTN131114:CTR131114 DDJ131114:DDN131114 DNF131114:DNJ131114 DXB131114:DXF131114 EGX131114:EHB131114 EQT131114:EQX131114 FAP131114:FAT131114 FKL131114:FKP131114 FUH131114:FUL131114 GED131114:GEH131114 GNZ131114:GOD131114 GXV131114:GXZ131114 HHR131114:HHV131114 HRN131114:HRR131114 IBJ131114:IBN131114 ILF131114:ILJ131114 IVB131114:IVF131114 JEX131114:JFB131114 JOT131114:JOX131114 JYP131114:JYT131114 KIL131114:KIP131114 KSH131114:KSL131114 LCD131114:LCH131114 LLZ131114:LMD131114 LVV131114:LVZ131114 MFR131114:MFV131114 MPN131114:MPR131114 MZJ131114:MZN131114 NJF131114:NJJ131114 NTB131114:NTF131114 OCX131114:ODB131114 OMT131114:OMX131114 OWP131114:OWT131114 PGL131114:PGP131114 PQH131114:PQL131114 QAD131114:QAH131114 QJZ131114:QKD131114 QTV131114:QTZ131114 RDR131114:RDV131114 RNN131114:RNR131114 RXJ131114:RXN131114 SHF131114:SHJ131114 SRB131114:SRF131114 TAX131114:TBB131114 TKT131114:TKX131114 TUP131114:TUT131114 UEL131114:UEP131114 UOH131114:UOL131114 UYD131114:UYH131114 VHZ131114:VID131114 VRV131114:VRZ131114 WBR131114:WBV131114 WLN131114:WLR131114 WVJ131114:WVN131114 B196650:F196650 IX196650:JB196650 ST196650:SX196650 ACP196650:ACT196650 AML196650:AMP196650 AWH196650:AWL196650 BGD196650:BGH196650 BPZ196650:BQD196650 BZV196650:BZZ196650 CJR196650:CJV196650 CTN196650:CTR196650 DDJ196650:DDN196650 DNF196650:DNJ196650 DXB196650:DXF196650 EGX196650:EHB196650 EQT196650:EQX196650 FAP196650:FAT196650 FKL196650:FKP196650 FUH196650:FUL196650 GED196650:GEH196650 GNZ196650:GOD196650 GXV196650:GXZ196650 HHR196650:HHV196650 HRN196650:HRR196650 IBJ196650:IBN196650 ILF196650:ILJ196650 IVB196650:IVF196650 JEX196650:JFB196650 JOT196650:JOX196650 JYP196650:JYT196650 KIL196650:KIP196650 KSH196650:KSL196650 LCD196650:LCH196650 LLZ196650:LMD196650 LVV196650:LVZ196650 MFR196650:MFV196650 MPN196650:MPR196650 MZJ196650:MZN196650 NJF196650:NJJ196650 NTB196650:NTF196650 OCX196650:ODB196650 OMT196650:OMX196650 OWP196650:OWT196650 PGL196650:PGP196650 PQH196650:PQL196650 QAD196650:QAH196650 QJZ196650:QKD196650 QTV196650:QTZ196650 RDR196650:RDV196650 RNN196650:RNR196650 RXJ196650:RXN196650 SHF196650:SHJ196650 SRB196650:SRF196650 TAX196650:TBB196650 TKT196650:TKX196650 TUP196650:TUT196650 UEL196650:UEP196650 UOH196650:UOL196650 UYD196650:UYH196650 VHZ196650:VID196650 VRV196650:VRZ196650 WBR196650:WBV196650 WLN196650:WLR196650 WVJ196650:WVN196650 B262186:F262186 IX262186:JB262186 ST262186:SX262186 ACP262186:ACT262186 AML262186:AMP262186 AWH262186:AWL262186 BGD262186:BGH262186 BPZ262186:BQD262186 BZV262186:BZZ262186 CJR262186:CJV262186 CTN262186:CTR262186 DDJ262186:DDN262186 DNF262186:DNJ262186 DXB262186:DXF262186 EGX262186:EHB262186 EQT262186:EQX262186 FAP262186:FAT262186 FKL262186:FKP262186 FUH262186:FUL262186 GED262186:GEH262186 GNZ262186:GOD262186 GXV262186:GXZ262186 HHR262186:HHV262186 HRN262186:HRR262186 IBJ262186:IBN262186 ILF262186:ILJ262186 IVB262186:IVF262186 JEX262186:JFB262186 JOT262186:JOX262186 JYP262186:JYT262186 KIL262186:KIP262186 KSH262186:KSL262186 LCD262186:LCH262186 LLZ262186:LMD262186 LVV262186:LVZ262186 MFR262186:MFV262186 MPN262186:MPR262186 MZJ262186:MZN262186 NJF262186:NJJ262186 NTB262186:NTF262186 OCX262186:ODB262186 OMT262186:OMX262186 OWP262186:OWT262186 PGL262186:PGP262186 PQH262186:PQL262186 QAD262186:QAH262186 QJZ262186:QKD262186 QTV262186:QTZ262186 RDR262186:RDV262186 RNN262186:RNR262186 RXJ262186:RXN262186 SHF262186:SHJ262186 SRB262186:SRF262186 TAX262186:TBB262186 TKT262186:TKX262186 TUP262186:TUT262186 UEL262186:UEP262186 UOH262186:UOL262186 UYD262186:UYH262186 VHZ262186:VID262186 VRV262186:VRZ262186 WBR262186:WBV262186 WLN262186:WLR262186 WVJ262186:WVN262186 B327722:F327722 IX327722:JB327722 ST327722:SX327722 ACP327722:ACT327722 AML327722:AMP327722 AWH327722:AWL327722 BGD327722:BGH327722 BPZ327722:BQD327722 BZV327722:BZZ327722 CJR327722:CJV327722 CTN327722:CTR327722 DDJ327722:DDN327722 DNF327722:DNJ327722 DXB327722:DXF327722 EGX327722:EHB327722 EQT327722:EQX327722 FAP327722:FAT327722 FKL327722:FKP327722 FUH327722:FUL327722 GED327722:GEH327722 GNZ327722:GOD327722 GXV327722:GXZ327722 HHR327722:HHV327722 HRN327722:HRR327722 IBJ327722:IBN327722 ILF327722:ILJ327722 IVB327722:IVF327722 JEX327722:JFB327722 JOT327722:JOX327722 JYP327722:JYT327722 KIL327722:KIP327722 KSH327722:KSL327722 LCD327722:LCH327722 LLZ327722:LMD327722 LVV327722:LVZ327722 MFR327722:MFV327722 MPN327722:MPR327722 MZJ327722:MZN327722 NJF327722:NJJ327722 NTB327722:NTF327722 OCX327722:ODB327722 OMT327722:OMX327722 OWP327722:OWT327722 PGL327722:PGP327722 PQH327722:PQL327722 QAD327722:QAH327722 QJZ327722:QKD327722 QTV327722:QTZ327722 RDR327722:RDV327722 RNN327722:RNR327722 RXJ327722:RXN327722 SHF327722:SHJ327722 SRB327722:SRF327722 TAX327722:TBB327722 TKT327722:TKX327722 TUP327722:TUT327722 UEL327722:UEP327722 UOH327722:UOL327722 UYD327722:UYH327722 VHZ327722:VID327722 VRV327722:VRZ327722 WBR327722:WBV327722 WLN327722:WLR327722 WVJ327722:WVN327722 B393258:F393258 IX393258:JB393258 ST393258:SX393258 ACP393258:ACT393258 AML393258:AMP393258 AWH393258:AWL393258 BGD393258:BGH393258 BPZ393258:BQD393258 BZV393258:BZZ393258 CJR393258:CJV393258 CTN393258:CTR393258 DDJ393258:DDN393258 DNF393258:DNJ393258 DXB393258:DXF393258 EGX393258:EHB393258 EQT393258:EQX393258 FAP393258:FAT393258 FKL393258:FKP393258 FUH393258:FUL393258 GED393258:GEH393258 GNZ393258:GOD393258 GXV393258:GXZ393258 HHR393258:HHV393258 HRN393258:HRR393258 IBJ393258:IBN393258 ILF393258:ILJ393258 IVB393258:IVF393258 JEX393258:JFB393258 JOT393258:JOX393258 JYP393258:JYT393258 KIL393258:KIP393258 KSH393258:KSL393258 LCD393258:LCH393258 LLZ393258:LMD393258 LVV393258:LVZ393258 MFR393258:MFV393258 MPN393258:MPR393258 MZJ393258:MZN393258 NJF393258:NJJ393258 NTB393258:NTF393258 OCX393258:ODB393258 OMT393258:OMX393258 OWP393258:OWT393258 PGL393258:PGP393258 PQH393258:PQL393258 QAD393258:QAH393258 QJZ393258:QKD393258 QTV393258:QTZ393258 RDR393258:RDV393258 RNN393258:RNR393258 RXJ393258:RXN393258 SHF393258:SHJ393258 SRB393258:SRF393258 TAX393258:TBB393258 TKT393258:TKX393258 TUP393258:TUT393258 UEL393258:UEP393258 UOH393258:UOL393258 UYD393258:UYH393258 VHZ393258:VID393258 VRV393258:VRZ393258 WBR393258:WBV393258 WLN393258:WLR393258 WVJ393258:WVN393258 B458794:F458794 IX458794:JB458794 ST458794:SX458794 ACP458794:ACT458794 AML458794:AMP458794 AWH458794:AWL458794 BGD458794:BGH458794 BPZ458794:BQD458794 BZV458794:BZZ458794 CJR458794:CJV458794 CTN458794:CTR458794 DDJ458794:DDN458794 DNF458794:DNJ458794 DXB458794:DXF458794 EGX458794:EHB458794 EQT458794:EQX458794 FAP458794:FAT458794 FKL458794:FKP458794 FUH458794:FUL458794 GED458794:GEH458794 GNZ458794:GOD458794 GXV458794:GXZ458794 HHR458794:HHV458794 HRN458794:HRR458794 IBJ458794:IBN458794 ILF458794:ILJ458794 IVB458794:IVF458794 JEX458794:JFB458794 JOT458794:JOX458794 JYP458794:JYT458794 KIL458794:KIP458794 KSH458794:KSL458794 LCD458794:LCH458794 LLZ458794:LMD458794 LVV458794:LVZ458794 MFR458794:MFV458794 MPN458794:MPR458794 MZJ458794:MZN458794 NJF458794:NJJ458794 NTB458794:NTF458794 OCX458794:ODB458794 OMT458794:OMX458794 OWP458794:OWT458794 PGL458794:PGP458794 PQH458794:PQL458794 QAD458794:QAH458794 QJZ458794:QKD458794 QTV458794:QTZ458794 RDR458794:RDV458794 RNN458794:RNR458794 RXJ458794:RXN458794 SHF458794:SHJ458794 SRB458794:SRF458794 TAX458794:TBB458794 TKT458794:TKX458794 TUP458794:TUT458794 UEL458794:UEP458794 UOH458794:UOL458794 UYD458794:UYH458794 VHZ458794:VID458794 VRV458794:VRZ458794 WBR458794:WBV458794 WLN458794:WLR458794 WVJ458794:WVN458794 B524330:F524330 IX524330:JB524330 ST524330:SX524330 ACP524330:ACT524330 AML524330:AMP524330 AWH524330:AWL524330 BGD524330:BGH524330 BPZ524330:BQD524330 BZV524330:BZZ524330 CJR524330:CJV524330 CTN524330:CTR524330 DDJ524330:DDN524330 DNF524330:DNJ524330 DXB524330:DXF524330 EGX524330:EHB524330 EQT524330:EQX524330 FAP524330:FAT524330 FKL524330:FKP524330 FUH524330:FUL524330 GED524330:GEH524330 GNZ524330:GOD524330 GXV524330:GXZ524330 HHR524330:HHV524330 HRN524330:HRR524330 IBJ524330:IBN524330 ILF524330:ILJ524330 IVB524330:IVF524330 JEX524330:JFB524330 JOT524330:JOX524330 JYP524330:JYT524330 KIL524330:KIP524330 KSH524330:KSL524330 LCD524330:LCH524330 LLZ524330:LMD524330 LVV524330:LVZ524330 MFR524330:MFV524330 MPN524330:MPR524330 MZJ524330:MZN524330 NJF524330:NJJ524330 NTB524330:NTF524330 OCX524330:ODB524330 OMT524330:OMX524330 OWP524330:OWT524330 PGL524330:PGP524330 PQH524330:PQL524330 QAD524330:QAH524330 QJZ524330:QKD524330 QTV524330:QTZ524330 RDR524330:RDV524330 RNN524330:RNR524330 RXJ524330:RXN524330 SHF524330:SHJ524330 SRB524330:SRF524330 TAX524330:TBB524330 TKT524330:TKX524330 TUP524330:TUT524330 UEL524330:UEP524330 UOH524330:UOL524330 UYD524330:UYH524330 VHZ524330:VID524330 VRV524330:VRZ524330 WBR524330:WBV524330 WLN524330:WLR524330 WVJ524330:WVN524330 B589866:F589866 IX589866:JB589866 ST589866:SX589866 ACP589866:ACT589866 AML589866:AMP589866 AWH589866:AWL589866 BGD589866:BGH589866 BPZ589866:BQD589866 BZV589866:BZZ589866 CJR589866:CJV589866 CTN589866:CTR589866 DDJ589866:DDN589866 DNF589866:DNJ589866 DXB589866:DXF589866 EGX589866:EHB589866 EQT589866:EQX589866 FAP589866:FAT589866 FKL589866:FKP589866 FUH589866:FUL589866 GED589866:GEH589866 GNZ589866:GOD589866 GXV589866:GXZ589866 HHR589866:HHV589866 HRN589866:HRR589866 IBJ589866:IBN589866 ILF589866:ILJ589866 IVB589866:IVF589866 JEX589866:JFB589866 JOT589866:JOX589866 JYP589866:JYT589866 KIL589866:KIP589866 KSH589866:KSL589866 LCD589866:LCH589866 LLZ589866:LMD589866 LVV589866:LVZ589866 MFR589866:MFV589866 MPN589866:MPR589866 MZJ589866:MZN589866 NJF589866:NJJ589866 NTB589866:NTF589866 OCX589866:ODB589866 OMT589866:OMX589866 OWP589866:OWT589866 PGL589866:PGP589866 PQH589866:PQL589866 QAD589866:QAH589866 QJZ589866:QKD589866 QTV589866:QTZ589866 RDR589866:RDV589866 RNN589866:RNR589866 RXJ589866:RXN589866 SHF589866:SHJ589866 SRB589866:SRF589866 TAX589866:TBB589866 TKT589866:TKX589866 TUP589866:TUT589866 UEL589866:UEP589866 UOH589866:UOL589866 UYD589866:UYH589866 VHZ589866:VID589866 VRV589866:VRZ589866 WBR589866:WBV589866 WLN589866:WLR589866 WVJ589866:WVN589866 B655402:F655402 IX655402:JB655402 ST655402:SX655402 ACP655402:ACT655402 AML655402:AMP655402 AWH655402:AWL655402 BGD655402:BGH655402 BPZ655402:BQD655402 BZV655402:BZZ655402 CJR655402:CJV655402 CTN655402:CTR655402 DDJ655402:DDN655402 DNF655402:DNJ655402 DXB655402:DXF655402 EGX655402:EHB655402 EQT655402:EQX655402 FAP655402:FAT655402 FKL655402:FKP655402 FUH655402:FUL655402 GED655402:GEH655402 GNZ655402:GOD655402 GXV655402:GXZ655402 HHR655402:HHV655402 HRN655402:HRR655402 IBJ655402:IBN655402 ILF655402:ILJ655402 IVB655402:IVF655402 JEX655402:JFB655402 JOT655402:JOX655402 JYP655402:JYT655402 KIL655402:KIP655402 KSH655402:KSL655402 LCD655402:LCH655402 LLZ655402:LMD655402 LVV655402:LVZ655402 MFR655402:MFV655402 MPN655402:MPR655402 MZJ655402:MZN655402 NJF655402:NJJ655402 NTB655402:NTF655402 OCX655402:ODB655402 OMT655402:OMX655402 OWP655402:OWT655402 PGL655402:PGP655402 PQH655402:PQL655402 QAD655402:QAH655402 QJZ655402:QKD655402 QTV655402:QTZ655402 RDR655402:RDV655402 RNN655402:RNR655402 RXJ655402:RXN655402 SHF655402:SHJ655402 SRB655402:SRF655402 TAX655402:TBB655402 TKT655402:TKX655402 TUP655402:TUT655402 UEL655402:UEP655402 UOH655402:UOL655402 UYD655402:UYH655402 VHZ655402:VID655402 VRV655402:VRZ655402 WBR655402:WBV655402 WLN655402:WLR655402 WVJ655402:WVN655402 B720938:F720938 IX720938:JB720938 ST720938:SX720938 ACP720938:ACT720938 AML720938:AMP720938 AWH720938:AWL720938 BGD720938:BGH720938 BPZ720938:BQD720938 BZV720938:BZZ720938 CJR720938:CJV720938 CTN720938:CTR720938 DDJ720938:DDN720938 DNF720938:DNJ720938 DXB720938:DXF720938 EGX720938:EHB720938 EQT720938:EQX720938 FAP720938:FAT720938 FKL720938:FKP720938 FUH720938:FUL720938 GED720938:GEH720938 GNZ720938:GOD720938 GXV720938:GXZ720938 HHR720938:HHV720938 HRN720938:HRR720938 IBJ720938:IBN720938 ILF720938:ILJ720938 IVB720938:IVF720938 JEX720938:JFB720938 JOT720938:JOX720938 JYP720938:JYT720938 KIL720938:KIP720938 KSH720938:KSL720938 LCD720938:LCH720938 LLZ720938:LMD720938 LVV720938:LVZ720938 MFR720938:MFV720938 MPN720938:MPR720938 MZJ720938:MZN720938 NJF720938:NJJ720938 NTB720938:NTF720938 OCX720938:ODB720938 OMT720938:OMX720938 OWP720938:OWT720938 PGL720938:PGP720938 PQH720938:PQL720938 QAD720938:QAH720938 QJZ720938:QKD720938 QTV720938:QTZ720938 RDR720938:RDV720938 RNN720938:RNR720938 RXJ720938:RXN720938 SHF720938:SHJ720938 SRB720938:SRF720938 TAX720938:TBB720938 TKT720938:TKX720938 TUP720938:TUT720938 UEL720938:UEP720938 UOH720938:UOL720938 UYD720938:UYH720938 VHZ720938:VID720938 VRV720938:VRZ720938 WBR720938:WBV720938 WLN720938:WLR720938 WVJ720938:WVN720938 B786474:F786474 IX786474:JB786474 ST786474:SX786474 ACP786474:ACT786474 AML786474:AMP786474 AWH786474:AWL786474 BGD786474:BGH786474 BPZ786474:BQD786474 BZV786474:BZZ786474 CJR786474:CJV786474 CTN786474:CTR786474 DDJ786474:DDN786474 DNF786474:DNJ786474 DXB786474:DXF786474 EGX786474:EHB786474 EQT786474:EQX786474 FAP786474:FAT786474 FKL786474:FKP786474 FUH786474:FUL786474 GED786474:GEH786474 GNZ786474:GOD786474 GXV786474:GXZ786474 HHR786474:HHV786474 HRN786474:HRR786474 IBJ786474:IBN786474 ILF786474:ILJ786474 IVB786474:IVF786474 JEX786474:JFB786474 JOT786474:JOX786474 JYP786474:JYT786474 KIL786474:KIP786474 KSH786474:KSL786474 LCD786474:LCH786474 LLZ786474:LMD786474 LVV786474:LVZ786474 MFR786474:MFV786474 MPN786474:MPR786474 MZJ786474:MZN786474 NJF786474:NJJ786474 NTB786474:NTF786474 OCX786474:ODB786474 OMT786474:OMX786474 OWP786474:OWT786474 PGL786474:PGP786474 PQH786474:PQL786474 QAD786474:QAH786474 QJZ786474:QKD786474 QTV786474:QTZ786474 RDR786474:RDV786474 RNN786474:RNR786474 RXJ786474:RXN786474 SHF786474:SHJ786474 SRB786474:SRF786474 TAX786474:TBB786474 TKT786474:TKX786474 TUP786474:TUT786474 UEL786474:UEP786474 UOH786474:UOL786474 UYD786474:UYH786474 VHZ786474:VID786474 VRV786474:VRZ786474 WBR786474:WBV786474 WLN786474:WLR786474 WVJ786474:WVN786474 B852010:F852010 IX852010:JB852010 ST852010:SX852010 ACP852010:ACT852010 AML852010:AMP852010 AWH852010:AWL852010 BGD852010:BGH852010 BPZ852010:BQD852010 BZV852010:BZZ852010 CJR852010:CJV852010 CTN852010:CTR852010 DDJ852010:DDN852010 DNF852010:DNJ852010 DXB852010:DXF852010 EGX852010:EHB852010 EQT852010:EQX852010 FAP852010:FAT852010 FKL852010:FKP852010 FUH852010:FUL852010 GED852010:GEH852010 GNZ852010:GOD852010 GXV852010:GXZ852010 HHR852010:HHV852010 HRN852010:HRR852010 IBJ852010:IBN852010 ILF852010:ILJ852010 IVB852010:IVF852010 JEX852010:JFB852010 JOT852010:JOX852010 JYP852010:JYT852010 KIL852010:KIP852010 KSH852010:KSL852010 LCD852010:LCH852010 LLZ852010:LMD852010 LVV852010:LVZ852010 MFR852010:MFV852010 MPN852010:MPR852010 MZJ852010:MZN852010 NJF852010:NJJ852010 NTB852010:NTF852010 OCX852010:ODB852010 OMT852010:OMX852010 OWP852010:OWT852010 PGL852010:PGP852010 PQH852010:PQL852010 QAD852010:QAH852010 QJZ852010:QKD852010 QTV852010:QTZ852010 RDR852010:RDV852010 RNN852010:RNR852010 RXJ852010:RXN852010 SHF852010:SHJ852010 SRB852010:SRF852010 TAX852010:TBB852010 TKT852010:TKX852010 TUP852010:TUT852010 UEL852010:UEP852010 UOH852010:UOL852010 UYD852010:UYH852010 VHZ852010:VID852010 VRV852010:VRZ852010 WBR852010:WBV852010 WLN852010:WLR852010 WVJ852010:WVN852010 B917546:F917546 IX917546:JB917546 ST917546:SX917546 ACP917546:ACT917546 AML917546:AMP917546 AWH917546:AWL917546 BGD917546:BGH917546 BPZ917546:BQD917546 BZV917546:BZZ917546 CJR917546:CJV917546 CTN917546:CTR917546 DDJ917546:DDN917546 DNF917546:DNJ917546 DXB917546:DXF917546 EGX917546:EHB917546 EQT917546:EQX917546 FAP917546:FAT917546 FKL917546:FKP917546 FUH917546:FUL917546 GED917546:GEH917546 GNZ917546:GOD917546 GXV917546:GXZ917546 HHR917546:HHV917546 HRN917546:HRR917546 IBJ917546:IBN917546 ILF917546:ILJ917546 IVB917546:IVF917546 JEX917546:JFB917546 JOT917546:JOX917546 JYP917546:JYT917546 KIL917546:KIP917546 KSH917546:KSL917546 LCD917546:LCH917546 LLZ917546:LMD917546 LVV917546:LVZ917546 MFR917546:MFV917546 MPN917546:MPR917546 MZJ917546:MZN917546 NJF917546:NJJ917546 NTB917546:NTF917546 OCX917546:ODB917546 OMT917546:OMX917546 OWP917546:OWT917546 PGL917546:PGP917546 PQH917546:PQL917546 QAD917546:QAH917546 QJZ917546:QKD917546 QTV917546:QTZ917546 RDR917546:RDV917546 RNN917546:RNR917546 RXJ917546:RXN917546 SHF917546:SHJ917546 SRB917546:SRF917546 TAX917546:TBB917546 TKT917546:TKX917546 TUP917546:TUT917546 UEL917546:UEP917546 UOH917546:UOL917546 UYD917546:UYH917546 VHZ917546:VID917546 VRV917546:VRZ917546 WBR917546:WBV917546 WLN917546:WLR917546 WVJ917546:WVN917546 B983082:F983082 IX983082:JB983082 ST983082:SX983082 ACP983082:ACT983082 AML983082:AMP983082 AWH983082:AWL983082 BGD983082:BGH983082 BPZ983082:BQD983082 BZV983082:BZZ983082 CJR983082:CJV983082 CTN983082:CTR983082 DDJ983082:DDN983082 DNF983082:DNJ983082 DXB983082:DXF983082 EGX983082:EHB983082 EQT983082:EQX983082 FAP983082:FAT983082 FKL983082:FKP983082 FUH983082:FUL983082 GED983082:GEH983082 GNZ983082:GOD983082 GXV983082:GXZ983082 HHR983082:HHV983082 HRN983082:HRR983082 IBJ983082:IBN983082 ILF983082:ILJ983082 IVB983082:IVF983082 JEX983082:JFB983082 JOT983082:JOX983082 JYP983082:JYT983082 KIL983082:KIP983082 KSH983082:KSL983082 LCD983082:LCH983082 LLZ983082:LMD983082 LVV983082:LVZ983082 MFR983082:MFV983082 MPN983082:MPR983082 MZJ983082:MZN983082 NJF983082:NJJ983082 NTB983082:NTF983082 OCX983082:ODB983082 OMT983082:OMX983082 OWP983082:OWT983082 PGL983082:PGP983082 PQH983082:PQL983082 QAD983082:QAH983082 QJZ983082:QKD983082 QTV983082:QTZ983082 RDR983082:RDV983082 RNN983082:RNR983082 RXJ983082:RXN983082 SHF983082:SHJ983082 SRB983082:SRF983082 TAX983082:TBB983082 TKT983082:TKX983082 TUP983082:TUT983082 UEL983082:UEP983082 UOH983082:UOL983082 UYD983082:UYH983082 VHZ983082:VID983082 VRV983082:VRZ983082 WBR983082:WBV983082 WLN983082:WLR983082 IX15:JB15 ST15:SX15 ACP15:ACT15 AML15:AMP15 AWH15:AWL15 BGD15:BGH15 BPZ15:BQD15 BZV15:BZZ15 CJR15:CJV15 CTN15:CTR15 DDJ15:DDN15 DNF15:DNJ15 DXB15:DXF15 EGX15:EHB15 EQT15:EQX15 FAP15:FAT15 FKL15:FKP15 FUH15:FUL15 GED15:GEH15 GNZ15:GOD15 GXV15:GXZ15 HHR15:HHV15 HRN15:HRR15 IBJ15:IBN15 ILF15:ILJ15 IVB15:IVF15 JEX15:JFB15 JOT15:JOX15 JYP15:JYT15 KIL15:KIP15 KSH15:KSL15 LCD15:LCH15 LLZ15:LMD15 LVV15:LVZ15 MFR15:MFV15 MPN15:MPR15 MZJ15:MZN15 NJF15:NJJ15 NTB15:NTF15 OCX15:ODB15 OMT15:OMX15 OWP15:OWT15 PGL15:PGP15 PQH15:PQL15 QAD15:QAH15 QJZ15:QKD15 QTV15:QTZ15 RDR15:RDV15 RNN15:RNR15 RXJ15:RXN15 SHF15:SHJ15 SRB15:SRF15 TAX15:TBB15 TKT15:TKX15 TUP15:TUT15 UEL15:UEP15 UOH15:UOL15 UYD15:UYH15 VHZ15:VID15 VRV15:VRZ15 WBR15:WBV15 WLN15:WLR15 WVJ15:WVN15">
      <formula1>"先进先出法,移动加权平均法,月末一次加权平均法,个别计价法,毛利率法,零售价法,计划成本法,其他"</formula1>
    </dataValidation>
    <dataValidation type="list" allowBlank="1" showInputMessage="1" showErrorMessage="1" sqref="WVJ983081:WVN983081 B65577:F65577 IX65577:JB65577 ST65577:SX65577 ACP65577:ACT65577 AML65577:AMP65577 AWH65577:AWL65577 BGD65577:BGH65577 BPZ65577:BQD65577 BZV65577:BZZ65577 CJR65577:CJV65577 CTN65577:CTR65577 DDJ65577:DDN65577 DNF65577:DNJ65577 DXB65577:DXF65577 EGX65577:EHB65577 EQT65577:EQX65577 FAP65577:FAT65577 FKL65577:FKP65577 FUH65577:FUL65577 GED65577:GEH65577 GNZ65577:GOD65577 GXV65577:GXZ65577 HHR65577:HHV65577 HRN65577:HRR65577 IBJ65577:IBN65577 ILF65577:ILJ65577 IVB65577:IVF65577 JEX65577:JFB65577 JOT65577:JOX65577 JYP65577:JYT65577 KIL65577:KIP65577 KSH65577:KSL65577 LCD65577:LCH65577 LLZ65577:LMD65577 LVV65577:LVZ65577 MFR65577:MFV65577 MPN65577:MPR65577 MZJ65577:MZN65577 NJF65577:NJJ65577 NTB65577:NTF65577 OCX65577:ODB65577 OMT65577:OMX65577 OWP65577:OWT65577 PGL65577:PGP65577 PQH65577:PQL65577 QAD65577:QAH65577 QJZ65577:QKD65577 QTV65577:QTZ65577 RDR65577:RDV65577 RNN65577:RNR65577 RXJ65577:RXN65577 SHF65577:SHJ65577 SRB65577:SRF65577 TAX65577:TBB65577 TKT65577:TKX65577 TUP65577:TUT65577 UEL65577:UEP65577 UOH65577:UOL65577 UYD65577:UYH65577 VHZ65577:VID65577 VRV65577:VRZ65577 WBR65577:WBV65577 WLN65577:WLR65577 WVJ65577:WVN65577 B131113:F131113 IX131113:JB131113 ST131113:SX131113 ACP131113:ACT131113 AML131113:AMP131113 AWH131113:AWL131113 BGD131113:BGH131113 BPZ131113:BQD131113 BZV131113:BZZ131113 CJR131113:CJV131113 CTN131113:CTR131113 DDJ131113:DDN131113 DNF131113:DNJ131113 DXB131113:DXF131113 EGX131113:EHB131113 EQT131113:EQX131113 FAP131113:FAT131113 FKL131113:FKP131113 FUH131113:FUL131113 GED131113:GEH131113 GNZ131113:GOD131113 GXV131113:GXZ131113 HHR131113:HHV131113 HRN131113:HRR131113 IBJ131113:IBN131113 ILF131113:ILJ131113 IVB131113:IVF131113 JEX131113:JFB131113 JOT131113:JOX131113 JYP131113:JYT131113 KIL131113:KIP131113 KSH131113:KSL131113 LCD131113:LCH131113 LLZ131113:LMD131113 LVV131113:LVZ131113 MFR131113:MFV131113 MPN131113:MPR131113 MZJ131113:MZN131113 NJF131113:NJJ131113 NTB131113:NTF131113 OCX131113:ODB131113 OMT131113:OMX131113 OWP131113:OWT131113 PGL131113:PGP131113 PQH131113:PQL131113 QAD131113:QAH131113 QJZ131113:QKD131113 QTV131113:QTZ131113 RDR131113:RDV131113 RNN131113:RNR131113 RXJ131113:RXN131113 SHF131113:SHJ131113 SRB131113:SRF131113 TAX131113:TBB131113 TKT131113:TKX131113 TUP131113:TUT131113 UEL131113:UEP131113 UOH131113:UOL131113 UYD131113:UYH131113 VHZ131113:VID131113 VRV131113:VRZ131113 WBR131113:WBV131113 WLN131113:WLR131113 WVJ131113:WVN131113 B196649:F196649 IX196649:JB196649 ST196649:SX196649 ACP196649:ACT196649 AML196649:AMP196649 AWH196649:AWL196649 BGD196649:BGH196649 BPZ196649:BQD196649 BZV196649:BZZ196649 CJR196649:CJV196649 CTN196649:CTR196649 DDJ196649:DDN196649 DNF196649:DNJ196649 DXB196649:DXF196649 EGX196649:EHB196649 EQT196649:EQX196649 FAP196649:FAT196649 FKL196649:FKP196649 FUH196649:FUL196649 GED196649:GEH196649 GNZ196649:GOD196649 GXV196649:GXZ196649 HHR196649:HHV196649 HRN196649:HRR196649 IBJ196649:IBN196649 ILF196649:ILJ196649 IVB196649:IVF196649 JEX196649:JFB196649 JOT196649:JOX196649 JYP196649:JYT196649 KIL196649:KIP196649 KSH196649:KSL196649 LCD196649:LCH196649 LLZ196649:LMD196649 LVV196649:LVZ196649 MFR196649:MFV196649 MPN196649:MPR196649 MZJ196649:MZN196649 NJF196649:NJJ196649 NTB196649:NTF196649 OCX196649:ODB196649 OMT196649:OMX196649 OWP196649:OWT196649 PGL196649:PGP196649 PQH196649:PQL196649 QAD196649:QAH196649 QJZ196649:QKD196649 QTV196649:QTZ196649 RDR196649:RDV196649 RNN196649:RNR196649 RXJ196649:RXN196649 SHF196649:SHJ196649 SRB196649:SRF196649 TAX196649:TBB196649 TKT196649:TKX196649 TUP196649:TUT196649 UEL196649:UEP196649 UOH196649:UOL196649 UYD196649:UYH196649 VHZ196649:VID196649 VRV196649:VRZ196649 WBR196649:WBV196649 WLN196649:WLR196649 WVJ196649:WVN196649 B262185:F262185 IX262185:JB262185 ST262185:SX262185 ACP262185:ACT262185 AML262185:AMP262185 AWH262185:AWL262185 BGD262185:BGH262185 BPZ262185:BQD262185 BZV262185:BZZ262185 CJR262185:CJV262185 CTN262185:CTR262185 DDJ262185:DDN262185 DNF262185:DNJ262185 DXB262185:DXF262185 EGX262185:EHB262185 EQT262185:EQX262185 FAP262185:FAT262185 FKL262185:FKP262185 FUH262185:FUL262185 GED262185:GEH262185 GNZ262185:GOD262185 GXV262185:GXZ262185 HHR262185:HHV262185 HRN262185:HRR262185 IBJ262185:IBN262185 ILF262185:ILJ262185 IVB262185:IVF262185 JEX262185:JFB262185 JOT262185:JOX262185 JYP262185:JYT262185 KIL262185:KIP262185 KSH262185:KSL262185 LCD262185:LCH262185 LLZ262185:LMD262185 LVV262185:LVZ262185 MFR262185:MFV262185 MPN262185:MPR262185 MZJ262185:MZN262185 NJF262185:NJJ262185 NTB262185:NTF262185 OCX262185:ODB262185 OMT262185:OMX262185 OWP262185:OWT262185 PGL262185:PGP262185 PQH262185:PQL262185 QAD262185:QAH262185 QJZ262185:QKD262185 QTV262185:QTZ262185 RDR262185:RDV262185 RNN262185:RNR262185 RXJ262185:RXN262185 SHF262185:SHJ262185 SRB262185:SRF262185 TAX262185:TBB262185 TKT262185:TKX262185 TUP262185:TUT262185 UEL262185:UEP262185 UOH262185:UOL262185 UYD262185:UYH262185 VHZ262185:VID262185 VRV262185:VRZ262185 WBR262185:WBV262185 WLN262185:WLR262185 WVJ262185:WVN262185 B327721:F327721 IX327721:JB327721 ST327721:SX327721 ACP327721:ACT327721 AML327721:AMP327721 AWH327721:AWL327721 BGD327721:BGH327721 BPZ327721:BQD327721 BZV327721:BZZ327721 CJR327721:CJV327721 CTN327721:CTR327721 DDJ327721:DDN327721 DNF327721:DNJ327721 DXB327721:DXF327721 EGX327721:EHB327721 EQT327721:EQX327721 FAP327721:FAT327721 FKL327721:FKP327721 FUH327721:FUL327721 GED327721:GEH327721 GNZ327721:GOD327721 GXV327721:GXZ327721 HHR327721:HHV327721 HRN327721:HRR327721 IBJ327721:IBN327721 ILF327721:ILJ327721 IVB327721:IVF327721 JEX327721:JFB327721 JOT327721:JOX327721 JYP327721:JYT327721 KIL327721:KIP327721 KSH327721:KSL327721 LCD327721:LCH327721 LLZ327721:LMD327721 LVV327721:LVZ327721 MFR327721:MFV327721 MPN327721:MPR327721 MZJ327721:MZN327721 NJF327721:NJJ327721 NTB327721:NTF327721 OCX327721:ODB327721 OMT327721:OMX327721 OWP327721:OWT327721 PGL327721:PGP327721 PQH327721:PQL327721 QAD327721:QAH327721 QJZ327721:QKD327721 QTV327721:QTZ327721 RDR327721:RDV327721 RNN327721:RNR327721 RXJ327721:RXN327721 SHF327721:SHJ327721 SRB327721:SRF327721 TAX327721:TBB327721 TKT327721:TKX327721 TUP327721:TUT327721 UEL327721:UEP327721 UOH327721:UOL327721 UYD327721:UYH327721 VHZ327721:VID327721 VRV327721:VRZ327721 WBR327721:WBV327721 WLN327721:WLR327721 WVJ327721:WVN327721 B393257:F393257 IX393257:JB393257 ST393257:SX393257 ACP393257:ACT393257 AML393257:AMP393257 AWH393257:AWL393257 BGD393257:BGH393257 BPZ393257:BQD393257 BZV393257:BZZ393257 CJR393257:CJV393257 CTN393257:CTR393257 DDJ393257:DDN393257 DNF393257:DNJ393257 DXB393257:DXF393257 EGX393257:EHB393257 EQT393257:EQX393257 FAP393257:FAT393257 FKL393257:FKP393257 FUH393257:FUL393257 GED393257:GEH393257 GNZ393257:GOD393257 GXV393257:GXZ393257 HHR393257:HHV393257 HRN393257:HRR393257 IBJ393257:IBN393257 ILF393257:ILJ393257 IVB393257:IVF393257 JEX393257:JFB393257 JOT393257:JOX393257 JYP393257:JYT393257 KIL393257:KIP393257 KSH393257:KSL393257 LCD393257:LCH393257 LLZ393257:LMD393257 LVV393257:LVZ393257 MFR393257:MFV393257 MPN393257:MPR393257 MZJ393257:MZN393257 NJF393257:NJJ393257 NTB393257:NTF393257 OCX393257:ODB393257 OMT393257:OMX393257 OWP393257:OWT393257 PGL393257:PGP393257 PQH393257:PQL393257 QAD393257:QAH393257 QJZ393257:QKD393257 QTV393257:QTZ393257 RDR393257:RDV393257 RNN393257:RNR393257 RXJ393257:RXN393257 SHF393257:SHJ393257 SRB393257:SRF393257 TAX393257:TBB393257 TKT393257:TKX393257 TUP393257:TUT393257 UEL393257:UEP393257 UOH393257:UOL393257 UYD393257:UYH393257 VHZ393257:VID393257 VRV393257:VRZ393257 WBR393257:WBV393257 WLN393257:WLR393257 WVJ393257:WVN393257 B458793:F458793 IX458793:JB458793 ST458793:SX458793 ACP458793:ACT458793 AML458793:AMP458793 AWH458793:AWL458793 BGD458793:BGH458793 BPZ458793:BQD458793 BZV458793:BZZ458793 CJR458793:CJV458793 CTN458793:CTR458793 DDJ458793:DDN458793 DNF458793:DNJ458793 DXB458793:DXF458793 EGX458793:EHB458793 EQT458793:EQX458793 FAP458793:FAT458793 FKL458793:FKP458793 FUH458793:FUL458793 GED458793:GEH458793 GNZ458793:GOD458793 GXV458793:GXZ458793 HHR458793:HHV458793 HRN458793:HRR458793 IBJ458793:IBN458793 ILF458793:ILJ458793 IVB458793:IVF458793 JEX458793:JFB458793 JOT458793:JOX458793 JYP458793:JYT458793 KIL458793:KIP458793 KSH458793:KSL458793 LCD458793:LCH458793 LLZ458793:LMD458793 LVV458793:LVZ458793 MFR458793:MFV458793 MPN458793:MPR458793 MZJ458793:MZN458793 NJF458793:NJJ458793 NTB458793:NTF458793 OCX458793:ODB458793 OMT458793:OMX458793 OWP458793:OWT458793 PGL458793:PGP458793 PQH458793:PQL458793 QAD458793:QAH458793 QJZ458793:QKD458793 QTV458793:QTZ458793 RDR458793:RDV458793 RNN458793:RNR458793 RXJ458793:RXN458793 SHF458793:SHJ458793 SRB458793:SRF458793 TAX458793:TBB458793 TKT458793:TKX458793 TUP458793:TUT458793 UEL458793:UEP458793 UOH458793:UOL458793 UYD458793:UYH458793 VHZ458793:VID458793 VRV458793:VRZ458793 WBR458793:WBV458793 WLN458793:WLR458793 WVJ458793:WVN458793 B524329:F524329 IX524329:JB524329 ST524329:SX524329 ACP524329:ACT524329 AML524329:AMP524329 AWH524329:AWL524329 BGD524329:BGH524329 BPZ524329:BQD524329 BZV524329:BZZ524329 CJR524329:CJV524329 CTN524329:CTR524329 DDJ524329:DDN524329 DNF524329:DNJ524329 DXB524329:DXF524329 EGX524329:EHB524329 EQT524329:EQX524329 FAP524329:FAT524329 FKL524329:FKP524329 FUH524329:FUL524329 GED524329:GEH524329 GNZ524329:GOD524329 GXV524329:GXZ524329 HHR524329:HHV524329 HRN524329:HRR524329 IBJ524329:IBN524329 ILF524329:ILJ524329 IVB524329:IVF524329 JEX524329:JFB524329 JOT524329:JOX524329 JYP524329:JYT524329 KIL524329:KIP524329 KSH524329:KSL524329 LCD524329:LCH524329 LLZ524329:LMD524329 LVV524329:LVZ524329 MFR524329:MFV524329 MPN524329:MPR524329 MZJ524329:MZN524329 NJF524329:NJJ524329 NTB524329:NTF524329 OCX524329:ODB524329 OMT524329:OMX524329 OWP524329:OWT524329 PGL524329:PGP524329 PQH524329:PQL524329 QAD524329:QAH524329 QJZ524329:QKD524329 QTV524329:QTZ524329 RDR524329:RDV524329 RNN524329:RNR524329 RXJ524329:RXN524329 SHF524329:SHJ524329 SRB524329:SRF524329 TAX524329:TBB524329 TKT524329:TKX524329 TUP524329:TUT524329 UEL524329:UEP524329 UOH524329:UOL524329 UYD524329:UYH524329 VHZ524329:VID524329 VRV524329:VRZ524329 WBR524329:WBV524329 WLN524329:WLR524329 WVJ524329:WVN524329 B589865:F589865 IX589865:JB589865 ST589865:SX589865 ACP589865:ACT589865 AML589865:AMP589865 AWH589865:AWL589865 BGD589865:BGH589865 BPZ589865:BQD589865 BZV589865:BZZ589865 CJR589865:CJV589865 CTN589865:CTR589865 DDJ589865:DDN589865 DNF589865:DNJ589865 DXB589865:DXF589865 EGX589865:EHB589865 EQT589865:EQX589865 FAP589865:FAT589865 FKL589865:FKP589865 FUH589865:FUL589865 GED589865:GEH589865 GNZ589865:GOD589865 GXV589865:GXZ589865 HHR589865:HHV589865 HRN589865:HRR589865 IBJ589865:IBN589865 ILF589865:ILJ589865 IVB589865:IVF589865 JEX589865:JFB589865 JOT589865:JOX589865 JYP589865:JYT589865 KIL589865:KIP589865 KSH589865:KSL589865 LCD589865:LCH589865 LLZ589865:LMD589865 LVV589865:LVZ589865 MFR589865:MFV589865 MPN589865:MPR589865 MZJ589865:MZN589865 NJF589865:NJJ589865 NTB589865:NTF589865 OCX589865:ODB589865 OMT589865:OMX589865 OWP589865:OWT589865 PGL589865:PGP589865 PQH589865:PQL589865 QAD589865:QAH589865 QJZ589865:QKD589865 QTV589865:QTZ589865 RDR589865:RDV589865 RNN589865:RNR589865 RXJ589865:RXN589865 SHF589865:SHJ589865 SRB589865:SRF589865 TAX589865:TBB589865 TKT589865:TKX589865 TUP589865:TUT589865 UEL589865:UEP589865 UOH589865:UOL589865 UYD589865:UYH589865 VHZ589865:VID589865 VRV589865:VRZ589865 WBR589865:WBV589865 WLN589865:WLR589865 WVJ589865:WVN589865 B655401:F655401 IX655401:JB655401 ST655401:SX655401 ACP655401:ACT655401 AML655401:AMP655401 AWH655401:AWL655401 BGD655401:BGH655401 BPZ655401:BQD655401 BZV655401:BZZ655401 CJR655401:CJV655401 CTN655401:CTR655401 DDJ655401:DDN655401 DNF655401:DNJ655401 DXB655401:DXF655401 EGX655401:EHB655401 EQT655401:EQX655401 FAP655401:FAT655401 FKL655401:FKP655401 FUH655401:FUL655401 GED655401:GEH655401 GNZ655401:GOD655401 GXV655401:GXZ655401 HHR655401:HHV655401 HRN655401:HRR655401 IBJ655401:IBN655401 ILF655401:ILJ655401 IVB655401:IVF655401 JEX655401:JFB655401 JOT655401:JOX655401 JYP655401:JYT655401 KIL655401:KIP655401 KSH655401:KSL655401 LCD655401:LCH655401 LLZ655401:LMD655401 LVV655401:LVZ655401 MFR655401:MFV655401 MPN655401:MPR655401 MZJ655401:MZN655401 NJF655401:NJJ655401 NTB655401:NTF655401 OCX655401:ODB655401 OMT655401:OMX655401 OWP655401:OWT655401 PGL655401:PGP655401 PQH655401:PQL655401 QAD655401:QAH655401 QJZ655401:QKD655401 QTV655401:QTZ655401 RDR655401:RDV655401 RNN655401:RNR655401 RXJ655401:RXN655401 SHF655401:SHJ655401 SRB655401:SRF655401 TAX655401:TBB655401 TKT655401:TKX655401 TUP655401:TUT655401 UEL655401:UEP655401 UOH655401:UOL655401 UYD655401:UYH655401 VHZ655401:VID655401 VRV655401:VRZ655401 WBR655401:WBV655401 WLN655401:WLR655401 WVJ655401:WVN655401 B720937:F720937 IX720937:JB720937 ST720937:SX720937 ACP720937:ACT720937 AML720937:AMP720937 AWH720937:AWL720937 BGD720937:BGH720937 BPZ720937:BQD720937 BZV720937:BZZ720937 CJR720937:CJV720937 CTN720937:CTR720937 DDJ720937:DDN720937 DNF720937:DNJ720937 DXB720937:DXF720937 EGX720937:EHB720937 EQT720937:EQX720937 FAP720937:FAT720937 FKL720937:FKP720937 FUH720937:FUL720937 GED720937:GEH720937 GNZ720937:GOD720937 GXV720937:GXZ720937 HHR720937:HHV720937 HRN720937:HRR720937 IBJ720937:IBN720937 ILF720937:ILJ720937 IVB720937:IVF720937 JEX720937:JFB720937 JOT720937:JOX720937 JYP720937:JYT720937 KIL720937:KIP720937 KSH720937:KSL720937 LCD720937:LCH720937 LLZ720937:LMD720937 LVV720937:LVZ720937 MFR720937:MFV720937 MPN720937:MPR720937 MZJ720937:MZN720937 NJF720937:NJJ720937 NTB720937:NTF720937 OCX720937:ODB720937 OMT720937:OMX720937 OWP720937:OWT720937 PGL720937:PGP720937 PQH720937:PQL720937 QAD720937:QAH720937 QJZ720937:QKD720937 QTV720937:QTZ720937 RDR720937:RDV720937 RNN720937:RNR720937 RXJ720937:RXN720937 SHF720937:SHJ720937 SRB720937:SRF720937 TAX720937:TBB720937 TKT720937:TKX720937 TUP720937:TUT720937 UEL720937:UEP720937 UOH720937:UOL720937 UYD720937:UYH720937 VHZ720937:VID720937 VRV720937:VRZ720937 WBR720937:WBV720937 WLN720937:WLR720937 WVJ720937:WVN720937 B786473:F786473 IX786473:JB786473 ST786473:SX786473 ACP786473:ACT786473 AML786473:AMP786473 AWH786473:AWL786473 BGD786473:BGH786473 BPZ786473:BQD786473 BZV786473:BZZ786473 CJR786473:CJV786473 CTN786473:CTR786473 DDJ786473:DDN786473 DNF786473:DNJ786473 DXB786473:DXF786473 EGX786473:EHB786473 EQT786473:EQX786473 FAP786473:FAT786473 FKL786473:FKP786473 FUH786473:FUL786473 GED786473:GEH786473 GNZ786473:GOD786473 GXV786473:GXZ786473 HHR786473:HHV786473 HRN786473:HRR786473 IBJ786473:IBN786473 ILF786473:ILJ786473 IVB786473:IVF786473 JEX786473:JFB786473 JOT786473:JOX786473 JYP786473:JYT786473 KIL786473:KIP786473 KSH786473:KSL786473 LCD786473:LCH786473 LLZ786473:LMD786473 LVV786473:LVZ786473 MFR786473:MFV786473 MPN786473:MPR786473 MZJ786473:MZN786473 NJF786473:NJJ786473 NTB786473:NTF786473 OCX786473:ODB786473 OMT786473:OMX786473 OWP786473:OWT786473 PGL786473:PGP786473 PQH786473:PQL786473 QAD786473:QAH786473 QJZ786473:QKD786473 QTV786473:QTZ786473 RDR786473:RDV786473 RNN786473:RNR786473 RXJ786473:RXN786473 SHF786473:SHJ786473 SRB786473:SRF786473 TAX786473:TBB786473 TKT786473:TKX786473 TUP786473:TUT786473 UEL786473:UEP786473 UOH786473:UOL786473 UYD786473:UYH786473 VHZ786473:VID786473 VRV786473:VRZ786473 WBR786473:WBV786473 WLN786473:WLR786473 WVJ786473:WVN786473 B852009:F852009 IX852009:JB852009 ST852009:SX852009 ACP852009:ACT852009 AML852009:AMP852009 AWH852009:AWL852009 BGD852009:BGH852009 BPZ852009:BQD852009 BZV852009:BZZ852009 CJR852009:CJV852009 CTN852009:CTR852009 DDJ852009:DDN852009 DNF852009:DNJ852009 DXB852009:DXF852009 EGX852009:EHB852009 EQT852009:EQX852009 FAP852009:FAT852009 FKL852009:FKP852009 FUH852009:FUL852009 GED852009:GEH852009 GNZ852009:GOD852009 GXV852009:GXZ852009 HHR852009:HHV852009 HRN852009:HRR852009 IBJ852009:IBN852009 ILF852009:ILJ852009 IVB852009:IVF852009 JEX852009:JFB852009 JOT852009:JOX852009 JYP852009:JYT852009 KIL852009:KIP852009 KSH852009:KSL852009 LCD852009:LCH852009 LLZ852009:LMD852009 LVV852009:LVZ852009 MFR852009:MFV852009 MPN852009:MPR852009 MZJ852009:MZN852009 NJF852009:NJJ852009 NTB852009:NTF852009 OCX852009:ODB852009 OMT852009:OMX852009 OWP852009:OWT852009 PGL852009:PGP852009 PQH852009:PQL852009 QAD852009:QAH852009 QJZ852009:QKD852009 QTV852009:QTZ852009 RDR852009:RDV852009 RNN852009:RNR852009 RXJ852009:RXN852009 SHF852009:SHJ852009 SRB852009:SRF852009 TAX852009:TBB852009 TKT852009:TKX852009 TUP852009:TUT852009 UEL852009:UEP852009 UOH852009:UOL852009 UYD852009:UYH852009 VHZ852009:VID852009 VRV852009:VRZ852009 WBR852009:WBV852009 WLN852009:WLR852009 WVJ852009:WVN852009 B917545:F917545 IX917545:JB917545 ST917545:SX917545 ACP917545:ACT917545 AML917545:AMP917545 AWH917545:AWL917545 BGD917545:BGH917545 BPZ917545:BQD917545 BZV917545:BZZ917545 CJR917545:CJV917545 CTN917545:CTR917545 DDJ917545:DDN917545 DNF917545:DNJ917545 DXB917545:DXF917545 EGX917545:EHB917545 EQT917545:EQX917545 FAP917545:FAT917545 FKL917545:FKP917545 FUH917545:FUL917545 GED917545:GEH917545 GNZ917545:GOD917545 GXV917545:GXZ917545 HHR917545:HHV917545 HRN917545:HRR917545 IBJ917545:IBN917545 ILF917545:ILJ917545 IVB917545:IVF917545 JEX917545:JFB917545 JOT917545:JOX917545 JYP917545:JYT917545 KIL917545:KIP917545 KSH917545:KSL917545 LCD917545:LCH917545 LLZ917545:LMD917545 LVV917545:LVZ917545 MFR917545:MFV917545 MPN917545:MPR917545 MZJ917545:MZN917545 NJF917545:NJJ917545 NTB917545:NTF917545 OCX917545:ODB917545 OMT917545:OMX917545 OWP917545:OWT917545 PGL917545:PGP917545 PQH917545:PQL917545 QAD917545:QAH917545 QJZ917545:QKD917545 QTV917545:QTZ917545 RDR917545:RDV917545 RNN917545:RNR917545 RXJ917545:RXN917545 SHF917545:SHJ917545 SRB917545:SRF917545 TAX917545:TBB917545 TKT917545:TKX917545 TUP917545:TUT917545 UEL917545:UEP917545 UOH917545:UOL917545 UYD917545:UYH917545 VHZ917545:VID917545 VRV917545:VRZ917545 WBR917545:WBV917545 WLN917545:WLR917545 WVJ917545:WVN917545 B983081:F983081 IX983081:JB983081 ST983081:SX983081 ACP983081:ACT983081 AML983081:AMP983081 AWH983081:AWL983081 BGD983081:BGH983081 BPZ983081:BQD983081 BZV983081:BZZ983081 CJR983081:CJV983081 CTN983081:CTR983081 DDJ983081:DDN983081 DNF983081:DNJ983081 DXB983081:DXF983081 EGX983081:EHB983081 EQT983081:EQX983081 FAP983081:FAT983081 FKL983081:FKP983081 FUH983081:FUL983081 GED983081:GEH983081 GNZ983081:GOD983081 GXV983081:GXZ983081 HHR983081:HHV983081 HRN983081:HRR983081 IBJ983081:IBN983081 ILF983081:ILJ983081 IVB983081:IVF983081 JEX983081:JFB983081 JOT983081:JOX983081 JYP983081:JYT983081 KIL983081:KIP983081 KSH983081:KSL983081 LCD983081:LCH983081 LLZ983081:LMD983081 LVV983081:LVZ983081 MFR983081:MFV983081 MPN983081:MPR983081 MZJ983081:MZN983081 NJF983081:NJJ983081 NTB983081:NTF983081 OCX983081:ODB983081 OMT983081:OMX983081 OWP983081:OWT983081 PGL983081:PGP983081 PQH983081:PQL983081 QAD983081:QAH983081 QJZ983081:QKD983081 QTV983081:QTZ983081 RDR983081:RDV983081 RNN983081:RNR983081 RXJ983081:RXN983081 SHF983081:SHJ983081 SRB983081:SRF983081 TAX983081:TBB983081 TKT983081:TKX983081 TUP983081:TUT983081 UEL983081:UEP983081 UOH983081:UOL983081 UYD983081:UYH983081 VHZ983081:VID983081 VRV983081:VRZ983081 WBR983081:WBV983081 WLN983081:WLR983081 IX14:JB14 ST14:SX14 ACP14:ACT14 AML14:AMP14 AWH14:AWL14 BGD14:BGH14 BPZ14:BQD14 BZV14:BZZ14 CJR14:CJV14 CTN14:CTR14 DDJ14:DDN14 DNF14:DNJ14 DXB14:DXF14 EGX14:EHB14 EQT14:EQX14 FAP14:FAT14 FKL14:FKP14 FUH14:FUL14 GED14:GEH14 GNZ14:GOD14 GXV14:GXZ14 HHR14:HHV14 HRN14:HRR14 IBJ14:IBN14 ILF14:ILJ14 IVB14:IVF14 JEX14:JFB14 JOT14:JOX14 JYP14:JYT14 KIL14:KIP14 KSH14:KSL14 LCD14:LCH14 LLZ14:LMD14 LVV14:LVZ14 MFR14:MFV14 MPN14:MPR14 MZJ14:MZN14 NJF14:NJJ14 NTB14:NTF14 OCX14:ODB14 OMT14:OMX14 OWP14:OWT14 PGL14:PGP14 PQH14:PQL14 QAD14:QAH14 QJZ14:QKD14 QTV14:QTZ14 RDR14:RDV14 RNN14:RNR14 RXJ14:RXN14 SHF14:SHJ14 SRB14:SRF14 TAX14:TBB14 TKT14:TKX14 TUP14:TUT14 UEL14:UEP14 UOH14:UOL14 UYD14:UYH14 VHZ14:VID14 VRV14:VRZ14 WBR14:WBV14 WLN14:WLR14 WVJ14:WVN14">
      <formula1>"平均年限法,工作量法,双倍余额递减法,年数总和法,其它"</formula1>
    </dataValidation>
    <dataValidation type="list" allowBlank="1" showInputMessage="1" showErrorMessage="1" sqref="B65574:F65574 IX65574:JB65574 ST65574:SX65574 ACP65574:ACT65574 AML65574:AMP65574 AWH65574:AWL65574 BGD65574:BGH65574 BPZ65574:BQD65574 BZV65574:BZZ65574 CJR65574:CJV65574 CTN65574:CTR65574 DDJ65574:DDN65574 DNF65574:DNJ65574 DXB65574:DXF65574 EGX65574:EHB65574 EQT65574:EQX65574 FAP65574:FAT65574 FKL65574:FKP65574 FUH65574:FUL65574 GED65574:GEH65574 GNZ65574:GOD65574 GXV65574:GXZ65574 HHR65574:HHV65574 HRN65574:HRR65574 IBJ65574:IBN65574 ILF65574:ILJ65574 IVB65574:IVF65574 JEX65574:JFB65574 JOT65574:JOX65574 JYP65574:JYT65574 KIL65574:KIP65574 KSH65574:KSL65574 LCD65574:LCH65574 LLZ65574:LMD65574 LVV65574:LVZ65574 MFR65574:MFV65574 MPN65574:MPR65574 MZJ65574:MZN65574 NJF65574:NJJ65574 NTB65574:NTF65574 OCX65574:ODB65574 OMT65574:OMX65574 OWP65574:OWT65574 PGL65574:PGP65574 PQH65574:PQL65574 QAD65574:QAH65574 QJZ65574:QKD65574 QTV65574:QTZ65574 RDR65574:RDV65574 RNN65574:RNR65574 RXJ65574:RXN65574 SHF65574:SHJ65574 SRB65574:SRF65574 TAX65574:TBB65574 TKT65574:TKX65574 TUP65574:TUT65574 UEL65574:UEP65574 UOH65574:UOL65574 UYD65574:UYH65574 VHZ65574:VID65574 VRV65574:VRZ65574 WBR65574:WBV65574 WLN65574:WLR65574 WVJ65574:WVN65574 B131110:F131110 IX131110:JB131110 ST131110:SX131110 ACP131110:ACT131110 AML131110:AMP131110 AWH131110:AWL131110 BGD131110:BGH131110 BPZ131110:BQD131110 BZV131110:BZZ131110 CJR131110:CJV131110 CTN131110:CTR131110 DDJ131110:DDN131110 DNF131110:DNJ131110 DXB131110:DXF131110 EGX131110:EHB131110 EQT131110:EQX131110 FAP131110:FAT131110 FKL131110:FKP131110 FUH131110:FUL131110 GED131110:GEH131110 GNZ131110:GOD131110 GXV131110:GXZ131110 HHR131110:HHV131110 HRN131110:HRR131110 IBJ131110:IBN131110 ILF131110:ILJ131110 IVB131110:IVF131110 JEX131110:JFB131110 JOT131110:JOX131110 JYP131110:JYT131110 KIL131110:KIP131110 KSH131110:KSL131110 LCD131110:LCH131110 LLZ131110:LMD131110 LVV131110:LVZ131110 MFR131110:MFV131110 MPN131110:MPR131110 MZJ131110:MZN131110 NJF131110:NJJ131110 NTB131110:NTF131110 OCX131110:ODB131110 OMT131110:OMX131110 OWP131110:OWT131110 PGL131110:PGP131110 PQH131110:PQL131110 QAD131110:QAH131110 QJZ131110:QKD131110 QTV131110:QTZ131110 RDR131110:RDV131110 RNN131110:RNR131110 RXJ131110:RXN131110 SHF131110:SHJ131110 SRB131110:SRF131110 TAX131110:TBB131110 TKT131110:TKX131110 TUP131110:TUT131110 UEL131110:UEP131110 UOH131110:UOL131110 UYD131110:UYH131110 VHZ131110:VID131110 VRV131110:VRZ131110 WBR131110:WBV131110 WLN131110:WLR131110 WVJ131110:WVN131110 B196646:F196646 IX196646:JB196646 ST196646:SX196646 ACP196646:ACT196646 AML196646:AMP196646 AWH196646:AWL196646 BGD196646:BGH196646 BPZ196646:BQD196646 BZV196646:BZZ196646 CJR196646:CJV196646 CTN196646:CTR196646 DDJ196646:DDN196646 DNF196646:DNJ196646 DXB196646:DXF196646 EGX196646:EHB196646 EQT196646:EQX196646 FAP196646:FAT196646 FKL196646:FKP196646 FUH196646:FUL196646 GED196646:GEH196646 GNZ196646:GOD196646 GXV196646:GXZ196646 HHR196646:HHV196646 HRN196646:HRR196646 IBJ196646:IBN196646 ILF196646:ILJ196646 IVB196646:IVF196646 JEX196646:JFB196646 JOT196646:JOX196646 JYP196646:JYT196646 KIL196646:KIP196646 KSH196646:KSL196646 LCD196646:LCH196646 LLZ196646:LMD196646 LVV196646:LVZ196646 MFR196646:MFV196646 MPN196646:MPR196646 MZJ196646:MZN196646 NJF196646:NJJ196646 NTB196646:NTF196646 OCX196646:ODB196646 OMT196646:OMX196646 OWP196646:OWT196646 PGL196646:PGP196646 PQH196646:PQL196646 QAD196646:QAH196646 QJZ196646:QKD196646 QTV196646:QTZ196646 RDR196646:RDV196646 RNN196646:RNR196646 RXJ196646:RXN196646 SHF196646:SHJ196646 SRB196646:SRF196646 TAX196646:TBB196646 TKT196646:TKX196646 TUP196646:TUT196646 UEL196646:UEP196646 UOH196646:UOL196646 UYD196646:UYH196646 VHZ196646:VID196646 VRV196646:VRZ196646 WBR196646:WBV196646 WLN196646:WLR196646 WVJ196646:WVN196646 B262182:F262182 IX262182:JB262182 ST262182:SX262182 ACP262182:ACT262182 AML262182:AMP262182 AWH262182:AWL262182 BGD262182:BGH262182 BPZ262182:BQD262182 BZV262182:BZZ262182 CJR262182:CJV262182 CTN262182:CTR262182 DDJ262182:DDN262182 DNF262182:DNJ262182 DXB262182:DXF262182 EGX262182:EHB262182 EQT262182:EQX262182 FAP262182:FAT262182 FKL262182:FKP262182 FUH262182:FUL262182 GED262182:GEH262182 GNZ262182:GOD262182 GXV262182:GXZ262182 HHR262182:HHV262182 HRN262182:HRR262182 IBJ262182:IBN262182 ILF262182:ILJ262182 IVB262182:IVF262182 JEX262182:JFB262182 JOT262182:JOX262182 JYP262182:JYT262182 KIL262182:KIP262182 KSH262182:KSL262182 LCD262182:LCH262182 LLZ262182:LMD262182 LVV262182:LVZ262182 MFR262182:MFV262182 MPN262182:MPR262182 MZJ262182:MZN262182 NJF262182:NJJ262182 NTB262182:NTF262182 OCX262182:ODB262182 OMT262182:OMX262182 OWP262182:OWT262182 PGL262182:PGP262182 PQH262182:PQL262182 QAD262182:QAH262182 QJZ262182:QKD262182 QTV262182:QTZ262182 RDR262182:RDV262182 RNN262182:RNR262182 RXJ262182:RXN262182 SHF262182:SHJ262182 SRB262182:SRF262182 TAX262182:TBB262182 TKT262182:TKX262182 TUP262182:TUT262182 UEL262182:UEP262182 UOH262182:UOL262182 UYD262182:UYH262182 VHZ262182:VID262182 VRV262182:VRZ262182 WBR262182:WBV262182 WLN262182:WLR262182 WVJ262182:WVN262182 B327718:F327718 IX327718:JB327718 ST327718:SX327718 ACP327718:ACT327718 AML327718:AMP327718 AWH327718:AWL327718 BGD327718:BGH327718 BPZ327718:BQD327718 BZV327718:BZZ327718 CJR327718:CJV327718 CTN327718:CTR327718 DDJ327718:DDN327718 DNF327718:DNJ327718 DXB327718:DXF327718 EGX327718:EHB327718 EQT327718:EQX327718 FAP327718:FAT327718 FKL327718:FKP327718 FUH327718:FUL327718 GED327718:GEH327718 GNZ327718:GOD327718 GXV327718:GXZ327718 HHR327718:HHV327718 HRN327718:HRR327718 IBJ327718:IBN327718 ILF327718:ILJ327718 IVB327718:IVF327718 JEX327718:JFB327718 JOT327718:JOX327718 JYP327718:JYT327718 KIL327718:KIP327718 KSH327718:KSL327718 LCD327718:LCH327718 LLZ327718:LMD327718 LVV327718:LVZ327718 MFR327718:MFV327718 MPN327718:MPR327718 MZJ327718:MZN327718 NJF327718:NJJ327718 NTB327718:NTF327718 OCX327718:ODB327718 OMT327718:OMX327718 OWP327718:OWT327718 PGL327718:PGP327718 PQH327718:PQL327718 QAD327718:QAH327718 QJZ327718:QKD327718 QTV327718:QTZ327718 RDR327718:RDV327718 RNN327718:RNR327718 RXJ327718:RXN327718 SHF327718:SHJ327718 SRB327718:SRF327718 TAX327718:TBB327718 TKT327718:TKX327718 TUP327718:TUT327718 UEL327718:UEP327718 UOH327718:UOL327718 UYD327718:UYH327718 VHZ327718:VID327718 VRV327718:VRZ327718 WBR327718:WBV327718 WLN327718:WLR327718 WVJ327718:WVN327718 B393254:F393254 IX393254:JB393254 ST393254:SX393254 ACP393254:ACT393254 AML393254:AMP393254 AWH393254:AWL393254 BGD393254:BGH393254 BPZ393254:BQD393254 BZV393254:BZZ393254 CJR393254:CJV393254 CTN393254:CTR393254 DDJ393254:DDN393254 DNF393254:DNJ393254 DXB393254:DXF393254 EGX393254:EHB393254 EQT393254:EQX393254 FAP393254:FAT393254 FKL393254:FKP393254 FUH393254:FUL393254 GED393254:GEH393254 GNZ393254:GOD393254 GXV393254:GXZ393254 HHR393254:HHV393254 HRN393254:HRR393254 IBJ393254:IBN393254 ILF393254:ILJ393254 IVB393254:IVF393254 JEX393254:JFB393254 JOT393254:JOX393254 JYP393254:JYT393254 KIL393254:KIP393254 KSH393254:KSL393254 LCD393254:LCH393254 LLZ393254:LMD393254 LVV393254:LVZ393254 MFR393254:MFV393254 MPN393254:MPR393254 MZJ393254:MZN393254 NJF393254:NJJ393254 NTB393254:NTF393254 OCX393254:ODB393254 OMT393254:OMX393254 OWP393254:OWT393254 PGL393254:PGP393254 PQH393254:PQL393254 QAD393254:QAH393254 QJZ393254:QKD393254 QTV393254:QTZ393254 RDR393254:RDV393254 RNN393254:RNR393254 RXJ393254:RXN393254 SHF393254:SHJ393254 SRB393254:SRF393254 TAX393254:TBB393254 TKT393254:TKX393254 TUP393254:TUT393254 UEL393254:UEP393254 UOH393254:UOL393254 UYD393254:UYH393254 VHZ393254:VID393254 VRV393254:VRZ393254 WBR393254:WBV393254 WLN393254:WLR393254 WVJ393254:WVN393254 B458790:F458790 IX458790:JB458790 ST458790:SX458790 ACP458790:ACT458790 AML458790:AMP458790 AWH458790:AWL458790 BGD458790:BGH458790 BPZ458790:BQD458790 BZV458790:BZZ458790 CJR458790:CJV458790 CTN458790:CTR458790 DDJ458790:DDN458790 DNF458790:DNJ458790 DXB458790:DXF458790 EGX458790:EHB458790 EQT458790:EQX458790 FAP458790:FAT458790 FKL458790:FKP458790 FUH458790:FUL458790 GED458790:GEH458790 GNZ458790:GOD458790 GXV458790:GXZ458790 HHR458790:HHV458790 HRN458790:HRR458790 IBJ458790:IBN458790 ILF458790:ILJ458790 IVB458790:IVF458790 JEX458790:JFB458790 JOT458790:JOX458790 JYP458790:JYT458790 KIL458790:KIP458790 KSH458790:KSL458790 LCD458790:LCH458790 LLZ458790:LMD458790 LVV458790:LVZ458790 MFR458790:MFV458790 MPN458790:MPR458790 MZJ458790:MZN458790 NJF458790:NJJ458790 NTB458790:NTF458790 OCX458790:ODB458790 OMT458790:OMX458790 OWP458790:OWT458790 PGL458790:PGP458790 PQH458790:PQL458790 QAD458790:QAH458790 QJZ458790:QKD458790 QTV458790:QTZ458790 RDR458790:RDV458790 RNN458790:RNR458790 RXJ458790:RXN458790 SHF458790:SHJ458790 SRB458790:SRF458790 TAX458790:TBB458790 TKT458790:TKX458790 TUP458790:TUT458790 UEL458790:UEP458790 UOH458790:UOL458790 UYD458790:UYH458790 VHZ458790:VID458790 VRV458790:VRZ458790 WBR458790:WBV458790 WLN458790:WLR458790 WVJ458790:WVN458790 B524326:F524326 IX524326:JB524326 ST524326:SX524326 ACP524326:ACT524326 AML524326:AMP524326 AWH524326:AWL524326 BGD524326:BGH524326 BPZ524326:BQD524326 BZV524326:BZZ524326 CJR524326:CJV524326 CTN524326:CTR524326 DDJ524326:DDN524326 DNF524326:DNJ524326 DXB524326:DXF524326 EGX524326:EHB524326 EQT524326:EQX524326 FAP524326:FAT524326 FKL524326:FKP524326 FUH524326:FUL524326 GED524326:GEH524326 GNZ524326:GOD524326 GXV524326:GXZ524326 HHR524326:HHV524326 HRN524326:HRR524326 IBJ524326:IBN524326 ILF524326:ILJ524326 IVB524326:IVF524326 JEX524326:JFB524326 JOT524326:JOX524326 JYP524326:JYT524326 KIL524326:KIP524326 KSH524326:KSL524326 LCD524326:LCH524326 LLZ524326:LMD524326 LVV524326:LVZ524326 MFR524326:MFV524326 MPN524326:MPR524326 MZJ524326:MZN524326 NJF524326:NJJ524326 NTB524326:NTF524326 OCX524326:ODB524326 OMT524326:OMX524326 OWP524326:OWT524326 PGL524326:PGP524326 PQH524326:PQL524326 QAD524326:QAH524326 QJZ524326:QKD524326 QTV524326:QTZ524326 RDR524326:RDV524326 RNN524326:RNR524326 RXJ524326:RXN524326 SHF524326:SHJ524326 SRB524326:SRF524326 TAX524326:TBB524326 TKT524326:TKX524326 TUP524326:TUT524326 UEL524326:UEP524326 UOH524326:UOL524326 UYD524326:UYH524326 VHZ524326:VID524326 VRV524326:VRZ524326 WBR524326:WBV524326 WLN524326:WLR524326 WVJ524326:WVN524326 B589862:F589862 IX589862:JB589862 ST589862:SX589862 ACP589862:ACT589862 AML589862:AMP589862 AWH589862:AWL589862 BGD589862:BGH589862 BPZ589862:BQD589862 BZV589862:BZZ589862 CJR589862:CJV589862 CTN589862:CTR589862 DDJ589862:DDN589862 DNF589862:DNJ589862 DXB589862:DXF589862 EGX589862:EHB589862 EQT589862:EQX589862 FAP589862:FAT589862 FKL589862:FKP589862 FUH589862:FUL589862 GED589862:GEH589862 GNZ589862:GOD589862 GXV589862:GXZ589862 HHR589862:HHV589862 HRN589862:HRR589862 IBJ589862:IBN589862 ILF589862:ILJ589862 IVB589862:IVF589862 JEX589862:JFB589862 JOT589862:JOX589862 JYP589862:JYT589862 KIL589862:KIP589862 KSH589862:KSL589862 LCD589862:LCH589862 LLZ589862:LMD589862 LVV589862:LVZ589862 MFR589862:MFV589862 MPN589862:MPR589862 MZJ589862:MZN589862 NJF589862:NJJ589862 NTB589862:NTF589862 OCX589862:ODB589862 OMT589862:OMX589862 OWP589862:OWT589862 PGL589862:PGP589862 PQH589862:PQL589862 QAD589862:QAH589862 QJZ589862:QKD589862 QTV589862:QTZ589862 RDR589862:RDV589862 RNN589862:RNR589862 RXJ589862:RXN589862 SHF589862:SHJ589862 SRB589862:SRF589862 TAX589862:TBB589862 TKT589862:TKX589862 TUP589862:TUT589862 UEL589862:UEP589862 UOH589862:UOL589862 UYD589862:UYH589862 VHZ589862:VID589862 VRV589862:VRZ589862 WBR589862:WBV589862 WLN589862:WLR589862 WVJ589862:WVN589862 B655398:F655398 IX655398:JB655398 ST655398:SX655398 ACP655398:ACT655398 AML655398:AMP655398 AWH655398:AWL655398 BGD655398:BGH655398 BPZ655398:BQD655398 BZV655398:BZZ655398 CJR655398:CJV655398 CTN655398:CTR655398 DDJ655398:DDN655398 DNF655398:DNJ655398 DXB655398:DXF655398 EGX655398:EHB655398 EQT655398:EQX655398 FAP655398:FAT655398 FKL655398:FKP655398 FUH655398:FUL655398 GED655398:GEH655398 GNZ655398:GOD655398 GXV655398:GXZ655398 HHR655398:HHV655398 HRN655398:HRR655398 IBJ655398:IBN655398 ILF655398:ILJ655398 IVB655398:IVF655398 JEX655398:JFB655398 JOT655398:JOX655398 JYP655398:JYT655398 KIL655398:KIP655398 KSH655398:KSL655398 LCD655398:LCH655398 LLZ655398:LMD655398 LVV655398:LVZ655398 MFR655398:MFV655398 MPN655398:MPR655398 MZJ655398:MZN655398 NJF655398:NJJ655398 NTB655398:NTF655398 OCX655398:ODB655398 OMT655398:OMX655398 OWP655398:OWT655398 PGL655398:PGP655398 PQH655398:PQL655398 QAD655398:QAH655398 QJZ655398:QKD655398 QTV655398:QTZ655398 RDR655398:RDV655398 RNN655398:RNR655398 RXJ655398:RXN655398 SHF655398:SHJ655398 SRB655398:SRF655398 TAX655398:TBB655398 TKT655398:TKX655398 TUP655398:TUT655398 UEL655398:UEP655398 UOH655398:UOL655398 UYD655398:UYH655398 VHZ655398:VID655398 VRV655398:VRZ655398 WBR655398:WBV655398 WLN655398:WLR655398 WVJ655398:WVN655398 B720934:F720934 IX720934:JB720934 ST720934:SX720934 ACP720934:ACT720934 AML720934:AMP720934 AWH720934:AWL720934 BGD720934:BGH720934 BPZ720934:BQD720934 BZV720934:BZZ720934 CJR720934:CJV720934 CTN720934:CTR720934 DDJ720934:DDN720934 DNF720934:DNJ720934 DXB720934:DXF720934 EGX720934:EHB720934 EQT720934:EQX720934 FAP720934:FAT720934 FKL720934:FKP720934 FUH720934:FUL720934 GED720934:GEH720934 GNZ720934:GOD720934 GXV720934:GXZ720934 HHR720934:HHV720934 HRN720934:HRR720934 IBJ720934:IBN720934 ILF720934:ILJ720934 IVB720934:IVF720934 JEX720934:JFB720934 JOT720934:JOX720934 JYP720934:JYT720934 KIL720934:KIP720934 KSH720934:KSL720934 LCD720934:LCH720934 LLZ720934:LMD720934 LVV720934:LVZ720934 MFR720934:MFV720934 MPN720934:MPR720934 MZJ720934:MZN720934 NJF720934:NJJ720934 NTB720934:NTF720934 OCX720934:ODB720934 OMT720934:OMX720934 OWP720934:OWT720934 PGL720934:PGP720934 PQH720934:PQL720934 QAD720934:QAH720934 QJZ720934:QKD720934 QTV720934:QTZ720934 RDR720934:RDV720934 RNN720934:RNR720934 RXJ720934:RXN720934 SHF720934:SHJ720934 SRB720934:SRF720934 TAX720934:TBB720934 TKT720934:TKX720934 TUP720934:TUT720934 UEL720934:UEP720934 UOH720934:UOL720934 UYD720934:UYH720934 VHZ720934:VID720934 VRV720934:VRZ720934 WBR720934:WBV720934 WLN720934:WLR720934 WVJ720934:WVN720934 B786470:F786470 IX786470:JB786470 ST786470:SX786470 ACP786470:ACT786470 AML786470:AMP786470 AWH786470:AWL786470 BGD786470:BGH786470 BPZ786470:BQD786470 BZV786470:BZZ786470 CJR786470:CJV786470 CTN786470:CTR786470 DDJ786470:DDN786470 DNF786470:DNJ786470 DXB786470:DXF786470 EGX786470:EHB786470 EQT786470:EQX786470 FAP786470:FAT786470 FKL786470:FKP786470 FUH786470:FUL786470 GED786470:GEH786470 GNZ786470:GOD786470 GXV786470:GXZ786470 HHR786470:HHV786470 HRN786470:HRR786470 IBJ786470:IBN786470 ILF786470:ILJ786470 IVB786470:IVF786470 JEX786470:JFB786470 JOT786470:JOX786470 JYP786470:JYT786470 KIL786470:KIP786470 KSH786470:KSL786470 LCD786470:LCH786470 LLZ786470:LMD786470 LVV786470:LVZ786470 MFR786470:MFV786470 MPN786470:MPR786470 MZJ786470:MZN786470 NJF786470:NJJ786470 NTB786470:NTF786470 OCX786470:ODB786470 OMT786470:OMX786470 OWP786470:OWT786470 PGL786470:PGP786470 PQH786470:PQL786470 QAD786470:QAH786470 QJZ786470:QKD786470 QTV786470:QTZ786470 RDR786470:RDV786470 RNN786470:RNR786470 RXJ786470:RXN786470 SHF786470:SHJ786470 SRB786470:SRF786470 TAX786470:TBB786470 TKT786470:TKX786470 TUP786470:TUT786470 UEL786470:UEP786470 UOH786470:UOL786470 UYD786470:UYH786470 VHZ786470:VID786470 VRV786470:VRZ786470 WBR786470:WBV786470 WLN786470:WLR786470 WVJ786470:WVN786470 B852006:F852006 IX852006:JB852006 ST852006:SX852006 ACP852006:ACT852006 AML852006:AMP852006 AWH852006:AWL852006 BGD852006:BGH852006 BPZ852006:BQD852006 BZV852006:BZZ852006 CJR852006:CJV852006 CTN852006:CTR852006 DDJ852006:DDN852006 DNF852006:DNJ852006 DXB852006:DXF852006 EGX852006:EHB852006 EQT852006:EQX852006 FAP852006:FAT852006 FKL852006:FKP852006 FUH852006:FUL852006 GED852006:GEH852006 GNZ852006:GOD852006 GXV852006:GXZ852006 HHR852006:HHV852006 HRN852006:HRR852006 IBJ852006:IBN852006 ILF852006:ILJ852006 IVB852006:IVF852006 JEX852006:JFB852006 JOT852006:JOX852006 JYP852006:JYT852006 KIL852006:KIP852006 KSH852006:KSL852006 LCD852006:LCH852006 LLZ852006:LMD852006 LVV852006:LVZ852006 MFR852006:MFV852006 MPN852006:MPR852006 MZJ852006:MZN852006 NJF852006:NJJ852006 NTB852006:NTF852006 OCX852006:ODB852006 OMT852006:OMX852006 OWP852006:OWT852006 PGL852006:PGP852006 PQH852006:PQL852006 QAD852006:QAH852006 QJZ852006:QKD852006 QTV852006:QTZ852006 RDR852006:RDV852006 RNN852006:RNR852006 RXJ852006:RXN852006 SHF852006:SHJ852006 SRB852006:SRF852006 TAX852006:TBB852006 TKT852006:TKX852006 TUP852006:TUT852006 UEL852006:UEP852006 UOH852006:UOL852006 UYD852006:UYH852006 VHZ852006:VID852006 VRV852006:VRZ852006 WBR852006:WBV852006 WLN852006:WLR852006 WVJ852006:WVN852006 B917542:F917542 IX917542:JB917542 ST917542:SX917542 ACP917542:ACT917542 AML917542:AMP917542 AWH917542:AWL917542 BGD917542:BGH917542 BPZ917542:BQD917542 BZV917542:BZZ917542 CJR917542:CJV917542 CTN917542:CTR917542 DDJ917542:DDN917542 DNF917542:DNJ917542 DXB917542:DXF917542 EGX917542:EHB917542 EQT917542:EQX917542 FAP917542:FAT917542 FKL917542:FKP917542 FUH917542:FUL917542 GED917542:GEH917542 GNZ917542:GOD917542 GXV917542:GXZ917542 HHR917542:HHV917542 HRN917542:HRR917542 IBJ917542:IBN917542 ILF917542:ILJ917542 IVB917542:IVF917542 JEX917542:JFB917542 JOT917542:JOX917542 JYP917542:JYT917542 KIL917542:KIP917542 KSH917542:KSL917542 LCD917542:LCH917542 LLZ917542:LMD917542 LVV917542:LVZ917542 MFR917542:MFV917542 MPN917542:MPR917542 MZJ917542:MZN917542 NJF917542:NJJ917542 NTB917542:NTF917542 OCX917542:ODB917542 OMT917542:OMX917542 OWP917542:OWT917542 PGL917542:PGP917542 PQH917542:PQL917542 QAD917542:QAH917542 QJZ917542:QKD917542 QTV917542:QTZ917542 RDR917542:RDV917542 RNN917542:RNR917542 RXJ917542:RXN917542 SHF917542:SHJ917542 SRB917542:SRF917542 TAX917542:TBB917542 TKT917542:TKX917542 TUP917542:TUT917542 UEL917542:UEP917542 UOH917542:UOL917542 UYD917542:UYH917542 VHZ917542:VID917542 VRV917542:VRZ917542 WBR917542:WBV917542 WLN917542:WLR917542 WVJ917542:WVN917542 B983078:F983078 IX983078:JB983078 ST983078:SX983078 ACP983078:ACT983078 AML983078:AMP983078 AWH983078:AWL983078 BGD983078:BGH983078 BPZ983078:BQD983078 BZV983078:BZZ983078 CJR983078:CJV983078 CTN983078:CTR983078 DDJ983078:DDN983078 DNF983078:DNJ983078 DXB983078:DXF983078 EGX983078:EHB983078 EQT983078:EQX983078 FAP983078:FAT983078 FKL983078:FKP983078 FUH983078:FUL983078 GED983078:GEH983078 GNZ983078:GOD983078 GXV983078:GXZ983078 HHR983078:HHV983078 HRN983078:HRR983078 IBJ983078:IBN983078 ILF983078:ILJ983078 IVB983078:IVF983078 JEX983078:JFB983078 JOT983078:JOX983078 JYP983078:JYT983078 KIL983078:KIP983078 KSH983078:KSL983078 LCD983078:LCH983078 LLZ983078:LMD983078 LVV983078:LVZ983078 MFR983078:MFV983078 MPN983078:MPR983078 MZJ983078:MZN983078 NJF983078:NJJ983078 NTB983078:NTF983078 OCX983078:ODB983078 OMT983078:OMX983078 OWP983078:OWT983078 PGL983078:PGP983078 PQH983078:PQL983078 QAD983078:QAH983078 QJZ983078:QKD983078 QTV983078:QTZ983078 RDR983078:RDV983078 RNN983078:RNR983078 RXJ983078:RXN983078 SHF983078:SHJ983078 SRB983078:SRF983078 TAX983078:TBB983078 TKT983078:TKX983078 TUP983078:TUT983078 UEL983078:UEP983078 UOH983078:UOL983078 UYD983078:UYH983078 VHZ983078:VID983078 VRV983078:VRZ983078 WBR983078:WBV983078 WLN983078:WLR983078 WVJ983078:WVN983078 WVJ11:WVN11 IX11:JB11 ST11:SX11 ACP11:ACT11 AML11:AMP11 AWH11:AWL11 BGD11:BGH11 BPZ11:BQD11 BZV11:BZZ11 CJR11:CJV11 CTN11:CTR11 DDJ11:DDN11 DNF11:DNJ11 DXB11:DXF11 EGX11:EHB11 EQT11:EQX11 FAP11:FAT11 FKL11:FKP11 FUH11:FUL11 GED11:GEH11 GNZ11:GOD11 GXV11:GXZ11 HHR11:HHV11 HRN11:HRR11 IBJ11:IBN11 ILF11:ILJ11 IVB11:IVF11 JEX11:JFB11 JOT11:JOX11 JYP11:JYT11 KIL11:KIP11 KSH11:KSL11 LCD11:LCH11 LLZ11:LMD11 LVV11:LVZ11 MFR11:MFV11 MPN11:MPR11 MZJ11:MZN11 NJF11:NJJ11 NTB11:NTF11 OCX11:ODB11 OMT11:OMX11 OWP11:OWT11 PGL11:PGP11 PQH11:PQL11 QAD11:QAH11 QJZ11:QKD11 QTV11:QTZ11 RDR11:RDV11 RNN11:RNR11 RXJ11:RXN11 SHF11:SHJ11 SRB11:SRF11 TAX11:TBB11 TKT11:TKX11 TUP11:TUT11 UEL11:UEP11 UOH11:UOL11 UYD11:UYH11 VHZ11:VID11 VRV11:VRZ11 WBR11:WBV11 WLN11:WLR11">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type="list" allowBlank="1" showInputMessage="1" showErrorMessage="1" sqref="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B13 IX13 ST13 ACP13 AML13 AWH13 BGD13 BPZ13 BZV13 CJR13 CTN13 DDJ13 DNF13 DXB13 EGX13 EQT13 FAP13 FKL13 FUH13 GED13 GNZ13 GXV13 HHR13 HRN13 IBJ13 ILF13 IVB13 JEX13 JOT13 JYP13 KIL13 KSH13 LCD13 LLZ13 LVV13 MFR13 MPN13 MZJ13 NJF13 NTB13 OCX13 OMT13 OWP13 PGL13 PQH13 QAD13 QJZ13 QTV13 RDR13 RNN13 RXJ13 SHF13 SRB13 TAX13 TKT13 TUP13 UEL13 UOH13 UYD13 VHZ13 VRV13 WBR13 WLN13 WVJ13">
      <formula1>"人民币,其他"</formula1>
    </dataValidation>
    <dataValidation type="list" allowBlank="1" showInputMessage="1" showErrorMessage="1" sqref="E65572:F65572 JA65572:JB65572 SW65572:SX65572 ACS65572:ACT65572 AMO65572:AMP65572 AWK65572:AWL65572 BGG65572:BGH65572 BQC65572:BQD65572 BZY65572:BZZ65572 CJU65572:CJV65572 CTQ65572:CTR65572 DDM65572:DDN65572 DNI65572:DNJ65572 DXE65572:DXF65572 EHA65572:EHB65572 EQW65572:EQX65572 FAS65572:FAT65572 FKO65572:FKP65572 FUK65572:FUL65572 GEG65572:GEH65572 GOC65572:GOD65572 GXY65572:GXZ65572 HHU65572:HHV65572 HRQ65572:HRR65572 IBM65572:IBN65572 ILI65572:ILJ65572 IVE65572:IVF65572 JFA65572:JFB65572 JOW65572:JOX65572 JYS65572:JYT65572 KIO65572:KIP65572 KSK65572:KSL65572 LCG65572:LCH65572 LMC65572:LMD65572 LVY65572:LVZ65572 MFU65572:MFV65572 MPQ65572:MPR65572 MZM65572:MZN65572 NJI65572:NJJ65572 NTE65572:NTF65572 ODA65572:ODB65572 OMW65572:OMX65572 OWS65572:OWT65572 PGO65572:PGP65572 PQK65572:PQL65572 QAG65572:QAH65572 QKC65572:QKD65572 QTY65572:QTZ65572 RDU65572:RDV65572 RNQ65572:RNR65572 RXM65572:RXN65572 SHI65572:SHJ65572 SRE65572:SRF65572 TBA65572:TBB65572 TKW65572:TKX65572 TUS65572:TUT65572 UEO65572:UEP65572 UOK65572:UOL65572 UYG65572:UYH65572 VIC65572:VID65572 VRY65572:VRZ65572 WBU65572:WBV65572 WLQ65572:WLR65572 WVM65572:WVN65572 E131108:F131108 JA131108:JB131108 SW131108:SX131108 ACS131108:ACT131108 AMO131108:AMP131108 AWK131108:AWL131108 BGG131108:BGH131108 BQC131108:BQD131108 BZY131108:BZZ131108 CJU131108:CJV131108 CTQ131108:CTR131108 DDM131108:DDN131108 DNI131108:DNJ131108 DXE131108:DXF131108 EHA131108:EHB131108 EQW131108:EQX131108 FAS131108:FAT131108 FKO131108:FKP131108 FUK131108:FUL131108 GEG131108:GEH131108 GOC131108:GOD131108 GXY131108:GXZ131108 HHU131108:HHV131108 HRQ131108:HRR131108 IBM131108:IBN131108 ILI131108:ILJ131108 IVE131108:IVF131108 JFA131108:JFB131108 JOW131108:JOX131108 JYS131108:JYT131108 KIO131108:KIP131108 KSK131108:KSL131108 LCG131108:LCH131108 LMC131108:LMD131108 LVY131108:LVZ131108 MFU131108:MFV131108 MPQ131108:MPR131108 MZM131108:MZN131108 NJI131108:NJJ131108 NTE131108:NTF131108 ODA131108:ODB131108 OMW131108:OMX131108 OWS131108:OWT131108 PGO131108:PGP131108 PQK131108:PQL131108 QAG131108:QAH131108 QKC131108:QKD131108 QTY131108:QTZ131108 RDU131108:RDV131108 RNQ131108:RNR131108 RXM131108:RXN131108 SHI131108:SHJ131108 SRE131108:SRF131108 TBA131108:TBB131108 TKW131108:TKX131108 TUS131108:TUT131108 UEO131108:UEP131108 UOK131108:UOL131108 UYG131108:UYH131108 VIC131108:VID131108 VRY131108:VRZ131108 WBU131108:WBV131108 WLQ131108:WLR131108 WVM131108:WVN131108 E196644:F196644 JA196644:JB196644 SW196644:SX196644 ACS196644:ACT196644 AMO196644:AMP196644 AWK196644:AWL196644 BGG196644:BGH196644 BQC196644:BQD196644 BZY196644:BZZ196644 CJU196644:CJV196644 CTQ196644:CTR196644 DDM196644:DDN196644 DNI196644:DNJ196644 DXE196644:DXF196644 EHA196644:EHB196644 EQW196644:EQX196644 FAS196644:FAT196644 FKO196644:FKP196644 FUK196644:FUL196644 GEG196644:GEH196644 GOC196644:GOD196644 GXY196644:GXZ196644 HHU196644:HHV196644 HRQ196644:HRR196644 IBM196644:IBN196644 ILI196644:ILJ196644 IVE196644:IVF196644 JFA196644:JFB196644 JOW196644:JOX196644 JYS196644:JYT196644 KIO196644:KIP196644 KSK196644:KSL196644 LCG196644:LCH196644 LMC196644:LMD196644 LVY196644:LVZ196644 MFU196644:MFV196644 MPQ196644:MPR196644 MZM196644:MZN196644 NJI196644:NJJ196644 NTE196644:NTF196644 ODA196644:ODB196644 OMW196644:OMX196644 OWS196644:OWT196644 PGO196644:PGP196644 PQK196644:PQL196644 QAG196644:QAH196644 QKC196644:QKD196644 QTY196644:QTZ196644 RDU196644:RDV196644 RNQ196644:RNR196644 RXM196644:RXN196644 SHI196644:SHJ196644 SRE196644:SRF196644 TBA196644:TBB196644 TKW196644:TKX196644 TUS196644:TUT196644 UEO196644:UEP196644 UOK196644:UOL196644 UYG196644:UYH196644 VIC196644:VID196644 VRY196644:VRZ196644 WBU196644:WBV196644 WLQ196644:WLR196644 WVM196644:WVN196644 E262180:F262180 JA262180:JB262180 SW262180:SX262180 ACS262180:ACT262180 AMO262180:AMP262180 AWK262180:AWL262180 BGG262180:BGH262180 BQC262180:BQD262180 BZY262180:BZZ262180 CJU262180:CJV262180 CTQ262180:CTR262180 DDM262180:DDN262180 DNI262180:DNJ262180 DXE262180:DXF262180 EHA262180:EHB262180 EQW262180:EQX262180 FAS262180:FAT262180 FKO262180:FKP262180 FUK262180:FUL262180 GEG262180:GEH262180 GOC262180:GOD262180 GXY262180:GXZ262180 HHU262180:HHV262180 HRQ262180:HRR262180 IBM262180:IBN262180 ILI262180:ILJ262180 IVE262180:IVF262180 JFA262180:JFB262180 JOW262180:JOX262180 JYS262180:JYT262180 KIO262180:KIP262180 KSK262180:KSL262180 LCG262180:LCH262180 LMC262180:LMD262180 LVY262180:LVZ262180 MFU262180:MFV262180 MPQ262180:MPR262180 MZM262180:MZN262180 NJI262180:NJJ262180 NTE262180:NTF262180 ODA262180:ODB262180 OMW262180:OMX262180 OWS262180:OWT262180 PGO262180:PGP262180 PQK262180:PQL262180 QAG262180:QAH262180 QKC262180:QKD262180 QTY262180:QTZ262180 RDU262180:RDV262180 RNQ262180:RNR262180 RXM262180:RXN262180 SHI262180:SHJ262180 SRE262180:SRF262180 TBA262180:TBB262180 TKW262180:TKX262180 TUS262180:TUT262180 UEO262180:UEP262180 UOK262180:UOL262180 UYG262180:UYH262180 VIC262180:VID262180 VRY262180:VRZ262180 WBU262180:WBV262180 WLQ262180:WLR262180 WVM262180:WVN262180 E327716:F327716 JA327716:JB327716 SW327716:SX327716 ACS327716:ACT327716 AMO327716:AMP327716 AWK327716:AWL327716 BGG327716:BGH327716 BQC327716:BQD327716 BZY327716:BZZ327716 CJU327716:CJV327716 CTQ327716:CTR327716 DDM327716:DDN327716 DNI327716:DNJ327716 DXE327716:DXF327716 EHA327716:EHB327716 EQW327716:EQX327716 FAS327716:FAT327716 FKO327716:FKP327716 FUK327716:FUL327716 GEG327716:GEH327716 GOC327716:GOD327716 GXY327716:GXZ327716 HHU327716:HHV327716 HRQ327716:HRR327716 IBM327716:IBN327716 ILI327716:ILJ327716 IVE327716:IVF327716 JFA327716:JFB327716 JOW327716:JOX327716 JYS327716:JYT327716 KIO327716:KIP327716 KSK327716:KSL327716 LCG327716:LCH327716 LMC327716:LMD327716 LVY327716:LVZ327716 MFU327716:MFV327716 MPQ327716:MPR327716 MZM327716:MZN327716 NJI327716:NJJ327716 NTE327716:NTF327716 ODA327716:ODB327716 OMW327716:OMX327716 OWS327716:OWT327716 PGO327716:PGP327716 PQK327716:PQL327716 QAG327716:QAH327716 QKC327716:QKD327716 QTY327716:QTZ327716 RDU327716:RDV327716 RNQ327716:RNR327716 RXM327716:RXN327716 SHI327716:SHJ327716 SRE327716:SRF327716 TBA327716:TBB327716 TKW327716:TKX327716 TUS327716:TUT327716 UEO327716:UEP327716 UOK327716:UOL327716 UYG327716:UYH327716 VIC327716:VID327716 VRY327716:VRZ327716 WBU327716:WBV327716 WLQ327716:WLR327716 WVM327716:WVN327716 E393252:F393252 JA393252:JB393252 SW393252:SX393252 ACS393252:ACT393252 AMO393252:AMP393252 AWK393252:AWL393252 BGG393252:BGH393252 BQC393252:BQD393252 BZY393252:BZZ393252 CJU393252:CJV393252 CTQ393252:CTR393252 DDM393252:DDN393252 DNI393252:DNJ393252 DXE393252:DXF393252 EHA393252:EHB393252 EQW393252:EQX393252 FAS393252:FAT393252 FKO393252:FKP393252 FUK393252:FUL393252 GEG393252:GEH393252 GOC393252:GOD393252 GXY393252:GXZ393252 HHU393252:HHV393252 HRQ393252:HRR393252 IBM393252:IBN393252 ILI393252:ILJ393252 IVE393252:IVF393252 JFA393252:JFB393252 JOW393252:JOX393252 JYS393252:JYT393252 KIO393252:KIP393252 KSK393252:KSL393252 LCG393252:LCH393252 LMC393252:LMD393252 LVY393252:LVZ393252 MFU393252:MFV393252 MPQ393252:MPR393252 MZM393252:MZN393252 NJI393252:NJJ393252 NTE393252:NTF393252 ODA393252:ODB393252 OMW393252:OMX393252 OWS393252:OWT393252 PGO393252:PGP393252 PQK393252:PQL393252 QAG393252:QAH393252 QKC393252:QKD393252 QTY393252:QTZ393252 RDU393252:RDV393252 RNQ393252:RNR393252 RXM393252:RXN393252 SHI393252:SHJ393252 SRE393252:SRF393252 TBA393252:TBB393252 TKW393252:TKX393252 TUS393252:TUT393252 UEO393252:UEP393252 UOK393252:UOL393252 UYG393252:UYH393252 VIC393252:VID393252 VRY393252:VRZ393252 WBU393252:WBV393252 WLQ393252:WLR393252 WVM393252:WVN393252 E458788:F458788 JA458788:JB458788 SW458788:SX458788 ACS458788:ACT458788 AMO458788:AMP458788 AWK458788:AWL458788 BGG458788:BGH458788 BQC458788:BQD458788 BZY458788:BZZ458788 CJU458788:CJV458788 CTQ458788:CTR458788 DDM458788:DDN458788 DNI458788:DNJ458788 DXE458788:DXF458788 EHA458788:EHB458788 EQW458788:EQX458788 FAS458788:FAT458788 FKO458788:FKP458788 FUK458788:FUL458788 GEG458788:GEH458788 GOC458788:GOD458788 GXY458788:GXZ458788 HHU458788:HHV458788 HRQ458788:HRR458788 IBM458788:IBN458788 ILI458788:ILJ458788 IVE458788:IVF458788 JFA458788:JFB458788 JOW458788:JOX458788 JYS458788:JYT458788 KIO458788:KIP458788 KSK458788:KSL458788 LCG458788:LCH458788 LMC458788:LMD458788 LVY458788:LVZ458788 MFU458788:MFV458788 MPQ458788:MPR458788 MZM458788:MZN458788 NJI458788:NJJ458788 NTE458788:NTF458788 ODA458788:ODB458788 OMW458788:OMX458788 OWS458788:OWT458788 PGO458788:PGP458788 PQK458788:PQL458788 QAG458788:QAH458788 QKC458788:QKD458788 QTY458788:QTZ458788 RDU458788:RDV458788 RNQ458788:RNR458788 RXM458788:RXN458788 SHI458788:SHJ458788 SRE458788:SRF458788 TBA458788:TBB458788 TKW458788:TKX458788 TUS458788:TUT458788 UEO458788:UEP458788 UOK458788:UOL458788 UYG458788:UYH458788 VIC458788:VID458788 VRY458788:VRZ458788 WBU458788:WBV458788 WLQ458788:WLR458788 WVM458788:WVN458788 E524324:F524324 JA524324:JB524324 SW524324:SX524324 ACS524324:ACT524324 AMO524324:AMP524324 AWK524324:AWL524324 BGG524324:BGH524324 BQC524324:BQD524324 BZY524324:BZZ524324 CJU524324:CJV524324 CTQ524324:CTR524324 DDM524324:DDN524324 DNI524324:DNJ524324 DXE524324:DXF524324 EHA524324:EHB524324 EQW524324:EQX524324 FAS524324:FAT524324 FKO524324:FKP524324 FUK524324:FUL524324 GEG524324:GEH524324 GOC524324:GOD524324 GXY524324:GXZ524324 HHU524324:HHV524324 HRQ524324:HRR524324 IBM524324:IBN524324 ILI524324:ILJ524324 IVE524324:IVF524324 JFA524324:JFB524324 JOW524324:JOX524324 JYS524324:JYT524324 KIO524324:KIP524324 KSK524324:KSL524324 LCG524324:LCH524324 LMC524324:LMD524324 LVY524324:LVZ524324 MFU524324:MFV524324 MPQ524324:MPR524324 MZM524324:MZN524324 NJI524324:NJJ524324 NTE524324:NTF524324 ODA524324:ODB524324 OMW524324:OMX524324 OWS524324:OWT524324 PGO524324:PGP524324 PQK524324:PQL524324 QAG524324:QAH524324 QKC524324:QKD524324 QTY524324:QTZ524324 RDU524324:RDV524324 RNQ524324:RNR524324 RXM524324:RXN524324 SHI524324:SHJ524324 SRE524324:SRF524324 TBA524324:TBB524324 TKW524324:TKX524324 TUS524324:TUT524324 UEO524324:UEP524324 UOK524324:UOL524324 UYG524324:UYH524324 VIC524324:VID524324 VRY524324:VRZ524324 WBU524324:WBV524324 WLQ524324:WLR524324 WVM524324:WVN524324 E589860:F589860 JA589860:JB589860 SW589860:SX589860 ACS589860:ACT589860 AMO589860:AMP589860 AWK589860:AWL589860 BGG589860:BGH589860 BQC589860:BQD589860 BZY589860:BZZ589860 CJU589860:CJV589860 CTQ589860:CTR589860 DDM589860:DDN589860 DNI589860:DNJ589860 DXE589860:DXF589860 EHA589860:EHB589860 EQW589860:EQX589860 FAS589860:FAT589860 FKO589860:FKP589860 FUK589860:FUL589860 GEG589860:GEH589860 GOC589860:GOD589860 GXY589860:GXZ589860 HHU589860:HHV589860 HRQ589860:HRR589860 IBM589860:IBN589860 ILI589860:ILJ589860 IVE589860:IVF589860 JFA589860:JFB589860 JOW589860:JOX589860 JYS589860:JYT589860 KIO589860:KIP589860 KSK589860:KSL589860 LCG589860:LCH589860 LMC589860:LMD589860 LVY589860:LVZ589860 MFU589860:MFV589860 MPQ589860:MPR589860 MZM589860:MZN589860 NJI589860:NJJ589860 NTE589860:NTF589860 ODA589860:ODB589860 OMW589860:OMX589860 OWS589860:OWT589860 PGO589860:PGP589860 PQK589860:PQL589860 QAG589860:QAH589860 QKC589860:QKD589860 QTY589860:QTZ589860 RDU589860:RDV589860 RNQ589860:RNR589860 RXM589860:RXN589860 SHI589860:SHJ589860 SRE589860:SRF589860 TBA589860:TBB589860 TKW589860:TKX589860 TUS589860:TUT589860 UEO589860:UEP589860 UOK589860:UOL589860 UYG589860:UYH589860 VIC589860:VID589860 VRY589860:VRZ589860 WBU589860:WBV589860 WLQ589860:WLR589860 WVM589860:WVN589860 E655396:F655396 JA655396:JB655396 SW655396:SX655396 ACS655396:ACT655396 AMO655396:AMP655396 AWK655396:AWL655396 BGG655396:BGH655396 BQC655396:BQD655396 BZY655396:BZZ655396 CJU655396:CJV655396 CTQ655396:CTR655396 DDM655396:DDN655396 DNI655396:DNJ655396 DXE655396:DXF655396 EHA655396:EHB655396 EQW655396:EQX655396 FAS655396:FAT655396 FKO655396:FKP655396 FUK655396:FUL655396 GEG655396:GEH655396 GOC655396:GOD655396 GXY655396:GXZ655396 HHU655396:HHV655396 HRQ655396:HRR655396 IBM655396:IBN655396 ILI655396:ILJ655396 IVE655396:IVF655396 JFA655396:JFB655396 JOW655396:JOX655396 JYS655396:JYT655396 KIO655396:KIP655396 KSK655396:KSL655396 LCG655396:LCH655396 LMC655396:LMD655396 LVY655396:LVZ655396 MFU655396:MFV655396 MPQ655396:MPR655396 MZM655396:MZN655396 NJI655396:NJJ655396 NTE655396:NTF655396 ODA655396:ODB655396 OMW655396:OMX655396 OWS655396:OWT655396 PGO655396:PGP655396 PQK655396:PQL655396 QAG655396:QAH655396 QKC655396:QKD655396 QTY655396:QTZ655396 RDU655396:RDV655396 RNQ655396:RNR655396 RXM655396:RXN655396 SHI655396:SHJ655396 SRE655396:SRF655396 TBA655396:TBB655396 TKW655396:TKX655396 TUS655396:TUT655396 UEO655396:UEP655396 UOK655396:UOL655396 UYG655396:UYH655396 VIC655396:VID655396 VRY655396:VRZ655396 WBU655396:WBV655396 WLQ655396:WLR655396 WVM655396:WVN655396 E720932:F720932 JA720932:JB720932 SW720932:SX720932 ACS720932:ACT720932 AMO720932:AMP720932 AWK720932:AWL720932 BGG720932:BGH720932 BQC720932:BQD720932 BZY720932:BZZ720932 CJU720932:CJV720932 CTQ720932:CTR720932 DDM720932:DDN720932 DNI720932:DNJ720932 DXE720932:DXF720932 EHA720932:EHB720932 EQW720932:EQX720932 FAS720932:FAT720932 FKO720932:FKP720932 FUK720932:FUL720932 GEG720932:GEH720932 GOC720932:GOD720932 GXY720932:GXZ720932 HHU720932:HHV720932 HRQ720932:HRR720932 IBM720932:IBN720932 ILI720932:ILJ720932 IVE720932:IVF720932 JFA720932:JFB720932 JOW720932:JOX720932 JYS720932:JYT720932 KIO720932:KIP720932 KSK720932:KSL720932 LCG720932:LCH720932 LMC720932:LMD720932 LVY720932:LVZ720932 MFU720932:MFV720932 MPQ720932:MPR720932 MZM720932:MZN720932 NJI720932:NJJ720932 NTE720932:NTF720932 ODA720932:ODB720932 OMW720932:OMX720932 OWS720932:OWT720932 PGO720932:PGP720932 PQK720932:PQL720932 QAG720932:QAH720932 QKC720932:QKD720932 QTY720932:QTZ720932 RDU720932:RDV720932 RNQ720932:RNR720932 RXM720932:RXN720932 SHI720932:SHJ720932 SRE720932:SRF720932 TBA720932:TBB720932 TKW720932:TKX720932 TUS720932:TUT720932 UEO720932:UEP720932 UOK720932:UOL720932 UYG720932:UYH720932 VIC720932:VID720932 VRY720932:VRZ720932 WBU720932:WBV720932 WLQ720932:WLR720932 WVM720932:WVN720932 E786468:F786468 JA786468:JB786468 SW786468:SX786468 ACS786468:ACT786468 AMO786468:AMP786468 AWK786468:AWL786468 BGG786468:BGH786468 BQC786468:BQD786468 BZY786468:BZZ786468 CJU786468:CJV786468 CTQ786468:CTR786468 DDM786468:DDN786468 DNI786468:DNJ786468 DXE786468:DXF786468 EHA786468:EHB786468 EQW786468:EQX786468 FAS786468:FAT786468 FKO786468:FKP786468 FUK786468:FUL786468 GEG786468:GEH786468 GOC786468:GOD786468 GXY786468:GXZ786468 HHU786468:HHV786468 HRQ786468:HRR786468 IBM786468:IBN786468 ILI786468:ILJ786468 IVE786468:IVF786468 JFA786468:JFB786468 JOW786468:JOX786468 JYS786468:JYT786468 KIO786468:KIP786468 KSK786468:KSL786468 LCG786468:LCH786468 LMC786468:LMD786468 LVY786468:LVZ786468 MFU786468:MFV786468 MPQ786468:MPR786468 MZM786468:MZN786468 NJI786468:NJJ786468 NTE786468:NTF786468 ODA786468:ODB786468 OMW786468:OMX786468 OWS786468:OWT786468 PGO786468:PGP786468 PQK786468:PQL786468 QAG786468:QAH786468 QKC786468:QKD786468 QTY786468:QTZ786468 RDU786468:RDV786468 RNQ786468:RNR786468 RXM786468:RXN786468 SHI786468:SHJ786468 SRE786468:SRF786468 TBA786468:TBB786468 TKW786468:TKX786468 TUS786468:TUT786468 UEO786468:UEP786468 UOK786468:UOL786468 UYG786468:UYH786468 VIC786468:VID786468 VRY786468:VRZ786468 WBU786468:WBV786468 WLQ786468:WLR786468 WVM786468:WVN786468 E852004:F852004 JA852004:JB852004 SW852004:SX852004 ACS852004:ACT852004 AMO852004:AMP852004 AWK852004:AWL852004 BGG852004:BGH852004 BQC852004:BQD852004 BZY852004:BZZ852004 CJU852004:CJV852004 CTQ852004:CTR852004 DDM852004:DDN852004 DNI852004:DNJ852004 DXE852004:DXF852004 EHA852004:EHB852004 EQW852004:EQX852004 FAS852004:FAT852004 FKO852004:FKP852004 FUK852004:FUL852004 GEG852004:GEH852004 GOC852004:GOD852004 GXY852004:GXZ852004 HHU852004:HHV852004 HRQ852004:HRR852004 IBM852004:IBN852004 ILI852004:ILJ852004 IVE852004:IVF852004 JFA852004:JFB852004 JOW852004:JOX852004 JYS852004:JYT852004 KIO852004:KIP852004 KSK852004:KSL852004 LCG852004:LCH852004 LMC852004:LMD852004 LVY852004:LVZ852004 MFU852004:MFV852004 MPQ852004:MPR852004 MZM852004:MZN852004 NJI852004:NJJ852004 NTE852004:NTF852004 ODA852004:ODB852004 OMW852004:OMX852004 OWS852004:OWT852004 PGO852004:PGP852004 PQK852004:PQL852004 QAG852004:QAH852004 QKC852004:QKD852004 QTY852004:QTZ852004 RDU852004:RDV852004 RNQ852004:RNR852004 RXM852004:RXN852004 SHI852004:SHJ852004 SRE852004:SRF852004 TBA852004:TBB852004 TKW852004:TKX852004 TUS852004:TUT852004 UEO852004:UEP852004 UOK852004:UOL852004 UYG852004:UYH852004 VIC852004:VID852004 VRY852004:VRZ852004 WBU852004:WBV852004 WLQ852004:WLR852004 WVM852004:WVN852004 E917540:F917540 JA917540:JB917540 SW917540:SX917540 ACS917540:ACT917540 AMO917540:AMP917540 AWK917540:AWL917540 BGG917540:BGH917540 BQC917540:BQD917540 BZY917540:BZZ917540 CJU917540:CJV917540 CTQ917540:CTR917540 DDM917540:DDN917540 DNI917540:DNJ917540 DXE917540:DXF917540 EHA917540:EHB917540 EQW917540:EQX917540 FAS917540:FAT917540 FKO917540:FKP917540 FUK917540:FUL917540 GEG917540:GEH917540 GOC917540:GOD917540 GXY917540:GXZ917540 HHU917540:HHV917540 HRQ917540:HRR917540 IBM917540:IBN917540 ILI917540:ILJ917540 IVE917540:IVF917540 JFA917540:JFB917540 JOW917540:JOX917540 JYS917540:JYT917540 KIO917540:KIP917540 KSK917540:KSL917540 LCG917540:LCH917540 LMC917540:LMD917540 LVY917540:LVZ917540 MFU917540:MFV917540 MPQ917540:MPR917540 MZM917540:MZN917540 NJI917540:NJJ917540 NTE917540:NTF917540 ODA917540:ODB917540 OMW917540:OMX917540 OWS917540:OWT917540 PGO917540:PGP917540 PQK917540:PQL917540 QAG917540:QAH917540 QKC917540:QKD917540 QTY917540:QTZ917540 RDU917540:RDV917540 RNQ917540:RNR917540 RXM917540:RXN917540 SHI917540:SHJ917540 SRE917540:SRF917540 TBA917540:TBB917540 TKW917540:TKX917540 TUS917540:TUT917540 UEO917540:UEP917540 UOK917540:UOL917540 UYG917540:UYH917540 VIC917540:VID917540 VRY917540:VRZ917540 WBU917540:WBV917540 WLQ917540:WLR917540 WVM917540:WVN917540 E983076:F983076 JA983076:JB983076 SW983076:SX983076 ACS983076:ACT983076 AMO983076:AMP983076 AWK983076:AWL983076 BGG983076:BGH983076 BQC983076:BQD983076 BZY983076:BZZ983076 CJU983076:CJV983076 CTQ983076:CTR983076 DDM983076:DDN983076 DNI983076:DNJ983076 DXE983076:DXF983076 EHA983076:EHB983076 EQW983076:EQX983076 FAS983076:FAT983076 FKO983076:FKP983076 FUK983076:FUL983076 GEG983076:GEH983076 GOC983076:GOD983076 GXY983076:GXZ983076 HHU983076:HHV983076 HRQ983076:HRR983076 IBM983076:IBN983076 ILI983076:ILJ983076 IVE983076:IVF983076 JFA983076:JFB983076 JOW983076:JOX983076 JYS983076:JYT983076 KIO983076:KIP983076 KSK983076:KSL983076 LCG983076:LCH983076 LMC983076:LMD983076 LVY983076:LVZ983076 MFU983076:MFV983076 MPQ983076:MPR983076 MZM983076:MZN983076 NJI983076:NJJ983076 NTE983076:NTF983076 ODA983076:ODB983076 OMW983076:OMX983076 OWS983076:OWT983076 PGO983076:PGP983076 PQK983076:PQL983076 QAG983076:QAH983076 QKC983076:QKD983076 QTY983076:QTZ983076 RDU983076:RDV983076 RNQ983076:RNR983076 RXM983076:RXN983076 SHI983076:SHJ983076 SRE983076:SRF983076 TBA983076:TBB983076 TKW983076:TKX983076 TUS983076:TUT983076 UEO983076:UEP983076 UOK983076:UOL983076 UYG983076:UYH983076 VIC983076:VID983076 VRY983076:VRZ983076 WBU983076:WBV983076 WLQ983076:WLR983076 WVM983076:WVN983076 WVM9:WVN9 JA9:JB9 SW9:SX9 ACS9:ACT9 AMO9:AMP9 AWK9:AWL9 BGG9:BGH9 BQC9:BQD9 BZY9:BZZ9 CJU9:CJV9 CTQ9:CTR9 DDM9:DDN9 DNI9:DNJ9 DXE9:DXF9 EHA9:EHB9 EQW9:EQX9 FAS9:FAT9 FKO9:FKP9 FUK9:FUL9 GEG9:GEH9 GOC9:GOD9 GXY9:GXZ9 HHU9:HHV9 HRQ9:HRR9 IBM9:IBN9 ILI9:ILJ9 IVE9:IVF9 JFA9:JFB9 JOW9:JOX9 JYS9:JYT9 KIO9:KIP9 KSK9:KSL9 LCG9:LCH9 LMC9:LMD9 LVY9:LVZ9 MFU9:MFV9 MPQ9:MPR9 MZM9:MZN9 NJI9:NJJ9 NTE9:NTF9 ODA9:ODB9 OMW9:OMX9 OWS9:OWT9 PGO9:PGP9 PQK9:PQL9 QAG9:QAH9 QKC9:QKD9 QTY9:QTZ9 RDU9:RDV9 RNQ9:RNR9 RXM9:RXN9 SHI9:SHJ9 SRE9:SRF9 TBA9:TBB9 TKW9:TKX9 TUS9:TUT9 UEO9:UEP9 UOK9:UOL9 UYG9:UYH9 VIC9:VID9 VRY9:VRZ9 WBU9:WBV9 WLQ9:WLR9">
      <formula1>"境内上市,境外上市,非上市"</formula1>
    </dataValidation>
    <dataValidation type="list" allowBlank="1" showInputMessage="1" showErrorMessage="1" sqref="E65569:F65571 JA65569:JB65571 SW65569:SX65571 ACS65569:ACT65571 AMO65569:AMP65571 AWK65569:AWL65571 BGG65569:BGH65571 BQC65569:BQD65571 BZY65569:BZZ65571 CJU65569:CJV65571 CTQ65569:CTR65571 DDM65569:DDN65571 DNI65569:DNJ65571 DXE65569:DXF65571 EHA65569:EHB65571 EQW65569:EQX65571 FAS65569:FAT65571 FKO65569:FKP65571 FUK65569:FUL65571 GEG65569:GEH65571 GOC65569:GOD65571 GXY65569:GXZ65571 HHU65569:HHV65571 HRQ65569:HRR65571 IBM65569:IBN65571 ILI65569:ILJ65571 IVE65569:IVF65571 JFA65569:JFB65571 JOW65569:JOX65571 JYS65569:JYT65571 KIO65569:KIP65571 KSK65569:KSL65571 LCG65569:LCH65571 LMC65569:LMD65571 LVY65569:LVZ65571 MFU65569:MFV65571 MPQ65569:MPR65571 MZM65569:MZN65571 NJI65569:NJJ65571 NTE65569:NTF65571 ODA65569:ODB65571 OMW65569:OMX65571 OWS65569:OWT65571 PGO65569:PGP65571 PQK65569:PQL65571 QAG65569:QAH65571 QKC65569:QKD65571 QTY65569:QTZ65571 RDU65569:RDV65571 RNQ65569:RNR65571 RXM65569:RXN65571 SHI65569:SHJ65571 SRE65569:SRF65571 TBA65569:TBB65571 TKW65569:TKX65571 TUS65569:TUT65571 UEO65569:UEP65571 UOK65569:UOL65571 UYG65569:UYH65571 VIC65569:VID65571 VRY65569:VRZ65571 WBU65569:WBV65571 WLQ65569:WLR65571 WVM65569:WVN65571 E131105:F131107 JA131105:JB131107 SW131105:SX131107 ACS131105:ACT131107 AMO131105:AMP131107 AWK131105:AWL131107 BGG131105:BGH131107 BQC131105:BQD131107 BZY131105:BZZ131107 CJU131105:CJV131107 CTQ131105:CTR131107 DDM131105:DDN131107 DNI131105:DNJ131107 DXE131105:DXF131107 EHA131105:EHB131107 EQW131105:EQX131107 FAS131105:FAT131107 FKO131105:FKP131107 FUK131105:FUL131107 GEG131105:GEH131107 GOC131105:GOD131107 GXY131105:GXZ131107 HHU131105:HHV131107 HRQ131105:HRR131107 IBM131105:IBN131107 ILI131105:ILJ131107 IVE131105:IVF131107 JFA131105:JFB131107 JOW131105:JOX131107 JYS131105:JYT131107 KIO131105:KIP131107 KSK131105:KSL131107 LCG131105:LCH131107 LMC131105:LMD131107 LVY131105:LVZ131107 MFU131105:MFV131107 MPQ131105:MPR131107 MZM131105:MZN131107 NJI131105:NJJ131107 NTE131105:NTF131107 ODA131105:ODB131107 OMW131105:OMX131107 OWS131105:OWT131107 PGO131105:PGP131107 PQK131105:PQL131107 QAG131105:QAH131107 QKC131105:QKD131107 QTY131105:QTZ131107 RDU131105:RDV131107 RNQ131105:RNR131107 RXM131105:RXN131107 SHI131105:SHJ131107 SRE131105:SRF131107 TBA131105:TBB131107 TKW131105:TKX131107 TUS131105:TUT131107 UEO131105:UEP131107 UOK131105:UOL131107 UYG131105:UYH131107 VIC131105:VID131107 VRY131105:VRZ131107 WBU131105:WBV131107 WLQ131105:WLR131107 WVM131105:WVN131107 E196641:F196643 JA196641:JB196643 SW196641:SX196643 ACS196641:ACT196643 AMO196641:AMP196643 AWK196641:AWL196643 BGG196641:BGH196643 BQC196641:BQD196643 BZY196641:BZZ196643 CJU196641:CJV196643 CTQ196641:CTR196643 DDM196641:DDN196643 DNI196641:DNJ196643 DXE196641:DXF196643 EHA196641:EHB196643 EQW196641:EQX196643 FAS196641:FAT196643 FKO196641:FKP196643 FUK196641:FUL196643 GEG196641:GEH196643 GOC196641:GOD196643 GXY196641:GXZ196643 HHU196641:HHV196643 HRQ196641:HRR196643 IBM196641:IBN196643 ILI196641:ILJ196643 IVE196641:IVF196643 JFA196641:JFB196643 JOW196641:JOX196643 JYS196641:JYT196643 KIO196641:KIP196643 KSK196641:KSL196643 LCG196641:LCH196643 LMC196641:LMD196643 LVY196641:LVZ196643 MFU196641:MFV196643 MPQ196641:MPR196643 MZM196641:MZN196643 NJI196641:NJJ196643 NTE196641:NTF196643 ODA196641:ODB196643 OMW196641:OMX196643 OWS196641:OWT196643 PGO196641:PGP196643 PQK196641:PQL196643 QAG196641:QAH196643 QKC196641:QKD196643 QTY196641:QTZ196643 RDU196641:RDV196643 RNQ196641:RNR196643 RXM196641:RXN196643 SHI196641:SHJ196643 SRE196641:SRF196643 TBA196641:TBB196643 TKW196641:TKX196643 TUS196641:TUT196643 UEO196641:UEP196643 UOK196641:UOL196643 UYG196641:UYH196643 VIC196641:VID196643 VRY196641:VRZ196643 WBU196641:WBV196643 WLQ196641:WLR196643 WVM196641:WVN196643 E262177:F262179 JA262177:JB262179 SW262177:SX262179 ACS262177:ACT262179 AMO262177:AMP262179 AWK262177:AWL262179 BGG262177:BGH262179 BQC262177:BQD262179 BZY262177:BZZ262179 CJU262177:CJV262179 CTQ262177:CTR262179 DDM262177:DDN262179 DNI262177:DNJ262179 DXE262177:DXF262179 EHA262177:EHB262179 EQW262177:EQX262179 FAS262177:FAT262179 FKO262177:FKP262179 FUK262177:FUL262179 GEG262177:GEH262179 GOC262177:GOD262179 GXY262177:GXZ262179 HHU262177:HHV262179 HRQ262177:HRR262179 IBM262177:IBN262179 ILI262177:ILJ262179 IVE262177:IVF262179 JFA262177:JFB262179 JOW262177:JOX262179 JYS262177:JYT262179 KIO262177:KIP262179 KSK262177:KSL262179 LCG262177:LCH262179 LMC262177:LMD262179 LVY262177:LVZ262179 MFU262177:MFV262179 MPQ262177:MPR262179 MZM262177:MZN262179 NJI262177:NJJ262179 NTE262177:NTF262179 ODA262177:ODB262179 OMW262177:OMX262179 OWS262177:OWT262179 PGO262177:PGP262179 PQK262177:PQL262179 QAG262177:QAH262179 QKC262177:QKD262179 QTY262177:QTZ262179 RDU262177:RDV262179 RNQ262177:RNR262179 RXM262177:RXN262179 SHI262177:SHJ262179 SRE262177:SRF262179 TBA262177:TBB262179 TKW262177:TKX262179 TUS262177:TUT262179 UEO262177:UEP262179 UOK262177:UOL262179 UYG262177:UYH262179 VIC262177:VID262179 VRY262177:VRZ262179 WBU262177:WBV262179 WLQ262177:WLR262179 WVM262177:WVN262179 E327713:F327715 JA327713:JB327715 SW327713:SX327715 ACS327713:ACT327715 AMO327713:AMP327715 AWK327713:AWL327715 BGG327713:BGH327715 BQC327713:BQD327715 BZY327713:BZZ327715 CJU327713:CJV327715 CTQ327713:CTR327715 DDM327713:DDN327715 DNI327713:DNJ327715 DXE327713:DXF327715 EHA327713:EHB327715 EQW327713:EQX327715 FAS327713:FAT327715 FKO327713:FKP327715 FUK327713:FUL327715 GEG327713:GEH327715 GOC327713:GOD327715 GXY327713:GXZ327715 HHU327713:HHV327715 HRQ327713:HRR327715 IBM327713:IBN327715 ILI327713:ILJ327715 IVE327713:IVF327715 JFA327713:JFB327715 JOW327713:JOX327715 JYS327713:JYT327715 KIO327713:KIP327715 KSK327713:KSL327715 LCG327713:LCH327715 LMC327713:LMD327715 LVY327713:LVZ327715 MFU327713:MFV327715 MPQ327713:MPR327715 MZM327713:MZN327715 NJI327713:NJJ327715 NTE327713:NTF327715 ODA327713:ODB327715 OMW327713:OMX327715 OWS327713:OWT327715 PGO327713:PGP327715 PQK327713:PQL327715 QAG327713:QAH327715 QKC327713:QKD327715 QTY327713:QTZ327715 RDU327713:RDV327715 RNQ327713:RNR327715 RXM327713:RXN327715 SHI327713:SHJ327715 SRE327713:SRF327715 TBA327713:TBB327715 TKW327713:TKX327715 TUS327713:TUT327715 UEO327713:UEP327715 UOK327713:UOL327715 UYG327713:UYH327715 VIC327713:VID327715 VRY327713:VRZ327715 WBU327713:WBV327715 WLQ327713:WLR327715 WVM327713:WVN327715 E393249:F393251 JA393249:JB393251 SW393249:SX393251 ACS393249:ACT393251 AMO393249:AMP393251 AWK393249:AWL393251 BGG393249:BGH393251 BQC393249:BQD393251 BZY393249:BZZ393251 CJU393249:CJV393251 CTQ393249:CTR393251 DDM393249:DDN393251 DNI393249:DNJ393251 DXE393249:DXF393251 EHA393249:EHB393251 EQW393249:EQX393251 FAS393249:FAT393251 FKO393249:FKP393251 FUK393249:FUL393251 GEG393249:GEH393251 GOC393249:GOD393251 GXY393249:GXZ393251 HHU393249:HHV393251 HRQ393249:HRR393251 IBM393249:IBN393251 ILI393249:ILJ393251 IVE393249:IVF393251 JFA393249:JFB393251 JOW393249:JOX393251 JYS393249:JYT393251 KIO393249:KIP393251 KSK393249:KSL393251 LCG393249:LCH393251 LMC393249:LMD393251 LVY393249:LVZ393251 MFU393249:MFV393251 MPQ393249:MPR393251 MZM393249:MZN393251 NJI393249:NJJ393251 NTE393249:NTF393251 ODA393249:ODB393251 OMW393249:OMX393251 OWS393249:OWT393251 PGO393249:PGP393251 PQK393249:PQL393251 QAG393249:QAH393251 QKC393249:QKD393251 QTY393249:QTZ393251 RDU393249:RDV393251 RNQ393249:RNR393251 RXM393249:RXN393251 SHI393249:SHJ393251 SRE393249:SRF393251 TBA393249:TBB393251 TKW393249:TKX393251 TUS393249:TUT393251 UEO393249:UEP393251 UOK393249:UOL393251 UYG393249:UYH393251 VIC393249:VID393251 VRY393249:VRZ393251 WBU393249:WBV393251 WLQ393249:WLR393251 WVM393249:WVN393251 E458785:F458787 JA458785:JB458787 SW458785:SX458787 ACS458785:ACT458787 AMO458785:AMP458787 AWK458785:AWL458787 BGG458785:BGH458787 BQC458785:BQD458787 BZY458785:BZZ458787 CJU458785:CJV458787 CTQ458785:CTR458787 DDM458785:DDN458787 DNI458785:DNJ458787 DXE458785:DXF458787 EHA458785:EHB458787 EQW458785:EQX458787 FAS458785:FAT458787 FKO458785:FKP458787 FUK458785:FUL458787 GEG458785:GEH458787 GOC458785:GOD458787 GXY458785:GXZ458787 HHU458785:HHV458787 HRQ458785:HRR458787 IBM458785:IBN458787 ILI458785:ILJ458787 IVE458785:IVF458787 JFA458785:JFB458787 JOW458785:JOX458787 JYS458785:JYT458787 KIO458785:KIP458787 KSK458785:KSL458787 LCG458785:LCH458787 LMC458785:LMD458787 LVY458785:LVZ458787 MFU458785:MFV458787 MPQ458785:MPR458787 MZM458785:MZN458787 NJI458785:NJJ458787 NTE458785:NTF458787 ODA458785:ODB458787 OMW458785:OMX458787 OWS458785:OWT458787 PGO458785:PGP458787 PQK458785:PQL458787 QAG458785:QAH458787 QKC458785:QKD458787 QTY458785:QTZ458787 RDU458785:RDV458787 RNQ458785:RNR458787 RXM458785:RXN458787 SHI458785:SHJ458787 SRE458785:SRF458787 TBA458785:TBB458787 TKW458785:TKX458787 TUS458785:TUT458787 UEO458785:UEP458787 UOK458785:UOL458787 UYG458785:UYH458787 VIC458785:VID458787 VRY458785:VRZ458787 WBU458785:WBV458787 WLQ458785:WLR458787 WVM458785:WVN458787 E524321:F524323 JA524321:JB524323 SW524321:SX524323 ACS524321:ACT524323 AMO524321:AMP524323 AWK524321:AWL524323 BGG524321:BGH524323 BQC524321:BQD524323 BZY524321:BZZ524323 CJU524321:CJV524323 CTQ524321:CTR524323 DDM524321:DDN524323 DNI524321:DNJ524323 DXE524321:DXF524323 EHA524321:EHB524323 EQW524321:EQX524323 FAS524321:FAT524323 FKO524321:FKP524323 FUK524321:FUL524323 GEG524321:GEH524323 GOC524321:GOD524323 GXY524321:GXZ524323 HHU524321:HHV524323 HRQ524321:HRR524323 IBM524321:IBN524323 ILI524321:ILJ524323 IVE524321:IVF524323 JFA524321:JFB524323 JOW524321:JOX524323 JYS524321:JYT524323 KIO524321:KIP524323 KSK524321:KSL524323 LCG524321:LCH524323 LMC524321:LMD524323 LVY524321:LVZ524323 MFU524321:MFV524323 MPQ524321:MPR524323 MZM524321:MZN524323 NJI524321:NJJ524323 NTE524321:NTF524323 ODA524321:ODB524323 OMW524321:OMX524323 OWS524321:OWT524323 PGO524321:PGP524323 PQK524321:PQL524323 QAG524321:QAH524323 QKC524321:QKD524323 QTY524321:QTZ524323 RDU524321:RDV524323 RNQ524321:RNR524323 RXM524321:RXN524323 SHI524321:SHJ524323 SRE524321:SRF524323 TBA524321:TBB524323 TKW524321:TKX524323 TUS524321:TUT524323 UEO524321:UEP524323 UOK524321:UOL524323 UYG524321:UYH524323 VIC524321:VID524323 VRY524321:VRZ524323 WBU524321:WBV524323 WLQ524321:WLR524323 WVM524321:WVN524323 E589857:F589859 JA589857:JB589859 SW589857:SX589859 ACS589857:ACT589859 AMO589857:AMP589859 AWK589857:AWL589859 BGG589857:BGH589859 BQC589857:BQD589859 BZY589857:BZZ589859 CJU589857:CJV589859 CTQ589857:CTR589859 DDM589857:DDN589859 DNI589857:DNJ589859 DXE589857:DXF589859 EHA589857:EHB589859 EQW589857:EQX589859 FAS589857:FAT589859 FKO589857:FKP589859 FUK589857:FUL589859 GEG589857:GEH589859 GOC589857:GOD589859 GXY589857:GXZ589859 HHU589857:HHV589859 HRQ589857:HRR589859 IBM589857:IBN589859 ILI589857:ILJ589859 IVE589857:IVF589859 JFA589857:JFB589859 JOW589857:JOX589859 JYS589857:JYT589859 KIO589857:KIP589859 KSK589857:KSL589859 LCG589857:LCH589859 LMC589857:LMD589859 LVY589857:LVZ589859 MFU589857:MFV589859 MPQ589857:MPR589859 MZM589857:MZN589859 NJI589857:NJJ589859 NTE589857:NTF589859 ODA589857:ODB589859 OMW589857:OMX589859 OWS589857:OWT589859 PGO589857:PGP589859 PQK589857:PQL589859 QAG589857:QAH589859 QKC589857:QKD589859 QTY589857:QTZ589859 RDU589857:RDV589859 RNQ589857:RNR589859 RXM589857:RXN589859 SHI589857:SHJ589859 SRE589857:SRF589859 TBA589857:TBB589859 TKW589857:TKX589859 TUS589857:TUT589859 UEO589857:UEP589859 UOK589857:UOL589859 UYG589857:UYH589859 VIC589857:VID589859 VRY589857:VRZ589859 WBU589857:WBV589859 WLQ589857:WLR589859 WVM589857:WVN589859 E655393:F655395 JA655393:JB655395 SW655393:SX655395 ACS655393:ACT655395 AMO655393:AMP655395 AWK655393:AWL655395 BGG655393:BGH655395 BQC655393:BQD655395 BZY655393:BZZ655395 CJU655393:CJV655395 CTQ655393:CTR655395 DDM655393:DDN655395 DNI655393:DNJ655395 DXE655393:DXF655395 EHA655393:EHB655395 EQW655393:EQX655395 FAS655393:FAT655395 FKO655393:FKP655395 FUK655393:FUL655395 GEG655393:GEH655395 GOC655393:GOD655395 GXY655393:GXZ655395 HHU655393:HHV655395 HRQ655393:HRR655395 IBM655393:IBN655395 ILI655393:ILJ655395 IVE655393:IVF655395 JFA655393:JFB655395 JOW655393:JOX655395 JYS655393:JYT655395 KIO655393:KIP655395 KSK655393:KSL655395 LCG655393:LCH655395 LMC655393:LMD655395 LVY655393:LVZ655395 MFU655393:MFV655395 MPQ655393:MPR655395 MZM655393:MZN655395 NJI655393:NJJ655395 NTE655393:NTF655395 ODA655393:ODB655395 OMW655393:OMX655395 OWS655393:OWT655395 PGO655393:PGP655395 PQK655393:PQL655395 QAG655393:QAH655395 QKC655393:QKD655395 QTY655393:QTZ655395 RDU655393:RDV655395 RNQ655393:RNR655395 RXM655393:RXN655395 SHI655393:SHJ655395 SRE655393:SRF655395 TBA655393:TBB655395 TKW655393:TKX655395 TUS655393:TUT655395 UEO655393:UEP655395 UOK655393:UOL655395 UYG655393:UYH655395 VIC655393:VID655395 VRY655393:VRZ655395 WBU655393:WBV655395 WLQ655393:WLR655395 WVM655393:WVN655395 E720929:F720931 JA720929:JB720931 SW720929:SX720931 ACS720929:ACT720931 AMO720929:AMP720931 AWK720929:AWL720931 BGG720929:BGH720931 BQC720929:BQD720931 BZY720929:BZZ720931 CJU720929:CJV720931 CTQ720929:CTR720931 DDM720929:DDN720931 DNI720929:DNJ720931 DXE720929:DXF720931 EHA720929:EHB720931 EQW720929:EQX720931 FAS720929:FAT720931 FKO720929:FKP720931 FUK720929:FUL720931 GEG720929:GEH720931 GOC720929:GOD720931 GXY720929:GXZ720931 HHU720929:HHV720931 HRQ720929:HRR720931 IBM720929:IBN720931 ILI720929:ILJ720931 IVE720929:IVF720931 JFA720929:JFB720931 JOW720929:JOX720931 JYS720929:JYT720931 KIO720929:KIP720931 KSK720929:KSL720931 LCG720929:LCH720931 LMC720929:LMD720931 LVY720929:LVZ720931 MFU720929:MFV720931 MPQ720929:MPR720931 MZM720929:MZN720931 NJI720929:NJJ720931 NTE720929:NTF720931 ODA720929:ODB720931 OMW720929:OMX720931 OWS720929:OWT720931 PGO720929:PGP720931 PQK720929:PQL720931 QAG720929:QAH720931 QKC720929:QKD720931 QTY720929:QTZ720931 RDU720929:RDV720931 RNQ720929:RNR720931 RXM720929:RXN720931 SHI720929:SHJ720931 SRE720929:SRF720931 TBA720929:TBB720931 TKW720929:TKX720931 TUS720929:TUT720931 UEO720929:UEP720931 UOK720929:UOL720931 UYG720929:UYH720931 VIC720929:VID720931 VRY720929:VRZ720931 WBU720929:WBV720931 WLQ720929:WLR720931 WVM720929:WVN720931 E786465:F786467 JA786465:JB786467 SW786465:SX786467 ACS786465:ACT786467 AMO786465:AMP786467 AWK786465:AWL786467 BGG786465:BGH786467 BQC786465:BQD786467 BZY786465:BZZ786467 CJU786465:CJV786467 CTQ786465:CTR786467 DDM786465:DDN786467 DNI786465:DNJ786467 DXE786465:DXF786467 EHA786465:EHB786467 EQW786465:EQX786467 FAS786465:FAT786467 FKO786465:FKP786467 FUK786465:FUL786467 GEG786465:GEH786467 GOC786465:GOD786467 GXY786465:GXZ786467 HHU786465:HHV786467 HRQ786465:HRR786467 IBM786465:IBN786467 ILI786465:ILJ786467 IVE786465:IVF786467 JFA786465:JFB786467 JOW786465:JOX786467 JYS786465:JYT786467 KIO786465:KIP786467 KSK786465:KSL786467 LCG786465:LCH786467 LMC786465:LMD786467 LVY786465:LVZ786467 MFU786465:MFV786467 MPQ786465:MPR786467 MZM786465:MZN786467 NJI786465:NJJ786467 NTE786465:NTF786467 ODA786465:ODB786467 OMW786465:OMX786467 OWS786465:OWT786467 PGO786465:PGP786467 PQK786465:PQL786467 QAG786465:QAH786467 QKC786465:QKD786467 QTY786465:QTZ786467 RDU786465:RDV786467 RNQ786465:RNR786467 RXM786465:RXN786467 SHI786465:SHJ786467 SRE786465:SRF786467 TBA786465:TBB786467 TKW786465:TKX786467 TUS786465:TUT786467 UEO786465:UEP786467 UOK786465:UOL786467 UYG786465:UYH786467 VIC786465:VID786467 VRY786465:VRZ786467 WBU786465:WBV786467 WLQ786465:WLR786467 WVM786465:WVN786467 E852001:F852003 JA852001:JB852003 SW852001:SX852003 ACS852001:ACT852003 AMO852001:AMP852003 AWK852001:AWL852003 BGG852001:BGH852003 BQC852001:BQD852003 BZY852001:BZZ852003 CJU852001:CJV852003 CTQ852001:CTR852003 DDM852001:DDN852003 DNI852001:DNJ852003 DXE852001:DXF852003 EHA852001:EHB852003 EQW852001:EQX852003 FAS852001:FAT852003 FKO852001:FKP852003 FUK852001:FUL852003 GEG852001:GEH852003 GOC852001:GOD852003 GXY852001:GXZ852003 HHU852001:HHV852003 HRQ852001:HRR852003 IBM852001:IBN852003 ILI852001:ILJ852003 IVE852001:IVF852003 JFA852001:JFB852003 JOW852001:JOX852003 JYS852001:JYT852003 KIO852001:KIP852003 KSK852001:KSL852003 LCG852001:LCH852003 LMC852001:LMD852003 LVY852001:LVZ852003 MFU852001:MFV852003 MPQ852001:MPR852003 MZM852001:MZN852003 NJI852001:NJJ852003 NTE852001:NTF852003 ODA852001:ODB852003 OMW852001:OMX852003 OWS852001:OWT852003 PGO852001:PGP852003 PQK852001:PQL852003 QAG852001:QAH852003 QKC852001:QKD852003 QTY852001:QTZ852003 RDU852001:RDV852003 RNQ852001:RNR852003 RXM852001:RXN852003 SHI852001:SHJ852003 SRE852001:SRF852003 TBA852001:TBB852003 TKW852001:TKX852003 TUS852001:TUT852003 UEO852001:UEP852003 UOK852001:UOL852003 UYG852001:UYH852003 VIC852001:VID852003 VRY852001:VRZ852003 WBU852001:WBV852003 WLQ852001:WLR852003 WVM852001:WVN852003 E917537:F917539 JA917537:JB917539 SW917537:SX917539 ACS917537:ACT917539 AMO917537:AMP917539 AWK917537:AWL917539 BGG917537:BGH917539 BQC917537:BQD917539 BZY917537:BZZ917539 CJU917537:CJV917539 CTQ917537:CTR917539 DDM917537:DDN917539 DNI917537:DNJ917539 DXE917537:DXF917539 EHA917537:EHB917539 EQW917537:EQX917539 FAS917537:FAT917539 FKO917537:FKP917539 FUK917537:FUL917539 GEG917537:GEH917539 GOC917537:GOD917539 GXY917537:GXZ917539 HHU917537:HHV917539 HRQ917537:HRR917539 IBM917537:IBN917539 ILI917537:ILJ917539 IVE917537:IVF917539 JFA917537:JFB917539 JOW917537:JOX917539 JYS917537:JYT917539 KIO917537:KIP917539 KSK917537:KSL917539 LCG917537:LCH917539 LMC917537:LMD917539 LVY917537:LVZ917539 MFU917537:MFV917539 MPQ917537:MPR917539 MZM917537:MZN917539 NJI917537:NJJ917539 NTE917537:NTF917539 ODA917537:ODB917539 OMW917537:OMX917539 OWS917537:OWT917539 PGO917537:PGP917539 PQK917537:PQL917539 QAG917537:QAH917539 QKC917537:QKD917539 QTY917537:QTZ917539 RDU917537:RDV917539 RNQ917537:RNR917539 RXM917537:RXN917539 SHI917537:SHJ917539 SRE917537:SRF917539 TBA917537:TBB917539 TKW917537:TKX917539 TUS917537:TUT917539 UEO917537:UEP917539 UOK917537:UOL917539 UYG917537:UYH917539 VIC917537:VID917539 VRY917537:VRZ917539 WBU917537:WBV917539 WLQ917537:WLR917539 WVM917537:WVN917539 E983073:F983075 JA983073:JB983075 SW983073:SX983075 ACS983073:ACT983075 AMO983073:AMP983075 AWK983073:AWL983075 BGG983073:BGH983075 BQC983073:BQD983075 BZY983073:BZZ983075 CJU983073:CJV983075 CTQ983073:CTR983075 DDM983073:DDN983075 DNI983073:DNJ983075 DXE983073:DXF983075 EHA983073:EHB983075 EQW983073:EQX983075 FAS983073:FAT983075 FKO983073:FKP983075 FUK983073:FUL983075 GEG983073:GEH983075 GOC983073:GOD983075 GXY983073:GXZ983075 HHU983073:HHV983075 HRQ983073:HRR983075 IBM983073:IBN983075 ILI983073:ILJ983075 IVE983073:IVF983075 JFA983073:JFB983075 JOW983073:JOX983075 JYS983073:JYT983075 KIO983073:KIP983075 KSK983073:KSL983075 LCG983073:LCH983075 LMC983073:LMD983075 LVY983073:LVZ983075 MFU983073:MFV983075 MPQ983073:MPR983075 MZM983073:MZN983075 NJI983073:NJJ983075 NTE983073:NTF983075 ODA983073:ODB983075 OMW983073:OMX983075 OWS983073:OWT983075 PGO983073:PGP983075 PQK983073:PQL983075 QAG983073:QAH983075 QKC983073:QKD983075 QTY983073:QTZ983075 RDU983073:RDV983075 RNQ983073:RNR983075 RXM983073:RXN983075 SHI983073:SHJ983075 SRE983073:SRF983075 TBA983073:TBB983075 TKW983073:TKX983075 TUS983073:TUT983075 UEO983073:UEP983075 UOK983073:UOL983075 UYG983073:UYH983075 VIC983073:VID983075 VRY983073:VRZ983075 WBU983073:WBV983075 WLQ983073:WLR983075 WVM983073:WVN983075 E65576 JA65576 SW65576 ACS65576 AMO65576 AWK65576 BGG65576 BQC65576 BZY65576 CJU65576 CTQ65576 DDM65576 DNI65576 DXE65576 EHA65576 EQW65576 FAS65576 FKO65576 FUK65576 GEG65576 GOC65576 GXY65576 HHU65576 HRQ65576 IBM65576 ILI65576 IVE65576 JFA65576 JOW65576 JYS65576 KIO65576 KSK65576 LCG65576 LMC65576 LVY65576 MFU65576 MPQ65576 MZM65576 NJI65576 NTE65576 ODA65576 OMW65576 OWS65576 PGO65576 PQK65576 QAG65576 QKC65576 QTY65576 RDU65576 RNQ65576 RXM65576 SHI65576 SRE65576 TBA65576 TKW65576 TUS65576 UEO65576 UOK65576 UYG65576 VIC65576 VRY65576 WBU65576 WLQ65576 WVM65576 E131112 JA131112 SW131112 ACS131112 AMO131112 AWK131112 BGG131112 BQC131112 BZY131112 CJU131112 CTQ131112 DDM131112 DNI131112 DXE131112 EHA131112 EQW131112 FAS131112 FKO131112 FUK131112 GEG131112 GOC131112 GXY131112 HHU131112 HRQ131112 IBM131112 ILI131112 IVE131112 JFA131112 JOW131112 JYS131112 KIO131112 KSK131112 LCG131112 LMC131112 LVY131112 MFU131112 MPQ131112 MZM131112 NJI131112 NTE131112 ODA131112 OMW131112 OWS131112 PGO131112 PQK131112 QAG131112 QKC131112 QTY131112 RDU131112 RNQ131112 RXM131112 SHI131112 SRE131112 TBA131112 TKW131112 TUS131112 UEO131112 UOK131112 UYG131112 VIC131112 VRY131112 WBU131112 WLQ131112 WVM131112 E196648 JA196648 SW196648 ACS196648 AMO196648 AWK196648 BGG196648 BQC196648 BZY196648 CJU196648 CTQ196648 DDM196648 DNI196648 DXE196648 EHA196648 EQW196648 FAS196648 FKO196648 FUK196648 GEG196648 GOC196648 GXY196648 HHU196648 HRQ196648 IBM196648 ILI196648 IVE196648 JFA196648 JOW196648 JYS196648 KIO196648 KSK196648 LCG196648 LMC196648 LVY196648 MFU196648 MPQ196648 MZM196648 NJI196648 NTE196648 ODA196648 OMW196648 OWS196648 PGO196648 PQK196648 QAG196648 QKC196648 QTY196648 RDU196648 RNQ196648 RXM196648 SHI196648 SRE196648 TBA196648 TKW196648 TUS196648 UEO196648 UOK196648 UYG196648 VIC196648 VRY196648 WBU196648 WLQ196648 WVM196648 E262184 JA262184 SW262184 ACS262184 AMO262184 AWK262184 BGG262184 BQC262184 BZY262184 CJU262184 CTQ262184 DDM262184 DNI262184 DXE262184 EHA262184 EQW262184 FAS262184 FKO262184 FUK262184 GEG262184 GOC262184 GXY262184 HHU262184 HRQ262184 IBM262184 ILI262184 IVE262184 JFA262184 JOW262184 JYS262184 KIO262184 KSK262184 LCG262184 LMC262184 LVY262184 MFU262184 MPQ262184 MZM262184 NJI262184 NTE262184 ODA262184 OMW262184 OWS262184 PGO262184 PQK262184 QAG262184 QKC262184 QTY262184 RDU262184 RNQ262184 RXM262184 SHI262184 SRE262184 TBA262184 TKW262184 TUS262184 UEO262184 UOK262184 UYG262184 VIC262184 VRY262184 WBU262184 WLQ262184 WVM262184 E327720 JA327720 SW327720 ACS327720 AMO327720 AWK327720 BGG327720 BQC327720 BZY327720 CJU327720 CTQ327720 DDM327720 DNI327720 DXE327720 EHA327720 EQW327720 FAS327720 FKO327720 FUK327720 GEG327720 GOC327720 GXY327720 HHU327720 HRQ327720 IBM327720 ILI327720 IVE327720 JFA327720 JOW327720 JYS327720 KIO327720 KSK327720 LCG327720 LMC327720 LVY327720 MFU327720 MPQ327720 MZM327720 NJI327720 NTE327720 ODA327720 OMW327720 OWS327720 PGO327720 PQK327720 QAG327720 QKC327720 QTY327720 RDU327720 RNQ327720 RXM327720 SHI327720 SRE327720 TBA327720 TKW327720 TUS327720 UEO327720 UOK327720 UYG327720 VIC327720 VRY327720 WBU327720 WLQ327720 WVM327720 E393256 JA393256 SW393256 ACS393256 AMO393256 AWK393256 BGG393256 BQC393256 BZY393256 CJU393256 CTQ393256 DDM393256 DNI393256 DXE393256 EHA393256 EQW393256 FAS393256 FKO393256 FUK393256 GEG393256 GOC393256 GXY393256 HHU393256 HRQ393256 IBM393256 ILI393256 IVE393256 JFA393256 JOW393256 JYS393256 KIO393256 KSK393256 LCG393256 LMC393256 LVY393256 MFU393256 MPQ393256 MZM393256 NJI393256 NTE393256 ODA393256 OMW393256 OWS393256 PGO393256 PQK393256 QAG393256 QKC393256 QTY393256 RDU393256 RNQ393256 RXM393256 SHI393256 SRE393256 TBA393256 TKW393256 TUS393256 UEO393256 UOK393256 UYG393256 VIC393256 VRY393256 WBU393256 WLQ393256 WVM393256 E458792 JA458792 SW458792 ACS458792 AMO458792 AWK458792 BGG458792 BQC458792 BZY458792 CJU458792 CTQ458792 DDM458792 DNI458792 DXE458792 EHA458792 EQW458792 FAS458792 FKO458792 FUK458792 GEG458792 GOC458792 GXY458792 HHU458792 HRQ458792 IBM458792 ILI458792 IVE458792 JFA458792 JOW458792 JYS458792 KIO458792 KSK458792 LCG458792 LMC458792 LVY458792 MFU458792 MPQ458792 MZM458792 NJI458792 NTE458792 ODA458792 OMW458792 OWS458792 PGO458792 PQK458792 QAG458792 QKC458792 QTY458792 RDU458792 RNQ458792 RXM458792 SHI458792 SRE458792 TBA458792 TKW458792 TUS458792 UEO458792 UOK458792 UYG458792 VIC458792 VRY458792 WBU458792 WLQ458792 WVM458792 E524328 JA524328 SW524328 ACS524328 AMO524328 AWK524328 BGG524328 BQC524328 BZY524328 CJU524328 CTQ524328 DDM524328 DNI524328 DXE524328 EHA524328 EQW524328 FAS524328 FKO524328 FUK524328 GEG524328 GOC524328 GXY524328 HHU524328 HRQ524328 IBM524328 ILI524328 IVE524328 JFA524328 JOW524328 JYS524328 KIO524328 KSK524328 LCG524328 LMC524328 LVY524328 MFU524328 MPQ524328 MZM524328 NJI524328 NTE524328 ODA524328 OMW524328 OWS524328 PGO524328 PQK524328 QAG524328 QKC524328 QTY524328 RDU524328 RNQ524328 RXM524328 SHI524328 SRE524328 TBA524328 TKW524328 TUS524328 UEO524328 UOK524328 UYG524328 VIC524328 VRY524328 WBU524328 WLQ524328 WVM524328 E589864 JA589864 SW589864 ACS589864 AMO589864 AWK589864 BGG589864 BQC589864 BZY589864 CJU589864 CTQ589864 DDM589864 DNI589864 DXE589864 EHA589864 EQW589864 FAS589864 FKO589864 FUK589864 GEG589864 GOC589864 GXY589864 HHU589864 HRQ589864 IBM589864 ILI589864 IVE589864 JFA589864 JOW589864 JYS589864 KIO589864 KSK589864 LCG589864 LMC589864 LVY589864 MFU589864 MPQ589864 MZM589864 NJI589864 NTE589864 ODA589864 OMW589864 OWS589864 PGO589864 PQK589864 QAG589864 QKC589864 QTY589864 RDU589864 RNQ589864 RXM589864 SHI589864 SRE589864 TBA589864 TKW589864 TUS589864 UEO589864 UOK589864 UYG589864 VIC589864 VRY589864 WBU589864 WLQ589864 WVM589864 E655400 JA655400 SW655400 ACS655400 AMO655400 AWK655400 BGG655400 BQC655400 BZY655400 CJU655400 CTQ655400 DDM655400 DNI655400 DXE655400 EHA655400 EQW655400 FAS655400 FKO655400 FUK655400 GEG655400 GOC655400 GXY655400 HHU655400 HRQ655400 IBM655400 ILI655400 IVE655400 JFA655400 JOW655400 JYS655400 KIO655400 KSK655400 LCG655400 LMC655400 LVY655400 MFU655400 MPQ655400 MZM655400 NJI655400 NTE655400 ODA655400 OMW655400 OWS655400 PGO655400 PQK655400 QAG655400 QKC655400 QTY655400 RDU655400 RNQ655400 RXM655400 SHI655400 SRE655400 TBA655400 TKW655400 TUS655400 UEO655400 UOK655400 UYG655400 VIC655400 VRY655400 WBU655400 WLQ655400 WVM655400 E720936 JA720936 SW720936 ACS720936 AMO720936 AWK720936 BGG720936 BQC720936 BZY720936 CJU720936 CTQ720936 DDM720936 DNI720936 DXE720936 EHA720936 EQW720936 FAS720936 FKO720936 FUK720936 GEG720936 GOC720936 GXY720936 HHU720936 HRQ720936 IBM720936 ILI720936 IVE720936 JFA720936 JOW720936 JYS720936 KIO720936 KSK720936 LCG720936 LMC720936 LVY720936 MFU720936 MPQ720936 MZM720936 NJI720936 NTE720936 ODA720936 OMW720936 OWS720936 PGO720936 PQK720936 QAG720936 QKC720936 QTY720936 RDU720936 RNQ720936 RXM720936 SHI720936 SRE720936 TBA720936 TKW720936 TUS720936 UEO720936 UOK720936 UYG720936 VIC720936 VRY720936 WBU720936 WLQ720936 WVM720936 E786472 JA786472 SW786472 ACS786472 AMO786472 AWK786472 BGG786472 BQC786472 BZY786472 CJU786472 CTQ786472 DDM786472 DNI786472 DXE786472 EHA786472 EQW786472 FAS786472 FKO786472 FUK786472 GEG786472 GOC786472 GXY786472 HHU786472 HRQ786472 IBM786472 ILI786472 IVE786472 JFA786472 JOW786472 JYS786472 KIO786472 KSK786472 LCG786472 LMC786472 LVY786472 MFU786472 MPQ786472 MZM786472 NJI786472 NTE786472 ODA786472 OMW786472 OWS786472 PGO786472 PQK786472 QAG786472 QKC786472 QTY786472 RDU786472 RNQ786472 RXM786472 SHI786472 SRE786472 TBA786472 TKW786472 TUS786472 UEO786472 UOK786472 UYG786472 VIC786472 VRY786472 WBU786472 WLQ786472 WVM786472 E852008 JA852008 SW852008 ACS852008 AMO852008 AWK852008 BGG852008 BQC852008 BZY852008 CJU852008 CTQ852008 DDM852008 DNI852008 DXE852008 EHA852008 EQW852008 FAS852008 FKO852008 FUK852008 GEG852008 GOC852008 GXY852008 HHU852008 HRQ852008 IBM852008 ILI852008 IVE852008 JFA852008 JOW852008 JYS852008 KIO852008 KSK852008 LCG852008 LMC852008 LVY852008 MFU852008 MPQ852008 MZM852008 NJI852008 NTE852008 ODA852008 OMW852008 OWS852008 PGO852008 PQK852008 QAG852008 QKC852008 QTY852008 RDU852008 RNQ852008 RXM852008 SHI852008 SRE852008 TBA852008 TKW852008 TUS852008 UEO852008 UOK852008 UYG852008 VIC852008 VRY852008 WBU852008 WLQ852008 WVM852008 E917544 JA917544 SW917544 ACS917544 AMO917544 AWK917544 BGG917544 BQC917544 BZY917544 CJU917544 CTQ917544 DDM917544 DNI917544 DXE917544 EHA917544 EQW917544 FAS917544 FKO917544 FUK917544 GEG917544 GOC917544 GXY917544 HHU917544 HRQ917544 IBM917544 ILI917544 IVE917544 JFA917544 JOW917544 JYS917544 KIO917544 KSK917544 LCG917544 LMC917544 LVY917544 MFU917544 MPQ917544 MZM917544 NJI917544 NTE917544 ODA917544 OMW917544 OWS917544 PGO917544 PQK917544 QAG917544 QKC917544 QTY917544 RDU917544 RNQ917544 RXM917544 SHI917544 SRE917544 TBA917544 TKW917544 TUS917544 UEO917544 UOK917544 UYG917544 VIC917544 VRY917544 WBU917544 WLQ917544 WVM917544 E983080 JA983080 SW983080 ACS983080 AMO983080 AWK983080 BGG983080 BQC983080 BZY983080 CJU983080 CTQ983080 DDM983080 DNI983080 DXE983080 EHA983080 EQW983080 FAS983080 FKO983080 FUK983080 GEG983080 GOC983080 GXY983080 HHU983080 HRQ983080 IBM983080 ILI983080 IVE983080 JFA983080 JOW983080 JYS983080 KIO983080 KSK983080 LCG983080 LMC983080 LVY983080 MFU983080 MPQ983080 MZM983080 NJI983080 NTE983080 ODA983080 OMW983080 OWS983080 PGO983080 PQK983080 QAG983080 QKC983080 QTY983080 RDU983080 RNQ983080 RXM983080 SHI983080 SRE983080 TBA983080 TKW983080 TUS983080 UEO983080 UOK983080 UYG983080 VIC983080 VRY983080 WBU983080 WLQ983080 WVM983080 E6:F8 JA6:JB8 SW6:SX8 ACS6:ACT8 AMO6:AMP8 AWK6:AWL8 BGG6:BGH8 BQC6:BQD8 BZY6:BZZ8 CJU6:CJV8 CTQ6:CTR8 DDM6:DDN8 DNI6:DNJ8 DXE6:DXF8 EHA6:EHB8 EQW6:EQX8 FAS6:FAT8 FKO6:FKP8 FUK6:FUL8 GEG6:GEH8 GOC6:GOD8 GXY6:GXZ8 HHU6:HHV8 HRQ6:HRR8 IBM6:IBN8 ILI6:ILJ8 IVE6:IVF8 JFA6:JFB8 JOW6:JOX8 JYS6:JYT8 KIO6:KIP8 KSK6:KSL8 LCG6:LCH8 LMC6:LMD8 LVY6:LVZ8 MFU6:MFV8 MPQ6:MPR8 MZM6:MZN8 NJI6:NJJ8 NTE6:NTF8 ODA6:ODB8 OMW6:OMX8 OWS6:OWT8 PGO6:PGP8 PQK6:PQL8 QAG6:QAH8 QKC6:QKD8 QTY6:QTZ8 RDU6:RDV8 RNQ6:RNR8 RXM6:RXN8 SHI6:SHJ8 SRE6:SRF8 TBA6:TBB8 TKW6:TKX8 TUS6:TUT8 UEO6:UEP8 UOK6:UOL8 UYG6:UYH8 VIC6:VID8 VRY6:VRZ8 WBU6:WBV8 WLQ6:WLR8 WVM6:WVN8 E13 JA13 SW13 ACS13 AMO13 AWK13 BGG13 BQC13 BZY13 CJU13 CTQ13 DDM13 DNI13 DXE13 EHA13 EQW13 FAS13 FKO13 FUK13 GEG13 GOC13 GXY13 HHU13 HRQ13 IBM13 ILI13 IVE13 JFA13 JOW13 JYS13 KIO13 KSK13 LCG13 LMC13 LVY13 MFU13 MPQ13 MZM13 NJI13 NTE13 ODA13 OMW13 OWS13 PGO13 PQK13 QAG13 QKC13 QTY13 RDU13 RNQ13 RXM13 SHI13 SRE13 TBA13 TKW13 TUS13 UEO13 UOK13 UYG13 VIC13 VRY13 WBU13 WLQ13 WVM13">
      <formula1>"是,否"</formula1>
    </dataValidation>
    <dataValidation type="list" allowBlank="1" showInputMessage="1" showErrorMessage="1" sqref="B65568:F65568 IX65568:JB65568 ST65568:SX65568 ACP65568:ACT65568 AML65568:AMP65568 AWH65568:AWL65568 BGD65568:BGH65568 BPZ65568:BQD65568 BZV65568:BZZ65568 CJR65568:CJV65568 CTN65568:CTR65568 DDJ65568:DDN65568 DNF65568:DNJ65568 DXB65568:DXF65568 EGX65568:EHB65568 EQT65568:EQX65568 FAP65568:FAT65568 FKL65568:FKP65568 FUH65568:FUL65568 GED65568:GEH65568 GNZ65568:GOD65568 GXV65568:GXZ65568 HHR65568:HHV65568 HRN65568:HRR65568 IBJ65568:IBN65568 ILF65568:ILJ65568 IVB65568:IVF65568 JEX65568:JFB65568 JOT65568:JOX65568 JYP65568:JYT65568 KIL65568:KIP65568 KSH65568:KSL65568 LCD65568:LCH65568 LLZ65568:LMD65568 LVV65568:LVZ65568 MFR65568:MFV65568 MPN65568:MPR65568 MZJ65568:MZN65568 NJF65568:NJJ65568 NTB65568:NTF65568 OCX65568:ODB65568 OMT65568:OMX65568 OWP65568:OWT65568 PGL65568:PGP65568 PQH65568:PQL65568 QAD65568:QAH65568 QJZ65568:QKD65568 QTV65568:QTZ65568 RDR65568:RDV65568 RNN65568:RNR65568 RXJ65568:RXN65568 SHF65568:SHJ65568 SRB65568:SRF65568 TAX65568:TBB65568 TKT65568:TKX65568 TUP65568:TUT65568 UEL65568:UEP65568 UOH65568:UOL65568 UYD65568:UYH65568 VHZ65568:VID65568 VRV65568:VRZ65568 WBR65568:WBV65568 WLN65568:WLR65568 WVJ65568:WVN65568 B131104:F131104 IX131104:JB131104 ST131104:SX131104 ACP131104:ACT131104 AML131104:AMP131104 AWH131104:AWL131104 BGD131104:BGH131104 BPZ131104:BQD131104 BZV131104:BZZ131104 CJR131104:CJV131104 CTN131104:CTR131104 DDJ131104:DDN131104 DNF131104:DNJ131104 DXB131104:DXF131104 EGX131104:EHB131104 EQT131104:EQX131104 FAP131104:FAT131104 FKL131104:FKP131104 FUH131104:FUL131104 GED131104:GEH131104 GNZ131104:GOD131104 GXV131104:GXZ131104 HHR131104:HHV131104 HRN131104:HRR131104 IBJ131104:IBN131104 ILF131104:ILJ131104 IVB131104:IVF131104 JEX131104:JFB131104 JOT131104:JOX131104 JYP131104:JYT131104 KIL131104:KIP131104 KSH131104:KSL131104 LCD131104:LCH131104 LLZ131104:LMD131104 LVV131104:LVZ131104 MFR131104:MFV131104 MPN131104:MPR131104 MZJ131104:MZN131104 NJF131104:NJJ131104 NTB131104:NTF131104 OCX131104:ODB131104 OMT131104:OMX131104 OWP131104:OWT131104 PGL131104:PGP131104 PQH131104:PQL131104 QAD131104:QAH131104 QJZ131104:QKD131104 QTV131104:QTZ131104 RDR131104:RDV131104 RNN131104:RNR131104 RXJ131104:RXN131104 SHF131104:SHJ131104 SRB131104:SRF131104 TAX131104:TBB131104 TKT131104:TKX131104 TUP131104:TUT131104 UEL131104:UEP131104 UOH131104:UOL131104 UYD131104:UYH131104 VHZ131104:VID131104 VRV131104:VRZ131104 WBR131104:WBV131104 WLN131104:WLR131104 WVJ131104:WVN131104 B196640:F196640 IX196640:JB196640 ST196640:SX196640 ACP196640:ACT196640 AML196640:AMP196640 AWH196640:AWL196640 BGD196640:BGH196640 BPZ196640:BQD196640 BZV196640:BZZ196640 CJR196640:CJV196640 CTN196640:CTR196640 DDJ196640:DDN196640 DNF196640:DNJ196640 DXB196640:DXF196640 EGX196640:EHB196640 EQT196640:EQX196640 FAP196640:FAT196640 FKL196640:FKP196640 FUH196640:FUL196640 GED196640:GEH196640 GNZ196640:GOD196640 GXV196640:GXZ196640 HHR196640:HHV196640 HRN196640:HRR196640 IBJ196640:IBN196640 ILF196640:ILJ196640 IVB196640:IVF196640 JEX196640:JFB196640 JOT196640:JOX196640 JYP196640:JYT196640 KIL196640:KIP196640 KSH196640:KSL196640 LCD196640:LCH196640 LLZ196640:LMD196640 LVV196640:LVZ196640 MFR196640:MFV196640 MPN196640:MPR196640 MZJ196640:MZN196640 NJF196640:NJJ196640 NTB196640:NTF196640 OCX196640:ODB196640 OMT196640:OMX196640 OWP196640:OWT196640 PGL196640:PGP196640 PQH196640:PQL196640 QAD196640:QAH196640 QJZ196640:QKD196640 QTV196640:QTZ196640 RDR196640:RDV196640 RNN196640:RNR196640 RXJ196640:RXN196640 SHF196640:SHJ196640 SRB196640:SRF196640 TAX196640:TBB196640 TKT196640:TKX196640 TUP196640:TUT196640 UEL196640:UEP196640 UOH196640:UOL196640 UYD196640:UYH196640 VHZ196640:VID196640 VRV196640:VRZ196640 WBR196640:WBV196640 WLN196640:WLR196640 WVJ196640:WVN196640 B262176:F262176 IX262176:JB262176 ST262176:SX262176 ACP262176:ACT262176 AML262176:AMP262176 AWH262176:AWL262176 BGD262176:BGH262176 BPZ262176:BQD262176 BZV262176:BZZ262176 CJR262176:CJV262176 CTN262176:CTR262176 DDJ262176:DDN262176 DNF262176:DNJ262176 DXB262176:DXF262176 EGX262176:EHB262176 EQT262176:EQX262176 FAP262176:FAT262176 FKL262176:FKP262176 FUH262176:FUL262176 GED262176:GEH262176 GNZ262176:GOD262176 GXV262176:GXZ262176 HHR262176:HHV262176 HRN262176:HRR262176 IBJ262176:IBN262176 ILF262176:ILJ262176 IVB262176:IVF262176 JEX262176:JFB262176 JOT262176:JOX262176 JYP262176:JYT262176 KIL262176:KIP262176 KSH262176:KSL262176 LCD262176:LCH262176 LLZ262176:LMD262176 LVV262176:LVZ262176 MFR262176:MFV262176 MPN262176:MPR262176 MZJ262176:MZN262176 NJF262176:NJJ262176 NTB262176:NTF262176 OCX262176:ODB262176 OMT262176:OMX262176 OWP262176:OWT262176 PGL262176:PGP262176 PQH262176:PQL262176 QAD262176:QAH262176 QJZ262176:QKD262176 QTV262176:QTZ262176 RDR262176:RDV262176 RNN262176:RNR262176 RXJ262176:RXN262176 SHF262176:SHJ262176 SRB262176:SRF262176 TAX262176:TBB262176 TKT262176:TKX262176 TUP262176:TUT262176 UEL262176:UEP262176 UOH262176:UOL262176 UYD262176:UYH262176 VHZ262176:VID262176 VRV262176:VRZ262176 WBR262176:WBV262176 WLN262176:WLR262176 WVJ262176:WVN262176 B327712:F327712 IX327712:JB327712 ST327712:SX327712 ACP327712:ACT327712 AML327712:AMP327712 AWH327712:AWL327712 BGD327712:BGH327712 BPZ327712:BQD327712 BZV327712:BZZ327712 CJR327712:CJV327712 CTN327712:CTR327712 DDJ327712:DDN327712 DNF327712:DNJ327712 DXB327712:DXF327712 EGX327712:EHB327712 EQT327712:EQX327712 FAP327712:FAT327712 FKL327712:FKP327712 FUH327712:FUL327712 GED327712:GEH327712 GNZ327712:GOD327712 GXV327712:GXZ327712 HHR327712:HHV327712 HRN327712:HRR327712 IBJ327712:IBN327712 ILF327712:ILJ327712 IVB327712:IVF327712 JEX327712:JFB327712 JOT327712:JOX327712 JYP327712:JYT327712 KIL327712:KIP327712 KSH327712:KSL327712 LCD327712:LCH327712 LLZ327712:LMD327712 LVV327712:LVZ327712 MFR327712:MFV327712 MPN327712:MPR327712 MZJ327712:MZN327712 NJF327712:NJJ327712 NTB327712:NTF327712 OCX327712:ODB327712 OMT327712:OMX327712 OWP327712:OWT327712 PGL327712:PGP327712 PQH327712:PQL327712 QAD327712:QAH327712 QJZ327712:QKD327712 QTV327712:QTZ327712 RDR327712:RDV327712 RNN327712:RNR327712 RXJ327712:RXN327712 SHF327712:SHJ327712 SRB327712:SRF327712 TAX327712:TBB327712 TKT327712:TKX327712 TUP327712:TUT327712 UEL327712:UEP327712 UOH327712:UOL327712 UYD327712:UYH327712 VHZ327712:VID327712 VRV327712:VRZ327712 WBR327712:WBV327712 WLN327712:WLR327712 WVJ327712:WVN327712 B393248:F393248 IX393248:JB393248 ST393248:SX393248 ACP393248:ACT393248 AML393248:AMP393248 AWH393248:AWL393248 BGD393248:BGH393248 BPZ393248:BQD393248 BZV393248:BZZ393248 CJR393248:CJV393248 CTN393248:CTR393248 DDJ393248:DDN393248 DNF393248:DNJ393248 DXB393248:DXF393248 EGX393248:EHB393248 EQT393248:EQX393248 FAP393248:FAT393248 FKL393248:FKP393248 FUH393248:FUL393248 GED393248:GEH393248 GNZ393248:GOD393248 GXV393248:GXZ393248 HHR393248:HHV393248 HRN393248:HRR393248 IBJ393248:IBN393248 ILF393248:ILJ393248 IVB393248:IVF393248 JEX393248:JFB393248 JOT393248:JOX393248 JYP393248:JYT393248 KIL393248:KIP393248 KSH393248:KSL393248 LCD393248:LCH393248 LLZ393248:LMD393248 LVV393248:LVZ393248 MFR393248:MFV393248 MPN393248:MPR393248 MZJ393248:MZN393248 NJF393248:NJJ393248 NTB393248:NTF393248 OCX393248:ODB393248 OMT393248:OMX393248 OWP393248:OWT393248 PGL393248:PGP393248 PQH393248:PQL393248 QAD393248:QAH393248 QJZ393248:QKD393248 QTV393248:QTZ393248 RDR393248:RDV393248 RNN393248:RNR393248 RXJ393248:RXN393248 SHF393248:SHJ393248 SRB393248:SRF393248 TAX393248:TBB393248 TKT393248:TKX393248 TUP393248:TUT393248 UEL393248:UEP393248 UOH393248:UOL393248 UYD393248:UYH393248 VHZ393248:VID393248 VRV393248:VRZ393248 WBR393248:WBV393248 WLN393248:WLR393248 WVJ393248:WVN393248 B458784:F458784 IX458784:JB458784 ST458784:SX458784 ACP458784:ACT458784 AML458784:AMP458784 AWH458784:AWL458784 BGD458784:BGH458784 BPZ458784:BQD458784 BZV458784:BZZ458784 CJR458784:CJV458784 CTN458784:CTR458784 DDJ458784:DDN458784 DNF458784:DNJ458784 DXB458784:DXF458784 EGX458784:EHB458784 EQT458784:EQX458784 FAP458784:FAT458784 FKL458784:FKP458784 FUH458784:FUL458784 GED458784:GEH458784 GNZ458784:GOD458784 GXV458784:GXZ458784 HHR458784:HHV458784 HRN458784:HRR458784 IBJ458784:IBN458784 ILF458784:ILJ458784 IVB458784:IVF458784 JEX458784:JFB458784 JOT458784:JOX458784 JYP458784:JYT458784 KIL458784:KIP458784 KSH458784:KSL458784 LCD458784:LCH458784 LLZ458784:LMD458784 LVV458784:LVZ458784 MFR458784:MFV458784 MPN458784:MPR458784 MZJ458784:MZN458784 NJF458784:NJJ458784 NTB458784:NTF458784 OCX458784:ODB458784 OMT458784:OMX458784 OWP458784:OWT458784 PGL458784:PGP458784 PQH458784:PQL458784 QAD458784:QAH458784 QJZ458784:QKD458784 QTV458784:QTZ458784 RDR458784:RDV458784 RNN458784:RNR458784 RXJ458784:RXN458784 SHF458784:SHJ458784 SRB458784:SRF458784 TAX458784:TBB458784 TKT458784:TKX458784 TUP458784:TUT458784 UEL458784:UEP458784 UOH458784:UOL458784 UYD458784:UYH458784 VHZ458784:VID458784 VRV458784:VRZ458784 WBR458784:WBV458784 WLN458784:WLR458784 WVJ458784:WVN458784 B524320:F524320 IX524320:JB524320 ST524320:SX524320 ACP524320:ACT524320 AML524320:AMP524320 AWH524320:AWL524320 BGD524320:BGH524320 BPZ524320:BQD524320 BZV524320:BZZ524320 CJR524320:CJV524320 CTN524320:CTR524320 DDJ524320:DDN524320 DNF524320:DNJ524320 DXB524320:DXF524320 EGX524320:EHB524320 EQT524320:EQX524320 FAP524320:FAT524320 FKL524320:FKP524320 FUH524320:FUL524320 GED524320:GEH524320 GNZ524320:GOD524320 GXV524320:GXZ524320 HHR524320:HHV524320 HRN524320:HRR524320 IBJ524320:IBN524320 ILF524320:ILJ524320 IVB524320:IVF524320 JEX524320:JFB524320 JOT524320:JOX524320 JYP524320:JYT524320 KIL524320:KIP524320 KSH524320:KSL524320 LCD524320:LCH524320 LLZ524320:LMD524320 LVV524320:LVZ524320 MFR524320:MFV524320 MPN524320:MPR524320 MZJ524320:MZN524320 NJF524320:NJJ524320 NTB524320:NTF524320 OCX524320:ODB524320 OMT524320:OMX524320 OWP524320:OWT524320 PGL524320:PGP524320 PQH524320:PQL524320 QAD524320:QAH524320 QJZ524320:QKD524320 QTV524320:QTZ524320 RDR524320:RDV524320 RNN524320:RNR524320 RXJ524320:RXN524320 SHF524320:SHJ524320 SRB524320:SRF524320 TAX524320:TBB524320 TKT524320:TKX524320 TUP524320:TUT524320 UEL524320:UEP524320 UOH524320:UOL524320 UYD524320:UYH524320 VHZ524320:VID524320 VRV524320:VRZ524320 WBR524320:WBV524320 WLN524320:WLR524320 WVJ524320:WVN524320 B589856:F589856 IX589856:JB589856 ST589856:SX589856 ACP589856:ACT589856 AML589856:AMP589856 AWH589856:AWL589856 BGD589856:BGH589856 BPZ589856:BQD589856 BZV589856:BZZ589856 CJR589856:CJV589856 CTN589856:CTR589856 DDJ589856:DDN589856 DNF589856:DNJ589856 DXB589856:DXF589856 EGX589856:EHB589856 EQT589856:EQX589856 FAP589856:FAT589856 FKL589856:FKP589856 FUH589856:FUL589856 GED589856:GEH589856 GNZ589856:GOD589856 GXV589856:GXZ589856 HHR589856:HHV589856 HRN589856:HRR589856 IBJ589856:IBN589856 ILF589856:ILJ589856 IVB589856:IVF589856 JEX589856:JFB589856 JOT589856:JOX589856 JYP589856:JYT589856 KIL589856:KIP589856 KSH589856:KSL589856 LCD589856:LCH589856 LLZ589856:LMD589856 LVV589856:LVZ589856 MFR589856:MFV589856 MPN589856:MPR589856 MZJ589856:MZN589856 NJF589856:NJJ589856 NTB589856:NTF589856 OCX589856:ODB589856 OMT589856:OMX589856 OWP589856:OWT589856 PGL589856:PGP589856 PQH589856:PQL589856 QAD589856:QAH589856 QJZ589856:QKD589856 QTV589856:QTZ589856 RDR589856:RDV589856 RNN589856:RNR589856 RXJ589856:RXN589856 SHF589856:SHJ589856 SRB589856:SRF589856 TAX589856:TBB589856 TKT589856:TKX589856 TUP589856:TUT589856 UEL589856:UEP589856 UOH589856:UOL589856 UYD589856:UYH589856 VHZ589856:VID589856 VRV589856:VRZ589856 WBR589856:WBV589856 WLN589856:WLR589856 WVJ589856:WVN589856 B655392:F655392 IX655392:JB655392 ST655392:SX655392 ACP655392:ACT655392 AML655392:AMP655392 AWH655392:AWL655392 BGD655392:BGH655392 BPZ655392:BQD655392 BZV655392:BZZ655392 CJR655392:CJV655392 CTN655392:CTR655392 DDJ655392:DDN655392 DNF655392:DNJ655392 DXB655392:DXF655392 EGX655392:EHB655392 EQT655392:EQX655392 FAP655392:FAT655392 FKL655392:FKP655392 FUH655392:FUL655392 GED655392:GEH655392 GNZ655392:GOD655392 GXV655392:GXZ655392 HHR655392:HHV655392 HRN655392:HRR655392 IBJ655392:IBN655392 ILF655392:ILJ655392 IVB655392:IVF655392 JEX655392:JFB655392 JOT655392:JOX655392 JYP655392:JYT655392 KIL655392:KIP655392 KSH655392:KSL655392 LCD655392:LCH655392 LLZ655392:LMD655392 LVV655392:LVZ655392 MFR655392:MFV655392 MPN655392:MPR655392 MZJ655392:MZN655392 NJF655392:NJJ655392 NTB655392:NTF655392 OCX655392:ODB655392 OMT655392:OMX655392 OWP655392:OWT655392 PGL655392:PGP655392 PQH655392:PQL655392 QAD655392:QAH655392 QJZ655392:QKD655392 QTV655392:QTZ655392 RDR655392:RDV655392 RNN655392:RNR655392 RXJ655392:RXN655392 SHF655392:SHJ655392 SRB655392:SRF655392 TAX655392:TBB655392 TKT655392:TKX655392 TUP655392:TUT655392 UEL655392:UEP655392 UOH655392:UOL655392 UYD655392:UYH655392 VHZ655392:VID655392 VRV655392:VRZ655392 WBR655392:WBV655392 WLN655392:WLR655392 WVJ655392:WVN655392 B720928:F720928 IX720928:JB720928 ST720928:SX720928 ACP720928:ACT720928 AML720928:AMP720928 AWH720928:AWL720928 BGD720928:BGH720928 BPZ720928:BQD720928 BZV720928:BZZ720928 CJR720928:CJV720928 CTN720928:CTR720928 DDJ720928:DDN720928 DNF720928:DNJ720928 DXB720928:DXF720928 EGX720928:EHB720928 EQT720928:EQX720928 FAP720928:FAT720928 FKL720928:FKP720928 FUH720928:FUL720928 GED720928:GEH720928 GNZ720928:GOD720928 GXV720928:GXZ720928 HHR720928:HHV720928 HRN720928:HRR720928 IBJ720928:IBN720928 ILF720928:ILJ720928 IVB720928:IVF720928 JEX720928:JFB720928 JOT720928:JOX720928 JYP720928:JYT720928 KIL720928:KIP720928 KSH720928:KSL720928 LCD720928:LCH720928 LLZ720928:LMD720928 LVV720928:LVZ720928 MFR720928:MFV720928 MPN720928:MPR720928 MZJ720928:MZN720928 NJF720928:NJJ720928 NTB720928:NTF720928 OCX720928:ODB720928 OMT720928:OMX720928 OWP720928:OWT720928 PGL720928:PGP720928 PQH720928:PQL720928 QAD720928:QAH720928 QJZ720928:QKD720928 QTV720928:QTZ720928 RDR720928:RDV720928 RNN720928:RNR720928 RXJ720928:RXN720928 SHF720928:SHJ720928 SRB720928:SRF720928 TAX720928:TBB720928 TKT720928:TKX720928 TUP720928:TUT720928 UEL720928:UEP720928 UOH720928:UOL720928 UYD720928:UYH720928 VHZ720928:VID720928 VRV720928:VRZ720928 WBR720928:WBV720928 WLN720928:WLR720928 WVJ720928:WVN720928 B786464:F786464 IX786464:JB786464 ST786464:SX786464 ACP786464:ACT786464 AML786464:AMP786464 AWH786464:AWL786464 BGD786464:BGH786464 BPZ786464:BQD786464 BZV786464:BZZ786464 CJR786464:CJV786464 CTN786464:CTR786464 DDJ786464:DDN786464 DNF786464:DNJ786464 DXB786464:DXF786464 EGX786464:EHB786464 EQT786464:EQX786464 FAP786464:FAT786464 FKL786464:FKP786464 FUH786464:FUL786464 GED786464:GEH786464 GNZ786464:GOD786464 GXV786464:GXZ786464 HHR786464:HHV786464 HRN786464:HRR786464 IBJ786464:IBN786464 ILF786464:ILJ786464 IVB786464:IVF786464 JEX786464:JFB786464 JOT786464:JOX786464 JYP786464:JYT786464 KIL786464:KIP786464 KSH786464:KSL786464 LCD786464:LCH786464 LLZ786464:LMD786464 LVV786464:LVZ786464 MFR786464:MFV786464 MPN786464:MPR786464 MZJ786464:MZN786464 NJF786464:NJJ786464 NTB786464:NTF786464 OCX786464:ODB786464 OMT786464:OMX786464 OWP786464:OWT786464 PGL786464:PGP786464 PQH786464:PQL786464 QAD786464:QAH786464 QJZ786464:QKD786464 QTV786464:QTZ786464 RDR786464:RDV786464 RNN786464:RNR786464 RXJ786464:RXN786464 SHF786464:SHJ786464 SRB786464:SRF786464 TAX786464:TBB786464 TKT786464:TKX786464 TUP786464:TUT786464 UEL786464:UEP786464 UOH786464:UOL786464 UYD786464:UYH786464 VHZ786464:VID786464 VRV786464:VRZ786464 WBR786464:WBV786464 WLN786464:WLR786464 WVJ786464:WVN786464 B852000:F852000 IX852000:JB852000 ST852000:SX852000 ACP852000:ACT852000 AML852000:AMP852000 AWH852000:AWL852000 BGD852000:BGH852000 BPZ852000:BQD852000 BZV852000:BZZ852000 CJR852000:CJV852000 CTN852000:CTR852000 DDJ852000:DDN852000 DNF852000:DNJ852000 DXB852000:DXF852000 EGX852000:EHB852000 EQT852000:EQX852000 FAP852000:FAT852000 FKL852000:FKP852000 FUH852000:FUL852000 GED852000:GEH852000 GNZ852000:GOD852000 GXV852000:GXZ852000 HHR852000:HHV852000 HRN852000:HRR852000 IBJ852000:IBN852000 ILF852000:ILJ852000 IVB852000:IVF852000 JEX852000:JFB852000 JOT852000:JOX852000 JYP852000:JYT852000 KIL852000:KIP852000 KSH852000:KSL852000 LCD852000:LCH852000 LLZ852000:LMD852000 LVV852000:LVZ852000 MFR852000:MFV852000 MPN852000:MPR852000 MZJ852000:MZN852000 NJF852000:NJJ852000 NTB852000:NTF852000 OCX852000:ODB852000 OMT852000:OMX852000 OWP852000:OWT852000 PGL852000:PGP852000 PQH852000:PQL852000 QAD852000:QAH852000 QJZ852000:QKD852000 QTV852000:QTZ852000 RDR852000:RDV852000 RNN852000:RNR852000 RXJ852000:RXN852000 SHF852000:SHJ852000 SRB852000:SRF852000 TAX852000:TBB852000 TKT852000:TKX852000 TUP852000:TUT852000 UEL852000:UEP852000 UOH852000:UOL852000 UYD852000:UYH852000 VHZ852000:VID852000 VRV852000:VRZ852000 WBR852000:WBV852000 WLN852000:WLR852000 WVJ852000:WVN852000 B917536:F917536 IX917536:JB917536 ST917536:SX917536 ACP917536:ACT917536 AML917536:AMP917536 AWH917536:AWL917536 BGD917536:BGH917536 BPZ917536:BQD917536 BZV917536:BZZ917536 CJR917536:CJV917536 CTN917536:CTR917536 DDJ917536:DDN917536 DNF917536:DNJ917536 DXB917536:DXF917536 EGX917536:EHB917536 EQT917536:EQX917536 FAP917536:FAT917536 FKL917536:FKP917536 FUH917536:FUL917536 GED917536:GEH917536 GNZ917536:GOD917536 GXV917536:GXZ917536 HHR917536:HHV917536 HRN917536:HRR917536 IBJ917536:IBN917536 ILF917536:ILJ917536 IVB917536:IVF917536 JEX917536:JFB917536 JOT917536:JOX917536 JYP917536:JYT917536 KIL917536:KIP917536 KSH917536:KSL917536 LCD917536:LCH917536 LLZ917536:LMD917536 LVV917536:LVZ917536 MFR917536:MFV917536 MPN917536:MPR917536 MZJ917536:MZN917536 NJF917536:NJJ917536 NTB917536:NTF917536 OCX917536:ODB917536 OMT917536:OMX917536 OWP917536:OWT917536 PGL917536:PGP917536 PQH917536:PQL917536 QAD917536:QAH917536 QJZ917536:QKD917536 QTV917536:QTZ917536 RDR917536:RDV917536 RNN917536:RNR917536 RXJ917536:RXN917536 SHF917536:SHJ917536 SRB917536:SRF917536 TAX917536:TBB917536 TKT917536:TKX917536 TUP917536:TUT917536 UEL917536:UEP917536 UOH917536:UOL917536 UYD917536:UYH917536 VHZ917536:VID917536 VRV917536:VRZ917536 WBR917536:WBV917536 WLN917536:WLR917536 WVJ917536:WVN917536 B983072:F983072 IX983072:JB983072 ST983072:SX983072 ACP983072:ACT983072 AML983072:AMP983072 AWH983072:AWL983072 BGD983072:BGH983072 BPZ983072:BQD983072 BZV983072:BZZ983072 CJR983072:CJV983072 CTN983072:CTR983072 DDJ983072:DDN983072 DNF983072:DNJ983072 DXB983072:DXF983072 EGX983072:EHB983072 EQT983072:EQX983072 FAP983072:FAT983072 FKL983072:FKP983072 FUH983072:FUL983072 GED983072:GEH983072 GNZ983072:GOD983072 GXV983072:GXZ983072 HHR983072:HHV983072 HRN983072:HRR983072 IBJ983072:IBN983072 ILF983072:ILJ983072 IVB983072:IVF983072 JEX983072:JFB983072 JOT983072:JOX983072 JYP983072:JYT983072 KIL983072:KIP983072 KSH983072:KSL983072 LCD983072:LCH983072 LLZ983072:LMD983072 LVV983072:LVZ983072 MFR983072:MFV983072 MPN983072:MPR983072 MZJ983072:MZN983072 NJF983072:NJJ983072 NTB983072:NTF983072 OCX983072:ODB983072 OMT983072:OMX983072 OWP983072:OWT983072 PGL983072:PGP983072 PQH983072:PQL983072 QAD983072:QAH983072 QJZ983072:QKD983072 QTV983072:QTZ983072 RDR983072:RDV983072 RNN983072:RNR983072 RXJ983072:RXN983072 SHF983072:SHJ983072 SRB983072:SRF983072 TAX983072:TBB983072 TKT983072:TKX983072 TUP983072:TUT983072 UEL983072:UEP983072 UOH983072:UOL983072 UYD983072:UYH983072 VHZ983072:VID983072 VRV983072:VRZ983072 WBR983072:WBV983072 WLN983072:WLR983072 WVJ983072:WVN983072 B5:F5 IX5:JB5 ST5:SX5 ACP5:ACT5 AML5:AMP5 AWH5:AWL5 BGD5:BGH5 BPZ5:BQD5 BZV5:BZZ5 CJR5:CJV5 CTN5:CTR5 DDJ5:DDN5 DNF5:DNJ5 DXB5:DXF5 EGX5:EHB5 EQT5:EQX5 FAP5:FAT5 FKL5:FKP5 FUH5:FUL5 GED5:GEH5 GNZ5:GOD5 GXV5:GXZ5 HHR5:HHV5 HRN5:HRR5 IBJ5:IBN5 ILF5:ILJ5 IVB5:IVF5 JEX5:JFB5 JOT5:JOX5 JYP5:JYT5 KIL5:KIP5 KSH5:KSL5 LCD5:LCH5 LLZ5:LMD5 LVV5:LVZ5 MFR5:MFV5 MPN5:MPR5 MZJ5:MZN5 NJF5:NJJ5 NTB5:NTF5 OCX5:ODB5 OMT5:OMX5 OWP5:OWT5 PGL5:PGP5 PQH5:PQL5 QAD5:QAH5 QJZ5:QKD5 QTV5:QTZ5 RDR5:RDV5 RNN5:RNR5 RXJ5:RXN5 SHF5:SHJ5 SRB5:SRF5 TAX5:TBB5 TKT5:TKX5 TUP5:TUT5 UEL5:UEP5 UOH5:UOL5 UYD5:UYH5 VHZ5:VID5 VRV5:VRZ5 WBR5:WBV5 WLN5:WLR5 WVJ5:WVN5">
      <formula1>"总机构,否"</formula1>
    </dataValidation>
    <dataValidation type="list" allowBlank="1" showInputMessage="1" showErrorMessage="1" sqref="C65566:F65566 IY65566:JB65566 SU65566:SX65566 ACQ65566:ACT65566 AMM65566:AMP65566 AWI65566:AWL65566 BGE65566:BGH65566 BQA65566:BQD65566 BZW65566:BZZ65566 CJS65566:CJV65566 CTO65566:CTR65566 DDK65566:DDN65566 DNG65566:DNJ65566 DXC65566:DXF65566 EGY65566:EHB65566 EQU65566:EQX65566 FAQ65566:FAT65566 FKM65566:FKP65566 FUI65566:FUL65566 GEE65566:GEH65566 GOA65566:GOD65566 GXW65566:GXZ65566 HHS65566:HHV65566 HRO65566:HRR65566 IBK65566:IBN65566 ILG65566:ILJ65566 IVC65566:IVF65566 JEY65566:JFB65566 JOU65566:JOX65566 JYQ65566:JYT65566 KIM65566:KIP65566 KSI65566:KSL65566 LCE65566:LCH65566 LMA65566:LMD65566 LVW65566:LVZ65566 MFS65566:MFV65566 MPO65566:MPR65566 MZK65566:MZN65566 NJG65566:NJJ65566 NTC65566:NTF65566 OCY65566:ODB65566 OMU65566:OMX65566 OWQ65566:OWT65566 PGM65566:PGP65566 PQI65566:PQL65566 QAE65566:QAH65566 QKA65566:QKD65566 QTW65566:QTZ65566 RDS65566:RDV65566 RNO65566:RNR65566 RXK65566:RXN65566 SHG65566:SHJ65566 SRC65566:SRF65566 TAY65566:TBB65566 TKU65566:TKX65566 TUQ65566:TUT65566 UEM65566:UEP65566 UOI65566:UOL65566 UYE65566:UYH65566 VIA65566:VID65566 VRW65566:VRZ65566 WBS65566:WBV65566 WLO65566:WLR65566 WVK65566:WVN65566 C131102:F131102 IY131102:JB131102 SU131102:SX131102 ACQ131102:ACT131102 AMM131102:AMP131102 AWI131102:AWL131102 BGE131102:BGH131102 BQA131102:BQD131102 BZW131102:BZZ131102 CJS131102:CJV131102 CTO131102:CTR131102 DDK131102:DDN131102 DNG131102:DNJ131102 DXC131102:DXF131102 EGY131102:EHB131102 EQU131102:EQX131102 FAQ131102:FAT131102 FKM131102:FKP131102 FUI131102:FUL131102 GEE131102:GEH131102 GOA131102:GOD131102 GXW131102:GXZ131102 HHS131102:HHV131102 HRO131102:HRR131102 IBK131102:IBN131102 ILG131102:ILJ131102 IVC131102:IVF131102 JEY131102:JFB131102 JOU131102:JOX131102 JYQ131102:JYT131102 KIM131102:KIP131102 KSI131102:KSL131102 LCE131102:LCH131102 LMA131102:LMD131102 LVW131102:LVZ131102 MFS131102:MFV131102 MPO131102:MPR131102 MZK131102:MZN131102 NJG131102:NJJ131102 NTC131102:NTF131102 OCY131102:ODB131102 OMU131102:OMX131102 OWQ131102:OWT131102 PGM131102:PGP131102 PQI131102:PQL131102 QAE131102:QAH131102 QKA131102:QKD131102 QTW131102:QTZ131102 RDS131102:RDV131102 RNO131102:RNR131102 RXK131102:RXN131102 SHG131102:SHJ131102 SRC131102:SRF131102 TAY131102:TBB131102 TKU131102:TKX131102 TUQ131102:TUT131102 UEM131102:UEP131102 UOI131102:UOL131102 UYE131102:UYH131102 VIA131102:VID131102 VRW131102:VRZ131102 WBS131102:WBV131102 WLO131102:WLR131102 WVK131102:WVN131102 C196638:F196638 IY196638:JB196638 SU196638:SX196638 ACQ196638:ACT196638 AMM196638:AMP196638 AWI196638:AWL196638 BGE196638:BGH196638 BQA196638:BQD196638 BZW196638:BZZ196638 CJS196638:CJV196638 CTO196638:CTR196638 DDK196638:DDN196638 DNG196638:DNJ196638 DXC196638:DXF196638 EGY196638:EHB196638 EQU196638:EQX196638 FAQ196638:FAT196638 FKM196638:FKP196638 FUI196638:FUL196638 GEE196638:GEH196638 GOA196638:GOD196638 GXW196638:GXZ196638 HHS196638:HHV196638 HRO196638:HRR196638 IBK196638:IBN196638 ILG196638:ILJ196638 IVC196638:IVF196638 JEY196638:JFB196638 JOU196638:JOX196638 JYQ196638:JYT196638 KIM196638:KIP196638 KSI196638:KSL196638 LCE196638:LCH196638 LMA196638:LMD196638 LVW196638:LVZ196638 MFS196638:MFV196638 MPO196638:MPR196638 MZK196638:MZN196638 NJG196638:NJJ196638 NTC196638:NTF196638 OCY196638:ODB196638 OMU196638:OMX196638 OWQ196638:OWT196638 PGM196638:PGP196638 PQI196638:PQL196638 QAE196638:QAH196638 QKA196638:QKD196638 QTW196638:QTZ196638 RDS196638:RDV196638 RNO196638:RNR196638 RXK196638:RXN196638 SHG196638:SHJ196638 SRC196638:SRF196638 TAY196638:TBB196638 TKU196638:TKX196638 TUQ196638:TUT196638 UEM196638:UEP196638 UOI196638:UOL196638 UYE196638:UYH196638 VIA196638:VID196638 VRW196638:VRZ196638 WBS196638:WBV196638 WLO196638:WLR196638 WVK196638:WVN196638 C262174:F262174 IY262174:JB262174 SU262174:SX262174 ACQ262174:ACT262174 AMM262174:AMP262174 AWI262174:AWL262174 BGE262174:BGH262174 BQA262174:BQD262174 BZW262174:BZZ262174 CJS262174:CJV262174 CTO262174:CTR262174 DDK262174:DDN262174 DNG262174:DNJ262174 DXC262174:DXF262174 EGY262174:EHB262174 EQU262174:EQX262174 FAQ262174:FAT262174 FKM262174:FKP262174 FUI262174:FUL262174 GEE262174:GEH262174 GOA262174:GOD262174 GXW262174:GXZ262174 HHS262174:HHV262174 HRO262174:HRR262174 IBK262174:IBN262174 ILG262174:ILJ262174 IVC262174:IVF262174 JEY262174:JFB262174 JOU262174:JOX262174 JYQ262174:JYT262174 KIM262174:KIP262174 KSI262174:KSL262174 LCE262174:LCH262174 LMA262174:LMD262174 LVW262174:LVZ262174 MFS262174:MFV262174 MPO262174:MPR262174 MZK262174:MZN262174 NJG262174:NJJ262174 NTC262174:NTF262174 OCY262174:ODB262174 OMU262174:OMX262174 OWQ262174:OWT262174 PGM262174:PGP262174 PQI262174:PQL262174 QAE262174:QAH262174 QKA262174:QKD262174 QTW262174:QTZ262174 RDS262174:RDV262174 RNO262174:RNR262174 RXK262174:RXN262174 SHG262174:SHJ262174 SRC262174:SRF262174 TAY262174:TBB262174 TKU262174:TKX262174 TUQ262174:TUT262174 UEM262174:UEP262174 UOI262174:UOL262174 UYE262174:UYH262174 VIA262174:VID262174 VRW262174:VRZ262174 WBS262174:WBV262174 WLO262174:WLR262174 WVK262174:WVN262174 C327710:F327710 IY327710:JB327710 SU327710:SX327710 ACQ327710:ACT327710 AMM327710:AMP327710 AWI327710:AWL327710 BGE327710:BGH327710 BQA327710:BQD327710 BZW327710:BZZ327710 CJS327710:CJV327710 CTO327710:CTR327710 DDK327710:DDN327710 DNG327710:DNJ327710 DXC327710:DXF327710 EGY327710:EHB327710 EQU327710:EQX327710 FAQ327710:FAT327710 FKM327710:FKP327710 FUI327710:FUL327710 GEE327710:GEH327710 GOA327710:GOD327710 GXW327710:GXZ327710 HHS327710:HHV327710 HRO327710:HRR327710 IBK327710:IBN327710 ILG327710:ILJ327710 IVC327710:IVF327710 JEY327710:JFB327710 JOU327710:JOX327710 JYQ327710:JYT327710 KIM327710:KIP327710 KSI327710:KSL327710 LCE327710:LCH327710 LMA327710:LMD327710 LVW327710:LVZ327710 MFS327710:MFV327710 MPO327710:MPR327710 MZK327710:MZN327710 NJG327710:NJJ327710 NTC327710:NTF327710 OCY327710:ODB327710 OMU327710:OMX327710 OWQ327710:OWT327710 PGM327710:PGP327710 PQI327710:PQL327710 QAE327710:QAH327710 QKA327710:QKD327710 QTW327710:QTZ327710 RDS327710:RDV327710 RNO327710:RNR327710 RXK327710:RXN327710 SHG327710:SHJ327710 SRC327710:SRF327710 TAY327710:TBB327710 TKU327710:TKX327710 TUQ327710:TUT327710 UEM327710:UEP327710 UOI327710:UOL327710 UYE327710:UYH327710 VIA327710:VID327710 VRW327710:VRZ327710 WBS327710:WBV327710 WLO327710:WLR327710 WVK327710:WVN327710 C393246:F393246 IY393246:JB393246 SU393246:SX393246 ACQ393246:ACT393246 AMM393246:AMP393246 AWI393246:AWL393246 BGE393246:BGH393246 BQA393246:BQD393246 BZW393246:BZZ393246 CJS393246:CJV393246 CTO393246:CTR393246 DDK393246:DDN393246 DNG393246:DNJ393246 DXC393246:DXF393246 EGY393246:EHB393246 EQU393246:EQX393246 FAQ393246:FAT393246 FKM393246:FKP393246 FUI393246:FUL393246 GEE393246:GEH393246 GOA393246:GOD393246 GXW393246:GXZ393246 HHS393246:HHV393246 HRO393246:HRR393246 IBK393246:IBN393246 ILG393246:ILJ393246 IVC393246:IVF393246 JEY393246:JFB393246 JOU393246:JOX393246 JYQ393246:JYT393246 KIM393246:KIP393246 KSI393246:KSL393246 LCE393246:LCH393246 LMA393246:LMD393246 LVW393246:LVZ393246 MFS393246:MFV393246 MPO393246:MPR393246 MZK393246:MZN393246 NJG393246:NJJ393246 NTC393246:NTF393246 OCY393246:ODB393246 OMU393246:OMX393246 OWQ393246:OWT393246 PGM393246:PGP393246 PQI393246:PQL393246 QAE393246:QAH393246 QKA393246:QKD393246 QTW393246:QTZ393246 RDS393246:RDV393246 RNO393246:RNR393246 RXK393246:RXN393246 SHG393246:SHJ393246 SRC393246:SRF393246 TAY393246:TBB393246 TKU393246:TKX393246 TUQ393246:TUT393246 UEM393246:UEP393246 UOI393246:UOL393246 UYE393246:UYH393246 VIA393246:VID393246 VRW393246:VRZ393246 WBS393246:WBV393246 WLO393246:WLR393246 WVK393246:WVN393246 C458782:F458782 IY458782:JB458782 SU458782:SX458782 ACQ458782:ACT458782 AMM458782:AMP458782 AWI458782:AWL458782 BGE458782:BGH458782 BQA458782:BQD458782 BZW458782:BZZ458782 CJS458782:CJV458782 CTO458782:CTR458782 DDK458782:DDN458782 DNG458782:DNJ458782 DXC458782:DXF458782 EGY458782:EHB458782 EQU458782:EQX458782 FAQ458782:FAT458782 FKM458782:FKP458782 FUI458782:FUL458782 GEE458782:GEH458782 GOA458782:GOD458782 GXW458782:GXZ458782 HHS458782:HHV458782 HRO458782:HRR458782 IBK458782:IBN458782 ILG458782:ILJ458782 IVC458782:IVF458782 JEY458782:JFB458782 JOU458782:JOX458782 JYQ458782:JYT458782 KIM458782:KIP458782 KSI458782:KSL458782 LCE458782:LCH458782 LMA458782:LMD458782 LVW458782:LVZ458782 MFS458782:MFV458782 MPO458782:MPR458782 MZK458782:MZN458782 NJG458782:NJJ458782 NTC458782:NTF458782 OCY458782:ODB458782 OMU458782:OMX458782 OWQ458782:OWT458782 PGM458782:PGP458782 PQI458782:PQL458782 QAE458782:QAH458782 QKA458782:QKD458782 QTW458782:QTZ458782 RDS458782:RDV458782 RNO458782:RNR458782 RXK458782:RXN458782 SHG458782:SHJ458782 SRC458782:SRF458782 TAY458782:TBB458782 TKU458782:TKX458782 TUQ458782:TUT458782 UEM458782:UEP458782 UOI458782:UOL458782 UYE458782:UYH458782 VIA458782:VID458782 VRW458782:VRZ458782 WBS458782:WBV458782 WLO458782:WLR458782 WVK458782:WVN458782 C524318:F524318 IY524318:JB524318 SU524318:SX524318 ACQ524318:ACT524318 AMM524318:AMP524318 AWI524318:AWL524318 BGE524318:BGH524318 BQA524318:BQD524318 BZW524318:BZZ524318 CJS524318:CJV524318 CTO524318:CTR524318 DDK524318:DDN524318 DNG524318:DNJ524318 DXC524318:DXF524318 EGY524318:EHB524318 EQU524318:EQX524318 FAQ524318:FAT524318 FKM524318:FKP524318 FUI524318:FUL524318 GEE524318:GEH524318 GOA524318:GOD524318 GXW524318:GXZ524318 HHS524318:HHV524318 HRO524318:HRR524318 IBK524318:IBN524318 ILG524318:ILJ524318 IVC524318:IVF524318 JEY524318:JFB524318 JOU524318:JOX524318 JYQ524318:JYT524318 KIM524318:KIP524318 KSI524318:KSL524318 LCE524318:LCH524318 LMA524318:LMD524318 LVW524318:LVZ524318 MFS524318:MFV524318 MPO524318:MPR524318 MZK524318:MZN524318 NJG524318:NJJ524318 NTC524318:NTF524318 OCY524318:ODB524318 OMU524318:OMX524318 OWQ524318:OWT524318 PGM524318:PGP524318 PQI524318:PQL524318 QAE524318:QAH524318 QKA524318:QKD524318 QTW524318:QTZ524318 RDS524318:RDV524318 RNO524318:RNR524318 RXK524318:RXN524318 SHG524318:SHJ524318 SRC524318:SRF524318 TAY524318:TBB524318 TKU524318:TKX524318 TUQ524318:TUT524318 UEM524318:UEP524318 UOI524318:UOL524318 UYE524318:UYH524318 VIA524318:VID524318 VRW524318:VRZ524318 WBS524318:WBV524318 WLO524318:WLR524318 WVK524318:WVN524318 C589854:F589854 IY589854:JB589854 SU589854:SX589854 ACQ589854:ACT589854 AMM589854:AMP589854 AWI589854:AWL589854 BGE589854:BGH589854 BQA589854:BQD589854 BZW589854:BZZ589854 CJS589854:CJV589854 CTO589854:CTR589854 DDK589854:DDN589854 DNG589854:DNJ589854 DXC589854:DXF589854 EGY589854:EHB589854 EQU589854:EQX589854 FAQ589854:FAT589854 FKM589854:FKP589854 FUI589854:FUL589854 GEE589854:GEH589854 GOA589854:GOD589854 GXW589854:GXZ589854 HHS589854:HHV589854 HRO589854:HRR589854 IBK589854:IBN589854 ILG589854:ILJ589854 IVC589854:IVF589854 JEY589854:JFB589854 JOU589854:JOX589854 JYQ589854:JYT589854 KIM589854:KIP589854 KSI589854:KSL589854 LCE589854:LCH589854 LMA589854:LMD589854 LVW589854:LVZ589854 MFS589854:MFV589854 MPO589854:MPR589854 MZK589854:MZN589854 NJG589854:NJJ589854 NTC589854:NTF589854 OCY589854:ODB589854 OMU589854:OMX589854 OWQ589854:OWT589854 PGM589854:PGP589854 PQI589854:PQL589854 QAE589854:QAH589854 QKA589854:QKD589854 QTW589854:QTZ589854 RDS589854:RDV589854 RNO589854:RNR589854 RXK589854:RXN589854 SHG589854:SHJ589854 SRC589854:SRF589854 TAY589854:TBB589854 TKU589854:TKX589854 TUQ589854:TUT589854 UEM589854:UEP589854 UOI589854:UOL589854 UYE589854:UYH589854 VIA589854:VID589854 VRW589854:VRZ589854 WBS589854:WBV589854 WLO589854:WLR589854 WVK589854:WVN589854 C655390:F655390 IY655390:JB655390 SU655390:SX655390 ACQ655390:ACT655390 AMM655390:AMP655390 AWI655390:AWL655390 BGE655390:BGH655390 BQA655390:BQD655390 BZW655390:BZZ655390 CJS655390:CJV655390 CTO655390:CTR655390 DDK655390:DDN655390 DNG655390:DNJ655390 DXC655390:DXF655390 EGY655390:EHB655390 EQU655390:EQX655390 FAQ655390:FAT655390 FKM655390:FKP655390 FUI655390:FUL655390 GEE655390:GEH655390 GOA655390:GOD655390 GXW655390:GXZ655390 HHS655390:HHV655390 HRO655390:HRR655390 IBK655390:IBN655390 ILG655390:ILJ655390 IVC655390:IVF655390 JEY655390:JFB655390 JOU655390:JOX655390 JYQ655390:JYT655390 KIM655390:KIP655390 KSI655390:KSL655390 LCE655390:LCH655390 LMA655390:LMD655390 LVW655390:LVZ655390 MFS655390:MFV655390 MPO655390:MPR655390 MZK655390:MZN655390 NJG655390:NJJ655390 NTC655390:NTF655390 OCY655390:ODB655390 OMU655390:OMX655390 OWQ655390:OWT655390 PGM655390:PGP655390 PQI655390:PQL655390 QAE655390:QAH655390 QKA655390:QKD655390 QTW655390:QTZ655390 RDS655390:RDV655390 RNO655390:RNR655390 RXK655390:RXN655390 SHG655390:SHJ655390 SRC655390:SRF655390 TAY655390:TBB655390 TKU655390:TKX655390 TUQ655390:TUT655390 UEM655390:UEP655390 UOI655390:UOL655390 UYE655390:UYH655390 VIA655390:VID655390 VRW655390:VRZ655390 WBS655390:WBV655390 WLO655390:WLR655390 WVK655390:WVN655390 C720926:F720926 IY720926:JB720926 SU720926:SX720926 ACQ720926:ACT720926 AMM720926:AMP720926 AWI720926:AWL720926 BGE720926:BGH720926 BQA720926:BQD720926 BZW720926:BZZ720926 CJS720926:CJV720926 CTO720926:CTR720926 DDK720926:DDN720926 DNG720926:DNJ720926 DXC720926:DXF720926 EGY720926:EHB720926 EQU720926:EQX720926 FAQ720926:FAT720926 FKM720926:FKP720926 FUI720926:FUL720926 GEE720926:GEH720926 GOA720926:GOD720926 GXW720926:GXZ720926 HHS720926:HHV720926 HRO720926:HRR720926 IBK720926:IBN720926 ILG720926:ILJ720926 IVC720926:IVF720926 JEY720926:JFB720926 JOU720926:JOX720926 JYQ720926:JYT720926 KIM720926:KIP720926 KSI720926:KSL720926 LCE720926:LCH720926 LMA720926:LMD720926 LVW720926:LVZ720926 MFS720926:MFV720926 MPO720926:MPR720926 MZK720926:MZN720926 NJG720926:NJJ720926 NTC720926:NTF720926 OCY720926:ODB720926 OMU720926:OMX720926 OWQ720926:OWT720926 PGM720926:PGP720926 PQI720926:PQL720926 QAE720926:QAH720926 QKA720926:QKD720926 QTW720926:QTZ720926 RDS720926:RDV720926 RNO720926:RNR720926 RXK720926:RXN720926 SHG720926:SHJ720926 SRC720926:SRF720926 TAY720926:TBB720926 TKU720926:TKX720926 TUQ720926:TUT720926 UEM720926:UEP720926 UOI720926:UOL720926 UYE720926:UYH720926 VIA720926:VID720926 VRW720926:VRZ720926 WBS720926:WBV720926 WLO720926:WLR720926 WVK720926:WVN720926 C786462:F786462 IY786462:JB786462 SU786462:SX786462 ACQ786462:ACT786462 AMM786462:AMP786462 AWI786462:AWL786462 BGE786462:BGH786462 BQA786462:BQD786462 BZW786462:BZZ786462 CJS786462:CJV786462 CTO786462:CTR786462 DDK786462:DDN786462 DNG786462:DNJ786462 DXC786462:DXF786462 EGY786462:EHB786462 EQU786462:EQX786462 FAQ786462:FAT786462 FKM786462:FKP786462 FUI786462:FUL786462 GEE786462:GEH786462 GOA786462:GOD786462 GXW786462:GXZ786462 HHS786462:HHV786462 HRO786462:HRR786462 IBK786462:IBN786462 ILG786462:ILJ786462 IVC786462:IVF786462 JEY786462:JFB786462 JOU786462:JOX786462 JYQ786462:JYT786462 KIM786462:KIP786462 KSI786462:KSL786462 LCE786462:LCH786462 LMA786462:LMD786462 LVW786462:LVZ786462 MFS786462:MFV786462 MPO786462:MPR786462 MZK786462:MZN786462 NJG786462:NJJ786462 NTC786462:NTF786462 OCY786462:ODB786462 OMU786462:OMX786462 OWQ786462:OWT786462 PGM786462:PGP786462 PQI786462:PQL786462 QAE786462:QAH786462 QKA786462:QKD786462 QTW786462:QTZ786462 RDS786462:RDV786462 RNO786462:RNR786462 RXK786462:RXN786462 SHG786462:SHJ786462 SRC786462:SRF786462 TAY786462:TBB786462 TKU786462:TKX786462 TUQ786462:TUT786462 UEM786462:UEP786462 UOI786462:UOL786462 UYE786462:UYH786462 VIA786462:VID786462 VRW786462:VRZ786462 WBS786462:WBV786462 WLO786462:WLR786462 WVK786462:WVN786462 C851998:F851998 IY851998:JB851998 SU851998:SX851998 ACQ851998:ACT851998 AMM851998:AMP851998 AWI851998:AWL851998 BGE851998:BGH851998 BQA851998:BQD851998 BZW851998:BZZ851998 CJS851998:CJV851998 CTO851998:CTR851998 DDK851998:DDN851998 DNG851998:DNJ851998 DXC851998:DXF851998 EGY851998:EHB851998 EQU851998:EQX851998 FAQ851998:FAT851998 FKM851998:FKP851998 FUI851998:FUL851998 GEE851998:GEH851998 GOA851998:GOD851998 GXW851998:GXZ851998 HHS851998:HHV851998 HRO851998:HRR851998 IBK851998:IBN851998 ILG851998:ILJ851998 IVC851998:IVF851998 JEY851998:JFB851998 JOU851998:JOX851998 JYQ851998:JYT851998 KIM851998:KIP851998 KSI851998:KSL851998 LCE851998:LCH851998 LMA851998:LMD851998 LVW851998:LVZ851998 MFS851998:MFV851998 MPO851998:MPR851998 MZK851998:MZN851998 NJG851998:NJJ851998 NTC851998:NTF851998 OCY851998:ODB851998 OMU851998:OMX851998 OWQ851998:OWT851998 PGM851998:PGP851998 PQI851998:PQL851998 QAE851998:QAH851998 QKA851998:QKD851998 QTW851998:QTZ851998 RDS851998:RDV851998 RNO851998:RNR851998 RXK851998:RXN851998 SHG851998:SHJ851998 SRC851998:SRF851998 TAY851998:TBB851998 TKU851998:TKX851998 TUQ851998:TUT851998 UEM851998:UEP851998 UOI851998:UOL851998 UYE851998:UYH851998 VIA851998:VID851998 VRW851998:VRZ851998 WBS851998:WBV851998 WLO851998:WLR851998 WVK851998:WVN851998 C917534:F917534 IY917534:JB917534 SU917534:SX917534 ACQ917534:ACT917534 AMM917534:AMP917534 AWI917534:AWL917534 BGE917534:BGH917534 BQA917534:BQD917534 BZW917534:BZZ917534 CJS917534:CJV917534 CTO917534:CTR917534 DDK917534:DDN917534 DNG917534:DNJ917534 DXC917534:DXF917534 EGY917534:EHB917534 EQU917534:EQX917534 FAQ917534:FAT917534 FKM917534:FKP917534 FUI917534:FUL917534 GEE917534:GEH917534 GOA917534:GOD917534 GXW917534:GXZ917534 HHS917534:HHV917534 HRO917534:HRR917534 IBK917534:IBN917534 ILG917534:ILJ917534 IVC917534:IVF917534 JEY917534:JFB917534 JOU917534:JOX917534 JYQ917534:JYT917534 KIM917534:KIP917534 KSI917534:KSL917534 LCE917534:LCH917534 LMA917534:LMD917534 LVW917534:LVZ917534 MFS917534:MFV917534 MPO917534:MPR917534 MZK917534:MZN917534 NJG917534:NJJ917534 NTC917534:NTF917534 OCY917534:ODB917534 OMU917534:OMX917534 OWQ917534:OWT917534 PGM917534:PGP917534 PQI917534:PQL917534 QAE917534:QAH917534 QKA917534:QKD917534 QTW917534:QTZ917534 RDS917534:RDV917534 RNO917534:RNR917534 RXK917534:RXN917534 SHG917534:SHJ917534 SRC917534:SRF917534 TAY917534:TBB917534 TKU917534:TKX917534 TUQ917534:TUT917534 UEM917534:UEP917534 UOI917534:UOL917534 UYE917534:UYH917534 VIA917534:VID917534 VRW917534:VRZ917534 WBS917534:WBV917534 WLO917534:WLR917534 WVK917534:WVN917534 C983070:F983070 IY983070:JB983070 SU983070:SX983070 ACQ983070:ACT983070 AMM983070:AMP983070 AWI983070:AWL983070 BGE983070:BGH983070 BQA983070:BQD983070 BZW983070:BZZ983070 CJS983070:CJV983070 CTO983070:CTR983070 DDK983070:DDN983070 DNG983070:DNJ983070 DXC983070:DXF983070 EGY983070:EHB983070 EQU983070:EQX983070 FAQ983070:FAT983070 FKM983070:FKP983070 FUI983070:FUL983070 GEE983070:GEH983070 GOA983070:GOD983070 GXW983070:GXZ983070 HHS983070:HHV983070 HRO983070:HRR983070 IBK983070:IBN983070 ILG983070:ILJ983070 IVC983070:IVF983070 JEY983070:JFB983070 JOU983070:JOX983070 JYQ983070:JYT983070 KIM983070:KIP983070 KSI983070:KSL983070 LCE983070:LCH983070 LMA983070:LMD983070 LVW983070:LVZ983070 MFS983070:MFV983070 MPO983070:MPR983070 MZK983070:MZN983070 NJG983070:NJJ983070 NTC983070:NTF983070 OCY983070:ODB983070 OMU983070:OMX983070 OWQ983070:OWT983070 PGM983070:PGP983070 PQI983070:PQL983070 QAE983070:QAH983070 QKA983070:QKD983070 QTW983070:QTZ983070 RDS983070:RDV983070 RNO983070:RNR983070 RXK983070:RXN983070 SHG983070:SHJ983070 SRC983070:SRF983070 TAY983070:TBB983070 TKU983070:TKX983070 TUQ983070:TUT983070 UEM983070:UEP983070 UOI983070:UOL983070 UYE983070:UYH983070 VIA983070:VID983070 VRW983070:VRZ983070 WBS983070:WBV983070 WLO983070:WLR983070 WVK983070:WVN983070 C3:F3 IY3:JB3 SU3:SX3 ACQ3:ACT3 AMM3:AMP3 AWI3:AWL3 BGE3:BGH3 BQA3:BQD3 BZW3:BZZ3 CJS3:CJV3 CTO3:CTR3 DDK3:DDN3 DNG3:DNJ3 DXC3:DXF3 EGY3:EHB3 EQU3:EQX3 FAQ3:FAT3 FKM3:FKP3 FUI3:FUL3 GEE3:GEH3 GOA3:GOD3 GXW3:GXZ3 HHS3:HHV3 HRO3:HRR3 IBK3:IBN3 ILG3:ILJ3 IVC3:IVF3 JEY3:JFB3 JOU3:JOX3 JYQ3:JYT3 KIM3:KIP3 KSI3:KSL3 LCE3:LCH3 LMA3:LMD3 LVW3:LVZ3 MFS3:MFV3 MPO3:MPR3 MZK3:MZN3 NJG3:NJJ3 NTC3:NTF3 OCY3:ODB3 OMU3:OMX3 OWQ3:OWT3 PGM3:PGP3 PQI3:PQL3 QAE3:QAH3 QKA3:QKD3 QTW3:QTZ3 RDS3:RDV3 RNO3:RNR3 RXK3:RXN3 SHG3:SHJ3 SRC3:SRF3 TAY3:TBB3 TKU3:TKX3 TUQ3:TUT3 UEM3:UEP3 UOI3:UOL3 UYE3:UYH3 VIA3:VID3 VRW3:VRZ3 WBS3:WBV3 WLO3:WLR3 WVK3:WVN3">
      <formula1>"正常申报,更正申报,补充申报"</formula1>
    </dataValidation>
    <dataValidation type="list" allowBlank="1" showInputMessage="1" showErrorMessage="1" sqref="B65584:B65588 IX65584:IX65588 ST65584:ST65588 ACP65584:ACP65588 AML65584:AML65588 AWH65584:AWH65588 BGD65584:BGD65588 BPZ65584:BPZ65588 BZV65584:BZV65588 CJR65584:CJR65588 CTN65584:CTN65588 DDJ65584:DDJ65588 DNF65584:DNF65588 DXB65584:DXB65588 EGX65584:EGX65588 EQT65584:EQT65588 FAP65584:FAP65588 FKL65584:FKL65588 FUH65584:FUH65588 GED65584:GED65588 GNZ65584:GNZ65588 GXV65584:GXV65588 HHR65584:HHR65588 HRN65584:HRN65588 IBJ65584:IBJ65588 ILF65584:ILF65588 IVB65584:IVB65588 JEX65584:JEX65588 JOT65584:JOT65588 JYP65584:JYP65588 KIL65584:KIL65588 KSH65584:KSH65588 LCD65584:LCD65588 LLZ65584:LLZ65588 LVV65584:LVV65588 MFR65584:MFR65588 MPN65584:MPN65588 MZJ65584:MZJ65588 NJF65584:NJF65588 NTB65584:NTB65588 OCX65584:OCX65588 OMT65584:OMT65588 OWP65584:OWP65588 PGL65584:PGL65588 PQH65584:PQH65588 QAD65584:QAD65588 QJZ65584:QJZ65588 QTV65584:QTV65588 RDR65584:RDR65588 RNN65584:RNN65588 RXJ65584:RXJ65588 SHF65584:SHF65588 SRB65584:SRB65588 TAX65584:TAX65588 TKT65584:TKT65588 TUP65584:TUP65588 UEL65584:UEL65588 UOH65584:UOH65588 UYD65584:UYD65588 VHZ65584:VHZ65588 VRV65584:VRV65588 WBR65584:WBR65588 WLN65584:WLN65588 WVJ65584:WVJ65588 B131120:B131124 IX131120:IX131124 ST131120:ST131124 ACP131120:ACP131124 AML131120:AML131124 AWH131120:AWH131124 BGD131120:BGD131124 BPZ131120:BPZ131124 BZV131120:BZV131124 CJR131120:CJR131124 CTN131120:CTN131124 DDJ131120:DDJ131124 DNF131120:DNF131124 DXB131120:DXB131124 EGX131120:EGX131124 EQT131120:EQT131124 FAP131120:FAP131124 FKL131120:FKL131124 FUH131120:FUH131124 GED131120:GED131124 GNZ131120:GNZ131124 GXV131120:GXV131124 HHR131120:HHR131124 HRN131120:HRN131124 IBJ131120:IBJ131124 ILF131120:ILF131124 IVB131120:IVB131124 JEX131120:JEX131124 JOT131120:JOT131124 JYP131120:JYP131124 KIL131120:KIL131124 KSH131120:KSH131124 LCD131120:LCD131124 LLZ131120:LLZ131124 LVV131120:LVV131124 MFR131120:MFR131124 MPN131120:MPN131124 MZJ131120:MZJ131124 NJF131120:NJF131124 NTB131120:NTB131124 OCX131120:OCX131124 OMT131120:OMT131124 OWP131120:OWP131124 PGL131120:PGL131124 PQH131120:PQH131124 QAD131120:QAD131124 QJZ131120:QJZ131124 QTV131120:QTV131124 RDR131120:RDR131124 RNN131120:RNN131124 RXJ131120:RXJ131124 SHF131120:SHF131124 SRB131120:SRB131124 TAX131120:TAX131124 TKT131120:TKT131124 TUP131120:TUP131124 UEL131120:UEL131124 UOH131120:UOH131124 UYD131120:UYD131124 VHZ131120:VHZ131124 VRV131120:VRV131124 WBR131120:WBR131124 WLN131120:WLN131124 WVJ131120:WVJ131124 B196656:B196660 IX196656:IX196660 ST196656:ST196660 ACP196656:ACP196660 AML196656:AML196660 AWH196656:AWH196660 BGD196656:BGD196660 BPZ196656:BPZ196660 BZV196656:BZV196660 CJR196656:CJR196660 CTN196656:CTN196660 DDJ196656:DDJ196660 DNF196656:DNF196660 DXB196656:DXB196660 EGX196656:EGX196660 EQT196656:EQT196660 FAP196656:FAP196660 FKL196656:FKL196660 FUH196656:FUH196660 GED196656:GED196660 GNZ196656:GNZ196660 GXV196656:GXV196660 HHR196656:HHR196660 HRN196656:HRN196660 IBJ196656:IBJ196660 ILF196656:ILF196660 IVB196656:IVB196660 JEX196656:JEX196660 JOT196656:JOT196660 JYP196656:JYP196660 KIL196656:KIL196660 KSH196656:KSH196660 LCD196656:LCD196660 LLZ196656:LLZ196660 LVV196656:LVV196660 MFR196656:MFR196660 MPN196656:MPN196660 MZJ196656:MZJ196660 NJF196656:NJF196660 NTB196656:NTB196660 OCX196656:OCX196660 OMT196656:OMT196660 OWP196656:OWP196660 PGL196656:PGL196660 PQH196656:PQH196660 QAD196656:QAD196660 QJZ196656:QJZ196660 QTV196656:QTV196660 RDR196656:RDR196660 RNN196656:RNN196660 RXJ196656:RXJ196660 SHF196656:SHF196660 SRB196656:SRB196660 TAX196656:TAX196660 TKT196656:TKT196660 TUP196656:TUP196660 UEL196656:UEL196660 UOH196656:UOH196660 UYD196656:UYD196660 VHZ196656:VHZ196660 VRV196656:VRV196660 WBR196656:WBR196660 WLN196656:WLN196660 WVJ196656:WVJ196660 B262192:B262196 IX262192:IX262196 ST262192:ST262196 ACP262192:ACP262196 AML262192:AML262196 AWH262192:AWH262196 BGD262192:BGD262196 BPZ262192:BPZ262196 BZV262192:BZV262196 CJR262192:CJR262196 CTN262192:CTN262196 DDJ262192:DDJ262196 DNF262192:DNF262196 DXB262192:DXB262196 EGX262192:EGX262196 EQT262192:EQT262196 FAP262192:FAP262196 FKL262192:FKL262196 FUH262192:FUH262196 GED262192:GED262196 GNZ262192:GNZ262196 GXV262192:GXV262196 HHR262192:HHR262196 HRN262192:HRN262196 IBJ262192:IBJ262196 ILF262192:ILF262196 IVB262192:IVB262196 JEX262192:JEX262196 JOT262192:JOT262196 JYP262192:JYP262196 KIL262192:KIL262196 KSH262192:KSH262196 LCD262192:LCD262196 LLZ262192:LLZ262196 LVV262192:LVV262196 MFR262192:MFR262196 MPN262192:MPN262196 MZJ262192:MZJ262196 NJF262192:NJF262196 NTB262192:NTB262196 OCX262192:OCX262196 OMT262192:OMT262196 OWP262192:OWP262196 PGL262192:PGL262196 PQH262192:PQH262196 QAD262192:QAD262196 QJZ262192:QJZ262196 QTV262192:QTV262196 RDR262192:RDR262196 RNN262192:RNN262196 RXJ262192:RXJ262196 SHF262192:SHF262196 SRB262192:SRB262196 TAX262192:TAX262196 TKT262192:TKT262196 TUP262192:TUP262196 UEL262192:UEL262196 UOH262192:UOH262196 UYD262192:UYD262196 VHZ262192:VHZ262196 VRV262192:VRV262196 WBR262192:WBR262196 WLN262192:WLN262196 WVJ262192:WVJ262196 B327728:B327732 IX327728:IX327732 ST327728:ST327732 ACP327728:ACP327732 AML327728:AML327732 AWH327728:AWH327732 BGD327728:BGD327732 BPZ327728:BPZ327732 BZV327728:BZV327732 CJR327728:CJR327732 CTN327728:CTN327732 DDJ327728:DDJ327732 DNF327728:DNF327732 DXB327728:DXB327732 EGX327728:EGX327732 EQT327728:EQT327732 FAP327728:FAP327732 FKL327728:FKL327732 FUH327728:FUH327732 GED327728:GED327732 GNZ327728:GNZ327732 GXV327728:GXV327732 HHR327728:HHR327732 HRN327728:HRN327732 IBJ327728:IBJ327732 ILF327728:ILF327732 IVB327728:IVB327732 JEX327728:JEX327732 JOT327728:JOT327732 JYP327728:JYP327732 KIL327728:KIL327732 KSH327728:KSH327732 LCD327728:LCD327732 LLZ327728:LLZ327732 LVV327728:LVV327732 MFR327728:MFR327732 MPN327728:MPN327732 MZJ327728:MZJ327732 NJF327728:NJF327732 NTB327728:NTB327732 OCX327728:OCX327732 OMT327728:OMT327732 OWP327728:OWP327732 PGL327728:PGL327732 PQH327728:PQH327732 QAD327728:QAD327732 QJZ327728:QJZ327732 QTV327728:QTV327732 RDR327728:RDR327732 RNN327728:RNN327732 RXJ327728:RXJ327732 SHF327728:SHF327732 SRB327728:SRB327732 TAX327728:TAX327732 TKT327728:TKT327732 TUP327728:TUP327732 UEL327728:UEL327732 UOH327728:UOH327732 UYD327728:UYD327732 VHZ327728:VHZ327732 VRV327728:VRV327732 WBR327728:WBR327732 WLN327728:WLN327732 WVJ327728:WVJ327732 B393264:B393268 IX393264:IX393268 ST393264:ST393268 ACP393264:ACP393268 AML393264:AML393268 AWH393264:AWH393268 BGD393264:BGD393268 BPZ393264:BPZ393268 BZV393264:BZV393268 CJR393264:CJR393268 CTN393264:CTN393268 DDJ393264:DDJ393268 DNF393264:DNF393268 DXB393264:DXB393268 EGX393264:EGX393268 EQT393264:EQT393268 FAP393264:FAP393268 FKL393264:FKL393268 FUH393264:FUH393268 GED393264:GED393268 GNZ393264:GNZ393268 GXV393264:GXV393268 HHR393264:HHR393268 HRN393264:HRN393268 IBJ393264:IBJ393268 ILF393264:ILF393268 IVB393264:IVB393268 JEX393264:JEX393268 JOT393264:JOT393268 JYP393264:JYP393268 KIL393264:KIL393268 KSH393264:KSH393268 LCD393264:LCD393268 LLZ393264:LLZ393268 LVV393264:LVV393268 MFR393264:MFR393268 MPN393264:MPN393268 MZJ393264:MZJ393268 NJF393264:NJF393268 NTB393264:NTB393268 OCX393264:OCX393268 OMT393264:OMT393268 OWP393264:OWP393268 PGL393264:PGL393268 PQH393264:PQH393268 QAD393264:QAD393268 QJZ393264:QJZ393268 QTV393264:QTV393268 RDR393264:RDR393268 RNN393264:RNN393268 RXJ393264:RXJ393268 SHF393264:SHF393268 SRB393264:SRB393268 TAX393264:TAX393268 TKT393264:TKT393268 TUP393264:TUP393268 UEL393264:UEL393268 UOH393264:UOH393268 UYD393264:UYD393268 VHZ393264:VHZ393268 VRV393264:VRV393268 WBR393264:WBR393268 WLN393264:WLN393268 WVJ393264:WVJ393268 B458800:B458804 IX458800:IX458804 ST458800:ST458804 ACP458800:ACP458804 AML458800:AML458804 AWH458800:AWH458804 BGD458800:BGD458804 BPZ458800:BPZ458804 BZV458800:BZV458804 CJR458800:CJR458804 CTN458800:CTN458804 DDJ458800:DDJ458804 DNF458800:DNF458804 DXB458800:DXB458804 EGX458800:EGX458804 EQT458800:EQT458804 FAP458800:FAP458804 FKL458800:FKL458804 FUH458800:FUH458804 GED458800:GED458804 GNZ458800:GNZ458804 GXV458800:GXV458804 HHR458800:HHR458804 HRN458800:HRN458804 IBJ458800:IBJ458804 ILF458800:ILF458804 IVB458800:IVB458804 JEX458800:JEX458804 JOT458800:JOT458804 JYP458800:JYP458804 KIL458800:KIL458804 KSH458800:KSH458804 LCD458800:LCD458804 LLZ458800:LLZ458804 LVV458800:LVV458804 MFR458800:MFR458804 MPN458800:MPN458804 MZJ458800:MZJ458804 NJF458800:NJF458804 NTB458800:NTB458804 OCX458800:OCX458804 OMT458800:OMT458804 OWP458800:OWP458804 PGL458800:PGL458804 PQH458800:PQH458804 QAD458800:QAD458804 QJZ458800:QJZ458804 QTV458800:QTV458804 RDR458800:RDR458804 RNN458800:RNN458804 RXJ458800:RXJ458804 SHF458800:SHF458804 SRB458800:SRB458804 TAX458800:TAX458804 TKT458800:TKT458804 TUP458800:TUP458804 UEL458800:UEL458804 UOH458800:UOH458804 UYD458800:UYD458804 VHZ458800:VHZ458804 VRV458800:VRV458804 WBR458800:WBR458804 WLN458800:WLN458804 WVJ458800:WVJ458804 B524336:B524340 IX524336:IX524340 ST524336:ST524340 ACP524336:ACP524340 AML524336:AML524340 AWH524336:AWH524340 BGD524336:BGD524340 BPZ524336:BPZ524340 BZV524336:BZV524340 CJR524336:CJR524340 CTN524336:CTN524340 DDJ524336:DDJ524340 DNF524336:DNF524340 DXB524336:DXB524340 EGX524336:EGX524340 EQT524336:EQT524340 FAP524336:FAP524340 FKL524336:FKL524340 FUH524336:FUH524340 GED524336:GED524340 GNZ524336:GNZ524340 GXV524336:GXV524340 HHR524336:HHR524340 HRN524336:HRN524340 IBJ524336:IBJ524340 ILF524336:ILF524340 IVB524336:IVB524340 JEX524336:JEX524340 JOT524336:JOT524340 JYP524336:JYP524340 KIL524336:KIL524340 KSH524336:KSH524340 LCD524336:LCD524340 LLZ524336:LLZ524340 LVV524336:LVV524340 MFR524336:MFR524340 MPN524336:MPN524340 MZJ524336:MZJ524340 NJF524336:NJF524340 NTB524336:NTB524340 OCX524336:OCX524340 OMT524336:OMT524340 OWP524336:OWP524340 PGL524336:PGL524340 PQH524336:PQH524340 QAD524336:QAD524340 QJZ524336:QJZ524340 QTV524336:QTV524340 RDR524336:RDR524340 RNN524336:RNN524340 RXJ524336:RXJ524340 SHF524336:SHF524340 SRB524336:SRB524340 TAX524336:TAX524340 TKT524336:TKT524340 TUP524336:TUP524340 UEL524336:UEL524340 UOH524336:UOH524340 UYD524336:UYD524340 VHZ524336:VHZ524340 VRV524336:VRV524340 WBR524336:WBR524340 WLN524336:WLN524340 WVJ524336:WVJ524340 B589872:B589876 IX589872:IX589876 ST589872:ST589876 ACP589872:ACP589876 AML589872:AML589876 AWH589872:AWH589876 BGD589872:BGD589876 BPZ589872:BPZ589876 BZV589872:BZV589876 CJR589872:CJR589876 CTN589872:CTN589876 DDJ589872:DDJ589876 DNF589872:DNF589876 DXB589872:DXB589876 EGX589872:EGX589876 EQT589872:EQT589876 FAP589872:FAP589876 FKL589872:FKL589876 FUH589872:FUH589876 GED589872:GED589876 GNZ589872:GNZ589876 GXV589872:GXV589876 HHR589872:HHR589876 HRN589872:HRN589876 IBJ589872:IBJ589876 ILF589872:ILF589876 IVB589872:IVB589876 JEX589872:JEX589876 JOT589872:JOT589876 JYP589872:JYP589876 KIL589872:KIL589876 KSH589872:KSH589876 LCD589872:LCD589876 LLZ589872:LLZ589876 LVV589872:LVV589876 MFR589872:MFR589876 MPN589872:MPN589876 MZJ589872:MZJ589876 NJF589872:NJF589876 NTB589872:NTB589876 OCX589872:OCX589876 OMT589872:OMT589876 OWP589872:OWP589876 PGL589872:PGL589876 PQH589872:PQH589876 QAD589872:QAD589876 QJZ589872:QJZ589876 QTV589872:QTV589876 RDR589872:RDR589876 RNN589872:RNN589876 RXJ589872:RXJ589876 SHF589872:SHF589876 SRB589872:SRB589876 TAX589872:TAX589876 TKT589872:TKT589876 TUP589872:TUP589876 UEL589872:UEL589876 UOH589872:UOH589876 UYD589872:UYD589876 VHZ589872:VHZ589876 VRV589872:VRV589876 WBR589872:WBR589876 WLN589872:WLN589876 WVJ589872:WVJ589876 B655408:B655412 IX655408:IX655412 ST655408:ST655412 ACP655408:ACP655412 AML655408:AML655412 AWH655408:AWH655412 BGD655408:BGD655412 BPZ655408:BPZ655412 BZV655408:BZV655412 CJR655408:CJR655412 CTN655408:CTN655412 DDJ655408:DDJ655412 DNF655408:DNF655412 DXB655408:DXB655412 EGX655408:EGX655412 EQT655408:EQT655412 FAP655408:FAP655412 FKL655408:FKL655412 FUH655408:FUH655412 GED655408:GED655412 GNZ655408:GNZ655412 GXV655408:GXV655412 HHR655408:HHR655412 HRN655408:HRN655412 IBJ655408:IBJ655412 ILF655408:ILF655412 IVB655408:IVB655412 JEX655408:JEX655412 JOT655408:JOT655412 JYP655408:JYP655412 KIL655408:KIL655412 KSH655408:KSH655412 LCD655408:LCD655412 LLZ655408:LLZ655412 LVV655408:LVV655412 MFR655408:MFR655412 MPN655408:MPN655412 MZJ655408:MZJ655412 NJF655408:NJF655412 NTB655408:NTB655412 OCX655408:OCX655412 OMT655408:OMT655412 OWP655408:OWP655412 PGL655408:PGL655412 PQH655408:PQH655412 QAD655408:QAD655412 QJZ655408:QJZ655412 QTV655408:QTV655412 RDR655408:RDR655412 RNN655408:RNN655412 RXJ655408:RXJ655412 SHF655408:SHF655412 SRB655408:SRB655412 TAX655408:TAX655412 TKT655408:TKT655412 TUP655408:TUP655412 UEL655408:UEL655412 UOH655408:UOH655412 UYD655408:UYD655412 VHZ655408:VHZ655412 VRV655408:VRV655412 WBR655408:WBR655412 WLN655408:WLN655412 WVJ655408:WVJ655412 B720944:B720948 IX720944:IX720948 ST720944:ST720948 ACP720944:ACP720948 AML720944:AML720948 AWH720944:AWH720948 BGD720944:BGD720948 BPZ720944:BPZ720948 BZV720944:BZV720948 CJR720944:CJR720948 CTN720944:CTN720948 DDJ720944:DDJ720948 DNF720944:DNF720948 DXB720944:DXB720948 EGX720944:EGX720948 EQT720944:EQT720948 FAP720944:FAP720948 FKL720944:FKL720948 FUH720944:FUH720948 GED720944:GED720948 GNZ720944:GNZ720948 GXV720944:GXV720948 HHR720944:HHR720948 HRN720944:HRN720948 IBJ720944:IBJ720948 ILF720944:ILF720948 IVB720944:IVB720948 JEX720944:JEX720948 JOT720944:JOT720948 JYP720944:JYP720948 KIL720944:KIL720948 KSH720944:KSH720948 LCD720944:LCD720948 LLZ720944:LLZ720948 LVV720944:LVV720948 MFR720944:MFR720948 MPN720944:MPN720948 MZJ720944:MZJ720948 NJF720944:NJF720948 NTB720944:NTB720948 OCX720944:OCX720948 OMT720944:OMT720948 OWP720944:OWP720948 PGL720944:PGL720948 PQH720944:PQH720948 QAD720944:QAD720948 QJZ720944:QJZ720948 QTV720944:QTV720948 RDR720944:RDR720948 RNN720944:RNN720948 RXJ720944:RXJ720948 SHF720944:SHF720948 SRB720944:SRB720948 TAX720944:TAX720948 TKT720944:TKT720948 TUP720944:TUP720948 UEL720944:UEL720948 UOH720944:UOH720948 UYD720944:UYD720948 VHZ720944:VHZ720948 VRV720944:VRV720948 WBR720944:WBR720948 WLN720944:WLN720948 WVJ720944:WVJ720948 B786480:B786484 IX786480:IX786484 ST786480:ST786484 ACP786480:ACP786484 AML786480:AML786484 AWH786480:AWH786484 BGD786480:BGD786484 BPZ786480:BPZ786484 BZV786480:BZV786484 CJR786480:CJR786484 CTN786480:CTN786484 DDJ786480:DDJ786484 DNF786480:DNF786484 DXB786480:DXB786484 EGX786480:EGX786484 EQT786480:EQT786484 FAP786480:FAP786484 FKL786480:FKL786484 FUH786480:FUH786484 GED786480:GED786484 GNZ786480:GNZ786484 GXV786480:GXV786484 HHR786480:HHR786484 HRN786480:HRN786484 IBJ786480:IBJ786484 ILF786480:ILF786484 IVB786480:IVB786484 JEX786480:JEX786484 JOT786480:JOT786484 JYP786480:JYP786484 KIL786480:KIL786484 KSH786480:KSH786484 LCD786480:LCD786484 LLZ786480:LLZ786484 LVV786480:LVV786484 MFR786480:MFR786484 MPN786480:MPN786484 MZJ786480:MZJ786484 NJF786480:NJF786484 NTB786480:NTB786484 OCX786480:OCX786484 OMT786480:OMT786484 OWP786480:OWP786484 PGL786480:PGL786484 PQH786480:PQH786484 QAD786480:QAD786484 QJZ786480:QJZ786484 QTV786480:QTV786484 RDR786480:RDR786484 RNN786480:RNN786484 RXJ786480:RXJ786484 SHF786480:SHF786484 SRB786480:SRB786484 TAX786480:TAX786484 TKT786480:TKT786484 TUP786480:TUP786484 UEL786480:UEL786484 UOH786480:UOH786484 UYD786480:UYD786484 VHZ786480:VHZ786484 VRV786480:VRV786484 WBR786480:WBR786484 WLN786480:WLN786484 WVJ786480:WVJ786484 B852016:B852020 IX852016:IX852020 ST852016:ST852020 ACP852016:ACP852020 AML852016:AML852020 AWH852016:AWH852020 BGD852016:BGD852020 BPZ852016:BPZ852020 BZV852016:BZV852020 CJR852016:CJR852020 CTN852016:CTN852020 DDJ852016:DDJ852020 DNF852016:DNF852020 DXB852016:DXB852020 EGX852016:EGX852020 EQT852016:EQT852020 FAP852016:FAP852020 FKL852016:FKL852020 FUH852016:FUH852020 GED852016:GED852020 GNZ852016:GNZ852020 GXV852016:GXV852020 HHR852016:HHR852020 HRN852016:HRN852020 IBJ852016:IBJ852020 ILF852016:ILF852020 IVB852016:IVB852020 JEX852016:JEX852020 JOT852016:JOT852020 JYP852016:JYP852020 KIL852016:KIL852020 KSH852016:KSH852020 LCD852016:LCD852020 LLZ852016:LLZ852020 LVV852016:LVV852020 MFR852016:MFR852020 MPN852016:MPN852020 MZJ852016:MZJ852020 NJF852016:NJF852020 NTB852016:NTB852020 OCX852016:OCX852020 OMT852016:OMT852020 OWP852016:OWP852020 PGL852016:PGL852020 PQH852016:PQH852020 QAD852016:QAD852020 QJZ852016:QJZ852020 QTV852016:QTV852020 RDR852016:RDR852020 RNN852016:RNN852020 RXJ852016:RXJ852020 SHF852016:SHF852020 SRB852016:SRB852020 TAX852016:TAX852020 TKT852016:TKT852020 TUP852016:TUP852020 UEL852016:UEL852020 UOH852016:UOH852020 UYD852016:UYD852020 VHZ852016:VHZ852020 VRV852016:VRV852020 WBR852016:WBR852020 WLN852016:WLN852020 WVJ852016:WVJ852020 B917552:B917556 IX917552:IX917556 ST917552:ST917556 ACP917552:ACP917556 AML917552:AML917556 AWH917552:AWH917556 BGD917552:BGD917556 BPZ917552:BPZ917556 BZV917552:BZV917556 CJR917552:CJR917556 CTN917552:CTN917556 DDJ917552:DDJ917556 DNF917552:DNF917556 DXB917552:DXB917556 EGX917552:EGX917556 EQT917552:EQT917556 FAP917552:FAP917556 FKL917552:FKL917556 FUH917552:FUH917556 GED917552:GED917556 GNZ917552:GNZ917556 GXV917552:GXV917556 HHR917552:HHR917556 HRN917552:HRN917556 IBJ917552:IBJ917556 ILF917552:ILF917556 IVB917552:IVB917556 JEX917552:JEX917556 JOT917552:JOT917556 JYP917552:JYP917556 KIL917552:KIL917556 KSH917552:KSH917556 LCD917552:LCD917556 LLZ917552:LLZ917556 LVV917552:LVV917556 MFR917552:MFR917556 MPN917552:MPN917556 MZJ917552:MZJ917556 NJF917552:NJF917556 NTB917552:NTB917556 OCX917552:OCX917556 OMT917552:OMT917556 OWP917552:OWP917556 PGL917552:PGL917556 PQH917552:PQH917556 QAD917552:QAD917556 QJZ917552:QJZ917556 QTV917552:QTV917556 RDR917552:RDR917556 RNN917552:RNN917556 RXJ917552:RXJ917556 SHF917552:SHF917556 SRB917552:SRB917556 TAX917552:TAX917556 TKT917552:TKT917556 TUP917552:TUP917556 UEL917552:UEL917556 UOH917552:UOH917556 UYD917552:UYD917556 VHZ917552:VHZ917556 VRV917552:VRV917556 WBR917552:WBR917556 WLN917552:WLN917556 WVJ917552:WVJ917556 B983088:B983092 IX983088:IX983092 ST983088:ST983092 ACP983088:ACP983092 AML983088:AML983092 AWH983088:AWH983092 BGD983088:BGD983092 BPZ983088:BPZ983092 BZV983088:BZV983092 CJR983088:CJR983092 CTN983088:CTN983092 DDJ983088:DDJ983092 DNF983088:DNF983092 DXB983088:DXB983092 EGX983088:EGX983092 EQT983088:EQT983092 FAP983088:FAP983092 FKL983088:FKL983092 FUH983088:FUH983092 GED983088:GED983092 GNZ983088:GNZ983092 GXV983088:GXV983092 HHR983088:HHR983092 HRN983088:HRN983092 IBJ983088:IBJ983092 ILF983088:ILF983092 IVB983088:IVB983092 JEX983088:JEX983092 JOT983088:JOT983092 JYP983088:JYP983092 KIL983088:KIL983092 KSH983088:KSH983092 LCD983088:LCD983092 LLZ983088:LLZ983092 LVV983088:LVV983092 MFR983088:MFR983092 MPN983088:MPN983092 MZJ983088:MZJ983092 NJF983088:NJF983092 NTB983088:NTB983092 OCX983088:OCX983092 OMT983088:OMT983092 OWP983088:OWP983092 PGL983088:PGL983092 PQH983088:PQH983092 QAD983088:QAD983092 QJZ983088:QJZ983092 QTV983088:QTV983092 RDR983088:RDR983092 RNN983088:RNN983092 RXJ983088:RXJ983092 SHF983088:SHF983092 SRB983088:SRB983092 TAX983088:TAX983092 TKT983088:TKT983092 TUP983088:TUP983092 UEL983088:UEL983092 UOH983088:UOH983092 UYD983088:UYD983092 VHZ983088:VHZ983092 VRV983088:VRV983092 WBR983088:WBR983092 WLN983088:WLN983092 WVJ983088:WVJ983092 B21:B25 IX21:IX25 ST21:ST25 ACP21:ACP25 AML21:AML25 AWH21:AWH25 BGD21:BGD25 BPZ21:BPZ25 BZV21:BZV25 CJR21:CJR25 CTN21:CTN25 DDJ21:DDJ25 DNF21:DNF25 DXB21:DXB25 EGX21:EGX25 EQT21:EQT25 FAP21:FAP25 FKL21:FKL25 FUH21:FUH25 GED21:GED25 GNZ21:GNZ25 GXV21:GXV25 HHR21:HHR25 HRN21:HRN25 IBJ21:IBJ25 ILF21:ILF25 IVB21:IVB25 JEX21:JEX25 JOT21:JOT25 JYP21:JYP25 KIL21:KIL25 KSH21:KSH25 LCD21:LCD25 LLZ21:LLZ25 LVV21:LVV25 MFR21:MFR25 MPN21:MPN25 MZJ21:MZJ25 NJF21:NJF25 NTB21:NTB25 OCX21:OCX25 OMT21:OMT25 OWP21:OWP25 PGL21:PGL25 PQH21:PQH25 QAD21:QAD25 QJZ21:QJZ25 QTV21:QTV25 RDR21:RDR25 RNN21:RNN25 RXJ21:RXJ25 SHF21:SHF25 SRB21:SRB25 TAX21:TAX25 TKT21:TKT25 TUP21:TUP25 UEL21:UEL25 UOH21:UOH25 UYD21:UYD25 VHZ21:VHZ25 VRV21:VRV25 WBR21:WBR25 WLN21:WLN25 WVJ21:WVJ25">
      <formula1>"身份证,护照,军官证,港澳台通行证,税务登记证,其他证件"</formula1>
    </dataValidation>
    <dataValidation type="list" allowBlank="1" showInputMessage="1" showErrorMessage="1" sqref="E9:F9">
      <formula1>"境内上市,境外上市,否"</formula1>
    </dataValidation>
  </dataValidations>
  <printOptions horizontalCentered="1"/>
  <pageMargins left="0.78740157480314998" right="0.35433070866141703" top="0.511811023622047" bottom="0.11811023622047198" header="0.511811023622047" footer="0.511811023622047"/>
  <pageSetup paperSize="9" scale="80" fitToHeight="0"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pageSetUpPr fitToPage="1"/>
  </sheetPr>
  <dimension ref="A1:E41"/>
  <sheetViews>
    <sheetView workbookViewId="0">
      <selection activeCell="F5" sqref="F5"/>
    </sheetView>
  </sheetViews>
  <sheetFormatPr defaultColWidth="20.3984375" defaultRowHeight="22.2"/>
  <cols>
    <col min="1" max="1" width="4.19921875" style="1528" customWidth="1"/>
    <col min="2" max="2" width="5.09765625" style="1531" customWidth="1"/>
    <col min="3" max="3" width="47.09765625" style="1528" customWidth="1"/>
    <col min="4" max="4" width="16.5" style="1528" customWidth="1"/>
    <col min="5" max="5" width="24.3984375" style="1528" customWidth="1"/>
    <col min="6" max="256" width="20.3984375" style="1528"/>
    <col min="257" max="257" width="4.19921875" style="1528" customWidth="1"/>
    <col min="258" max="258" width="5.09765625" style="1528" customWidth="1"/>
    <col min="259" max="259" width="47.09765625" style="1528" customWidth="1"/>
    <col min="260" max="260" width="10.5" style="1528" customWidth="1"/>
    <col min="261" max="261" width="24.3984375" style="1528" customWidth="1"/>
    <col min="262" max="512" width="20.3984375" style="1528"/>
    <col min="513" max="513" width="4.19921875" style="1528" customWidth="1"/>
    <col min="514" max="514" width="5.09765625" style="1528" customWidth="1"/>
    <col min="515" max="515" width="47.09765625" style="1528" customWidth="1"/>
    <col min="516" max="516" width="10.5" style="1528" customWidth="1"/>
    <col min="517" max="517" width="24.3984375" style="1528" customWidth="1"/>
    <col min="518" max="768" width="20.3984375" style="1528"/>
    <col min="769" max="769" width="4.19921875" style="1528" customWidth="1"/>
    <col min="770" max="770" width="5.09765625" style="1528" customWidth="1"/>
    <col min="771" max="771" width="47.09765625" style="1528" customWidth="1"/>
    <col min="772" max="772" width="10.5" style="1528" customWidth="1"/>
    <col min="773" max="773" width="24.3984375" style="1528" customWidth="1"/>
    <col min="774" max="1024" width="20.3984375" style="1528"/>
    <col min="1025" max="1025" width="4.19921875" style="1528" customWidth="1"/>
    <col min="1026" max="1026" width="5.09765625" style="1528" customWidth="1"/>
    <col min="1027" max="1027" width="47.09765625" style="1528" customWidth="1"/>
    <col min="1028" max="1028" width="10.5" style="1528" customWidth="1"/>
    <col min="1029" max="1029" width="24.3984375" style="1528" customWidth="1"/>
    <col min="1030" max="1280" width="20.3984375" style="1528"/>
    <col min="1281" max="1281" width="4.19921875" style="1528" customWidth="1"/>
    <col min="1282" max="1282" width="5.09765625" style="1528" customWidth="1"/>
    <col min="1283" max="1283" width="47.09765625" style="1528" customWidth="1"/>
    <col min="1284" max="1284" width="10.5" style="1528" customWidth="1"/>
    <col min="1285" max="1285" width="24.3984375" style="1528" customWidth="1"/>
    <col min="1286" max="1536" width="20.3984375" style="1528"/>
    <col min="1537" max="1537" width="4.19921875" style="1528" customWidth="1"/>
    <col min="1538" max="1538" width="5.09765625" style="1528" customWidth="1"/>
    <col min="1539" max="1539" width="47.09765625" style="1528" customWidth="1"/>
    <col min="1540" max="1540" width="10.5" style="1528" customWidth="1"/>
    <col min="1541" max="1541" width="24.3984375" style="1528" customWidth="1"/>
    <col min="1542" max="1792" width="20.3984375" style="1528"/>
    <col min="1793" max="1793" width="4.19921875" style="1528" customWidth="1"/>
    <col min="1794" max="1794" width="5.09765625" style="1528" customWidth="1"/>
    <col min="1795" max="1795" width="47.09765625" style="1528" customWidth="1"/>
    <col min="1796" max="1796" width="10.5" style="1528" customWidth="1"/>
    <col min="1797" max="1797" width="24.3984375" style="1528" customWidth="1"/>
    <col min="1798" max="2048" width="20.3984375" style="1528"/>
    <col min="2049" max="2049" width="4.19921875" style="1528" customWidth="1"/>
    <col min="2050" max="2050" width="5.09765625" style="1528" customWidth="1"/>
    <col min="2051" max="2051" width="47.09765625" style="1528" customWidth="1"/>
    <col min="2052" max="2052" width="10.5" style="1528" customWidth="1"/>
    <col min="2053" max="2053" width="24.3984375" style="1528" customWidth="1"/>
    <col min="2054" max="2304" width="20.3984375" style="1528"/>
    <col min="2305" max="2305" width="4.19921875" style="1528" customWidth="1"/>
    <col min="2306" max="2306" width="5.09765625" style="1528" customWidth="1"/>
    <col min="2307" max="2307" width="47.09765625" style="1528" customWidth="1"/>
    <col min="2308" max="2308" width="10.5" style="1528" customWidth="1"/>
    <col min="2309" max="2309" width="24.3984375" style="1528" customWidth="1"/>
    <col min="2310" max="2560" width="20.3984375" style="1528"/>
    <col min="2561" max="2561" width="4.19921875" style="1528" customWidth="1"/>
    <col min="2562" max="2562" width="5.09765625" style="1528" customWidth="1"/>
    <col min="2563" max="2563" width="47.09765625" style="1528" customWidth="1"/>
    <col min="2564" max="2564" width="10.5" style="1528" customWidth="1"/>
    <col min="2565" max="2565" width="24.3984375" style="1528" customWidth="1"/>
    <col min="2566" max="2816" width="20.3984375" style="1528"/>
    <col min="2817" max="2817" width="4.19921875" style="1528" customWidth="1"/>
    <col min="2818" max="2818" width="5.09765625" style="1528" customWidth="1"/>
    <col min="2819" max="2819" width="47.09765625" style="1528" customWidth="1"/>
    <col min="2820" max="2820" width="10.5" style="1528" customWidth="1"/>
    <col min="2821" max="2821" width="24.3984375" style="1528" customWidth="1"/>
    <col min="2822" max="3072" width="20.3984375" style="1528"/>
    <col min="3073" max="3073" width="4.19921875" style="1528" customWidth="1"/>
    <col min="3074" max="3074" width="5.09765625" style="1528" customWidth="1"/>
    <col min="3075" max="3075" width="47.09765625" style="1528" customWidth="1"/>
    <col min="3076" max="3076" width="10.5" style="1528" customWidth="1"/>
    <col min="3077" max="3077" width="24.3984375" style="1528" customWidth="1"/>
    <col min="3078" max="3328" width="20.3984375" style="1528"/>
    <col min="3329" max="3329" width="4.19921875" style="1528" customWidth="1"/>
    <col min="3330" max="3330" width="5.09765625" style="1528" customWidth="1"/>
    <col min="3331" max="3331" width="47.09765625" style="1528" customWidth="1"/>
    <col min="3332" max="3332" width="10.5" style="1528" customWidth="1"/>
    <col min="3333" max="3333" width="24.3984375" style="1528" customWidth="1"/>
    <col min="3334" max="3584" width="20.3984375" style="1528"/>
    <col min="3585" max="3585" width="4.19921875" style="1528" customWidth="1"/>
    <col min="3586" max="3586" width="5.09765625" style="1528" customWidth="1"/>
    <col min="3587" max="3587" width="47.09765625" style="1528" customWidth="1"/>
    <col min="3588" max="3588" width="10.5" style="1528" customWidth="1"/>
    <col min="3589" max="3589" width="24.3984375" style="1528" customWidth="1"/>
    <col min="3590" max="3840" width="20.3984375" style="1528"/>
    <col min="3841" max="3841" width="4.19921875" style="1528" customWidth="1"/>
    <col min="3842" max="3842" width="5.09765625" style="1528" customWidth="1"/>
    <col min="3843" max="3843" width="47.09765625" style="1528" customWidth="1"/>
    <col min="3844" max="3844" width="10.5" style="1528" customWidth="1"/>
    <col min="3845" max="3845" width="24.3984375" style="1528" customWidth="1"/>
    <col min="3846" max="4096" width="20.3984375" style="1528"/>
    <col min="4097" max="4097" width="4.19921875" style="1528" customWidth="1"/>
    <col min="4098" max="4098" width="5.09765625" style="1528" customWidth="1"/>
    <col min="4099" max="4099" width="47.09765625" style="1528" customWidth="1"/>
    <col min="4100" max="4100" width="10.5" style="1528" customWidth="1"/>
    <col min="4101" max="4101" width="24.3984375" style="1528" customWidth="1"/>
    <col min="4102" max="4352" width="20.3984375" style="1528"/>
    <col min="4353" max="4353" width="4.19921875" style="1528" customWidth="1"/>
    <col min="4354" max="4354" width="5.09765625" style="1528" customWidth="1"/>
    <col min="4355" max="4355" width="47.09765625" style="1528" customWidth="1"/>
    <col min="4356" max="4356" width="10.5" style="1528" customWidth="1"/>
    <col min="4357" max="4357" width="24.3984375" style="1528" customWidth="1"/>
    <col min="4358" max="4608" width="20.3984375" style="1528"/>
    <col min="4609" max="4609" width="4.19921875" style="1528" customWidth="1"/>
    <col min="4610" max="4610" width="5.09765625" style="1528" customWidth="1"/>
    <col min="4611" max="4611" width="47.09765625" style="1528" customWidth="1"/>
    <col min="4612" max="4612" width="10.5" style="1528" customWidth="1"/>
    <col min="4613" max="4613" width="24.3984375" style="1528" customWidth="1"/>
    <col min="4614" max="4864" width="20.3984375" style="1528"/>
    <col min="4865" max="4865" width="4.19921875" style="1528" customWidth="1"/>
    <col min="4866" max="4866" width="5.09765625" style="1528" customWidth="1"/>
    <col min="4867" max="4867" width="47.09765625" style="1528" customWidth="1"/>
    <col min="4868" max="4868" width="10.5" style="1528" customWidth="1"/>
    <col min="4869" max="4869" width="24.3984375" style="1528" customWidth="1"/>
    <col min="4870" max="5120" width="20.3984375" style="1528"/>
    <col min="5121" max="5121" width="4.19921875" style="1528" customWidth="1"/>
    <col min="5122" max="5122" width="5.09765625" style="1528" customWidth="1"/>
    <col min="5123" max="5123" width="47.09765625" style="1528" customWidth="1"/>
    <col min="5124" max="5124" width="10.5" style="1528" customWidth="1"/>
    <col min="5125" max="5125" width="24.3984375" style="1528" customWidth="1"/>
    <col min="5126" max="5376" width="20.3984375" style="1528"/>
    <col min="5377" max="5377" width="4.19921875" style="1528" customWidth="1"/>
    <col min="5378" max="5378" width="5.09765625" style="1528" customWidth="1"/>
    <col min="5379" max="5379" width="47.09765625" style="1528" customWidth="1"/>
    <col min="5380" max="5380" width="10.5" style="1528" customWidth="1"/>
    <col min="5381" max="5381" width="24.3984375" style="1528" customWidth="1"/>
    <col min="5382" max="5632" width="20.3984375" style="1528"/>
    <col min="5633" max="5633" width="4.19921875" style="1528" customWidth="1"/>
    <col min="5634" max="5634" width="5.09765625" style="1528" customWidth="1"/>
    <col min="5635" max="5635" width="47.09765625" style="1528" customWidth="1"/>
    <col min="5636" max="5636" width="10.5" style="1528" customWidth="1"/>
    <col min="5637" max="5637" width="24.3984375" style="1528" customWidth="1"/>
    <col min="5638" max="5888" width="20.3984375" style="1528"/>
    <col min="5889" max="5889" width="4.19921875" style="1528" customWidth="1"/>
    <col min="5890" max="5890" width="5.09765625" style="1528" customWidth="1"/>
    <col min="5891" max="5891" width="47.09765625" style="1528" customWidth="1"/>
    <col min="5892" max="5892" width="10.5" style="1528" customWidth="1"/>
    <col min="5893" max="5893" width="24.3984375" style="1528" customWidth="1"/>
    <col min="5894" max="6144" width="20.3984375" style="1528"/>
    <col min="6145" max="6145" width="4.19921875" style="1528" customWidth="1"/>
    <col min="6146" max="6146" width="5.09765625" style="1528" customWidth="1"/>
    <col min="6147" max="6147" width="47.09765625" style="1528" customWidth="1"/>
    <col min="6148" max="6148" width="10.5" style="1528" customWidth="1"/>
    <col min="6149" max="6149" width="24.3984375" style="1528" customWidth="1"/>
    <col min="6150" max="6400" width="20.3984375" style="1528"/>
    <col min="6401" max="6401" width="4.19921875" style="1528" customWidth="1"/>
    <col min="6402" max="6402" width="5.09765625" style="1528" customWidth="1"/>
    <col min="6403" max="6403" width="47.09765625" style="1528" customWidth="1"/>
    <col min="6404" max="6404" width="10.5" style="1528" customWidth="1"/>
    <col min="6405" max="6405" width="24.3984375" style="1528" customWidth="1"/>
    <col min="6406" max="6656" width="20.3984375" style="1528"/>
    <col min="6657" max="6657" width="4.19921875" style="1528" customWidth="1"/>
    <col min="6658" max="6658" width="5.09765625" style="1528" customWidth="1"/>
    <col min="6659" max="6659" width="47.09765625" style="1528" customWidth="1"/>
    <col min="6660" max="6660" width="10.5" style="1528" customWidth="1"/>
    <col min="6661" max="6661" width="24.3984375" style="1528" customWidth="1"/>
    <col min="6662" max="6912" width="20.3984375" style="1528"/>
    <col min="6913" max="6913" width="4.19921875" style="1528" customWidth="1"/>
    <col min="6914" max="6914" width="5.09765625" style="1528" customWidth="1"/>
    <col min="6915" max="6915" width="47.09765625" style="1528" customWidth="1"/>
    <col min="6916" max="6916" width="10.5" style="1528" customWidth="1"/>
    <col min="6917" max="6917" width="24.3984375" style="1528" customWidth="1"/>
    <col min="6918" max="7168" width="20.3984375" style="1528"/>
    <col min="7169" max="7169" width="4.19921875" style="1528" customWidth="1"/>
    <col min="7170" max="7170" width="5.09765625" style="1528" customWidth="1"/>
    <col min="7171" max="7171" width="47.09765625" style="1528" customWidth="1"/>
    <col min="7172" max="7172" width="10.5" style="1528" customWidth="1"/>
    <col min="7173" max="7173" width="24.3984375" style="1528" customWidth="1"/>
    <col min="7174" max="7424" width="20.3984375" style="1528"/>
    <col min="7425" max="7425" width="4.19921875" style="1528" customWidth="1"/>
    <col min="7426" max="7426" width="5.09765625" style="1528" customWidth="1"/>
    <col min="7427" max="7427" width="47.09765625" style="1528" customWidth="1"/>
    <col min="7428" max="7428" width="10.5" style="1528" customWidth="1"/>
    <col min="7429" max="7429" width="24.3984375" style="1528" customWidth="1"/>
    <col min="7430" max="7680" width="20.3984375" style="1528"/>
    <col min="7681" max="7681" width="4.19921875" style="1528" customWidth="1"/>
    <col min="7682" max="7682" width="5.09765625" style="1528" customWidth="1"/>
    <col min="7683" max="7683" width="47.09765625" style="1528" customWidth="1"/>
    <col min="7684" max="7684" width="10.5" style="1528" customWidth="1"/>
    <col min="7685" max="7685" width="24.3984375" style="1528" customWidth="1"/>
    <col min="7686" max="7936" width="20.3984375" style="1528"/>
    <col min="7937" max="7937" width="4.19921875" style="1528" customWidth="1"/>
    <col min="7938" max="7938" width="5.09765625" style="1528" customWidth="1"/>
    <col min="7939" max="7939" width="47.09765625" style="1528" customWidth="1"/>
    <col min="7940" max="7940" width="10.5" style="1528" customWidth="1"/>
    <col min="7941" max="7941" width="24.3984375" style="1528" customWidth="1"/>
    <col min="7942" max="8192" width="20.3984375" style="1528"/>
    <col min="8193" max="8193" width="4.19921875" style="1528" customWidth="1"/>
    <col min="8194" max="8194" width="5.09765625" style="1528" customWidth="1"/>
    <col min="8195" max="8195" width="47.09765625" style="1528" customWidth="1"/>
    <col min="8196" max="8196" width="10.5" style="1528" customWidth="1"/>
    <col min="8197" max="8197" width="24.3984375" style="1528" customWidth="1"/>
    <col min="8198" max="8448" width="20.3984375" style="1528"/>
    <col min="8449" max="8449" width="4.19921875" style="1528" customWidth="1"/>
    <col min="8450" max="8450" width="5.09765625" style="1528" customWidth="1"/>
    <col min="8451" max="8451" width="47.09765625" style="1528" customWidth="1"/>
    <col min="8452" max="8452" width="10.5" style="1528" customWidth="1"/>
    <col min="8453" max="8453" width="24.3984375" style="1528" customWidth="1"/>
    <col min="8454" max="8704" width="20.3984375" style="1528"/>
    <col min="8705" max="8705" width="4.19921875" style="1528" customWidth="1"/>
    <col min="8706" max="8706" width="5.09765625" style="1528" customWidth="1"/>
    <col min="8707" max="8707" width="47.09765625" style="1528" customWidth="1"/>
    <col min="8708" max="8708" width="10.5" style="1528" customWidth="1"/>
    <col min="8709" max="8709" width="24.3984375" style="1528" customWidth="1"/>
    <col min="8710" max="8960" width="20.3984375" style="1528"/>
    <col min="8961" max="8961" width="4.19921875" style="1528" customWidth="1"/>
    <col min="8962" max="8962" width="5.09765625" style="1528" customWidth="1"/>
    <col min="8963" max="8963" width="47.09765625" style="1528" customWidth="1"/>
    <col min="8964" max="8964" width="10.5" style="1528" customWidth="1"/>
    <col min="8965" max="8965" width="24.3984375" style="1528" customWidth="1"/>
    <col min="8966" max="9216" width="20.3984375" style="1528"/>
    <col min="9217" max="9217" width="4.19921875" style="1528" customWidth="1"/>
    <col min="9218" max="9218" width="5.09765625" style="1528" customWidth="1"/>
    <col min="9219" max="9219" width="47.09765625" style="1528" customWidth="1"/>
    <col min="9220" max="9220" width="10.5" style="1528" customWidth="1"/>
    <col min="9221" max="9221" width="24.3984375" style="1528" customWidth="1"/>
    <col min="9222" max="9472" width="20.3984375" style="1528"/>
    <col min="9473" max="9473" width="4.19921875" style="1528" customWidth="1"/>
    <col min="9474" max="9474" width="5.09765625" style="1528" customWidth="1"/>
    <col min="9475" max="9475" width="47.09765625" style="1528" customWidth="1"/>
    <col min="9476" max="9476" width="10.5" style="1528" customWidth="1"/>
    <col min="9477" max="9477" width="24.3984375" style="1528" customWidth="1"/>
    <col min="9478" max="9728" width="20.3984375" style="1528"/>
    <col min="9729" max="9729" width="4.19921875" style="1528" customWidth="1"/>
    <col min="9730" max="9730" width="5.09765625" style="1528" customWidth="1"/>
    <col min="9731" max="9731" width="47.09765625" style="1528" customWidth="1"/>
    <col min="9732" max="9732" width="10.5" style="1528" customWidth="1"/>
    <col min="9733" max="9733" width="24.3984375" style="1528" customWidth="1"/>
    <col min="9734" max="9984" width="20.3984375" style="1528"/>
    <col min="9985" max="9985" width="4.19921875" style="1528" customWidth="1"/>
    <col min="9986" max="9986" width="5.09765625" style="1528" customWidth="1"/>
    <col min="9987" max="9987" width="47.09765625" style="1528" customWidth="1"/>
    <col min="9988" max="9988" width="10.5" style="1528" customWidth="1"/>
    <col min="9989" max="9989" width="24.3984375" style="1528" customWidth="1"/>
    <col min="9990" max="10240" width="20.3984375" style="1528"/>
    <col min="10241" max="10241" width="4.19921875" style="1528" customWidth="1"/>
    <col min="10242" max="10242" width="5.09765625" style="1528" customWidth="1"/>
    <col min="10243" max="10243" width="47.09765625" style="1528" customWidth="1"/>
    <col min="10244" max="10244" width="10.5" style="1528" customWidth="1"/>
    <col min="10245" max="10245" width="24.3984375" style="1528" customWidth="1"/>
    <col min="10246" max="10496" width="20.3984375" style="1528"/>
    <col min="10497" max="10497" width="4.19921875" style="1528" customWidth="1"/>
    <col min="10498" max="10498" width="5.09765625" style="1528" customWidth="1"/>
    <col min="10499" max="10499" width="47.09765625" style="1528" customWidth="1"/>
    <col min="10500" max="10500" width="10.5" style="1528" customWidth="1"/>
    <col min="10501" max="10501" width="24.3984375" style="1528" customWidth="1"/>
    <col min="10502" max="10752" width="20.3984375" style="1528"/>
    <col min="10753" max="10753" width="4.19921875" style="1528" customWidth="1"/>
    <col min="10754" max="10754" width="5.09765625" style="1528" customWidth="1"/>
    <col min="10755" max="10755" width="47.09765625" style="1528" customWidth="1"/>
    <col min="10756" max="10756" width="10.5" style="1528" customWidth="1"/>
    <col min="10757" max="10757" width="24.3984375" style="1528" customWidth="1"/>
    <col min="10758" max="11008" width="20.3984375" style="1528"/>
    <col min="11009" max="11009" width="4.19921875" style="1528" customWidth="1"/>
    <col min="11010" max="11010" width="5.09765625" style="1528" customWidth="1"/>
    <col min="11011" max="11011" width="47.09765625" style="1528" customWidth="1"/>
    <col min="11012" max="11012" width="10.5" style="1528" customWidth="1"/>
    <col min="11013" max="11013" width="24.3984375" style="1528" customWidth="1"/>
    <col min="11014" max="11264" width="20.3984375" style="1528"/>
    <col min="11265" max="11265" width="4.19921875" style="1528" customWidth="1"/>
    <col min="11266" max="11266" width="5.09765625" style="1528" customWidth="1"/>
    <col min="11267" max="11267" width="47.09765625" style="1528" customWidth="1"/>
    <col min="11268" max="11268" width="10.5" style="1528" customWidth="1"/>
    <col min="11269" max="11269" width="24.3984375" style="1528" customWidth="1"/>
    <col min="11270" max="11520" width="20.3984375" style="1528"/>
    <col min="11521" max="11521" width="4.19921875" style="1528" customWidth="1"/>
    <col min="11522" max="11522" width="5.09765625" style="1528" customWidth="1"/>
    <col min="11523" max="11523" width="47.09765625" style="1528" customWidth="1"/>
    <col min="11524" max="11524" width="10.5" style="1528" customWidth="1"/>
    <col min="11525" max="11525" width="24.3984375" style="1528" customWidth="1"/>
    <col min="11526" max="11776" width="20.3984375" style="1528"/>
    <col min="11777" max="11777" width="4.19921875" style="1528" customWidth="1"/>
    <col min="11778" max="11778" width="5.09765625" style="1528" customWidth="1"/>
    <col min="11779" max="11779" width="47.09765625" style="1528" customWidth="1"/>
    <col min="11780" max="11780" width="10.5" style="1528" customWidth="1"/>
    <col min="11781" max="11781" width="24.3984375" style="1528" customWidth="1"/>
    <col min="11782" max="12032" width="20.3984375" style="1528"/>
    <col min="12033" max="12033" width="4.19921875" style="1528" customWidth="1"/>
    <col min="12034" max="12034" width="5.09765625" style="1528" customWidth="1"/>
    <col min="12035" max="12035" width="47.09765625" style="1528" customWidth="1"/>
    <col min="12036" max="12036" width="10.5" style="1528" customWidth="1"/>
    <col min="12037" max="12037" width="24.3984375" style="1528" customWidth="1"/>
    <col min="12038" max="12288" width="20.3984375" style="1528"/>
    <col min="12289" max="12289" width="4.19921875" style="1528" customWidth="1"/>
    <col min="12290" max="12290" width="5.09765625" style="1528" customWidth="1"/>
    <col min="12291" max="12291" width="47.09765625" style="1528" customWidth="1"/>
    <col min="12292" max="12292" width="10.5" style="1528" customWidth="1"/>
    <col min="12293" max="12293" width="24.3984375" style="1528" customWidth="1"/>
    <col min="12294" max="12544" width="20.3984375" style="1528"/>
    <col min="12545" max="12545" width="4.19921875" style="1528" customWidth="1"/>
    <col min="12546" max="12546" width="5.09765625" style="1528" customWidth="1"/>
    <col min="12547" max="12547" width="47.09765625" style="1528" customWidth="1"/>
    <col min="12548" max="12548" width="10.5" style="1528" customWidth="1"/>
    <col min="12549" max="12549" width="24.3984375" style="1528" customWidth="1"/>
    <col min="12550" max="12800" width="20.3984375" style="1528"/>
    <col min="12801" max="12801" width="4.19921875" style="1528" customWidth="1"/>
    <col min="12802" max="12802" width="5.09765625" style="1528" customWidth="1"/>
    <col min="12803" max="12803" width="47.09765625" style="1528" customWidth="1"/>
    <col min="12804" max="12804" width="10.5" style="1528" customWidth="1"/>
    <col min="12805" max="12805" width="24.3984375" style="1528" customWidth="1"/>
    <col min="12806" max="13056" width="20.3984375" style="1528"/>
    <col min="13057" max="13057" width="4.19921875" style="1528" customWidth="1"/>
    <col min="13058" max="13058" width="5.09765625" style="1528" customWidth="1"/>
    <col min="13059" max="13059" width="47.09765625" style="1528" customWidth="1"/>
    <col min="13060" max="13060" width="10.5" style="1528" customWidth="1"/>
    <col min="13061" max="13061" width="24.3984375" style="1528" customWidth="1"/>
    <col min="13062" max="13312" width="20.3984375" style="1528"/>
    <col min="13313" max="13313" width="4.19921875" style="1528" customWidth="1"/>
    <col min="13314" max="13314" width="5.09765625" style="1528" customWidth="1"/>
    <col min="13315" max="13315" width="47.09765625" style="1528" customWidth="1"/>
    <col min="13316" max="13316" width="10.5" style="1528" customWidth="1"/>
    <col min="13317" max="13317" width="24.3984375" style="1528" customWidth="1"/>
    <col min="13318" max="13568" width="20.3984375" style="1528"/>
    <col min="13569" max="13569" width="4.19921875" style="1528" customWidth="1"/>
    <col min="13570" max="13570" width="5.09765625" style="1528" customWidth="1"/>
    <col min="13571" max="13571" width="47.09765625" style="1528" customWidth="1"/>
    <col min="13572" max="13572" width="10.5" style="1528" customWidth="1"/>
    <col min="13573" max="13573" width="24.3984375" style="1528" customWidth="1"/>
    <col min="13574" max="13824" width="20.3984375" style="1528"/>
    <col min="13825" max="13825" width="4.19921875" style="1528" customWidth="1"/>
    <col min="13826" max="13826" width="5.09765625" style="1528" customWidth="1"/>
    <col min="13827" max="13827" width="47.09765625" style="1528" customWidth="1"/>
    <col min="13828" max="13828" width="10.5" style="1528" customWidth="1"/>
    <col min="13829" max="13829" width="24.3984375" style="1528" customWidth="1"/>
    <col min="13830" max="14080" width="20.3984375" style="1528"/>
    <col min="14081" max="14081" width="4.19921875" style="1528" customWidth="1"/>
    <col min="14082" max="14082" width="5.09765625" style="1528" customWidth="1"/>
    <col min="14083" max="14083" width="47.09765625" style="1528" customWidth="1"/>
    <col min="14084" max="14084" width="10.5" style="1528" customWidth="1"/>
    <col min="14085" max="14085" width="24.3984375" style="1528" customWidth="1"/>
    <col min="14086" max="14336" width="20.3984375" style="1528"/>
    <col min="14337" max="14337" width="4.19921875" style="1528" customWidth="1"/>
    <col min="14338" max="14338" width="5.09765625" style="1528" customWidth="1"/>
    <col min="14339" max="14339" width="47.09765625" style="1528" customWidth="1"/>
    <col min="14340" max="14340" width="10.5" style="1528" customWidth="1"/>
    <col min="14341" max="14341" width="24.3984375" style="1528" customWidth="1"/>
    <col min="14342" max="14592" width="20.3984375" style="1528"/>
    <col min="14593" max="14593" width="4.19921875" style="1528" customWidth="1"/>
    <col min="14594" max="14594" width="5.09765625" style="1528" customWidth="1"/>
    <col min="14595" max="14595" width="47.09765625" style="1528" customWidth="1"/>
    <col min="14596" max="14596" width="10.5" style="1528" customWidth="1"/>
    <col min="14597" max="14597" width="24.3984375" style="1528" customWidth="1"/>
    <col min="14598" max="14848" width="20.3984375" style="1528"/>
    <col min="14849" max="14849" width="4.19921875" style="1528" customWidth="1"/>
    <col min="14850" max="14850" width="5.09765625" style="1528" customWidth="1"/>
    <col min="14851" max="14851" width="47.09765625" style="1528" customWidth="1"/>
    <col min="14852" max="14852" width="10.5" style="1528" customWidth="1"/>
    <col min="14853" max="14853" width="24.3984375" style="1528" customWidth="1"/>
    <col min="14854" max="15104" width="20.3984375" style="1528"/>
    <col min="15105" max="15105" width="4.19921875" style="1528" customWidth="1"/>
    <col min="15106" max="15106" width="5.09765625" style="1528" customWidth="1"/>
    <col min="15107" max="15107" width="47.09765625" style="1528" customWidth="1"/>
    <col min="15108" max="15108" width="10.5" style="1528" customWidth="1"/>
    <col min="15109" max="15109" width="24.3984375" style="1528" customWidth="1"/>
    <col min="15110" max="15360" width="20.3984375" style="1528"/>
    <col min="15361" max="15361" width="4.19921875" style="1528" customWidth="1"/>
    <col min="15362" max="15362" width="5.09765625" style="1528" customWidth="1"/>
    <col min="15363" max="15363" width="47.09765625" style="1528" customWidth="1"/>
    <col min="15364" max="15364" width="10.5" style="1528" customWidth="1"/>
    <col min="15365" max="15365" width="24.3984375" style="1528" customWidth="1"/>
    <col min="15366" max="15616" width="20.3984375" style="1528"/>
    <col min="15617" max="15617" width="4.19921875" style="1528" customWidth="1"/>
    <col min="15618" max="15618" width="5.09765625" style="1528" customWidth="1"/>
    <col min="15619" max="15619" width="47.09765625" style="1528" customWidth="1"/>
    <col min="15620" max="15620" width="10.5" style="1528" customWidth="1"/>
    <col min="15621" max="15621" width="24.3984375" style="1528" customWidth="1"/>
    <col min="15622" max="15872" width="20.3984375" style="1528"/>
    <col min="15873" max="15873" width="4.19921875" style="1528" customWidth="1"/>
    <col min="15874" max="15874" width="5.09765625" style="1528" customWidth="1"/>
    <col min="15875" max="15875" width="47.09765625" style="1528" customWidth="1"/>
    <col min="15876" max="15876" width="10.5" style="1528" customWidth="1"/>
    <col min="15877" max="15877" width="24.3984375" style="1528" customWidth="1"/>
    <col min="15878" max="16128" width="20.3984375" style="1528"/>
    <col min="16129" max="16129" width="4.19921875" style="1528" customWidth="1"/>
    <col min="16130" max="16130" width="5.09765625" style="1528" customWidth="1"/>
    <col min="16131" max="16131" width="47.09765625" style="1528" customWidth="1"/>
    <col min="16132" max="16132" width="10.5" style="1528" customWidth="1"/>
    <col min="16133" max="16133" width="24.3984375" style="1528" customWidth="1"/>
    <col min="16134" max="16384" width="20.3984375" style="1528"/>
  </cols>
  <sheetData>
    <row r="1" spans="1:5" ht="20.100000000000001" customHeight="1">
      <c r="A1" s="3938" t="s">
        <v>4806</v>
      </c>
      <c r="B1" s="3938"/>
      <c r="C1" s="3938"/>
      <c r="D1" s="3938"/>
      <c r="E1" s="2632"/>
    </row>
    <row r="2" spans="1:5" ht="25.5" customHeight="1">
      <c r="A2" s="3939" t="s">
        <v>1631</v>
      </c>
      <c r="B2" s="3939"/>
      <c r="C2" s="3939"/>
      <c r="D2" s="3939"/>
      <c r="E2" s="2631"/>
    </row>
    <row r="3" spans="1:5" s="1529" customFormat="1" ht="14.25" customHeight="1">
      <c r="A3" s="1846" t="s">
        <v>1853</v>
      </c>
      <c r="B3" s="1848" t="s">
        <v>25</v>
      </c>
      <c r="C3" s="1846" t="s">
        <v>4807</v>
      </c>
      <c r="D3" s="1846" t="s">
        <v>4808</v>
      </c>
      <c r="E3" s="1846" t="s">
        <v>4809</v>
      </c>
    </row>
    <row r="4" spans="1:5" s="1529" customFormat="1" ht="57" customHeight="1">
      <c r="A4" s="1840">
        <v>1</v>
      </c>
      <c r="B4" s="3407" t="s">
        <v>1633</v>
      </c>
      <c r="C4" s="1818" t="s">
        <v>4810</v>
      </c>
      <c r="D4" s="2075">
        <f>A101010一般企业收入明细表!C4+A101020金融企业收入明细表!C4+SUM(A103000事业单位、民间非营利组织收入、支出明细表!C5:C9,A103000事业单位、民间非营利组织收入、支出明细表!C14:C18)</f>
        <v>0</v>
      </c>
      <c r="E4" s="1956" t="s">
        <v>4811</v>
      </c>
    </row>
    <row r="5" spans="1:5" s="1529" customFormat="1" ht="57" customHeight="1">
      <c r="A5" s="1840">
        <v>2</v>
      </c>
      <c r="B5" s="3407"/>
      <c r="C5" s="1818" t="s">
        <v>4812</v>
      </c>
      <c r="D5" s="2075">
        <f>A102010一般企业成本支出明细表!C4+A102020金融企业支出明细表!C4+SUM(A103000事业单位、民间非营利组织收入、支出明细表!C22:C25,A103000事业单位、民间非营利组织收入、支出明细表!C28:C30)</f>
        <v>0</v>
      </c>
      <c r="E5" s="1956" t="s">
        <v>4813</v>
      </c>
    </row>
    <row r="6" spans="1:5" s="1529" customFormat="1" ht="14.25" customHeight="1">
      <c r="A6" s="1840">
        <v>3</v>
      </c>
      <c r="B6" s="3407"/>
      <c r="C6" s="1818" t="s">
        <v>234</v>
      </c>
      <c r="D6" s="2075">
        <f>主营税金!E42</f>
        <v>0</v>
      </c>
      <c r="E6" s="1956"/>
    </row>
    <row r="7" spans="1:5" s="1529" customFormat="1" ht="13.5" customHeight="1">
      <c r="A7" s="1840">
        <v>4</v>
      </c>
      <c r="B7" s="3407"/>
      <c r="C7" s="1818" t="s">
        <v>4814</v>
      </c>
      <c r="D7" s="2075">
        <f>A104000期间费用明细表!C30</f>
        <v>0</v>
      </c>
      <c r="E7" s="1956" t="s">
        <v>4815</v>
      </c>
    </row>
    <row r="8" spans="1:5" s="1529" customFormat="1" ht="14.25" customHeight="1">
      <c r="A8" s="1840">
        <v>5</v>
      </c>
      <c r="B8" s="3407"/>
      <c r="C8" s="1818" t="s">
        <v>4816</v>
      </c>
      <c r="D8" s="2075">
        <f>A104000期间费用明细表!E30</f>
        <v>0</v>
      </c>
      <c r="E8" s="1956" t="s">
        <v>4817</v>
      </c>
    </row>
    <row r="9" spans="1:5" s="1529" customFormat="1" ht="14.25" customHeight="1">
      <c r="A9" s="1840">
        <v>6</v>
      </c>
      <c r="B9" s="3407"/>
      <c r="C9" s="1818" t="s">
        <v>4818</v>
      </c>
      <c r="D9" s="2075">
        <f>A104000期间费用明细表!G30</f>
        <v>0</v>
      </c>
      <c r="E9" s="1956" t="s">
        <v>4819</v>
      </c>
    </row>
    <row r="10" spans="1:5" s="1529" customFormat="1" ht="14.25" customHeight="1">
      <c r="A10" s="1840">
        <v>7</v>
      </c>
      <c r="B10" s="3407"/>
      <c r="C10" s="1818" t="s">
        <v>652</v>
      </c>
      <c r="D10" s="2075">
        <f>利润!C24</f>
        <v>0</v>
      </c>
      <c r="E10" s="1956"/>
    </row>
    <row r="11" spans="1:5" s="1529" customFormat="1" ht="14.25" customHeight="1">
      <c r="A11" s="1840">
        <v>8</v>
      </c>
      <c r="B11" s="3407"/>
      <c r="C11" s="1818" t="s">
        <v>4820</v>
      </c>
      <c r="D11" s="2075">
        <f>利润!C25</f>
        <v>0</v>
      </c>
      <c r="E11" s="1956"/>
    </row>
    <row r="12" spans="1:5" s="1529" customFormat="1" ht="14.25" customHeight="1">
      <c r="A12" s="1840">
        <v>9</v>
      </c>
      <c r="B12" s="3407"/>
      <c r="C12" s="1818" t="s">
        <v>235</v>
      </c>
      <c r="D12" s="2075">
        <f>利润!C26</f>
        <v>0</v>
      </c>
      <c r="E12" s="1956"/>
    </row>
    <row r="13" spans="1:5" s="1529" customFormat="1" ht="14.25" customHeight="1">
      <c r="A13" s="1840">
        <v>10</v>
      </c>
      <c r="B13" s="3407"/>
      <c r="C13" s="1818" t="s">
        <v>4821</v>
      </c>
      <c r="D13" s="2075">
        <f>D4-D5-D6-D7-D8-D9-D10+D11+D12</f>
        <v>0</v>
      </c>
      <c r="E13" s="1956"/>
    </row>
    <row r="14" spans="1:5" s="1529" customFormat="1" ht="42" customHeight="1">
      <c r="A14" s="1840">
        <v>11</v>
      </c>
      <c r="B14" s="3407"/>
      <c r="C14" s="1818" t="s">
        <v>4822</v>
      </c>
      <c r="D14" s="2075">
        <f>A101010一般企业收入明细表!C19+A101020金融企业收入明细表!C38+A103000事业单位、民间非营利组织收入、支出明细表!C12+A103000事业单位、民间非营利组织收入、支出明细表!C20</f>
        <v>0</v>
      </c>
      <c r="E14" s="1956" t="s">
        <v>4823</v>
      </c>
    </row>
    <row r="15" spans="1:5" s="1529" customFormat="1" ht="36" customHeight="1">
      <c r="A15" s="1840">
        <v>12</v>
      </c>
      <c r="B15" s="3407"/>
      <c r="C15" s="1818" t="s">
        <v>4824</v>
      </c>
      <c r="D15" s="2075">
        <f>A102010一般企业成本支出明细表!C19+A102020金融企业支出明细表!C36+A103000事业单位、民间非营利组织收入、支出明细表!C26+A103000事业单位、民间非营利组织收入、支出明细表!C31</f>
        <v>0</v>
      </c>
      <c r="E15" s="1956" t="s">
        <v>4825</v>
      </c>
    </row>
    <row r="16" spans="1:5" s="1529" customFormat="1" ht="14.25" customHeight="1">
      <c r="A16" s="1840">
        <v>13</v>
      </c>
      <c r="B16" s="3407"/>
      <c r="C16" s="1818" t="s">
        <v>4826</v>
      </c>
      <c r="D16" s="2075">
        <f>D13+D14-D15</f>
        <v>0</v>
      </c>
      <c r="E16" s="1956"/>
    </row>
    <row r="17" spans="1:5" s="1529" customFormat="1" ht="33" customHeight="1">
      <c r="A17" s="1840">
        <v>14</v>
      </c>
      <c r="B17" s="3405" t="s">
        <v>6843</v>
      </c>
      <c r="C17" s="1818" t="s">
        <v>4827</v>
      </c>
      <c r="D17" s="2075">
        <f>A108010境外所得纳税调整后所得明细表!O15-A108010境外所得纳税调整后所得明细表!L15</f>
        <v>0</v>
      </c>
      <c r="E17" s="1956" t="s">
        <v>4828</v>
      </c>
    </row>
    <row r="18" spans="1:5" s="1529" customFormat="1" ht="14.25" customHeight="1">
      <c r="A18" s="1840">
        <v>15</v>
      </c>
      <c r="B18" s="3409"/>
      <c r="C18" s="1818" t="s">
        <v>4829</v>
      </c>
      <c r="D18" s="2075">
        <f ca="1">A105000纳税调整项目明细表!E47</f>
        <v>0</v>
      </c>
      <c r="E18" s="1956" t="s">
        <v>4830</v>
      </c>
    </row>
    <row r="19" spans="1:5" s="1529" customFormat="1" ht="14.25" customHeight="1">
      <c r="A19" s="1840">
        <v>16</v>
      </c>
      <c r="B19" s="3409"/>
      <c r="C19" s="1818" t="s">
        <v>4831</v>
      </c>
      <c r="D19" s="2075">
        <f ca="1">A105000纳税调整项目明细表!F47</f>
        <v>0</v>
      </c>
      <c r="E19" s="1956" t="s">
        <v>4832</v>
      </c>
    </row>
    <row r="20" spans="1:5" s="1529" customFormat="1" ht="24.75" customHeight="1">
      <c r="A20" s="1840">
        <v>17</v>
      </c>
      <c r="B20" s="3409"/>
      <c r="C20" s="1818" t="s">
        <v>4833</v>
      </c>
      <c r="D20" s="2075">
        <f>A107010免税、减计收入及加计扣除优惠明细表!C30</f>
        <v>0</v>
      </c>
      <c r="E20" s="1956" t="s">
        <v>6798</v>
      </c>
    </row>
    <row r="21" spans="1:5" s="1529" customFormat="1" ht="41.25" customHeight="1">
      <c r="A21" s="1840">
        <v>18</v>
      </c>
      <c r="B21" s="3409"/>
      <c r="C21" s="1818" t="s">
        <v>4834</v>
      </c>
      <c r="D21" s="2075">
        <f ca="1">IF(D16-D17+D18-D19-D20&gt;=0,0,A108000境外所得税收抵免明细表!G15)</f>
        <v>0</v>
      </c>
      <c r="E21" s="1956" t="s">
        <v>4835</v>
      </c>
    </row>
    <row r="22" spans="1:5" s="1529" customFormat="1" ht="14.25" customHeight="1">
      <c r="A22" s="1840">
        <v>19</v>
      </c>
      <c r="B22" s="3409"/>
      <c r="C22" s="1818" t="s">
        <v>4836</v>
      </c>
      <c r="D22" s="2075">
        <f ca="1">D16-D17+D18-D19-D20+D21</f>
        <v>0</v>
      </c>
      <c r="E22" s="1956"/>
    </row>
    <row r="23" spans="1:5" s="1529" customFormat="1" ht="33" customHeight="1">
      <c r="A23" s="1840">
        <v>20</v>
      </c>
      <c r="B23" s="3409"/>
      <c r="C23" s="1818" t="s">
        <v>4837</v>
      </c>
      <c r="D23" s="2075">
        <f ca="1">MAX(MIN(D22,MAX(0,N(A107020所得减免优惠明细表!I44))),0)</f>
        <v>0</v>
      </c>
      <c r="E23" s="1956" t="s">
        <v>4838</v>
      </c>
    </row>
    <row r="24" spans="1:5" s="1529" customFormat="1" ht="26.25" customHeight="1">
      <c r="A24" s="1840">
        <v>21</v>
      </c>
      <c r="B24" s="3409"/>
      <c r="C24" s="1818" t="s">
        <v>4839</v>
      </c>
      <c r="D24" s="2075">
        <f ca="1">MAX(MIN(D22-D23,N(A107030抵扣应纳税所得额明细表!C21)),0)</f>
        <v>0</v>
      </c>
      <c r="E24" s="1956" t="s">
        <v>4840</v>
      </c>
    </row>
    <row r="25" spans="1:5" s="1529" customFormat="1" ht="28.5" customHeight="1">
      <c r="A25" s="1840">
        <v>22</v>
      </c>
      <c r="B25" s="3409"/>
      <c r="C25" s="1818" t="s">
        <v>4841</v>
      </c>
      <c r="D25" s="2075">
        <f ca="1">MAX(MIN(D22-D23-D24,MAX(0,A106000企业所得税弥补亏损明细表!L11)),0)</f>
        <v>0</v>
      </c>
      <c r="E25" s="1956" t="s">
        <v>4842</v>
      </c>
    </row>
    <row r="26" spans="1:5" s="1529" customFormat="1" ht="14.1" customHeight="1">
      <c r="A26" s="1840">
        <v>23</v>
      </c>
      <c r="B26" s="3406"/>
      <c r="C26" s="1818" t="s">
        <v>4843</v>
      </c>
      <c r="D26" s="2075">
        <f ca="1">MAX(D22-D23-D24-D25,0)</f>
        <v>0</v>
      </c>
      <c r="E26" s="1956" t="s">
        <v>4844</v>
      </c>
    </row>
    <row r="27" spans="1:5" s="1529" customFormat="1" ht="14.25" customHeight="1">
      <c r="A27" s="1840">
        <v>24</v>
      </c>
      <c r="B27" s="3407" t="s">
        <v>236</v>
      </c>
      <c r="C27" s="1818" t="s">
        <v>4845</v>
      </c>
      <c r="D27" s="2024">
        <v>0.25</v>
      </c>
      <c r="E27" s="1956"/>
    </row>
    <row r="28" spans="1:5" s="1529" customFormat="1" ht="14.25" customHeight="1">
      <c r="A28" s="1840">
        <v>25</v>
      </c>
      <c r="B28" s="3407"/>
      <c r="C28" s="1818" t="s">
        <v>4846</v>
      </c>
      <c r="D28" s="2075">
        <f ca="1">ROUND(D26*D27,2)</f>
        <v>0</v>
      </c>
      <c r="E28" s="1956" t="s">
        <v>4847</v>
      </c>
    </row>
    <row r="29" spans="1:5" s="1529" customFormat="1" ht="30" customHeight="1">
      <c r="A29" s="1840">
        <v>26</v>
      </c>
      <c r="B29" s="3407"/>
      <c r="C29" s="1818" t="s">
        <v>4848</v>
      </c>
      <c r="D29" s="2075">
        <f ca="1">MIN(D28,N(A107040减免所得税优惠明细表!D53))</f>
        <v>0</v>
      </c>
      <c r="E29" s="1956" t="s">
        <v>4849</v>
      </c>
    </row>
    <row r="30" spans="1:5" s="1529" customFormat="1" ht="33.75" customHeight="1">
      <c r="A30" s="1840">
        <v>27</v>
      </c>
      <c r="B30" s="3407"/>
      <c r="C30" s="1818" t="s">
        <v>4850</v>
      </c>
      <c r="D30" s="2075">
        <f ca="1">MIN(D28-D29,N(A107050税额抵免优惠明细表!M12))</f>
        <v>0</v>
      </c>
      <c r="E30" s="1956" t="s">
        <v>4851</v>
      </c>
    </row>
    <row r="31" spans="1:5" s="1529" customFormat="1" ht="14.25" customHeight="1">
      <c r="A31" s="1840">
        <v>28</v>
      </c>
      <c r="B31" s="3407"/>
      <c r="C31" s="1818" t="s">
        <v>4852</v>
      </c>
      <c r="D31" s="2075">
        <f ca="1">D28-D29-D30</f>
        <v>0</v>
      </c>
      <c r="E31" s="1956" t="s">
        <v>4844</v>
      </c>
    </row>
    <row r="32" spans="1:5" s="1529" customFormat="1" ht="24" customHeight="1">
      <c r="A32" s="1840">
        <v>29</v>
      </c>
      <c r="B32" s="3407"/>
      <c r="C32" s="1818" t="s">
        <v>4853</v>
      </c>
      <c r="D32" s="2075">
        <f>A108000境外所得税收抵免明细表!J15</f>
        <v>0</v>
      </c>
      <c r="E32" s="1956" t="s">
        <v>4854</v>
      </c>
    </row>
    <row r="33" spans="1:5" s="1529" customFormat="1" ht="23.25" customHeight="1">
      <c r="A33" s="1840">
        <v>30</v>
      </c>
      <c r="B33" s="3407"/>
      <c r="C33" s="1818" t="s">
        <v>4855</v>
      </c>
      <c r="D33" s="2075">
        <f>MIN(D32,N(A108000境外所得税收抵免明细表!T15))</f>
        <v>0</v>
      </c>
      <c r="E33" s="1956" t="s">
        <v>4856</v>
      </c>
    </row>
    <row r="34" spans="1:5" s="1529" customFormat="1" ht="14.25" customHeight="1">
      <c r="A34" s="1840">
        <v>31</v>
      </c>
      <c r="B34" s="3407"/>
      <c r="C34" s="1818" t="s">
        <v>4857</v>
      </c>
      <c r="D34" s="2075">
        <f ca="1">D31+D32-D33</f>
        <v>0</v>
      </c>
      <c r="E34" s="1956"/>
    </row>
    <row r="35" spans="1:5" s="1529" customFormat="1" ht="14.25" customHeight="1">
      <c r="A35" s="1840">
        <v>32</v>
      </c>
      <c r="B35" s="3407"/>
      <c r="C35" s="1818" t="s">
        <v>4858</v>
      </c>
      <c r="D35" s="2075">
        <f>纳税申报数据!K10</f>
        <v>0</v>
      </c>
      <c r="E35" s="1956"/>
    </row>
    <row r="36" spans="1:5" s="1530" customFormat="1" ht="14.25" customHeight="1">
      <c r="A36" s="1840">
        <v>33</v>
      </c>
      <c r="B36" s="3407"/>
      <c r="C36" s="1818" t="s">
        <v>4859</v>
      </c>
      <c r="D36" s="2075">
        <f ca="1">D34-D35</f>
        <v>0</v>
      </c>
      <c r="E36" s="1956"/>
    </row>
    <row r="37" spans="1:5" s="1529" customFormat="1" ht="14.25" customHeight="1">
      <c r="A37" s="1840">
        <v>34</v>
      </c>
      <c r="B37" s="3407"/>
      <c r="C37" s="1819" t="s">
        <v>4860</v>
      </c>
      <c r="D37" s="2075">
        <f>A109000跨地区经营汇总纳税企业年度分摊企业所得税明细表!C15+A109000跨地区经营汇总纳税企业年度分摊企业所得税明细表!C19</f>
        <v>0</v>
      </c>
      <c r="E37" s="1956" t="s">
        <v>4861</v>
      </c>
    </row>
    <row r="38" spans="1:5" s="1529" customFormat="1" ht="24" customHeight="1">
      <c r="A38" s="1840">
        <v>35</v>
      </c>
      <c r="B38" s="3407"/>
      <c r="C38" s="1819" t="s">
        <v>4862</v>
      </c>
      <c r="D38" s="2075">
        <f>A109000跨地区经营汇总纳税企业年度分摊企业所得税明细表!C16</f>
        <v>0</v>
      </c>
      <c r="E38" s="1956" t="s">
        <v>4863</v>
      </c>
    </row>
    <row r="39" spans="1:5" s="1529" customFormat="1" ht="24">
      <c r="A39" s="1841">
        <v>36</v>
      </c>
      <c r="B39" s="3407"/>
      <c r="C39" s="1819" t="s">
        <v>4864</v>
      </c>
      <c r="D39" s="2078">
        <f>A109000跨地区经营汇总纳税企业年度分摊企业所得税明细表!C18</f>
        <v>0</v>
      </c>
      <c r="E39" s="1956" t="s">
        <v>4865</v>
      </c>
    </row>
    <row r="40" spans="1:5" s="1529" customFormat="1" ht="14.25" customHeight="1">
      <c r="A40" s="1840">
        <v>37</v>
      </c>
      <c r="B40" s="3407" t="s">
        <v>1268</v>
      </c>
      <c r="C40" s="1818" t="s">
        <v>1269</v>
      </c>
      <c r="D40" s="2075">
        <f>纳税申报数据!K11</f>
        <v>0</v>
      </c>
      <c r="E40" s="1956"/>
    </row>
    <row r="41" spans="1:5" s="1529" customFormat="1" ht="14.25" customHeight="1">
      <c r="A41" s="1840">
        <v>38</v>
      </c>
      <c r="B41" s="3407"/>
      <c r="C41" s="1818" t="s">
        <v>6503</v>
      </c>
      <c r="D41" s="2075">
        <f>纳税申报数据!K13</f>
        <v>0</v>
      </c>
      <c r="E41" s="1956"/>
    </row>
  </sheetData>
  <mergeCells count="6">
    <mergeCell ref="A1:D1"/>
    <mergeCell ref="B40:B41"/>
    <mergeCell ref="B4:B16"/>
    <mergeCell ref="B17:B26"/>
    <mergeCell ref="B27:B39"/>
    <mergeCell ref="A2:D2"/>
  </mergeCells>
  <phoneticPr fontId="51" type="noConversion"/>
  <printOptions horizontalCentered="1"/>
  <pageMargins left="0.78740157480314965" right="0.35433070866141736" top="0.51181102362204722" bottom="0.11811023622047245" header="0.51181102362204722" footer="0.51181102362204722"/>
  <pageSetup paperSize="9" fitToHeight="0" orientation="portrait" blackAndWhite="1" cellComments="asDisplayed"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D29"/>
  <sheetViews>
    <sheetView workbookViewId="0">
      <selection sqref="A1:C1"/>
    </sheetView>
  </sheetViews>
  <sheetFormatPr defaultColWidth="8.8984375" defaultRowHeight="15.6"/>
  <cols>
    <col min="1" max="1" width="5.09765625" style="1532" customWidth="1"/>
    <col min="2" max="2" width="43.59765625" style="1532" customWidth="1"/>
    <col min="3" max="3" width="16.5" style="1532" customWidth="1"/>
    <col min="4" max="4" width="20.69921875" style="1532" customWidth="1"/>
    <col min="5" max="256" width="8.8984375" style="1532"/>
    <col min="257" max="257" width="5.09765625" style="1532" customWidth="1"/>
    <col min="258" max="258" width="43.59765625" style="1532" customWidth="1"/>
    <col min="259" max="259" width="10.19921875" style="1532" customWidth="1"/>
    <col min="260" max="260" width="20.69921875" style="1532" customWidth="1"/>
    <col min="261" max="512" width="8.8984375" style="1532"/>
    <col min="513" max="513" width="5.09765625" style="1532" customWidth="1"/>
    <col min="514" max="514" width="43.59765625" style="1532" customWidth="1"/>
    <col min="515" max="515" width="10.19921875" style="1532" customWidth="1"/>
    <col min="516" max="516" width="20.69921875" style="1532" customWidth="1"/>
    <col min="517" max="768" width="8.8984375" style="1532"/>
    <col min="769" max="769" width="5.09765625" style="1532" customWidth="1"/>
    <col min="770" max="770" width="43.59765625" style="1532" customWidth="1"/>
    <col min="771" max="771" width="10.19921875" style="1532" customWidth="1"/>
    <col min="772" max="772" width="20.69921875" style="1532" customWidth="1"/>
    <col min="773" max="1024" width="8.8984375" style="1532"/>
    <col min="1025" max="1025" width="5.09765625" style="1532" customWidth="1"/>
    <col min="1026" max="1026" width="43.59765625" style="1532" customWidth="1"/>
    <col min="1027" max="1027" width="10.19921875" style="1532" customWidth="1"/>
    <col min="1028" max="1028" width="20.69921875" style="1532" customWidth="1"/>
    <col min="1029" max="1280" width="8.8984375" style="1532"/>
    <col min="1281" max="1281" width="5.09765625" style="1532" customWidth="1"/>
    <col min="1282" max="1282" width="43.59765625" style="1532" customWidth="1"/>
    <col min="1283" max="1283" width="10.19921875" style="1532" customWidth="1"/>
    <col min="1284" max="1284" width="20.69921875" style="1532" customWidth="1"/>
    <col min="1285" max="1536" width="8.8984375" style="1532"/>
    <col min="1537" max="1537" width="5.09765625" style="1532" customWidth="1"/>
    <col min="1538" max="1538" width="43.59765625" style="1532" customWidth="1"/>
    <col min="1539" max="1539" width="10.19921875" style="1532" customWidth="1"/>
    <col min="1540" max="1540" width="20.69921875" style="1532" customWidth="1"/>
    <col min="1541" max="1792" width="8.8984375" style="1532"/>
    <col min="1793" max="1793" width="5.09765625" style="1532" customWidth="1"/>
    <col min="1794" max="1794" width="43.59765625" style="1532" customWidth="1"/>
    <col min="1795" max="1795" width="10.19921875" style="1532" customWidth="1"/>
    <col min="1796" max="1796" width="20.69921875" style="1532" customWidth="1"/>
    <col min="1797" max="2048" width="8.8984375" style="1532"/>
    <col min="2049" max="2049" width="5.09765625" style="1532" customWidth="1"/>
    <col min="2050" max="2050" width="43.59765625" style="1532" customWidth="1"/>
    <col min="2051" max="2051" width="10.19921875" style="1532" customWidth="1"/>
    <col min="2052" max="2052" width="20.69921875" style="1532" customWidth="1"/>
    <col min="2053" max="2304" width="8.8984375" style="1532"/>
    <col min="2305" max="2305" width="5.09765625" style="1532" customWidth="1"/>
    <col min="2306" max="2306" width="43.59765625" style="1532" customWidth="1"/>
    <col min="2307" max="2307" width="10.19921875" style="1532" customWidth="1"/>
    <col min="2308" max="2308" width="20.69921875" style="1532" customWidth="1"/>
    <col min="2309" max="2560" width="8.8984375" style="1532"/>
    <col min="2561" max="2561" width="5.09765625" style="1532" customWidth="1"/>
    <col min="2562" max="2562" width="43.59765625" style="1532" customWidth="1"/>
    <col min="2563" max="2563" width="10.19921875" style="1532" customWidth="1"/>
    <col min="2564" max="2564" width="20.69921875" style="1532" customWidth="1"/>
    <col min="2565" max="2816" width="8.8984375" style="1532"/>
    <col min="2817" max="2817" width="5.09765625" style="1532" customWidth="1"/>
    <col min="2818" max="2818" width="43.59765625" style="1532" customWidth="1"/>
    <col min="2819" max="2819" width="10.19921875" style="1532" customWidth="1"/>
    <col min="2820" max="2820" width="20.69921875" style="1532" customWidth="1"/>
    <col min="2821" max="3072" width="8.8984375" style="1532"/>
    <col min="3073" max="3073" width="5.09765625" style="1532" customWidth="1"/>
    <col min="3074" max="3074" width="43.59765625" style="1532" customWidth="1"/>
    <col min="3075" max="3075" width="10.19921875" style="1532" customWidth="1"/>
    <col min="3076" max="3076" width="20.69921875" style="1532" customWidth="1"/>
    <col min="3077" max="3328" width="8.8984375" style="1532"/>
    <col min="3329" max="3329" width="5.09765625" style="1532" customWidth="1"/>
    <col min="3330" max="3330" width="43.59765625" style="1532" customWidth="1"/>
    <col min="3331" max="3331" width="10.19921875" style="1532" customWidth="1"/>
    <col min="3332" max="3332" width="20.69921875" style="1532" customWidth="1"/>
    <col min="3333" max="3584" width="8.8984375" style="1532"/>
    <col min="3585" max="3585" width="5.09765625" style="1532" customWidth="1"/>
    <col min="3586" max="3586" width="43.59765625" style="1532" customWidth="1"/>
    <col min="3587" max="3587" width="10.19921875" style="1532" customWidth="1"/>
    <col min="3588" max="3588" width="20.69921875" style="1532" customWidth="1"/>
    <col min="3589" max="3840" width="8.8984375" style="1532"/>
    <col min="3841" max="3841" width="5.09765625" style="1532" customWidth="1"/>
    <col min="3842" max="3842" width="43.59765625" style="1532" customWidth="1"/>
    <col min="3843" max="3843" width="10.19921875" style="1532" customWidth="1"/>
    <col min="3844" max="3844" width="20.69921875" style="1532" customWidth="1"/>
    <col min="3845" max="4096" width="8.8984375" style="1532"/>
    <col min="4097" max="4097" width="5.09765625" style="1532" customWidth="1"/>
    <col min="4098" max="4098" width="43.59765625" style="1532" customWidth="1"/>
    <col min="4099" max="4099" width="10.19921875" style="1532" customWidth="1"/>
    <col min="4100" max="4100" width="20.69921875" style="1532" customWidth="1"/>
    <col min="4101" max="4352" width="8.8984375" style="1532"/>
    <col min="4353" max="4353" width="5.09765625" style="1532" customWidth="1"/>
    <col min="4354" max="4354" width="43.59765625" style="1532" customWidth="1"/>
    <col min="4355" max="4355" width="10.19921875" style="1532" customWidth="1"/>
    <col min="4356" max="4356" width="20.69921875" style="1532" customWidth="1"/>
    <col min="4357" max="4608" width="8.8984375" style="1532"/>
    <col min="4609" max="4609" width="5.09765625" style="1532" customWidth="1"/>
    <col min="4610" max="4610" width="43.59765625" style="1532" customWidth="1"/>
    <col min="4611" max="4611" width="10.19921875" style="1532" customWidth="1"/>
    <col min="4612" max="4612" width="20.69921875" style="1532" customWidth="1"/>
    <col min="4613" max="4864" width="8.8984375" style="1532"/>
    <col min="4865" max="4865" width="5.09765625" style="1532" customWidth="1"/>
    <col min="4866" max="4866" width="43.59765625" style="1532" customWidth="1"/>
    <col min="4867" max="4867" width="10.19921875" style="1532" customWidth="1"/>
    <col min="4868" max="4868" width="20.69921875" style="1532" customWidth="1"/>
    <col min="4869" max="5120" width="8.8984375" style="1532"/>
    <col min="5121" max="5121" width="5.09765625" style="1532" customWidth="1"/>
    <col min="5122" max="5122" width="43.59765625" style="1532" customWidth="1"/>
    <col min="5123" max="5123" width="10.19921875" style="1532" customWidth="1"/>
    <col min="5124" max="5124" width="20.69921875" style="1532" customWidth="1"/>
    <col min="5125" max="5376" width="8.8984375" style="1532"/>
    <col min="5377" max="5377" width="5.09765625" style="1532" customWidth="1"/>
    <col min="5378" max="5378" width="43.59765625" style="1532" customWidth="1"/>
    <col min="5379" max="5379" width="10.19921875" style="1532" customWidth="1"/>
    <col min="5380" max="5380" width="20.69921875" style="1532" customWidth="1"/>
    <col min="5381" max="5632" width="8.8984375" style="1532"/>
    <col min="5633" max="5633" width="5.09765625" style="1532" customWidth="1"/>
    <col min="5634" max="5634" width="43.59765625" style="1532" customWidth="1"/>
    <col min="5635" max="5635" width="10.19921875" style="1532" customWidth="1"/>
    <col min="5636" max="5636" width="20.69921875" style="1532" customWidth="1"/>
    <col min="5637" max="5888" width="8.8984375" style="1532"/>
    <col min="5889" max="5889" width="5.09765625" style="1532" customWidth="1"/>
    <col min="5890" max="5890" width="43.59765625" style="1532" customWidth="1"/>
    <col min="5891" max="5891" width="10.19921875" style="1532" customWidth="1"/>
    <col min="5892" max="5892" width="20.69921875" style="1532" customWidth="1"/>
    <col min="5893" max="6144" width="8.8984375" style="1532"/>
    <col min="6145" max="6145" width="5.09765625" style="1532" customWidth="1"/>
    <col min="6146" max="6146" width="43.59765625" style="1532" customWidth="1"/>
    <col min="6147" max="6147" width="10.19921875" style="1532" customWidth="1"/>
    <col min="6148" max="6148" width="20.69921875" style="1532" customWidth="1"/>
    <col min="6149" max="6400" width="8.8984375" style="1532"/>
    <col min="6401" max="6401" width="5.09765625" style="1532" customWidth="1"/>
    <col min="6402" max="6402" width="43.59765625" style="1532" customWidth="1"/>
    <col min="6403" max="6403" width="10.19921875" style="1532" customWidth="1"/>
    <col min="6404" max="6404" width="20.69921875" style="1532" customWidth="1"/>
    <col min="6405" max="6656" width="8.8984375" style="1532"/>
    <col min="6657" max="6657" width="5.09765625" style="1532" customWidth="1"/>
    <col min="6658" max="6658" width="43.59765625" style="1532" customWidth="1"/>
    <col min="6659" max="6659" width="10.19921875" style="1532" customWidth="1"/>
    <col min="6660" max="6660" width="20.69921875" style="1532" customWidth="1"/>
    <col min="6661" max="6912" width="8.8984375" style="1532"/>
    <col min="6913" max="6913" width="5.09765625" style="1532" customWidth="1"/>
    <col min="6914" max="6914" width="43.59765625" style="1532" customWidth="1"/>
    <col min="6915" max="6915" width="10.19921875" style="1532" customWidth="1"/>
    <col min="6916" max="6916" width="20.69921875" style="1532" customWidth="1"/>
    <col min="6917" max="7168" width="8.8984375" style="1532"/>
    <col min="7169" max="7169" width="5.09765625" style="1532" customWidth="1"/>
    <col min="7170" max="7170" width="43.59765625" style="1532" customWidth="1"/>
    <col min="7171" max="7171" width="10.19921875" style="1532" customWidth="1"/>
    <col min="7172" max="7172" width="20.69921875" style="1532" customWidth="1"/>
    <col min="7173" max="7424" width="8.8984375" style="1532"/>
    <col min="7425" max="7425" width="5.09765625" style="1532" customWidth="1"/>
    <col min="7426" max="7426" width="43.59765625" style="1532" customWidth="1"/>
    <col min="7427" max="7427" width="10.19921875" style="1532" customWidth="1"/>
    <col min="7428" max="7428" width="20.69921875" style="1532" customWidth="1"/>
    <col min="7429" max="7680" width="8.8984375" style="1532"/>
    <col min="7681" max="7681" width="5.09765625" style="1532" customWidth="1"/>
    <col min="7682" max="7682" width="43.59765625" style="1532" customWidth="1"/>
    <col min="7683" max="7683" width="10.19921875" style="1532" customWidth="1"/>
    <col min="7684" max="7684" width="20.69921875" style="1532" customWidth="1"/>
    <col min="7685" max="7936" width="8.8984375" style="1532"/>
    <col min="7937" max="7937" width="5.09765625" style="1532" customWidth="1"/>
    <col min="7938" max="7938" width="43.59765625" style="1532" customWidth="1"/>
    <col min="7939" max="7939" width="10.19921875" style="1532" customWidth="1"/>
    <col min="7940" max="7940" width="20.69921875" style="1532" customWidth="1"/>
    <col min="7941" max="8192" width="8.8984375" style="1532"/>
    <col min="8193" max="8193" width="5.09765625" style="1532" customWidth="1"/>
    <col min="8194" max="8194" width="43.59765625" style="1532" customWidth="1"/>
    <col min="8195" max="8195" width="10.19921875" style="1532" customWidth="1"/>
    <col min="8196" max="8196" width="20.69921875" style="1532" customWidth="1"/>
    <col min="8197" max="8448" width="8.8984375" style="1532"/>
    <col min="8449" max="8449" width="5.09765625" style="1532" customWidth="1"/>
    <col min="8450" max="8450" width="43.59765625" style="1532" customWidth="1"/>
    <col min="8451" max="8451" width="10.19921875" style="1532" customWidth="1"/>
    <col min="8452" max="8452" width="20.69921875" style="1532" customWidth="1"/>
    <col min="8453" max="8704" width="8.8984375" style="1532"/>
    <col min="8705" max="8705" width="5.09765625" style="1532" customWidth="1"/>
    <col min="8706" max="8706" width="43.59765625" style="1532" customWidth="1"/>
    <col min="8707" max="8707" width="10.19921875" style="1532" customWidth="1"/>
    <col min="8708" max="8708" width="20.69921875" style="1532" customWidth="1"/>
    <col min="8709" max="8960" width="8.8984375" style="1532"/>
    <col min="8961" max="8961" width="5.09765625" style="1532" customWidth="1"/>
    <col min="8962" max="8962" width="43.59765625" style="1532" customWidth="1"/>
    <col min="8963" max="8963" width="10.19921875" style="1532" customWidth="1"/>
    <col min="8964" max="8964" width="20.69921875" style="1532" customWidth="1"/>
    <col min="8965" max="9216" width="8.8984375" style="1532"/>
    <col min="9217" max="9217" width="5.09765625" style="1532" customWidth="1"/>
    <col min="9218" max="9218" width="43.59765625" style="1532" customWidth="1"/>
    <col min="9219" max="9219" width="10.19921875" style="1532" customWidth="1"/>
    <col min="9220" max="9220" width="20.69921875" style="1532" customWidth="1"/>
    <col min="9221" max="9472" width="8.8984375" style="1532"/>
    <col min="9473" max="9473" width="5.09765625" style="1532" customWidth="1"/>
    <col min="9474" max="9474" width="43.59765625" style="1532" customWidth="1"/>
    <col min="9475" max="9475" width="10.19921875" style="1532" customWidth="1"/>
    <col min="9476" max="9476" width="20.69921875" style="1532" customWidth="1"/>
    <col min="9477" max="9728" width="8.8984375" style="1532"/>
    <col min="9729" max="9729" width="5.09765625" style="1532" customWidth="1"/>
    <col min="9730" max="9730" width="43.59765625" style="1532" customWidth="1"/>
    <col min="9731" max="9731" width="10.19921875" style="1532" customWidth="1"/>
    <col min="9732" max="9732" width="20.69921875" style="1532" customWidth="1"/>
    <col min="9733" max="9984" width="8.8984375" style="1532"/>
    <col min="9985" max="9985" width="5.09765625" style="1532" customWidth="1"/>
    <col min="9986" max="9986" width="43.59765625" style="1532" customWidth="1"/>
    <col min="9987" max="9987" width="10.19921875" style="1532" customWidth="1"/>
    <col min="9988" max="9988" width="20.69921875" style="1532" customWidth="1"/>
    <col min="9989" max="10240" width="8.8984375" style="1532"/>
    <col min="10241" max="10241" width="5.09765625" style="1532" customWidth="1"/>
    <col min="10242" max="10242" width="43.59765625" style="1532" customWidth="1"/>
    <col min="10243" max="10243" width="10.19921875" style="1532" customWidth="1"/>
    <col min="10244" max="10244" width="20.69921875" style="1532" customWidth="1"/>
    <col min="10245" max="10496" width="8.8984375" style="1532"/>
    <col min="10497" max="10497" width="5.09765625" style="1532" customWidth="1"/>
    <col min="10498" max="10498" width="43.59765625" style="1532" customWidth="1"/>
    <col min="10499" max="10499" width="10.19921875" style="1532" customWidth="1"/>
    <col min="10500" max="10500" width="20.69921875" style="1532" customWidth="1"/>
    <col min="10501" max="10752" width="8.8984375" style="1532"/>
    <col min="10753" max="10753" width="5.09765625" style="1532" customWidth="1"/>
    <col min="10754" max="10754" width="43.59765625" style="1532" customWidth="1"/>
    <col min="10755" max="10755" width="10.19921875" style="1532" customWidth="1"/>
    <col min="10756" max="10756" width="20.69921875" style="1532" customWidth="1"/>
    <col min="10757" max="11008" width="8.8984375" style="1532"/>
    <col min="11009" max="11009" width="5.09765625" style="1532" customWidth="1"/>
    <col min="11010" max="11010" width="43.59765625" style="1532" customWidth="1"/>
    <col min="11011" max="11011" width="10.19921875" style="1532" customWidth="1"/>
    <col min="11012" max="11012" width="20.69921875" style="1532" customWidth="1"/>
    <col min="11013" max="11264" width="8.8984375" style="1532"/>
    <col min="11265" max="11265" width="5.09765625" style="1532" customWidth="1"/>
    <col min="11266" max="11266" width="43.59765625" style="1532" customWidth="1"/>
    <col min="11267" max="11267" width="10.19921875" style="1532" customWidth="1"/>
    <col min="11268" max="11268" width="20.69921875" style="1532" customWidth="1"/>
    <col min="11269" max="11520" width="8.8984375" style="1532"/>
    <col min="11521" max="11521" width="5.09765625" style="1532" customWidth="1"/>
    <col min="11522" max="11522" width="43.59765625" style="1532" customWidth="1"/>
    <col min="11523" max="11523" width="10.19921875" style="1532" customWidth="1"/>
    <col min="11524" max="11524" width="20.69921875" style="1532" customWidth="1"/>
    <col min="11525" max="11776" width="8.8984375" style="1532"/>
    <col min="11777" max="11777" width="5.09765625" style="1532" customWidth="1"/>
    <col min="11778" max="11778" width="43.59765625" style="1532" customWidth="1"/>
    <col min="11779" max="11779" width="10.19921875" style="1532" customWidth="1"/>
    <col min="11780" max="11780" width="20.69921875" style="1532" customWidth="1"/>
    <col min="11781" max="12032" width="8.8984375" style="1532"/>
    <col min="12033" max="12033" width="5.09765625" style="1532" customWidth="1"/>
    <col min="12034" max="12034" width="43.59765625" style="1532" customWidth="1"/>
    <col min="12035" max="12035" width="10.19921875" style="1532" customWidth="1"/>
    <col min="12036" max="12036" width="20.69921875" style="1532" customWidth="1"/>
    <col min="12037" max="12288" width="8.8984375" style="1532"/>
    <col min="12289" max="12289" width="5.09765625" style="1532" customWidth="1"/>
    <col min="12290" max="12290" width="43.59765625" style="1532" customWidth="1"/>
    <col min="12291" max="12291" width="10.19921875" style="1532" customWidth="1"/>
    <col min="12292" max="12292" width="20.69921875" style="1532" customWidth="1"/>
    <col min="12293" max="12544" width="8.8984375" style="1532"/>
    <col min="12545" max="12545" width="5.09765625" style="1532" customWidth="1"/>
    <col min="12546" max="12546" width="43.59765625" style="1532" customWidth="1"/>
    <col min="12547" max="12547" width="10.19921875" style="1532" customWidth="1"/>
    <col min="12548" max="12548" width="20.69921875" style="1532" customWidth="1"/>
    <col min="12549" max="12800" width="8.8984375" style="1532"/>
    <col min="12801" max="12801" width="5.09765625" style="1532" customWidth="1"/>
    <col min="12802" max="12802" width="43.59765625" style="1532" customWidth="1"/>
    <col min="12803" max="12803" width="10.19921875" style="1532" customWidth="1"/>
    <col min="12804" max="12804" width="20.69921875" style="1532" customWidth="1"/>
    <col min="12805" max="13056" width="8.8984375" style="1532"/>
    <col min="13057" max="13057" width="5.09765625" style="1532" customWidth="1"/>
    <col min="13058" max="13058" width="43.59765625" style="1532" customWidth="1"/>
    <col min="13059" max="13059" width="10.19921875" style="1532" customWidth="1"/>
    <col min="13060" max="13060" width="20.69921875" style="1532" customWidth="1"/>
    <col min="13061" max="13312" width="8.8984375" style="1532"/>
    <col min="13313" max="13313" width="5.09765625" style="1532" customWidth="1"/>
    <col min="13314" max="13314" width="43.59765625" style="1532" customWidth="1"/>
    <col min="13315" max="13315" width="10.19921875" style="1532" customWidth="1"/>
    <col min="13316" max="13316" width="20.69921875" style="1532" customWidth="1"/>
    <col min="13317" max="13568" width="8.8984375" style="1532"/>
    <col min="13569" max="13569" width="5.09765625" style="1532" customWidth="1"/>
    <col min="13570" max="13570" width="43.59765625" style="1532" customWidth="1"/>
    <col min="13571" max="13571" width="10.19921875" style="1532" customWidth="1"/>
    <col min="13572" max="13572" width="20.69921875" style="1532" customWidth="1"/>
    <col min="13573" max="13824" width="8.8984375" style="1532"/>
    <col min="13825" max="13825" width="5.09765625" style="1532" customWidth="1"/>
    <col min="13826" max="13826" width="43.59765625" style="1532" customWidth="1"/>
    <col min="13827" max="13827" width="10.19921875" style="1532" customWidth="1"/>
    <col min="13828" max="13828" width="20.69921875" style="1532" customWidth="1"/>
    <col min="13829" max="14080" width="8.8984375" style="1532"/>
    <col min="14081" max="14081" width="5.09765625" style="1532" customWidth="1"/>
    <col min="14082" max="14082" width="43.59765625" style="1532" customWidth="1"/>
    <col min="14083" max="14083" width="10.19921875" style="1532" customWidth="1"/>
    <col min="14084" max="14084" width="20.69921875" style="1532" customWidth="1"/>
    <col min="14085" max="14336" width="8.8984375" style="1532"/>
    <col min="14337" max="14337" width="5.09765625" style="1532" customWidth="1"/>
    <col min="14338" max="14338" width="43.59765625" style="1532" customWidth="1"/>
    <col min="14339" max="14339" width="10.19921875" style="1532" customWidth="1"/>
    <col min="14340" max="14340" width="20.69921875" style="1532" customWidth="1"/>
    <col min="14341" max="14592" width="8.8984375" style="1532"/>
    <col min="14593" max="14593" width="5.09765625" style="1532" customWidth="1"/>
    <col min="14594" max="14594" width="43.59765625" style="1532" customWidth="1"/>
    <col min="14595" max="14595" width="10.19921875" style="1532" customWidth="1"/>
    <col min="14596" max="14596" width="20.69921875" style="1532" customWidth="1"/>
    <col min="14597" max="14848" width="8.8984375" style="1532"/>
    <col min="14849" max="14849" width="5.09765625" style="1532" customWidth="1"/>
    <col min="14850" max="14850" width="43.59765625" style="1532" customWidth="1"/>
    <col min="14851" max="14851" width="10.19921875" style="1532" customWidth="1"/>
    <col min="14852" max="14852" width="20.69921875" style="1532" customWidth="1"/>
    <col min="14853" max="15104" width="8.8984375" style="1532"/>
    <col min="15105" max="15105" width="5.09765625" style="1532" customWidth="1"/>
    <col min="15106" max="15106" width="43.59765625" style="1532" customWidth="1"/>
    <col min="15107" max="15107" width="10.19921875" style="1532" customWidth="1"/>
    <col min="15108" max="15108" width="20.69921875" style="1532" customWidth="1"/>
    <col min="15109" max="15360" width="8.8984375" style="1532"/>
    <col min="15361" max="15361" width="5.09765625" style="1532" customWidth="1"/>
    <col min="15362" max="15362" width="43.59765625" style="1532" customWidth="1"/>
    <col min="15363" max="15363" width="10.19921875" style="1532" customWidth="1"/>
    <col min="15364" max="15364" width="20.69921875" style="1532" customWidth="1"/>
    <col min="15365" max="15616" width="8.8984375" style="1532"/>
    <col min="15617" max="15617" width="5.09765625" style="1532" customWidth="1"/>
    <col min="15618" max="15618" width="43.59765625" style="1532" customWidth="1"/>
    <col min="15619" max="15619" width="10.19921875" style="1532" customWidth="1"/>
    <col min="15620" max="15620" width="20.69921875" style="1532" customWidth="1"/>
    <col min="15621" max="15872" width="8.8984375" style="1532"/>
    <col min="15873" max="15873" width="5.09765625" style="1532" customWidth="1"/>
    <col min="15874" max="15874" width="43.59765625" style="1532" customWidth="1"/>
    <col min="15875" max="15875" width="10.19921875" style="1532" customWidth="1"/>
    <col min="15876" max="15876" width="20.69921875" style="1532" customWidth="1"/>
    <col min="15877" max="16128" width="8.8984375" style="1532"/>
    <col min="16129" max="16129" width="5.09765625" style="1532" customWidth="1"/>
    <col min="16130" max="16130" width="43.59765625" style="1532" customWidth="1"/>
    <col min="16131" max="16131" width="10.19921875" style="1532" customWidth="1"/>
    <col min="16132" max="16132" width="20.69921875" style="1532" customWidth="1"/>
    <col min="16133" max="16384" width="8.8984375" style="1532"/>
  </cols>
  <sheetData>
    <row r="1" spans="1:4" ht="20.100000000000001" customHeight="1">
      <c r="A1" s="3463" t="s">
        <v>4866</v>
      </c>
      <c r="B1" s="3463"/>
      <c r="C1" s="3463"/>
      <c r="D1" s="1937"/>
    </row>
    <row r="2" spans="1:4" ht="25.5" customHeight="1">
      <c r="A2" s="3401" t="s">
        <v>1856</v>
      </c>
      <c r="B2" s="3401"/>
      <c r="C2" s="3401"/>
      <c r="D2" s="1854"/>
    </row>
    <row r="3" spans="1:4" s="1533" customFormat="1">
      <c r="A3" s="1846" t="s">
        <v>1853</v>
      </c>
      <c r="B3" s="1846" t="s">
        <v>4867</v>
      </c>
      <c r="C3" s="1846" t="s">
        <v>4808</v>
      </c>
      <c r="D3" s="1846" t="s">
        <v>4809</v>
      </c>
    </row>
    <row r="4" spans="1:4">
      <c r="A4" s="1846">
        <v>1</v>
      </c>
      <c r="B4" s="1829" t="s">
        <v>4868</v>
      </c>
      <c r="C4" s="2075">
        <f>C5+C12</f>
        <v>0</v>
      </c>
      <c r="D4" s="1954" t="s">
        <v>4869</v>
      </c>
    </row>
    <row r="5" spans="1:4">
      <c r="A5" s="1846">
        <v>2</v>
      </c>
      <c r="B5" s="1829" t="s">
        <v>4870</v>
      </c>
      <c r="C5" s="2075">
        <f>C6+C8+C9+C10+C11</f>
        <v>0</v>
      </c>
      <c r="D5" s="1523"/>
    </row>
    <row r="6" spans="1:4">
      <c r="A6" s="1846">
        <v>3</v>
      </c>
      <c r="B6" s="1829" t="s">
        <v>4871</v>
      </c>
      <c r="C6" s="2072">
        <f>主营收支!C23</f>
        <v>0</v>
      </c>
      <c r="D6" s="1523"/>
    </row>
    <row r="7" spans="1:4">
      <c r="A7" s="1846">
        <v>4</v>
      </c>
      <c r="B7" s="1829" t="s">
        <v>4872</v>
      </c>
      <c r="C7" s="2072">
        <f>主营收支!C21</f>
        <v>0</v>
      </c>
      <c r="D7" s="1523"/>
    </row>
    <row r="8" spans="1:4">
      <c r="A8" s="1846">
        <v>5</v>
      </c>
      <c r="B8" s="1829" t="s">
        <v>4873</v>
      </c>
      <c r="C8" s="2072">
        <f>主营收支!D23</f>
        <v>0</v>
      </c>
      <c r="D8" s="1523"/>
    </row>
    <row r="9" spans="1:4">
      <c r="A9" s="1846">
        <v>6</v>
      </c>
      <c r="B9" s="1829" t="s">
        <v>4874</v>
      </c>
      <c r="C9" s="2072">
        <f>主营收支!E23</f>
        <v>0</v>
      </c>
      <c r="D9" s="1523"/>
    </row>
    <row r="10" spans="1:4">
      <c r="A10" s="1846">
        <v>7</v>
      </c>
      <c r="B10" s="1829" t="s">
        <v>4875</v>
      </c>
      <c r="C10" s="2072">
        <f>主营收支!F23</f>
        <v>0</v>
      </c>
      <c r="D10" s="1523"/>
    </row>
    <row r="11" spans="1:4">
      <c r="A11" s="1846">
        <v>8</v>
      </c>
      <c r="B11" s="1829" t="s">
        <v>4876</v>
      </c>
      <c r="C11" s="2072">
        <f>主营收支!G23</f>
        <v>0</v>
      </c>
      <c r="D11" s="1523"/>
    </row>
    <row r="12" spans="1:4">
      <c r="A12" s="1846">
        <v>9</v>
      </c>
      <c r="B12" s="1829" t="s">
        <v>4877</v>
      </c>
      <c r="C12" s="2075">
        <f>C13+C15+C16+C17+C18</f>
        <v>0</v>
      </c>
      <c r="D12" s="1523"/>
    </row>
    <row r="13" spans="1:4">
      <c r="A13" s="1846">
        <v>10</v>
      </c>
      <c r="B13" s="1829" t="s">
        <v>4878</v>
      </c>
      <c r="C13" s="2072">
        <f>其他业务!C8</f>
        <v>0</v>
      </c>
      <c r="D13" s="1523"/>
    </row>
    <row r="14" spans="1:4">
      <c r="A14" s="1846">
        <v>11</v>
      </c>
      <c r="B14" s="1829" t="s">
        <v>4879</v>
      </c>
      <c r="C14" s="2072">
        <f>其他业务!C9</f>
        <v>0</v>
      </c>
      <c r="D14" s="1523"/>
    </row>
    <row r="15" spans="1:4">
      <c r="A15" s="1846">
        <v>12</v>
      </c>
      <c r="B15" s="1829" t="s">
        <v>4880</v>
      </c>
      <c r="C15" s="2072">
        <f>其他业务!C10+其他业务!C11</f>
        <v>0</v>
      </c>
      <c r="D15" s="1523"/>
    </row>
    <row r="16" spans="1:4">
      <c r="A16" s="1846">
        <v>13</v>
      </c>
      <c r="B16" s="1829" t="s">
        <v>4881</v>
      </c>
      <c r="C16" s="2072">
        <f>其他业务!C12</f>
        <v>0</v>
      </c>
      <c r="D16" s="1523"/>
    </row>
    <row r="17" spans="1:4">
      <c r="A17" s="1846">
        <v>14</v>
      </c>
      <c r="B17" s="1829" t="s">
        <v>4882</v>
      </c>
      <c r="C17" s="2072">
        <f>其他业务!C13</f>
        <v>0</v>
      </c>
      <c r="D17" s="1523"/>
    </row>
    <row r="18" spans="1:4">
      <c r="A18" s="1846">
        <v>15</v>
      </c>
      <c r="B18" s="1829" t="s">
        <v>4876</v>
      </c>
      <c r="C18" s="2072">
        <f>其他业务!C17</f>
        <v>0</v>
      </c>
      <c r="D18" s="1523"/>
    </row>
    <row r="19" spans="1:4">
      <c r="A19" s="1846">
        <v>16</v>
      </c>
      <c r="B19" s="1829" t="s">
        <v>4883</v>
      </c>
      <c r="C19" s="2075">
        <f>C20+C21+C22+C23+C24+C25+C26+C27+C28+C29</f>
        <v>0</v>
      </c>
      <c r="D19" s="1954" t="s">
        <v>4884</v>
      </c>
    </row>
    <row r="20" spans="1:4">
      <c r="A20" s="1846">
        <v>17</v>
      </c>
      <c r="B20" s="1829" t="s">
        <v>4885</v>
      </c>
      <c r="C20" s="2072">
        <f>营外收支!E6</f>
        <v>0</v>
      </c>
      <c r="D20" s="1523"/>
    </row>
    <row r="21" spans="1:4">
      <c r="A21" s="1846">
        <v>18</v>
      </c>
      <c r="B21" s="1829" t="s">
        <v>4886</v>
      </c>
      <c r="C21" s="2072">
        <f>营外收支!E7</f>
        <v>0</v>
      </c>
      <c r="D21" s="1523"/>
    </row>
    <row r="22" spans="1:4">
      <c r="A22" s="1846">
        <v>19</v>
      </c>
      <c r="B22" s="1829" t="s">
        <v>4887</v>
      </c>
      <c r="C22" s="2072">
        <f>营外收支!E8</f>
        <v>0</v>
      </c>
      <c r="D22" s="1523"/>
    </row>
    <row r="23" spans="1:4">
      <c r="A23" s="1846">
        <v>20</v>
      </c>
      <c r="B23" s="1829" t="s">
        <v>4888</v>
      </c>
      <c r="C23" s="2072">
        <f>营外收支!E9</f>
        <v>0</v>
      </c>
      <c r="D23" s="1523"/>
    </row>
    <row r="24" spans="1:4" ht="14.1" customHeight="1">
      <c r="A24" s="1846">
        <v>21</v>
      </c>
      <c r="B24" s="1829" t="s">
        <v>4889</v>
      </c>
      <c r="C24" s="2072">
        <f>营外收支!E10</f>
        <v>0</v>
      </c>
      <c r="D24" s="1523"/>
    </row>
    <row r="25" spans="1:4" ht="14.1" customHeight="1">
      <c r="A25" s="1846">
        <v>22</v>
      </c>
      <c r="B25" s="1829" t="s">
        <v>4890</v>
      </c>
      <c r="C25" s="2072">
        <f>营外收支!E11</f>
        <v>0</v>
      </c>
      <c r="D25" s="1523"/>
    </row>
    <row r="26" spans="1:4">
      <c r="A26" s="1846">
        <v>23</v>
      </c>
      <c r="B26" s="1829" t="s">
        <v>4891</v>
      </c>
      <c r="C26" s="2072">
        <f>营外收支!E12</f>
        <v>0</v>
      </c>
      <c r="D26" s="1523"/>
    </row>
    <row r="27" spans="1:4">
      <c r="A27" s="1846">
        <v>24</v>
      </c>
      <c r="B27" s="1829" t="s">
        <v>4892</v>
      </c>
      <c r="C27" s="2072">
        <f>营外收支!E13</f>
        <v>0</v>
      </c>
      <c r="D27" s="1523"/>
    </row>
    <row r="28" spans="1:4">
      <c r="A28" s="1846">
        <v>25</v>
      </c>
      <c r="B28" s="1829" t="s">
        <v>4893</v>
      </c>
      <c r="C28" s="2072">
        <f>营外收支!E14</f>
        <v>0</v>
      </c>
      <c r="D28" s="1523"/>
    </row>
    <row r="29" spans="1:4">
      <c r="A29" s="1846">
        <v>26</v>
      </c>
      <c r="B29" s="1829" t="s">
        <v>4894</v>
      </c>
      <c r="C29" s="2072">
        <f>营外收支!E15</f>
        <v>0</v>
      </c>
      <c r="D29" s="1523"/>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cellComments="asDisplayed"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D45"/>
  <sheetViews>
    <sheetView workbookViewId="0">
      <selection sqref="A1:C1"/>
    </sheetView>
  </sheetViews>
  <sheetFormatPr defaultRowHeight="15" customHeight="1"/>
  <cols>
    <col min="1" max="1" width="5.19921875" style="1535" customWidth="1"/>
    <col min="2" max="2" width="47.09765625" style="1535" customWidth="1"/>
    <col min="3" max="3" width="18.8984375" style="1535" customWidth="1"/>
    <col min="4" max="4" width="19.69921875" style="1535" customWidth="1"/>
    <col min="5" max="256" width="9" style="1535"/>
    <col min="257" max="257" width="5.19921875" style="1535" customWidth="1"/>
    <col min="258" max="258" width="47.09765625" style="1535" customWidth="1"/>
    <col min="259" max="259" width="10.19921875" style="1535" customWidth="1"/>
    <col min="260" max="260" width="19.69921875" style="1535" customWidth="1"/>
    <col min="261" max="512" width="9" style="1535"/>
    <col min="513" max="513" width="5.19921875" style="1535" customWidth="1"/>
    <col min="514" max="514" width="47.09765625" style="1535" customWidth="1"/>
    <col min="515" max="515" width="10.19921875" style="1535" customWidth="1"/>
    <col min="516" max="516" width="19.69921875" style="1535" customWidth="1"/>
    <col min="517" max="768" width="9" style="1535"/>
    <col min="769" max="769" width="5.19921875" style="1535" customWidth="1"/>
    <col min="770" max="770" width="47.09765625" style="1535" customWidth="1"/>
    <col min="771" max="771" width="10.19921875" style="1535" customWidth="1"/>
    <col min="772" max="772" width="19.69921875" style="1535" customWidth="1"/>
    <col min="773" max="1024" width="9" style="1535"/>
    <col min="1025" max="1025" width="5.19921875" style="1535" customWidth="1"/>
    <col min="1026" max="1026" width="47.09765625" style="1535" customWidth="1"/>
    <col min="1027" max="1027" width="10.19921875" style="1535" customWidth="1"/>
    <col min="1028" max="1028" width="19.69921875" style="1535" customWidth="1"/>
    <col min="1029" max="1280" width="9" style="1535"/>
    <col min="1281" max="1281" width="5.19921875" style="1535" customWidth="1"/>
    <col min="1282" max="1282" width="47.09765625" style="1535" customWidth="1"/>
    <col min="1283" max="1283" width="10.19921875" style="1535" customWidth="1"/>
    <col min="1284" max="1284" width="19.69921875" style="1535" customWidth="1"/>
    <col min="1285" max="1536" width="9" style="1535"/>
    <col min="1537" max="1537" width="5.19921875" style="1535" customWidth="1"/>
    <col min="1538" max="1538" width="47.09765625" style="1535" customWidth="1"/>
    <col min="1539" max="1539" width="10.19921875" style="1535" customWidth="1"/>
    <col min="1540" max="1540" width="19.69921875" style="1535" customWidth="1"/>
    <col min="1541" max="1792" width="9" style="1535"/>
    <col min="1793" max="1793" width="5.19921875" style="1535" customWidth="1"/>
    <col min="1794" max="1794" width="47.09765625" style="1535" customWidth="1"/>
    <col min="1795" max="1795" width="10.19921875" style="1535" customWidth="1"/>
    <col min="1796" max="1796" width="19.69921875" style="1535" customWidth="1"/>
    <col min="1797" max="2048" width="9" style="1535"/>
    <col min="2049" max="2049" width="5.19921875" style="1535" customWidth="1"/>
    <col min="2050" max="2050" width="47.09765625" style="1535" customWidth="1"/>
    <col min="2051" max="2051" width="10.19921875" style="1535" customWidth="1"/>
    <col min="2052" max="2052" width="19.69921875" style="1535" customWidth="1"/>
    <col min="2053" max="2304" width="9" style="1535"/>
    <col min="2305" max="2305" width="5.19921875" style="1535" customWidth="1"/>
    <col min="2306" max="2306" width="47.09765625" style="1535" customWidth="1"/>
    <col min="2307" max="2307" width="10.19921875" style="1535" customWidth="1"/>
    <col min="2308" max="2308" width="19.69921875" style="1535" customWidth="1"/>
    <col min="2309" max="2560" width="9" style="1535"/>
    <col min="2561" max="2561" width="5.19921875" style="1535" customWidth="1"/>
    <col min="2562" max="2562" width="47.09765625" style="1535" customWidth="1"/>
    <col min="2563" max="2563" width="10.19921875" style="1535" customWidth="1"/>
    <col min="2564" max="2564" width="19.69921875" style="1535" customWidth="1"/>
    <col min="2565" max="2816" width="9" style="1535"/>
    <col min="2817" max="2817" width="5.19921875" style="1535" customWidth="1"/>
    <col min="2818" max="2818" width="47.09765625" style="1535" customWidth="1"/>
    <col min="2819" max="2819" width="10.19921875" style="1535" customWidth="1"/>
    <col min="2820" max="2820" width="19.69921875" style="1535" customWidth="1"/>
    <col min="2821" max="3072" width="9" style="1535"/>
    <col min="3073" max="3073" width="5.19921875" style="1535" customWidth="1"/>
    <col min="3074" max="3074" width="47.09765625" style="1535" customWidth="1"/>
    <col min="3075" max="3075" width="10.19921875" style="1535" customWidth="1"/>
    <col min="3076" max="3076" width="19.69921875" style="1535" customWidth="1"/>
    <col min="3077" max="3328" width="9" style="1535"/>
    <col min="3329" max="3329" width="5.19921875" style="1535" customWidth="1"/>
    <col min="3330" max="3330" width="47.09765625" style="1535" customWidth="1"/>
    <col min="3331" max="3331" width="10.19921875" style="1535" customWidth="1"/>
    <col min="3332" max="3332" width="19.69921875" style="1535" customWidth="1"/>
    <col min="3333" max="3584" width="9" style="1535"/>
    <col min="3585" max="3585" width="5.19921875" style="1535" customWidth="1"/>
    <col min="3586" max="3586" width="47.09765625" style="1535" customWidth="1"/>
    <col min="3587" max="3587" width="10.19921875" style="1535" customWidth="1"/>
    <col min="3588" max="3588" width="19.69921875" style="1535" customWidth="1"/>
    <col min="3589" max="3840" width="9" style="1535"/>
    <col min="3841" max="3841" width="5.19921875" style="1535" customWidth="1"/>
    <col min="3842" max="3842" width="47.09765625" style="1535" customWidth="1"/>
    <col min="3843" max="3843" width="10.19921875" style="1535" customWidth="1"/>
    <col min="3844" max="3844" width="19.69921875" style="1535" customWidth="1"/>
    <col min="3845" max="4096" width="9" style="1535"/>
    <col min="4097" max="4097" width="5.19921875" style="1535" customWidth="1"/>
    <col min="4098" max="4098" width="47.09765625" style="1535" customWidth="1"/>
    <col min="4099" max="4099" width="10.19921875" style="1535" customWidth="1"/>
    <col min="4100" max="4100" width="19.69921875" style="1535" customWidth="1"/>
    <col min="4101" max="4352" width="9" style="1535"/>
    <col min="4353" max="4353" width="5.19921875" style="1535" customWidth="1"/>
    <col min="4354" max="4354" width="47.09765625" style="1535" customWidth="1"/>
    <col min="4355" max="4355" width="10.19921875" style="1535" customWidth="1"/>
    <col min="4356" max="4356" width="19.69921875" style="1535" customWidth="1"/>
    <col min="4357" max="4608" width="9" style="1535"/>
    <col min="4609" max="4609" width="5.19921875" style="1535" customWidth="1"/>
    <col min="4610" max="4610" width="47.09765625" style="1535" customWidth="1"/>
    <col min="4611" max="4611" width="10.19921875" style="1535" customWidth="1"/>
    <col min="4612" max="4612" width="19.69921875" style="1535" customWidth="1"/>
    <col min="4613" max="4864" width="9" style="1535"/>
    <col min="4865" max="4865" width="5.19921875" style="1535" customWidth="1"/>
    <col min="4866" max="4866" width="47.09765625" style="1535" customWidth="1"/>
    <col min="4867" max="4867" width="10.19921875" style="1535" customWidth="1"/>
    <col min="4868" max="4868" width="19.69921875" style="1535" customWidth="1"/>
    <col min="4869" max="5120" width="9" style="1535"/>
    <col min="5121" max="5121" width="5.19921875" style="1535" customWidth="1"/>
    <col min="5122" max="5122" width="47.09765625" style="1535" customWidth="1"/>
    <col min="5123" max="5123" width="10.19921875" style="1535" customWidth="1"/>
    <col min="5124" max="5124" width="19.69921875" style="1535" customWidth="1"/>
    <col min="5125" max="5376" width="9" style="1535"/>
    <col min="5377" max="5377" width="5.19921875" style="1535" customWidth="1"/>
    <col min="5378" max="5378" width="47.09765625" style="1535" customWidth="1"/>
    <col min="5379" max="5379" width="10.19921875" style="1535" customWidth="1"/>
    <col min="5380" max="5380" width="19.69921875" style="1535" customWidth="1"/>
    <col min="5381" max="5632" width="9" style="1535"/>
    <col min="5633" max="5633" width="5.19921875" style="1535" customWidth="1"/>
    <col min="5634" max="5634" width="47.09765625" style="1535" customWidth="1"/>
    <col min="5635" max="5635" width="10.19921875" style="1535" customWidth="1"/>
    <col min="5636" max="5636" width="19.69921875" style="1535" customWidth="1"/>
    <col min="5637" max="5888" width="9" style="1535"/>
    <col min="5889" max="5889" width="5.19921875" style="1535" customWidth="1"/>
    <col min="5890" max="5890" width="47.09765625" style="1535" customWidth="1"/>
    <col min="5891" max="5891" width="10.19921875" style="1535" customWidth="1"/>
    <col min="5892" max="5892" width="19.69921875" style="1535" customWidth="1"/>
    <col min="5893" max="6144" width="9" style="1535"/>
    <col min="6145" max="6145" width="5.19921875" style="1535" customWidth="1"/>
    <col min="6146" max="6146" width="47.09765625" style="1535" customWidth="1"/>
    <col min="6147" max="6147" width="10.19921875" style="1535" customWidth="1"/>
    <col min="6148" max="6148" width="19.69921875" style="1535" customWidth="1"/>
    <col min="6149" max="6400" width="9" style="1535"/>
    <col min="6401" max="6401" width="5.19921875" style="1535" customWidth="1"/>
    <col min="6402" max="6402" width="47.09765625" style="1535" customWidth="1"/>
    <col min="6403" max="6403" width="10.19921875" style="1535" customWidth="1"/>
    <col min="6404" max="6404" width="19.69921875" style="1535" customWidth="1"/>
    <col min="6405" max="6656" width="9" style="1535"/>
    <col min="6657" max="6657" width="5.19921875" style="1535" customWidth="1"/>
    <col min="6658" max="6658" width="47.09765625" style="1535" customWidth="1"/>
    <col min="6659" max="6659" width="10.19921875" style="1535" customWidth="1"/>
    <col min="6660" max="6660" width="19.69921875" style="1535" customWidth="1"/>
    <col min="6661" max="6912" width="9" style="1535"/>
    <col min="6913" max="6913" width="5.19921875" style="1535" customWidth="1"/>
    <col min="6914" max="6914" width="47.09765625" style="1535" customWidth="1"/>
    <col min="6915" max="6915" width="10.19921875" style="1535" customWidth="1"/>
    <col min="6916" max="6916" width="19.69921875" style="1535" customWidth="1"/>
    <col min="6917" max="7168" width="9" style="1535"/>
    <col min="7169" max="7169" width="5.19921875" style="1535" customWidth="1"/>
    <col min="7170" max="7170" width="47.09765625" style="1535" customWidth="1"/>
    <col min="7171" max="7171" width="10.19921875" style="1535" customWidth="1"/>
    <col min="7172" max="7172" width="19.69921875" style="1535" customWidth="1"/>
    <col min="7173" max="7424" width="9" style="1535"/>
    <col min="7425" max="7425" width="5.19921875" style="1535" customWidth="1"/>
    <col min="7426" max="7426" width="47.09765625" style="1535" customWidth="1"/>
    <col min="7427" max="7427" width="10.19921875" style="1535" customWidth="1"/>
    <col min="7428" max="7428" width="19.69921875" style="1535" customWidth="1"/>
    <col min="7429" max="7680" width="9" style="1535"/>
    <col min="7681" max="7681" width="5.19921875" style="1535" customWidth="1"/>
    <col min="7682" max="7682" width="47.09765625" style="1535" customWidth="1"/>
    <col min="7683" max="7683" width="10.19921875" style="1535" customWidth="1"/>
    <col min="7684" max="7684" width="19.69921875" style="1535" customWidth="1"/>
    <col min="7685" max="7936" width="9" style="1535"/>
    <col min="7937" max="7937" width="5.19921875" style="1535" customWidth="1"/>
    <col min="7938" max="7938" width="47.09765625" style="1535" customWidth="1"/>
    <col min="7939" max="7939" width="10.19921875" style="1535" customWidth="1"/>
    <col min="7940" max="7940" width="19.69921875" style="1535" customWidth="1"/>
    <col min="7941" max="8192" width="9" style="1535"/>
    <col min="8193" max="8193" width="5.19921875" style="1535" customWidth="1"/>
    <col min="8194" max="8194" width="47.09765625" style="1535" customWidth="1"/>
    <col min="8195" max="8195" width="10.19921875" style="1535" customWidth="1"/>
    <col min="8196" max="8196" width="19.69921875" style="1535" customWidth="1"/>
    <col min="8197" max="8448" width="9" style="1535"/>
    <col min="8449" max="8449" width="5.19921875" style="1535" customWidth="1"/>
    <col min="8450" max="8450" width="47.09765625" style="1535" customWidth="1"/>
    <col min="8451" max="8451" width="10.19921875" style="1535" customWidth="1"/>
    <col min="8452" max="8452" width="19.69921875" style="1535" customWidth="1"/>
    <col min="8453" max="8704" width="9" style="1535"/>
    <col min="8705" max="8705" width="5.19921875" style="1535" customWidth="1"/>
    <col min="8706" max="8706" width="47.09765625" style="1535" customWidth="1"/>
    <col min="8707" max="8707" width="10.19921875" style="1535" customWidth="1"/>
    <col min="8708" max="8708" width="19.69921875" style="1535" customWidth="1"/>
    <col min="8709" max="8960" width="9" style="1535"/>
    <col min="8961" max="8961" width="5.19921875" style="1535" customWidth="1"/>
    <col min="8962" max="8962" width="47.09765625" style="1535" customWidth="1"/>
    <col min="8963" max="8963" width="10.19921875" style="1535" customWidth="1"/>
    <col min="8964" max="8964" width="19.69921875" style="1535" customWidth="1"/>
    <col min="8965" max="9216" width="9" style="1535"/>
    <col min="9217" max="9217" width="5.19921875" style="1535" customWidth="1"/>
    <col min="9218" max="9218" width="47.09765625" style="1535" customWidth="1"/>
    <col min="9219" max="9219" width="10.19921875" style="1535" customWidth="1"/>
    <col min="9220" max="9220" width="19.69921875" style="1535" customWidth="1"/>
    <col min="9221" max="9472" width="9" style="1535"/>
    <col min="9473" max="9473" width="5.19921875" style="1535" customWidth="1"/>
    <col min="9474" max="9474" width="47.09765625" style="1535" customWidth="1"/>
    <col min="9475" max="9475" width="10.19921875" style="1535" customWidth="1"/>
    <col min="9476" max="9476" width="19.69921875" style="1535" customWidth="1"/>
    <col min="9477" max="9728" width="9" style="1535"/>
    <col min="9729" max="9729" width="5.19921875" style="1535" customWidth="1"/>
    <col min="9730" max="9730" width="47.09765625" style="1535" customWidth="1"/>
    <col min="9731" max="9731" width="10.19921875" style="1535" customWidth="1"/>
    <col min="9732" max="9732" width="19.69921875" style="1535" customWidth="1"/>
    <col min="9733" max="9984" width="9" style="1535"/>
    <col min="9985" max="9985" width="5.19921875" style="1535" customWidth="1"/>
    <col min="9986" max="9986" width="47.09765625" style="1535" customWidth="1"/>
    <col min="9987" max="9987" width="10.19921875" style="1535" customWidth="1"/>
    <col min="9988" max="9988" width="19.69921875" style="1535" customWidth="1"/>
    <col min="9989" max="10240" width="9" style="1535"/>
    <col min="10241" max="10241" width="5.19921875" style="1535" customWidth="1"/>
    <col min="10242" max="10242" width="47.09765625" style="1535" customWidth="1"/>
    <col min="10243" max="10243" width="10.19921875" style="1535" customWidth="1"/>
    <col min="10244" max="10244" width="19.69921875" style="1535" customWidth="1"/>
    <col min="10245" max="10496" width="9" style="1535"/>
    <col min="10497" max="10497" width="5.19921875" style="1535" customWidth="1"/>
    <col min="10498" max="10498" width="47.09765625" style="1535" customWidth="1"/>
    <col min="10499" max="10499" width="10.19921875" style="1535" customWidth="1"/>
    <col min="10500" max="10500" width="19.69921875" style="1535" customWidth="1"/>
    <col min="10501" max="10752" width="9" style="1535"/>
    <col min="10753" max="10753" width="5.19921875" style="1535" customWidth="1"/>
    <col min="10754" max="10754" width="47.09765625" style="1535" customWidth="1"/>
    <col min="10755" max="10755" width="10.19921875" style="1535" customWidth="1"/>
    <col min="10756" max="10756" width="19.69921875" style="1535" customWidth="1"/>
    <col min="10757" max="11008" width="9" style="1535"/>
    <col min="11009" max="11009" width="5.19921875" style="1535" customWidth="1"/>
    <col min="11010" max="11010" width="47.09765625" style="1535" customWidth="1"/>
    <col min="11011" max="11011" width="10.19921875" style="1535" customWidth="1"/>
    <col min="11012" max="11012" width="19.69921875" style="1535" customWidth="1"/>
    <col min="11013" max="11264" width="9" style="1535"/>
    <col min="11265" max="11265" width="5.19921875" style="1535" customWidth="1"/>
    <col min="11266" max="11266" width="47.09765625" style="1535" customWidth="1"/>
    <col min="11267" max="11267" width="10.19921875" style="1535" customWidth="1"/>
    <col min="11268" max="11268" width="19.69921875" style="1535" customWidth="1"/>
    <col min="11269" max="11520" width="9" style="1535"/>
    <col min="11521" max="11521" width="5.19921875" style="1535" customWidth="1"/>
    <col min="11522" max="11522" width="47.09765625" style="1535" customWidth="1"/>
    <col min="11523" max="11523" width="10.19921875" style="1535" customWidth="1"/>
    <col min="11524" max="11524" width="19.69921875" style="1535" customWidth="1"/>
    <col min="11525" max="11776" width="9" style="1535"/>
    <col min="11777" max="11777" width="5.19921875" style="1535" customWidth="1"/>
    <col min="11778" max="11778" width="47.09765625" style="1535" customWidth="1"/>
    <col min="11779" max="11779" width="10.19921875" style="1535" customWidth="1"/>
    <col min="11780" max="11780" width="19.69921875" style="1535" customWidth="1"/>
    <col min="11781" max="12032" width="9" style="1535"/>
    <col min="12033" max="12033" width="5.19921875" style="1535" customWidth="1"/>
    <col min="12034" max="12034" width="47.09765625" style="1535" customWidth="1"/>
    <col min="12035" max="12035" width="10.19921875" style="1535" customWidth="1"/>
    <col min="12036" max="12036" width="19.69921875" style="1535" customWidth="1"/>
    <col min="12037" max="12288" width="9" style="1535"/>
    <col min="12289" max="12289" width="5.19921875" style="1535" customWidth="1"/>
    <col min="12290" max="12290" width="47.09765625" style="1535" customWidth="1"/>
    <col min="12291" max="12291" width="10.19921875" style="1535" customWidth="1"/>
    <col min="12292" max="12292" width="19.69921875" style="1535" customWidth="1"/>
    <col min="12293" max="12544" width="9" style="1535"/>
    <col min="12545" max="12545" width="5.19921875" style="1535" customWidth="1"/>
    <col min="12546" max="12546" width="47.09765625" style="1535" customWidth="1"/>
    <col min="12547" max="12547" width="10.19921875" style="1535" customWidth="1"/>
    <col min="12548" max="12548" width="19.69921875" style="1535" customWidth="1"/>
    <col min="12549" max="12800" width="9" style="1535"/>
    <col min="12801" max="12801" width="5.19921875" style="1535" customWidth="1"/>
    <col min="12802" max="12802" width="47.09765625" style="1535" customWidth="1"/>
    <col min="12803" max="12803" width="10.19921875" style="1535" customWidth="1"/>
    <col min="12804" max="12804" width="19.69921875" style="1535" customWidth="1"/>
    <col min="12805" max="13056" width="9" style="1535"/>
    <col min="13057" max="13057" width="5.19921875" style="1535" customWidth="1"/>
    <col min="13058" max="13058" width="47.09765625" style="1535" customWidth="1"/>
    <col min="13059" max="13059" width="10.19921875" style="1535" customWidth="1"/>
    <col min="13060" max="13060" width="19.69921875" style="1535" customWidth="1"/>
    <col min="13061" max="13312" width="9" style="1535"/>
    <col min="13313" max="13313" width="5.19921875" style="1535" customWidth="1"/>
    <col min="13314" max="13314" width="47.09765625" style="1535" customWidth="1"/>
    <col min="13315" max="13315" width="10.19921875" style="1535" customWidth="1"/>
    <col min="13316" max="13316" width="19.69921875" style="1535" customWidth="1"/>
    <col min="13317" max="13568" width="9" style="1535"/>
    <col min="13569" max="13569" width="5.19921875" style="1535" customWidth="1"/>
    <col min="13570" max="13570" width="47.09765625" style="1535" customWidth="1"/>
    <col min="13571" max="13571" width="10.19921875" style="1535" customWidth="1"/>
    <col min="13572" max="13572" width="19.69921875" style="1535" customWidth="1"/>
    <col min="13573" max="13824" width="9" style="1535"/>
    <col min="13825" max="13825" width="5.19921875" style="1535" customWidth="1"/>
    <col min="13826" max="13826" width="47.09765625" style="1535" customWidth="1"/>
    <col min="13827" max="13827" width="10.19921875" style="1535" customWidth="1"/>
    <col min="13828" max="13828" width="19.69921875" style="1535" customWidth="1"/>
    <col min="13829" max="14080" width="9" style="1535"/>
    <col min="14081" max="14081" width="5.19921875" style="1535" customWidth="1"/>
    <col min="14082" max="14082" width="47.09765625" style="1535" customWidth="1"/>
    <col min="14083" max="14083" width="10.19921875" style="1535" customWidth="1"/>
    <col min="14084" max="14084" width="19.69921875" style="1535" customWidth="1"/>
    <col min="14085" max="14336" width="9" style="1535"/>
    <col min="14337" max="14337" width="5.19921875" style="1535" customWidth="1"/>
    <col min="14338" max="14338" width="47.09765625" style="1535" customWidth="1"/>
    <col min="14339" max="14339" width="10.19921875" style="1535" customWidth="1"/>
    <col min="14340" max="14340" width="19.69921875" style="1535" customWidth="1"/>
    <col min="14341" max="14592" width="9" style="1535"/>
    <col min="14593" max="14593" width="5.19921875" style="1535" customWidth="1"/>
    <col min="14594" max="14594" width="47.09765625" style="1535" customWidth="1"/>
    <col min="14595" max="14595" width="10.19921875" style="1535" customWidth="1"/>
    <col min="14596" max="14596" width="19.69921875" style="1535" customWidth="1"/>
    <col min="14597" max="14848" width="9" style="1535"/>
    <col min="14849" max="14849" width="5.19921875" style="1535" customWidth="1"/>
    <col min="14850" max="14850" width="47.09765625" style="1535" customWidth="1"/>
    <col min="14851" max="14851" width="10.19921875" style="1535" customWidth="1"/>
    <col min="14852" max="14852" width="19.69921875" style="1535" customWidth="1"/>
    <col min="14853" max="15104" width="9" style="1535"/>
    <col min="15105" max="15105" width="5.19921875" style="1535" customWidth="1"/>
    <col min="15106" max="15106" width="47.09765625" style="1535" customWidth="1"/>
    <col min="15107" max="15107" width="10.19921875" style="1535" customWidth="1"/>
    <col min="15108" max="15108" width="19.69921875" style="1535" customWidth="1"/>
    <col min="15109" max="15360" width="9" style="1535"/>
    <col min="15361" max="15361" width="5.19921875" style="1535" customWidth="1"/>
    <col min="15362" max="15362" width="47.09765625" style="1535" customWidth="1"/>
    <col min="15363" max="15363" width="10.19921875" style="1535" customWidth="1"/>
    <col min="15364" max="15364" width="19.69921875" style="1535" customWidth="1"/>
    <col min="15365" max="15616" width="9" style="1535"/>
    <col min="15617" max="15617" width="5.19921875" style="1535" customWidth="1"/>
    <col min="15618" max="15618" width="47.09765625" style="1535" customWidth="1"/>
    <col min="15619" max="15619" width="10.19921875" style="1535" customWidth="1"/>
    <col min="15620" max="15620" width="19.69921875" style="1535" customWidth="1"/>
    <col min="15621" max="15872" width="9" style="1535"/>
    <col min="15873" max="15873" width="5.19921875" style="1535" customWidth="1"/>
    <col min="15874" max="15874" width="47.09765625" style="1535" customWidth="1"/>
    <col min="15875" max="15875" width="10.19921875" style="1535" customWidth="1"/>
    <col min="15876" max="15876" width="19.69921875" style="1535" customWidth="1"/>
    <col min="15877" max="16128" width="9" style="1535"/>
    <col min="16129" max="16129" width="5.19921875" style="1535" customWidth="1"/>
    <col min="16130" max="16130" width="47.09765625" style="1535" customWidth="1"/>
    <col min="16131" max="16131" width="10.19921875" style="1535" customWidth="1"/>
    <col min="16132" max="16132" width="19.69921875" style="1535" customWidth="1"/>
    <col min="16133" max="16384" width="9" style="1535"/>
  </cols>
  <sheetData>
    <row r="1" spans="1:4" s="1534" customFormat="1" ht="20.100000000000001" customHeight="1">
      <c r="A1" s="3400" t="s">
        <v>4895</v>
      </c>
      <c r="B1" s="3400"/>
      <c r="C1" s="3400"/>
      <c r="D1" s="2007"/>
    </row>
    <row r="2" spans="1:4" ht="25.5" customHeight="1">
      <c r="A2" s="3401" t="s">
        <v>4896</v>
      </c>
      <c r="B2" s="3401"/>
      <c r="C2" s="3401"/>
      <c r="D2" s="1944"/>
    </row>
    <row r="3" spans="1:4" ht="14.25" customHeight="1">
      <c r="A3" s="1910" t="s">
        <v>1853</v>
      </c>
      <c r="B3" s="1910" t="s">
        <v>4897</v>
      </c>
      <c r="C3" s="1910" t="s">
        <v>4898</v>
      </c>
      <c r="D3" s="1910" t="s">
        <v>4899</v>
      </c>
    </row>
    <row r="4" spans="1:4" ht="14.25" customHeight="1">
      <c r="A4" s="1910">
        <v>1</v>
      </c>
      <c r="B4" s="1913" t="s">
        <v>4900</v>
      </c>
      <c r="C4" s="2075">
        <f>C5+C21+C30+C35+C36+C37</f>
        <v>0</v>
      </c>
      <c r="D4" s="1910" t="s">
        <v>4901</v>
      </c>
    </row>
    <row r="5" spans="1:4" ht="14.25" customHeight="1">
      <c r="A5" s="1910">
        <v>2</v>
      </c>
      <c r="B5" s="1913" t="s">
        <v>4902</v>
      </c>
      <c r="C5" s="2075">
        <f>C6+C13</f>
        <v>0</v>
      </c>
      <c r="D5" s="1910"/>
    </row>
    <row r="6" spans="1:4" ht="14.25" customHeight="1">
      <c r="A6" s="1910">
        <v>3</v>
      </c>
      <c r="B6" s="1913" t="s">
        <v>4903</v>
      </c>
      <c r="C6" s="2075">
        <f>SUM(C7:C12)</f>
        <v>0</v>
      </c>
      <c r="D6" s="1910"/>
    </row>
    <row r="7" spans="1:4" ht="14.25" customHeight="1">
      <c r="A7" s="1910">
        <v>4</v>
      </c>
      <c r="B7" s="1945" t="s">
        <v>4904</v>
      </c>
      <c r="C7" s="2077"/>
      <c r="D7" s="1910"/>
    </row>
    <row r="8" spans="1:4" ht="14.25" customHeight="1">
      <c r="A8" s="1910">
        <v>5</v>
      </c>
      <c r="B8" s="1945" t="s">
        <v>4905</v>
      </c>
      <c r="C8" s="2077"/>
      <c r="D8" s="1910"/>
    </row>
    <row r="9" spans="1:4" ht="14.25" customHeight="1">
      <c r="A9" s="1910">
        <v>6</v>
      </c>
      <c r="B9" s="1945" t="s">
        <v>4906</v>
      </c>
      <c r="C9" s="2077"/>
      <c r="D9" s="1910"/>
    </row>
    <row r="10" spans="1:4" ht="14.25" customHeight="1">
      <c r="A10" s="1910">
        <v>7</v>
      </c>
      <c r="B10" s="1945" t="s">
        <v>4907</v>
      </c>
      <c r="C10" s="2077"/>
      <c r="D10" s="1910"/>
    </row>
    <row r="11" spans="1:4" ht="14.25" customHeight="1">
      <c r="A11" s="1910">
        <v>8</v>
      </c>
      <c r="B11" s="1945" t="s">
        <v>4908</v>
      </c>
      <c r="C11" s="2077"/>
      <c r="D11" s="1910"/>
    </row>
    <row r="12" spans="1:4" ht="14.25" customHeight="1">
      <c r="A12" s="1910">
        <v>9</v>
      </c>
      <c r="B12" s="1945" t="s">
        <v>4909</v>
      </c>
      <c r="C12" s="2077"/>
      <c r="D12" s="1910"/>
    </row>
    <row r="13" spans="1:4" ht="14.25" customHeight="1">
      <c r="A13" s="1910">
        <v>10</v>
      </c>
      <c r="B13" s="1913" t="s">
        <v>4910</v>
      </c>
      <c r="C13" s="2075">
        <f>SUM(C14:C20)</f>
        <v>0</v>
      </c>
      <c r="D13" s="1910"/>
    </row>
    <row r="14" spans="1:4" ht="14.25" customHeight="1">
      <c r="A14" s="1910">
        <v>11</v>
      </c>
      <c r="B14" s="1945" t="s">
        <v>4911</v>
      </c>
      <c r="C14" s="2077"/>
      <c r="D14" s="1910"/>
    </row>
    <row r="15" spans="1:4" ht="14.25" customHeight="1">
      <c r="A15" s="1910">
        <v>12</v>
      </c>
      <c r="B15" s="1945" t="s">
        <v>4912</v>
      </c>
      <c r="C15" s="2077"/>
      <c r="D15" s="1910"/>
    </row>
    <row r="16" spans="1:4" ht="14.25" customHeight="1">
      <c r="A16" s="1910">
        <v>13</v>
      </c>
      <c r="B16" s="1945" t="s">
        <v>4913</v>
      </c>
      <c r="C16" s="2077"/>
      <c r="D16" s="1910"/>
    </row>
    <row r="17" spans="1:4" ht="14.25" customHeight="1">
      <c r="A17" s="1910">
        <v>14</v>
      </c>
      <c r="B17" s="1945" t="s">
        <v>4914</v>
      </c>
      <c r="C17" s="2077"/>
      <c r="D17" s="1910"/>
    </row>
    <row r="18" spans="1:4" ht="14.25" customHeight="1">
      <c r="A18" s="1910">
        <v>15</v>
      </c>
      <c r="B18" s="1945" t="s">
        <v>4915</v>
      </c>
      <c r="C18" s="2077"/>
      <c r="D18" s="1910"/>
    </row>
    <row r="19" spans="1:4" ht="14.25" customHeight="1">
      <c r="A19" s="1910">
        <v>16</v>
      </c>
      <c r="B19" s="1945" t="s">
        <v>4916</v>
      </c>
      <c r="C19" s="2077"/>
      <c r="D19" s="1910"/>
    </row>
    <row r="20" spans="1:4" ht="14.25" customHeight="1">
      <c r="A20" s="1910">
        <v>17</v>
      </c>
      <c r="B20" s="1945" t="s">
        <v>4917</v>
      </c>
      <c r="C20" s="2077"/>
      <c r="D20" s="1910"/>
    </row>
    <row r="21" spans="1:4" ht="14.25" customHeight="1">
      <c r="A21" s="1910">
        <v>18</v>
      </c>
      <c r="B21" s="1945" t="s">
        <v>4918</v>
      </c>
      <c r="C21" s="2075">
        <f>C22+C29</f>
        <v>0</v>
      </c>
      <c r="D21" s="1910"/>
    </row>
    <row r="22" spans="1:4" ht="14.25" customHeight="1">
      <c r="A22" s="1910">
        <v>19</v>
      </c>
      <c r="B22" s="1945" t="s">
        <v>4919</v>
      </c>
      <c r="C22" s="2075">
        <f>SUM(C23:C28)</f>
        <v>0</v>
      </c>
      <c r="D22" s="1910"/>
    </row>
    <row r="23" spans="1:4" ht="14.25" customHeight="1">
      <c r="A23" s="1910">
        <v>20</v>
      </c>
      <c r="B23" s="1946" t="s">
        <v>4920</v>
      </c>
      <c r="C23" s="2077"/>
      <c r="D23" s="1910"/>
    </row>
    <row r="24" spans="1:4" ht="14.25" customHeight="1">
      <c r="A24" s="1910">
        <v>21</v>
      </c>
      <c r="B24" s="1945" t="s">
        <v>4921</v>
      </c>
      <c r="C24" s="2077"/>
      <c r="D24" s="1910"/>
    </row>
    <row r="25" spans="1:4" ht="14.25" customHeight="1">
      <c r="A25" s="1910">
        <v>22</v>
      </c>
      <c r="B25" s="1945" t="s">
        <v>4922</v>
      </c>
      <c r="C25" s="2077"/>
      <c r="D25" s="1910"/>
    </row>
    <row r="26" spans="1:4" ht="14.25" customHeight="1">
      <c r="A26" s="1910">
        <v>23</v>
      </c>
      <c r="B26" s="1945" t="s">
        <v>4923</v>
      </c>
      <c r="C26" s="2077"/>
      <c r="D26" s="1910"/>
    </row>
    <row r="27" spans="1:4" ht="14.25" customHeight="1">
      <c r="A27" s="1910">
        <v>24</v>
      </c>
      <c r="B27" s="1945" t="s">
        <v>4924</v>
      </c>
      <c r="C27" s="2077"/>
      <c r="D27" s="1910"/>
    </row>
    <row r="28" spans="1:4" ht="14.25" customHeight="1">
      <c r="A28" s="1910">
        <v>25</v>
      </c>
      <c r="B28" s="1945" t="s">
        <v>4909</v>
      </c>
      <c r="C28" s="2077"/>
      <c r="D28" s="1910"/>
    </row>
    <row r="29" spans="1:4" ht="14.25" customHeight="1">
      <c r="A29" s="1910">
        <v>26</v>
      </c>
      <c r="B29" s="1945" t="s">
        <v>4925</v>
      </c>
      <c r="C29" s="2077"/>
      <c r="D29" s="1910"/>
    </row>
    <row r="30" spans="1:4" ht="14.25" customHeight="1">
      <c r="A30" s="1910">
        <v>27</v>
      </c>
      <c r="B30" s="1913" t="s">
        <v>4926</v>
      </c>
      <c r="C30" s="2075">
        <f>C31-C33-C34</f>
        <v>0</v>
      </c>
      <c r="D30" s="1910"/>
    </row>
    <row r="31" spans="1:4" ht="14.25" customHeight="1">
      <c r="A31" s="1910">
        <v>28</v>
      </c>
      <c r="B31" s="1913" t="s">
        <v>4927</v>
      </c>
      <c r="C31" s="2077"/>
      <c r="D31" s="1910"/>
    </row>
    <row r="32" spans="1:4" ht="14.25" customHeight="1">
      <c r="A32" s="1910">
        <v>29</v>
      </c>
      <c r="B32" s="1913" t="s">
        <v>4928</v>
      </c>
      <c r="C32" s="2077"/>
      <c r="D32" s="1910"/>
    </row>
    <row r="33" spans="1:4" ht="14.25" customHeight="1">
      <c r="A33" s="1910">
        <v>30</v>
      </c>
      <c r="B33" s="1913" t="s">
        <v>4929</v>
      </c>
      <c r="C33" s="2077"/>
      <c r="D33" s="1910"/>
    </row>
    <row r="34" spans="1:4" ht="14.25" customHeight="1">
      <c r="A34" s="1910">
        <v>31</v>
      </c>
      <c r="B34" s="1913" t="s">
        <v>4930</v>
      </c>
      <c r="C34" s="2077"/>
      <c r="D34" s="1910"/>
    </row>
    <row r="35" spans="1:4" ht="14.25" customHeight="1">
      <c r="A35" s="1910">
        <v>32</v>
      </c>
      <c r="B35" s="1913" t="s">
        <v>4931</v>
      </c>
      <c r="C35" s="2077"/>
      <c r="D35" s="1910"/>
    </row>
    <row r="36" spans="1:4" ht="14.25" customHeight="1">
      <c r="A36" s="1910">
        <v>33</v>
      </c>
      <c r="B36" s="1913" t="s">
        <v>4932</v>
      </c>
      <c r="C36" s="2077"/>
      <c r="D36" s="1910"/>
    </row>
    <row r="37" spans="1:4" ht="14.25" customHeight="1">
      <c r="A37" s="1910">
        <v>34</v>
      </c>
      <c r="B37" s="1913" t="s">
        <v>4933</v>
      </c>
      <c r="C37" s="2077"/>
      <c r="D37" s="1910"/>
    </row>
    <row r="38" spans="1:4" ht="14.25" customHeight="1">
      <c r="A38" s="1910">
        <v>35</v>
      </c>
      <c r="B38" s="1913" t="s">
        <v>4934</v>
      </c>
      <c r="C38" s="2075">
        <f>SUM(C39:C45)</f>
        <v>0</v>
      </c>
      <c r="D38" s="1910" t="s">
        <v>4935</v>
      </c>
    </row>
    <row r="39" spans="1:4" ht="14.25" customHeight="1">
      <c r="A39" s="1910">
        <v>36</v>
      </c>
      <c r="B39" s="1913" t="s">
        <v>4936</v>
      </c>
      <c r="C39" s="2077"/>
      <c r="D39" s="1910"/>
    </row>
    <row r="40" spans="1:4" ht="14.25" customHeight="1">
      <c r="A40" s="1910">
        <v>37</v>
      </c>
      <c r="B40" s="1913" t="s">
        <v>4937</v>
      </c>
      <c r="C40" s="2077"/>
      <c r="D40" s="1910"/>
    </row>
    <row r="41" spans="1:4" ht="14.25" customHeight="1">
      <c r="A41" s="1910">
        <v>38</v>
      </c>
      <c r="B41" s="1913" t="s">
        <v>4938</v>
      </c>
      <c r="C41" s="2077"/>
      <c r="D41" s="1910"/>
    </row>
    <row r="42" spans="1:4" ht="14.25" customHeight="1">
      <c r="A42" s="1910">
        <v>39</v>
      </c>
      <c r="B42" s="1913" t="s">
        <v>4939</v>
      </c>
      <c r="C42" s="2077"/>
      <c r="D42" s="1910"/>
    </row>
    <row r="43" spans="1:4" ht="14.25" customHeight="1">
      <c r="A43" s="1910">
        <v>40</v>
      </c>
      <c r="B43" s="1913" t="s">
        <v>4940</v>
      </c>
      <c r="C43" s="2077"/>
      <c r="D43" s="1910"/>
    </row>
    <row r="44" spans="1:4" ht="14.25" customHeight="1">
      <c r="A44" s="1910">
        <v>41</v>
      </c>
      <c r="B44" s="1913" t="s">
        <v>4941</v>
      </c>
      <c r="C44" s="2077"/>
      <c r="D44" s="1910"/>
    </row>
    <row r="45" spans="1:4" ht="14.25" customHeight="1">
      <c r="A45" s="1910">
        <v>42</v>
      </c>
      <c r="B45" s="1913" t="s">
        <v>4942</v>
      </c>
      <c r="C45" s="2077"/>
      <c r="D45" s="1910"/>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D29"/>
  <sheetViews>
    <sheetView workbookViewId="0">
      <selection sqref="A1:C1"/>
    </sheetView>
  </sheetViews>
  <sheetFormatPr defaultColWidth="31.59765625" defaultRowHeight="15.6"/>
  <cols>
    <col min="1" max="1" width="5.09765625" style="1532" customWidth="1"/>
    <col min="2" max="2" width="43.19921875" style="1532" customWidth="1"/>
    <col min="3" max="3" width="16.5" style="1532" customWidth="1"/>
    <col min="4" max="4" width="21.8984375" style="1532" customWidth="1"/>
    <col min="5" max="256" width="31.59765625" style="1532"/>
    <col min="257" max="257" width="5.09765625" style="1532" customWidth="1"/>
    <col min="258" max="258" width="43.19921875" style="1532" customWidth="1"/>
    <col min="259" max="259" width="10.69921875" style="1532" customWidth="1"/>
    <col min="260" max="260" width="21.8984375" style="1532" customWidth="1"/>
    <col min="261" max="512" width="31.59765625" style="1532"/>
    <col min="513" max="513" width="5.09765625" style="1532" customWidth="1"/>
    <col min="514" max="514" width="43.19921875" style="1532" customWidth="1"/>
    <col min="515" max="515" width="10.69921875" style="1532" customWidth="1"/>
    <col min="516" max="516" width="21.8984375" style="1532" customWidth="1"/>
    <col min="517" max="768" width="31.59765625" style="1532"/>
    <col min="769" max="769" width="5.09765625" style="1532" customWidth="1"/>
    <col min="770" max="770" width="43.19921875" style="1532" customWidth="1"/>
    <col min="771" max="771" width="10.69921875" style="1532" customWidth="1"/>
    <col min="772" max="772" width="21.8984375" style="1532" customWidth="1"/>
    <col min="773" max="1024" width="31.59765625" style="1532"/>
    <col min="1025" max="1025" width="5.09765625" style="1532" customWidth="1"/>
    <col min="1026" max="1026" width="43.19921875" style="1532" customWidth="1"/>
    <col min="1027" max="1027" width="10.69921875" style="1532" customWidth="1"/>
    <col min="1028" max="1028" width="21.8984375" style="1532" customWidth="1"/>
    <col min="1029" max="1280" width="31.59765625" style="1532"/>
    <col min="1281" max="1281" width="5.09765625" style="1532" customWidth="1"/>
    <col min="1282" max="1282" width="43.19921875" style="1532" customWidth="1"/>
    <col min="1283" max="1283" width="10.69921875" style="1532" customWidth="1"/>
    <col min="1284" max="1284" width="21.8984375" style="1532" customWidth="1"/>
    <col min="1285" max="1536" width="31.59765625" style="1532"/>
    <col min="1537" max="1537" width="5.09765625" style="1532" customWidth="1"/>
    <col min="1538" max="1538" width="43.19921875" style="1532" customWidth="1"/>
    <col min="1539" max="1539" width="10.69921875" style="1532" customWidth="1"/>
    <col min="1540" max="1540" width="21.8984375" style="1532" customWidth="1"/>
    <col min="1541" max="1792" width="31.59765625" style="1532"/>
    <col min="1793" max="1793" width="5.09765625" style="1532" customWidth="1"/>
    <col min="1794" max="1794" width="43.19921875" style="1532" customWidth="1"/>
    <col min="1795" max="1795" width="10.69921875" style="1532" customWidth="1"/>
    <col min="1796" max="1796" width="21.8984375" style="1532" customWidth="1"/>
    <col min="1797" max="2048" width="31.59765625" style="1532"/>
    <col min="2049" max="2049" width="5.09765625" style="1532" customWidth="1"/>
    <col min="2050" max="2050" width="43.19921875" style="1532" customWidth="1"/>
    <col min="2051" max="2051" width="10.69921875" style="1532" customWidth="1"/>
    <col min="2052" max="2052" width="21.8984375" style="1532" customWidth="1"/>
    <col min="2053" max="2304" width="31.59765625" style="1532"/>
    <col min="2305" max="2305" width="5.09765625" style="1532" customWidth="1"/>
    <col min="2306" max="2306" width="43.19921875" style="1532" customWidth="1"/>
    <col min="2307" max="2307" width="10.69921875" style="1532" customWidth="1"/>
    <col min="2308" max="2308" width="21.8984375" style="1532" customWidth="1"/>
    <col min="2309" max="2560" width="31.59765625" style="1532"/>
    <col min="2561" max="2561" width="5.09765625" style="1532" customWidth="1"/>
    <col min="2562" max="2562" width="43.19921875" style="1532" customWidth="1"/>
    <col min="2563" max="2563" width="10.69921875" style="1532" customWidth="1"/>
    <col min="2564" max="2564" width="21.8984375" style="1532" customWidth="1"/>
    <col min="2565" max="2816" width="31.59765625" style="1532"/>
    <col min="2817" max="2817" width="5.09765625" style="1532" customWidth="1"/>
    <col min="2818" max="2818" width="43.19921875" style="1532" customWidth="1"/>
    <col min="2819" max="2819" width="10.69921875" style="1532" customWidth="1"/>
    <col min="2820" max="2820" width="21.8984375" style="1532" customWidth="1"/>
    <col min="2821" max="3072" width="31.59765625" style="1532"/>
    <col min="3073" max="3073" width="5.09765625" style="1532" customWidth="1"/>
    <col min="3074" max="3074" width="43.19921875" style="1532" customWidth="1"/>
    <col min="3075" max="3075" width="10.69921875" style="1532" customWidth="1"/>
    <col min="3076" max="3076" width="21.8984375" style="1532" customWidth="1"/>
    <col min="3077" max="3328" width="31.59765625" style="1532"/>
    <col min="3329" max="3329" width="5.09765625" style="1532" customWidth="1"/>
    <col min="3330" max="3330" width="43.19921875" style="1532" customWidth="1"/>
    <col min="3331" max="3331" width="10.69921875" style="1532" customWidth="1"/>
    <col min="3332" max="3332" width="21.8984375" style="1532" customWidth="1"/>
    <col min="3333" max="3584" width="31.59765625" style="1532"/>
    <col min="3585" max="3585" width="5.09765625" style="1532" customWidth="1"/>
    <col min="3586" max="3586" width="43.19921875" style="1532" customWidth="1"/>
    <col min="3587" max="3587" width="10.69921875" style="1532" customWidth="1"/>
    <col min="3588" max="3588" width="21.8984375" style="1532" customWidth="1"/>
    <col min="3589" max="3840" width="31.59765625" style="1532"/>
    <col min="3841" max="3841" width="5.09765625" style="1532" customWidth="1"/>
    <col min="3842" max="3842" width="43.19921875" style="1532" customWidth="1"/>
    <col min="3843" max="3843" width="10.69921875" style="1532" customWidth="1"/>
    <col min="3844" max="3844" width="21.8984375" style="1532" customWidth="1"/>
    <col min="3845" max="4096" width="31.59765625" style="1532"/>
    <col min="4097" max="4097" width="5.09765625" style="1532" customWidth="1"/>
    <col min="4098" max="4098" width="43.19921875" style="1532" customWidth="1"/>
    <col min="4099" max="4099" width="10.69921875" style="1532" customWidth="1"/>
    <col min="4100" max="4100" width="21.8984375" style="1532" customWidth="1"/>
    <col min="4101" max="4352" width="31.59765625" style="1532"/>
    <col min="4353" max="4353" width="5.09765625" style="1532" customWidth="1"/>
    <col min="4354" max="4354" width="43.19921875" style="1532" customWidth="1"/>
    <col min="4355" max="4355" width="10.69921875" style="1532" customWidth="1"/>
    <col min="4356" max="4356" width="21.8984375" style="1532" customWidth="1"/>
    <col min="4357" max="4608" width="31.59765625" style="1532"/>
    <col min="4609" max="4609" width="5.09765625" style="1532" customWidth="1"/>
    <col min="4610" max="4610" width="43.19921875" style="1532" customWidth="1"/>
    <col min="4611" max="4611" width="10.69921875" style="1532" customWidth="1"/>
    <col min="4612" max="4612" width="21.8984375" style="1532" customWidth="1"/>
    <col min="4613" max="4864" width="31.59765625" style="1532"/>
    <col min="4865" max="4865" width="5.09765625" style="1532" customWidth="1"/>
    <col min="4866" max="4866" width="43.19921875" style="1532" customWidth="1"/>
    <col min="4867" max="4867" width="10.69921875" style="1532" customWidth="1"/>
    <col min="4868" max="4868" width="21.8984375" style="1532" customWidth="1"/>
    <col min="4869" max="5120" width="31.59765625" style="1532"/>
    <col min="5121" max="5121" width="5.09765625" style="1532" customWidth="1"/>
    <col min="5122" max="5122" width="43.19921875" style="1532" customWidth="1"/>
    <col min="5123" max="5123" width="10.69921875" style="1532" customWidth="1"/>
    <col min="5124" max="5124" width="21.8984375" style="1532" customWidth="1"/>
    <col min="5125" max="5376" width="31.59765625" style="1532"/>
    <col min="5377" max="5377" width="5.09765625" style="1532" customWidth="1"/>
    <col min="5378" max="5378" width="43.19921875" style="1532" customWidth="1"/>
    <col min="5379" max="5379" width="10.69921875" style="1532" customWidth="1"/>
    <col min="5380" max="5380" width="21.8984375" style="1532" customWidth="1"/>
    <col min="5381" max="5632" width="31.59765625" style="1532"/>
    <col min="5633" max="5633" width="5.09765625" style="1532" customWidth="1"/>
    <col min="5634" max="5634" width="43.19921875" style="1532" customWidth="1"/>
    <col min="5635" max="5635" width="10.69921875" style="1532" customWidth="1"/>
    <col min="5636" max="5636" width="21.8984375" style="1532" customWidth="1"/>
    <col min="5637" max="5888" width="31.59765625" style="1532"/>
    <col min="5889" max="5889" width="5.09765625" style="1532" customWidth="1"/>
    <col min="5890" max="5890" width="43.19921875" style="1532" customWidth="1"/>
    <col min="5891" max="5891" width="10.69921875" style="1532" customWidth="1"/>
    <col min="5892" max="5892" width="21.8984375" style="1532" customWidth="1"/>
    <col min="5893" max="6144" width="31.59765625" style="1532"/>
    <col min="6145" max="6145" width="5.09765625" style="1532" customWidth="1"/>
    <col min="6146" max="6146" width="43.19921875" style="1532" customWidth="1"/>
    <col min="6147" max="6147" width="10.69921875" style="1532" customWidth="1"/>
    <col min="6148" max="6148" width="21.8984375" style="1532" customWidth="1"/>
    <col min="6149" max="6400" width="31.59765625" style="1532"/>
    <col min="6401" max="6401" width="5.09765625" style="1532" customWidth="1"/>
    <col min="6402" max="6402" width="43.19921875" style="1532" customWidth="1"/>
    <col min="6403" max="6403" width="10.69921875" style="1532" customWidth="1"/>
    <col min="6404" max="6404" width="21.8984375" style="1532" customWidth="1"/>
    <col min="6405" max="6656" width="31.59765625" style="1532"/>
    <col min="6657" max="6657" width="5.09765625" style="1532" customWidth="1"/>
    <col min="6658" max="6658" width="43.19921875" style="1532" customWidth="1"/>
    <col min="6659" max="6659" width="10.69921875" style="1532" customWidth="1"/>
    <col min="6660" max="6660" width="21.8984375" style="1532" customWidth="1"/>
    <col min="6661" max="6912" width="31.59765625" style="1532"/>
    <col min="6913" max="6913" width="5.09765625" style="1532" customWidth="1"/>
    <col min="6914" max="6914" width="43.19921875" style="1532" customWidth="1"/>
    <col min="6915" max="6915" width="10.69921875" style="1532" customWidth="1"/>
    <col min="6916" max="6916" width="21.8984375" style="1532" customWidth="1"/>
    <col min="6917" max="7168" width="31.59765625" style="1532"/>
    <col min="7169" max="7169" width="5.09765625" style="1532" customWidth="1"/>
    <col min="7170" max="7170" width="43.19921875" style="1532" customWidth="1"/>
    <col min="7171" max="7171" width="10.69921875" style="1532" customWidth="1"/>
    <col min="7172" max="7172" width="21.8984375" style="1532" customWidth="1"/>
    <col min="7173" max="7424" width="31.59765625" style="1532"/>
    <col min="7425" max="7425" width="5.09765625" style="1532" customWidth="1"/>
    <col min="7426" max="7426" width="43.19921875" style="1532" customWidth="1"/>
    <col min="7427" max="7427" width="10.69921875" style="1532" customWidth="1"/>
    <col min="7428" max="7428" width="21.8984375" style="1532" customWidth="1"/>
    <col min="7429" max="7680" width="31.59765625" style="1532"/>
    <col min="7681" max="7681" width="5.09765625" style="1532" customWidth="1"/>
    <col min="7682" max="7682" width="43.19921875" style="1532" customWidth="1"/>
    <col min="7683" max="7683" width="10.69921875" style="1532" customWidth="1"/>
    <col min="7684" max="7684" width="21.8984375" style="1532" customWidth="1"/>
    <col min="7685" max="7936" width="31.59765625" style="1532"/>
    <col min="7937" max="7937" width="5.09765625" style="1532" customWidth="1"/>
    <col min="7938" max="7938" width="43.19921875" style="1532" customWidth="1"/>
    <col min="7939" max="7939" width="10.69921875" style="1532" customWidth="1"/>
    <col min="7940" max="7940" width="21.8984375" style="1532" customWidth="1"/>
    <col min="7941" max="8192" width="31.59765625" style="1532"/>
    <col min="8193" max="8193" width="5.09765625" style="1532" customWidth="1"/>
    <col min="8194" max="8194" width="43.19921875" style="1532" customWidth="1"/>
    <col min="8195" max="8195" width="10.69921875" style="1532" customWidth="1"/>
    <col min="8196" max="8196" width="21.8984375" style="1532" customWidth="1"/>
    <col min="8197" max="8448" width="31.59765625" style="1532"/>
    <col min="8449" max="8449" width="5.09765625" style="1532" customWidth="1"/>
    <col min="8450" max="8450" width="43.19921875" style="1532" customWidth="1"/>
    <col min="8451" max="8451" width="10.69921875" style="1532" customWidth="1"/>
    <col min="8452" max="8452" width="21.8984375" style="1532" customWidth="1"/>
    <col min="8453" max="8704" width="31.59765625" style="1532"/>
    <col min="8705" max="8705" width="5.09765625" style="1532" customWidth="1"/>
    <col min="8706" max="8706" width="43.19921875" style="1532" customWidth="1"/>
    <col min="8707" max="8707" width="10.69921875" style="1532" customWidth="1"/>
    <col min="8708" max="8708" width="21.8984375" style="1532" customWidth="1"/>
    <col min="8709" max="8960" width="31.59765625" style="1532"/>
    <col min="8961" max="8961" width="5.09765625" style="1532" customWidth="1"/>
    <col min="8962" max="8962" width="43.19921875" style="1532" customWidth="1"/>
    <col min="8963" max="8963" width="10.69921875" style="1532" customWidth="1"/>
    <col min="8964" max="8964" width="21.8984375" style="1532" customWidth="1"/>
    <col min="8965" max="9216" width="31.59765625" style="1532"/>
    <col min="9217" max="9217" width="5.09765625" style="1532" customWidth="1"/>
    <col min="9218" max="9218" width="43.19921875" style="1532" customWidth="1"/>
    <col min="9219" max="9219" width="10.69921875" style="1532" customWidth="1"/>
    <col min="9220" max="9220" width="21.8984375" style="1532" customWidth="1"/>
    <col min="9221" max="9472" width="31.59765625" style="1532"/>
    <col min="9473" max="9473" width="5.09765625" style="1532" customWidth="1"/>
    <col min="9474" max="9474" width="43.19921875" style="1532" customWidth="1"/>
    <col min="9475" max="9475" width="10.69921875" style="1532" customWidth="1"/>
    <col min="9476" max="9476" width="21.8984375" style="1532" customWidth="1"/>
    <col min="9477" max="9728" width="31.59765625" style="1532"/>
    <col min="9729" max="9729" width="5.09765625" style="1532" customWidth="1"/>
    <col min="9730" max="9730" width="43.19921875" style="1532" customWidth="1"/>
    <col min="9731" max="9731" width="10.69921875" style="1532" customWidth="1"/>
    <col min="9732" max="9732" width="21.8984375" style="1532" customWidth="1"/>
    <col min="9733" max="9984" width="31.59765625" style="1532"/>
    <col min="9985" max="9985" width="5.09765625" style="1532" customWidth="1"/>
    <col min="9986" max="9986" width="43.19921875" style="1532" customWidth="1"/>
    <col min="9987" max="9987" width="10.69921875" style="1532" customWidth="1"/>
    <col min="9988" max="9988" width="21.8984375" style="1532" customWidth="1"/>
    <col min="9989" max="10240" width="31.59765625" style="1532"/>
    <col min="10241" max="10241" width="5.09765625" style="1532" customWidth="1"/>
    <col min="10242" max="10242" width="43.19921875" style="1532" customWidth="1"/>
    <col min="10243" max="10243" width="10.69921875" style="1532" customWidth="1"/>
    <col min="10244" max="10244" width="21.8984375" style="1532" customWidth="1"/>
    <col min="10245" max="10496" width="31.59765625" style="1532"/>
    <col min="10497" max="10497" width="5.09765625" style="1532" customWidth="1"/>
    <col min="10498" max="10498" width="43.19921875" style="1532" customWidth="1"/>
    <col min="10499" max="10499" width="10.69921875" style="1532" customWidth="1"/>
    <col min="10500" max="10500" width="21.8984375" style="1532" customWidth="1"/>
    <col min="10501" max="10752" width="31.59765625" style="1532"/>
    <col min="10753" max="10753" width="5.09765625" style="1532" customWidth="1"/>
    <col min="10754" max="10754" width="43.19921875" style="1532" customWidth="1"/>
    <col min="10755" max="10755" width="10.69921875" style="1532" customWidth="1"/>
    <col min="10756" max="10756" width="21.8984375" style="1532" customWidth="1"/>
    <col min="10757" max="11008" width="31.59765625" style="1532"/>
    <col min="11009" max="11009" width="5.09765625" style="1532" customWidth="1"/>
    <col min="11010" max="11010" width="43.19921875" style="1532" customWidth="1"/>
    <col min="11011" max="11011" width="10.69921875" style="1532" customWidth="1"/>
    <col min="11012" max="11012" width="21.8984375" style="1532" customWidth="1"/>
    <col min="11013" max="11264" width="31.59765625" style="1532"/>
    <col min="11265" max="11265" width="5.09765625" style="1532" customWidth="1"/>
    <col min="11266" max="11266" width="43.19921875" style="1532" customWidth="1"/>
    <col min="11267" max="11267" width="10.69921875" style="1532" customWidth="1"/>
    <col min="11268" max="11268" width="21.8984375" style="1532" customWidth="1"/>
    <col min="11269" max="11520" width="31.59765625" style="1532"/>
    <col min="11521" max="11521" width="5.09765625" style="1532" customWidth="1"/>
    <col min="11522" max="11522" width="43.19921875" style="1532" customWidth="1"/>
    <col min="11523" max="11523" width="10.69921875" style="1532" customWidth="1"/>
    <col min="11524" max="11524" width="21.8984375" style="1532" customWidth="1"/>
    <col min="11525" max="11776" width="31.59765625" style="1532"/>
    <col min="11777" max="11777" width="5.09765625" style="1532" customWidth="1"/>
    <col min="11778" max="11778" width="43.19921875" style="1532" customWidth="1"/>
    <col min="11779" max="11779" width="10.69921875" style="1532" customWidth="1"/>
    <col min="11780" max="11780" width="21.8984375" style="1532" customWidth="1"/>
    <col min="11781" max="12032" width="31.59765625" style="1532"/>
    <col min="12033" max="12033" width="5.09765625" style="1532" customWidth="1"/>
    <col min="12034" max="12034" width="43.19921875" style="1532" customWidth="1"/>
    <col min="12035" max="12035" width="10.69921875" style="1532" customWidth="1"/>
    <col min="12036" max="12036" width="21.8984375" style="1532" customWidth="1"/>
    <col min="12037" max="12288" width="31.59765625" style="1532"/>
    <col min="12289" max="12289" width="5.09765625" style="1532" customWidth="1"/>
    <col min="12290" max="12290" width="43.19921875" style="1532" customWidth="1"/>
    <col min="12291" max="12291" width="10.69921875" style="1532" customWidth="1"/>
    <col min="12292" max="12292" width="21.8984375" style="1532" customWidth="1"/>
    <col min="12293" max="12544" width="31.59765625" style="1532"/>
    <col min="12545" max="12545" width="5.09765625" style="1532" customWidth="1"/>
    <col min="12546" max="12546" width="43.19921875" style="1532" customWidth="1"/>
    <col min="12547" max="12547" width="10.69921875" style="1532" customWidth="1"/>
    <col min="12548" max="12548" width="21.8984375" style="1532" customWidth="1"/>
    <col min="12549" max="12800" width="31.59765625" style="1532"/>
    <col min="12801" max="12801" width="5.09765625" style="1532" customWidth="1"/>
    <col min="12802" max="12802" width="43.19921875" style="1532" customWidth="1"/>
    <col min="12803" max="12803" width="10.69921875" style="1532" customWidth="1"/>
    <col min="12804" max="12804" width="21.8984375" style="1532" customWidth="1"/>
    <col min="12805" max="13056" width="31.59765625" style="1532"/>
    <col min="13057" max="13057" width="5.09765625" style="1532" customWidth="1"/>
    <col min="13058" max="13058" width="43.19921875" style="1532" customWidth="1"/>
    <col min="13059" max="13059" width="10.69921875" style="1532" customWidth="1"/>
    <col min="13060" max="13060" width="21.8984375" style="1532" customWidth="1"/>
    <col min="13061" max="13312" width="31.59765625" style="1532"/>
    <col min="13313" max="13313" width="5.09765625" style="1532" customWidth="1"/>
    <col min="13314" max="13314" width="43.19921875" style="1532" customWidth="1"/>
    <col min="13315" max="13315" width="10.69921875" style="1532" customWidth="1"/>
    <col min="13316" max="13316" width="21.8984375" style="1532" customWidth="1"/>
    <col min="13317" max="13568" width="31.59765625" style="1532"/>
    <col min="13569" max="13569" width="5.09765625" style="1532" customWidth="1"/>
    <col min="13570" max="13570" width="43.19921875" style="1532" customWidth="1"/>
    <col min="13571" max="13571" width="10.69921875" style="1532" customWidth="1"/>
    <col min="13572" max="13572" width="21.8984375" style="1532" customWidth="1"/>
    <col min="13573" max="13824" width="31.59765625" style="1532"/>
    <col min="13825" max="13825" width="5.09765625" style="1532" customWidth="1"/>
    <col min="13826" max="13826" width="43.19921875" style="1532" customWidth="1"/>
    <col min="13827" max="13827" width="10.69921875" style="1532" customWidth="1"/>
    <col min="13828" max="13828" width="21.8984375" style="1532" customWidth="1"/>
    <col min="13829" max="14080" width="31.59765625" style="1532"/>
    <col min="14081" max="14081" width="5.09765625" style="1532" customWidth="1"/>
    <col min="14082" max="14082" width="43.19921875" style="1532" customWidth="1"/>
    <col min="14083" max="14083" width="10.69921875" style="1532" customWidth="1"/>
    <col min="14084" max="14084" width="21.8984375" style="1532" customWidth="1"/>
    <col min="14085" max="14336" width="31.59765625" style="1532"/>
    <col min="14337" max="14337" width="5.09765625" style="1532" customWidth="1"/>
    <col min="14338" max="14338" width="43.19921875" style="1532" customWidth="1"/>
    <col min="14339" max="14339" width="10.69921875" style="1532" customWidth="1"/>
    <col min="14340" max="14340" width="21.8984375" style="1532" customWidth="1"/>
    <col min="14341" max="14592" width="31.59765625" style="1532"/>
    <col min="14593" max="14593" width="5.09765625" style="1532" customWidth="1"/>
    <col min="14594" max="14594" width="43.19921875" style="1532" customWidth="1"/>
    <col min="14595" max="14595" width="10.69921875" style="1532" customWidth="1"/>
    <col min="14596" max="14596" width="21.8984375" style="1532" customWidth="1"/>
    <col min="14597" max="14848" width="31.59765625" style="1532"/>
    <col min="14849" max="14849" width="5.09765625" style="1532" customWidth="1"/>
    <col min="14850" max="14850" width="43.19921875" style="1532" customWidth="1"/>
    <col min="14851" max="14851" width="10.69921875" style="1532" customWidth="1"/>
    <col min="14852" max="14852" width="21.8984375" style="1532" customWidth="1"/>
    <col min="14853" max="15104" width="31.59765625" style="1532"/>
    <col min="15105" max="15105" width="5.09765625" style="1532" customWidth="1"/>
    <col min="15106" max="15106" width="43.19921875" style="1532" customWidth="1"/>
    <col min="15107" max="15107" width="10.69921875" style="1532" customWidth="1"/>
    <col min="15108" max="15108" width="21.8984375" style="1532" customWidth="1"/>
    <col min="15109" max="15360" width="31.59765625" style="1532"/>
    <col min="15361" max="15361" width="5.09765625" style="1532" customWidth="1"/>
    <col min="15362" max="15362" width="43.19921875" style="1532" customWidth="1"/>
    <col min="15363" max="15363" width="10.69921875" style="1532" customWidth="1"/>
    <col min="15364" max="15364" width="21.8984375" style="1532" customWidth="1"/>
    <col min="15365" max="15616" width="31.59765625" style="1532"/>
    <col min="15617" max="15617" width="5.09765625" style="1532" customWidth="1"/>
    <col min="15618" max="15618" width="43.19921875" style="1532" customWidth="1"/>
    <col min="15619" max="15619" width="10.69921875" style="1532" customWidth="1"/>
    <col min="15620" max="15620" width="21.8984375" style="1532" customWidth="1"/>
    <col min="15621" max="15872" width="31.59765625" style="1532"/>
    <col min="15873" max="15873" width="5.09765625" style="1532" customWidth="1"/>
    <col min="15874" max="15874" width="43.19921875" style="1532" customWidth="1"/>
    <col min="15875" max="15875" width="10.69921875" style="1532" customWidth="1"/>
    <col min="15876" max="15876" width="21.8984375" style="1532" customWidth="1"/>
    <col min="15877" max="16128" width="31.59765625" style="1532"/>
    <col min="16129" max="16129" width="5.09765625" style="1532" customWidth="1"/>
    <col min="16130" max="16130" width="43.19921875" style="1532" customWidth="1"/>
    <col min="16131" max="16131" width="10.69921875" style="1532" customWidth="1"/>
    <col min="16132" max="16132" width="21.8984375" style="1532" customWidth="1"/>
    <col min="16133" max="16384" width="31.59765625" style="1532"/>
  </cols>
  <sheetData>
    <row r="1" spans="1:4" ht="20.100000000000001" customHeight="1">
      <c r="A1" s="3400" t="s">
        <v>4943</v>
      </c>
      <c r="B1" s="3400"/>
      <c r="C1" s="3400"/>
      <c r="D1" s="1937"/>
    </row>
    <row r="2" spans="1:4" s="1536" customFormat="1" ht="25.5" customHeight="1">
      <c r="A2" s="3940" t="s">
        <v>4944</v>
      </c>
      <c r="B2" s="3940"/>
      <c r="C2" s="3940"/>
      <c r="D2" s="1917"/>
    </row>
    <row r="3" spans="1:4" s="1537" customFormat="1" ht="14.25" customHeight="1">
      <c r="A3" s="1846" t="s">
        <v>1853</v>
      </c>
      <c r="B3" s="1846" t="s">
        <v>4945</v>
      </c>
      <c r="C3" s="1846" t="s">
        <v>4808</v>
      </c>
      <c r="D3" s="1846" t="s">
        <v>4809</v>
      </c>
    </row>
    <row r="4" spans="1:4" s="1537" customFormat="1" ht="14.25" customHeight="1">
      <c r="A4" s="1846">
        <v>1</v>
      </c>
      <c r="B4" s="1829" t="s">
        <v>4946</v>
      </c>
      <c r="C4" s="2075">
        <f>C5+C12</f>
        <v>0</v>
      </c>
      <c r="D4" s="2002" t="s">
        <v>4947</v>
      </c>
    </row>
    <row r="5" spans="1:4" s="1537" customFormat="1" ht="14.25" customHeight="1">
      <c r="A5" s="1846">
        <v>2</v>
      </c>
      <c r="B5" s="1829" t="s">
        <v>4948</v>
      </c>
      <c r="C5" s="2075">
        <f>C6+C8+C9+C10+C11</f>
        <v>0</v>
      </c>
      <c r="D5" s="2002"/>
    </row>
    <row r="6" spans="1:4" s="1537" customFormat="1" ht="14.25" customHeight="1">
      <c r="A6" s="1846">
        <v>3</v>
      </c>
      <c r="B6" s="1829" t="s">
        <v>4949</v>
      </c>
      <c r="C6" s="2072">
        <f>主营收支!C40</f>
        <v>0</v>
      </c>
      <c r="D6" s="2002"/>
    </row>
    <row r="7" spans="1:4" s="1537" customFormat="1" ht="14.25" customHeight="1">
      <c r="A7" s="1846">
        <v>4</v>
      </c>
      <c r="B7" s="1829" t="s">
        <v>4950</v>
      </c>
      <c r="C7" s="2072">
        <f>主营收支!C38</f>
        <v>0</v>
      </c>
      <c r="D7" s="2002"/>
    </row>
    <row r="8" spans="1:4" s="1537" customFormat="1" ht="14.25" customHeight="1">
      <c r="A8" s="1846">
        <v>5</v>
      </c>
      <c r="B8" s="1829" t="s">
        <v>4951</v>
      </c>
      <c r="C8" s="2072">
        <f>主营收支!D40</f>
        <v>0</v>
      </c>
      <c r="D8" s="2002"/>
    </row>
    <row r="9" spans="1:4" s="1537" customFormat="1" ht="14.25" customHeight="1">
      <c r="A9" s="1846">
        <v>6</v>
      </c>
      <c r="B9" s="1829" t="s">
        <v>4952</v>
      </c>
      <c r="C9" s="2072">
        <f>主营收支!E40</f>
        <v>0</v>
      </c>
      <c r="D9" s="2002"/>
    </row>
    <row r="10" spans="1:4" s="1537" customFormat="1" ht="14.25" customHeight="1">
      <c r="A10" s="1846">
        <v>7</v>
      </c>
      <c r="B10" s="1829" t="s">
        <v>4953</v>
      </c>
      <c r="C10" s="2072">
        <f>主营收支!F40</f>
        <v>0</v>
      </c>
      <c r="D10" s="2002"/>
    </row>
    <row r="11" spans="1:4" s="1537" customFormat="1" ht="14.25" customHeight="1">
      <c r="A11" s="1846">
        <v>8</v>
      </c>
      <c r="B11" s="1829" t="s">
        <v>4876</v>
      </c>
      <c r="C11" s="2072">
        <f>主营收支!G40</f>
        <v>0</v>
      </c>
      <c r="D11" s="2002"/>
    </row>
    <row r="12" spans="1:4" s="1537" customFormat="1" ht="14.25" customHeight="1">
      <c r="A12" s="1846">
        <v>9</v>
      </c>
      <c r="B12" s="1829" t="s">
        <v>4954</v>
      </c>
      <c r="C12" s="2075">
        <f>C13+C15+C16+C17+C18</f>
        <v>0</v>
      </c>
      <c r="D12" s="2002"/>
    </row>
    <row r="13" spans="1:4" s="1537" customFormat="1" ht="14.25" customHeight="1">
      <c r="A13" s="1846">
        <v>10</v>
      </c>
      <c r="B13" s="1829" t="s">
        <v>4955</v>
      </c>
      <c r="C13" s="2075">
        <f>其他业务!H8+C14</f>
        <v>0</v>
      </c>
      <c r="D13" s="2002"/>
    </row>
    <row r="14" spans="1:4" s="1537" customFormat="1" ht="14.25" customHeight="1">
      <c r="A14" s="1846">
        <v>11</v>
      </c>
      <c r="B14" s="1829" t="s">
        <v>4950</v>
      </c>
      <c r="C14" s="2072">
        <f>其他业务!H9</f>
        <v>0</v>
      </c>
      <c r="D14" s="2002"/>
    </row>
    <row r="15" spans="1:4" s="1537" customFormat="1" ht="14.25" customHeight="1">
      <c r="A15" s="1846">
        <v>12</v>
      </c>
      <c r="B15" s="1829" t="s">
        <v>4956</v>
      </c>
      <c r="C15" s="2075">
        <f>其他业务!H10+其他业务!H11</f>
        <v>0</v>
      </c>
      <c r="D15" s="2002"/>
    </row>
    <row r="16" spans="1:4" s="1537" customFormat="1" ht="14.25" customHeight="1">
      <c r="A16" s="1846">
        <v>13</v>
      </c>
      <c r="B16" s="1829" t="s">
        <v>4957</v>
      </c>
      <c r="C16" s="2072">
        <f>其他业务!H12</f>
        <v>0</v>
      </c>
      <c r="D16" s="2002"/>
    </row>
    <row r="17" spans="1:4" s="1537" customFormat="1" ht="14.25" customHeight="1">
      <c r="A17" s="1846">
        <v>14</v>
      </c>
      <c r="B17" s="1829" t="s">
        <v>4958</v>
      </c>
      <c r="C17" s="2072">
        <f>其他业务!H13</f>
        <v>0</v>
      </c>
      <c r="D17" s="2002"/>
    </row>
    <row r="18" spans="1:4" s="1537" customFormat="1" ht="14.25" customHeight="1">
      <c r="A18" s="1846">
        <v>15</v>
      </c>
      <c r="B18" s="1829" t="s">
        <v>4959</v>
      </c>
      <c r="C18" s="2072">
        <f>其他业务!H17</f>
        <v>0</v>
      </c>
      <c r="D18" s="2002"/>
    </row>
    <row r="19" spans="1:4" s="1537" customFormat="1" ht="14.25" customHeight="1">
      <c r="A19" s="1846">
        <v>16</v>
      </c>
      <c r="B19" s="1829" t="s">
        <v>4960</v>
      </c>
      <c r="C19" s="2075">
        <f>SUM(C20:C29)</f>
        <v>0</v>
      </c>
      <c r="D19" s="2002" t="s">
        <v>4961</v>
      </c>
    </row>
    <row r="20" spans="1:4" s="1537" customFormat="1" ht="14.25" customHeight="1">
      <c r="A20" s="1846">
        <v>17</v>
      </c>
      <c r="B20" s="1829" t="s">
        <v>4962</v>
      </c>
      <c r="C20" s="2072">
        <f>营外收支!C22</f>
        <v>0</v>
      </c>
      <c r="D20" s="1829"/>
    </row>
    <row r="21" spans="1:4" s="1537" customFormat="1" ht="14.25" customHeight="1">
      <c r="A21" s="1846">
        <v>18</v>
      </c>
      <c r="B21" s="1829" t="s">
        <v>4963</v>
      </c>
      <c r="C21" s="2072">
        <f>营外收支!C23</f>
        <v>0</v>
      </c>
      <c r="D21" s="1829"/>
    </row>
    <row r="22" spans="1:4" s="1537" customFormat="1" ht="14.25" customHeight="1">
      <c r="A22" s="1846">
        <v>19</v>
      </c>
      <c r="B22" s="1829" t="s">
        <v>4964</v>
      </c>
      <c r="C22" s="2072">
        <f>营外收支!C24</f>
        <v>0</v>
      </c>
      <c r="D22" s="1829"/>
    </row>
    <row r="23" spans="1:4" s="1537" customFormat="1" ht="14.25" customHeight="1">
      <c r="A23" s="1846">
        <v>20</v>
      </c>
      <c r="B23" s="1829" t="s">
        <v>4965</v>
      </c>
      <c r="C23" s="2072">
        <f>营外收支!C25</f>
        <v>0</v>
      </c>
      <c r="D23" s="1829"/>
    </row>
    <row r="24" spans="1:4" s="1537" customFormat="1" ht="14.1" customHeight="1">
      <c r="A24" s="1846">
        <v>21</v>
      </c>
      <c r="B24" s="1829" t="s">
        <v>4966</v>
      </c>
      <c r="C24" s="2072">
        <f>营外收支!C26</f>
        <v>0</v>
      </c>
      <c r="D24" s="1829"/>
    </row>
    <row r="25" spans="1:4" s="1537" customFormat="1" ht="14.1" customHeight="1">
      <c r="A25" s="1846">
        <v>22</v>
      </c>
      <c r="B25" s="1829" t="s">
        <v>4967</v>
      </c>
      <c r="C25" s="2072">
        <f>营外收支!C27</f>
        <v>0</v>
      </c>
      <c r="D25" s="1829"/>
    </row>
    <row r="26" spans="1:4" s="1537" customFormat="1" ht="14.25" customHeight="1">
      <c r="A26" s="1846">
        <v>23</v>
      </c>
      <c r="B26" s="1829" t="s">
        <v>4968</v>
      </c>
      <c r="C26" s="2072">
        <f>营外收支!C28</f>
        <v>0</v>
      </c>
      <c r="D26" s="1829"/>
    </row>
    <row r="27" spans="1:4" s="1537" customFormat="1" ht="14.25" customHeight="1">
      <c r="A27" s="1846">
        <v>24</v>
      </c>
      <c r="B27" s="1829" t="s">
        <v>4969</v>
      </c>
      <c r="C27" s="2072">
        <f>营外收支!C29</f>
        <v>0</v>
      </c>
      <c r="D27" s="1829"/>
    </row>
    <row r="28" spans="1:4" s="1537" customFormat="1" ht="14.25" customHeight="1">
      <c r="A28" s="1846">
        <v>25</v>
      </c>
      <c r="B28" s="1829" t="s">
        <v>4970</v>
      </c>
      <c r="C28" s="2072">
        <f>营外收支!C30</f>
        <v>0</v>
      </c>
      <c r="D28" s="1829"/>
    </row>
    <row r="29" spans="1:4" s="1537" customFormat="1" ht="14.25" customHeight="1">
      <c r="A29" s="1846">
        <v>26</v>
      </c>
      <c r="B29" s="1829" t="s">
        <v>4894</v>
      </c>
      <c r="C29" s="2072">
        <f>营外收支!C31</f>
        <v>0</v>
      </c>
      <c r="D29" s="1829"/>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D42"/>
  <sheetViews>
    <sheetView workbookViewId="0">
      <selection sqref="A1:C1"/>
    </sheetView>
  </sheetViews>
  <sheetFormatPr defaultRowHeight="15" customHeight="1"/>
  <cols>
    <col min="1" max="1" width="5.19921875" style="1538" customWidth="1"/>
    <col min="2" max="2" width="44.09765625" style="1538" customWidth="1"/>
    <col min="3" max="3" width="18.8984375" style="1539" customWidth="1"/>
    <col min="4" max="4" width="19.8984375" style="1538" customWidth="1"/>
    <col min="5" max="256" width="9" style="1538"/>
    <col min="257" max="257" width="5.19921875" style="1538" customWidth="1"/>
    <col min="258" max="258" width="44.09765625" style="1538" customWidth="1"/>
    <col min="259" max="259" width="10.8984375" style="1538" customWidth="1"/>
    <col min="260" max="260" width="19.8984375" style="1538" customWidth="1"/>
    <col min="261" max="512" width="9" style="1538"/>
    <col min="513" max="513" width="5.19921875" style="1538" customWidth="1"/>
    <col min="514" max="514" width="44.09765625" style="1538" customWidth="1"/>
    <col min="515" max="515" width="10.8984375" style="1538" customWidth="1"/>
    <col min="516" max="516" width="19.8984375" style="1538" customWidth="1"/>
    <col min="517" max="768" width="9" style="1538"/>
    <col min="769" max="769" width="5.19921875" style="1538" customWidth="1"/>
    <col min="770" max="770" width="44.09765625" style="1538" customWidth="1"/>
    <col min="771" max="771" width="10.8984375" style="1538" customWidth="1"/>
    <col min="772" max="772" width="19.8984375" style="1538" customWidth="1"/>
    <col min="773" max="1024" width="9" style="1538"/>
    <col min="1025" max="1025" width="5.19921875" style="1538" customWidth="1"/>
    <col min="1026" max="1026" width="44.09765625" style="1538" customWidth="1"/>
    <col min="1027" max="1027" width="10.8984375" style="1538" customWidth="1"/>
    <col min="1028" max="1028" width="19.8984375" style="1538" customWidth="1"/>
    <col min="1029" max="1280" width="9" style="1538"/>
    <col min="1281" max="1281" width="5.19921875" style="1538" customWidth="1"/>
    <col min="1282" max="1282" width="44.09765625" style="1538" customWidth="1"/>
    <col min="1283" max="1283" width="10.8984375" style="1538" customWidth="1"/>
    <col min="1284" max="1284" width="19.8984375" style="1538" customWidth="1"/>
    <col min="1285" max="1536" width="9" style="1538"/>
    <col min="1537" max="1537" width="5.19921875" style="1538" customWidth="1"/>
    <col min="1538" max="1538" width="44.09765625" style="1538" customWidth="1"/>
    <col min="1539" max="1539" width="10.8984375" style="1538" customWidth="1"/>
    <col min="1540" max="1540" width="19.8984375" style="1538" customWidth="1"/>
    <col min="1541" max="1792" width="9" style="1538"/>
    <col min="1793" max="1793" width="5.19921875" style="1538" customWidth="1"/>
    <col min="1794" max="1794" width="44.09765625" style="1538" customWidth="1"/>
    <col min="1795" max="1795" width="10.8984375" style="1538" customWidth="1"/>
    <col min="1796" max="1796" width="19.8984375" style="1538" customWidth="1"/>
    <col min="1797" max="2048" width="9" style="1538"/>
    <col min="2049" max="2049" width="5.19921875" style="1538" customWidth="1"/>
    <col min="2050" max="2050" width="44.09765625" style="1538" customWidth="1"/>
    <col min="2051" max="2051" width="10.8984375" style="1538" customWidth="1"/>
    <col min="2052" max="2052" width="19.8984375" style="1538" customWidth="1"/>
    <col min="2053" max="2304" width="9" style="1538"/>
    <col min="2305" max="2305" width="5.19921875" style="1538" customWidth="1"/>
    <col min="2306" max="2306" width="44.09765625" style="1538" customWidth="1"/>
    <col min="2307" max="2307" width="10.8984375" style="1538" customWidth="1"/>
    <col min="2308" max="2308" width="19.8984375" style="1538" customWidth="1"/>
    <col min="2309" max="2560" width="9" style="1538"/>
    <col min="2561" max="2561" width="5.19921875" style="1538" customWidth="1"/>
    <col min="2562" max="2562" width="44.09765625" style="1538" customWidth="1"/>
    <col min="2563" max="2563" width="10.8984375" style="1538" customWidth="1"/>
    <col min="2564" max="2564" width="19.8984375" style="1538" customWidth="1"/>
    <col min="2565" max="2816" width="9" style="1538"/>
    <col min="2817" max="2817" width="5.19921875" style="1538" customWidth="1"/>
    <col min="2818" max="2818" width="44.09765625" style="1538" customWidth="1"/>
    <col min="2819" max="2819" width="10.8984375" style="1538" customWidth="1"/>
    <col min="2820" max="2820" width="19.8984375" style="1538" customWidth="1"/>
    <col min="2821" max="3072" width="9" style="1538"/>
    <col min="3073" max="3073" width="5.19921875" style="1538" customWidth="1"/>
    <col min="3074" max="3074" width="44.09765625" style="1538" customWidth="1"/>
    <col min="3075" max="3075" width="10.8984375" style="1538" customWidth="1"/>
    <col min="3076" max="3076" width="19.8984375" style="1538" customWidth="1"/>
    <col min="3077" max="3328" width="9" style="1538"/>
    <col min="3329" max="3329" width="5.19921875" style="1538" customWidth="1"/>
    <col min="3330" max="3330" width="44.09765625" style="1538" customWidth="1"/>
    <col min="3331" max="3331" width="10.8984375" style="1538" customWidth="1"/>
    <col min="3332" max="3332" width="19.8984375" style="1538" customWidth="1"/>
    <col min="3333" max="3584" width="9" style="1538"/>
    <col min="3585" max="3585" width="5.19921875" style="1538" customWidth="1"/>
    <col min="3586" max="3586" width="44.09765625" style="1538" customWidth="1"/>
    <col min="3587" max="3587" width="10.8984375" style="1538" customWidth="1"/>
    <col min="3588" max="3588" width="19.8984375" style="1538" customWidth="1"/>
    <col min="3589" max="3840" width="9" style="1538"/>
    <col min="3841" max="3841" width="5.19921875" style="1538" customWidth="1"/>
    <col min="3842" max="3842" width="44.09765625" style="1538" customWidth="1"/>
    <col min="3843" max="3843" width="10.8984375" style="1538" customWidth="1"/>
    <col min="3844" max="3844" width="19.8984375" style="1538" customWidth="1"/>
    <col min="3845" max="4096" width="9" style="1538"/>
    <col min="4097" max="4097" width="5.19921875" style="1538" customWidth="1"/>
    <col min="4098" max="4098" width="44.09765625" style="1538" customWidth="1"/>
    <col min="4099" max="4099" width="10.8984375" style="1538" customWidth="1"/>
    <col min="4100" max="4100" width="19.8984375" style="1538" customWidth="1"/>
    <col min="4101" max="4352" width="9" style="1538"/>
    <col min="4353" max="4353" width="5.19921875" style="1538" customWidth="1"/>
    <col min="4354" max="4354" width="44.09765625" style="1538" customWidth="1"/>
    <col min="4355" max="4355" width="10.8984375" style="1538" customWidth="1"/>
    <col min="4356" max="4356" width="19.8984375" style="1538" customWidth="1"/>
    <col min="4357" max="4608" width="9" style="1538"/>
    <col min="4609" max="4609" width="5.19921875" style="1538" customWidth="1"/>
    <col min="4610" max="4610" width="44.09765625" style="1538" customWidth="1"/>
    <col min="4611" max="4611" width="10.8984375" style="1538" customWidth="1"/>
    <col min="4612" max="4612" width="19.8984375" style="1538" customWidth="1"/>
    <col min="4613" max="4864" width="9" style="1538"/>
    <col min="4865" max="4865" width="5.19921875" style="1538" customWidth="1"/>
    <col min="4866" max="4866" width="44.09765625" style="1538" customWidth="1"/>
    <col min="4867" max="4867" width="10.8984375" style="1538" customWidth="1"/>
    <col min="4868" max="4868" width="19.8984375" style="1538" customWidth="1"/>
    <col min="4869" max="5120" width="9" style="1538"/>
    <col min="5121" max="5121" width="5.19921875" style="1538" customWidth="1"/>
    <col min="5122" max="5122" width="44.09765625" style="1538" customWidth="1"/>
    <col min="5123" max="5123" width="10.8984375" style="1538" customWidth="1"/>
    <col min="5124" max="5124" width="19.8984375" style="1538" customWidth="1"/>
    <col min="5125" max="5376" width="9" style="1538"/>
    <col min="5377" max="5377" width="5.19921875" style="1538" customWidth="1"/>
    <col min="5378" max="5378" width="44.09765625" style="1538" customWidth="1"/>
    <col min="5379" max="5379" width="10.8984375" style="1538" customWidth="1"/>
    <col min="5380" max="5380" width="19.8984375" style="1538" customWidth="1"/>
    <col min="5381" max="5632" width="9" style="1538"/>
    <col min="5633" max="5633" width="5.19921875" style="1538" customWidth="1"/>
    <col min="5634" max="5634" width="44.09765625" style="1538" customWidth="1"/>
    <col min="5635" max="5635" width="10.8984375" style="1538" customWidth="1"/>
    <col min="5636" max="5636" width="19.8984375" style="1538" customWidth="1"/>
    <col min="5637" max="5888" width="9" style="1538"/>
    <col min="5889" max="5889" width="5.19921875" style="1538" customWidth="1"/>
    <col min="5890" max="5890" width="44.09765625" style="1538" customWidth="1"/>
    <col min="5891" max="5891" width="10.8984375" style="1538" customWidth="1"/>
    <col min="5892" max="5892" width="19.8984375" style="1538" customWidth="1"/>
    <col min="5893" max="6144" width="9" style="1538"/>
    <col min="6145" max="6145" width="5.19921875" style="1538" customWidth="1"/>
    <col min="6146" max="6146" width="44.09765625" style="1538" customWidth="1"/>
    <col min="6147" max="6147" width="10.8984375" style="1538" customWidth="1"/>
    <col min="6148" max="6148" width="19.8984375" style="1538" customWidth="1"/>
    <col min="6149" max="6400" width="9" style="1538"/>
    <col min="6401" max="6401" width="5.19921875" style="1538" customWidth="1"/>
    <col min="6402" max="6402" width="44.09765625" style="1538" customWidth="1"/>
    <col min="6403" max="6403" width="10.8984375" style="1538" customWidth="1"/>
    <col min="6404" max="6404" width="19.8984375" style="1538" customWidth="1"/>
    <col min="6405" max="6656" width="9" style="1538"/>
    <col min="6657" max="6657" width="5.19921875" style="1538" customWidth="1"/>
    <col min="6658" max="6658" width="44.09765625" style="1538" customWidth="1"/>
    <col min="6659" max="6659" width="10.8984375" style="1538" customWidth="1"/>
    <col min="6660" max="6660" width="19.8984375" style="1538" customWidth="1"/>
    <col min="6661" max="6912" width="9" style="1538"/>
    <col min="6913" max="6913" width="5.19921875" style="1538" customWidth="1"/>
    <col min="6914" max="6914" width="44.09765625" style="1538" customWidth="1"/>
    <col min="6915" max="6915" width="10.8984375" style="1538" customWidth="1"/>
    <col min="6916" max="6916" width="19.8984375" style="1538" customWidth="1"/>
    <col min="6917" max="7168" width="9" style="1538"/>
    <col min="7169" max="7169" width="5.19921875" style="1538" customWidth="1"/>
    <col min="7170" max="7170" width="44.09765625" style="1538" customWidth="1"/>
    <col min="7171" max="7171" width="10.8984375" style="1538" customWidth="1"/>
    <col min="7172" max="7172" width="19.8984375" style="1538" customWidth="1"/>
    <col min="7173" max="7424" width="9" style="1538"/>
    <col min="7425" max="7425" width="5.19921875" style="1538" customWidth="1"/>
    <col min="7426" max="7426" width="44.09765625" style="1538" customWidth="1"/>
    <col min="7427" max="7427" width="10.8984375" style="1538" customWidth="1"/>
    <col min="7428" max="7428" width="19.8984375" style="1538" customWidth="1"/>
    <col min="7429" max="7680" width="9" style="1538"/>
    <col min="7681" max="7681" width="5.19921875" style="1538" customWidth="1"/>
    <col min="7682" max="7682" width="44.09765625" style="1538" customWidth="1"/>
    <col min="7683" max="7683" width="10.8984375" style="1538" customWidth="1"/>
    <col min="7684" max="7684" width="19.8984375" style="1538" customWidth="1"/>
    <col min="7685" max="7936" width="9" style="1538"/>
    <col min="7937" max="7937" width="5.19921875" style="1538" customWidth="1"/>
    <col min="7938" max="7938" width="44.09765625" style="1538" customWidth="1"/>
    <col min="7939" max="7939" width="10.8984375" style="1538" customWidth="1"/>
    <col min="7940" max="7940" width="19.8984375" style="1538" customWidth="1"/>
    <col min="7941" max="8192" width="9" style="1538"/>
    <col min="8193" max="8193" width="5.19921875" style="1538" customWidth="1"/>
    <col min="8194" max="8194" width="44.09765625" style="1538" customWidth="1"/>
    <col min="8195" max="8195" width="10.8984375" style="1538" customWidth="1"/>
    <col min="8196" max="8196" width="19.8984375" style="1538" customWidth="1"/>
    <col min="8197" max="8448" width="9" style="1538"/>
    <col min="8449" max="8449" width="5.19921875" style="1538" customWidth="1"/>
    <col min="8450" max="8450" width="44.09765625" style="1538" customWidth="1"/>
    <col min="8451" max="8451" width="10.8984375" style="1538" customWidth="1"/>
    <col min="8452" max="8452" width="19.8984375" style="1538" customWidth="1"/>
    <col min="8453" max="8704" width="9" style="1538"/>
    <col min="8705" max="8705" width="5.19921875" style="1538" customWidth="1"/>
    <col min="8706" max="8706" width="44.09765625" style="1538" customWidth="1"/>
    <col min="8707" max="8707" width="10.8984375" style="1538" customWidth="1"/>
    <col min="8708" max="8708" width="19.8984375" style="1538" customWidth="1"/>
    <col min="8709" max="8960" width="9" style="1538"/>
    <col min="8961" max="8961" width="5.19921875" style="1538" customWidth="1"/>
    <col min="8962" max="8962" width="44.09765625" style="1538" customWidth="1"/>
    <col min="8963" max="8963" width="10.8984375" style="1538" customWidth="1"/>
    <col min="8964" max="8964" width="19.8984375" style="1538" customWidth="1"/>
    <col min="8965" max="9216" width="9" style="1538"/>
    <col min="9217" max="9217" width="5.19921875" style="1538" customWidth="1"/>
    <col min="9218" max="9218" width="44.09765625" style="1538" customWidth="1"/>
    <col min="9219" max="9219" width="10.8984375" style="1538" customWidth="1"/>
    <col min="9220" max="9220" width="19.8984375" style="1538" customWidth="1"/>
    <col min="9221" max="9472" width="9" style="1538"/>
    <col min="9473" max="9473" width="5.19921875" style="1538" customWidth="1"/>
    <col min="9474" max="9474" width="44.09765625" style="1538" customWidth="1"/>
    <col min="9475" max="9475" width="10.8984375" style="1538" customWidth="1"/>
    <col min="9476" max="9476" width="19.8984375" style="1538" customWidth="1"/>
    <col min="9477" max="9728" width="9" style="1538"/>
    <col min="9729" max="9729" width="5.19921875" style="1538" customWidth="1"/>
    <col min="9730" max="9730" width="44.09765625" style="1538" customWidth="1"/>
    <col min="9731" max="9731" width="10.8984375" style="1538" customWidth="1"/>
    <col min="9732" max="9732" width="19.8984375" style="1538" customWidth="1"/>
    <col min="9733" max="9984" width="9" style="1538"/>
    <col min="9985" max="9985" width="5.19921875" style="1538" customWidth="1"/>
    <col min="9986" max="9986" width="44.09765625" style="1538" customWidth="1"/>
    <col min="9987" max="9987" width="10.8984375" style="1538" customWidth="1"/>
    <col min="9988" max="9988" width="19.8984375" style="1538" customWidth="1"/>
    <col min="9989" max="10240" width="9" style="1538"/>
    <col min="10241" max="10241" width="5.19921875" style="1538" customWidth="1"/>
    <col min="10242" max="10242" width="44.09765625" style="1538" customWidth="1"/>
    <col min="10243" max="10243" width="10.8984375" style="1538" customWidth="1"/>
    <col min="10244" max="10244" width="19.8984375" style="1538" customWidth="1"/>
    <col min="10245" max="10496" width="9" style="1538"/>
    <col min="10497" max="10497" width="5.19921875" style="1538" customWidth="1"/>
    <col min="10498" max="10498" width="44.09765625" style="1538" customWidth="1"/>
    <col min="10499" max="10499" width="10.8984375" style="1538" customWidth="1"/>
    <col min="10500" max="10500" width="19.8984375" style="1538" customWidth="1"/>
    <col min="10501" max="10752" width="9" style="1538"/>
    <col min="10753" max="10753" width="5.19921875" style="1538" customWidth="1"/>
    <col min="10754" max="10754" width="44.09765625" style="1538" customWidth="1"/>
    <col min="10755" max="10755" width="10.8984375" style="1538" customWidth="1"/>
    <col min="10756" max="10756" width="19.8984375" style="1538" customWidth="1"/>
    <col min="10757" max="11008" width="9" style="1538"/>
    <col min="11009" max="11009" width="5.19921875" style="1538" customWidth="1"/>
    <col min="11010" max="11010" width="44.09765625" style="1538" customWidth="1"/>
    <col min="11011" max="11011" width="10.8984375" style="1538" customWidth="1"/>
    <col min="11012" max="11012" width="19.8984375" style="1538" customWidth="1"/>
    <col min="11013" max="11264" width="9" style="1538"/>
    <col min="11265" max="11265" width="5.19921875" style="1538" customWidth="1"/>
    <col min="11266" max="11266" width="44.09765625" style="1538" customWidth="1"/>
    <col min="11267" max="11267" width="10.8984375" style="1538" customWidth="1"/>
    <col min="11268" max="11268" width="19.8984375" style="1538" customWidth="1"/>
    <col min="11269" max="11520" width="9" style="1538"/>
    <col min="11521" max="11521" width="5.19921875" style="1538" customWidth="1"/>
    <col min="11522" max="11522" width="44.09765625" style="1538" customWidth="1"/>
    <col min="11523" max="11523" width="10.8984375" style="1538" customWidth="1"/>
    <col min="11524" max="11524" width="19.8984375" style="1538" customWidth="1"/>
    <col min="11525" max="11776" width="9" style="1538"/>
    <col min="11777" max="11777" width="5.19921875" style="1538" customWidth="1"/>
    <col min="11778" max="11778" width="44.09765625" style="1538" customWidth="1"/>
    <col min="11779" max="11779" width="10.8984375" style="1538" customWidth="1"/>
    <col min="11780" max="11780" width="19.8984375" style="1538" customWidth="1"/>
    <col min="11781" max="12032" width="9" style="1538"/>
    <col min="12033" max="12033" width="5.19921875" style="1538" customWidth="1"/>
    <col min="12034" max="12034" width="44.09765625" style="1538" customWidth="1"/>
    <col min="12035" max="12035" width="10.8984375" style="1538" customWidth="1"/>
    <col min="12036" max="12036" width="19.8984375" style="1538" customWidth="1"/>
    <col min="12037" max="12288" width="9" style="1538"/>
    <col min="12289" max="12289" width="5.19921875" style="1538" customWidth="1"/>
    <col min="12290" max="12290" width="44.09765625" style="1538" customWidth="1"/>
    <col min="12291" max="12291" width="10.8984375" style="1538" customWidth="1"/>
    <col min="12292" max="12292" width="19.8984375" style="1538" customWidth="1"/>
    <col min="12293" max="12544" width="9" style="1538"/>
    <col min="12545" max="12545" width="5.19921875" style="1538" customWidth="1"/>
    <col min="12546" max="12546" width="44.09765625" style="1538" customWidth="1"/>
    <col min="12547" max="12547" width="10.8984375" style="1538" customWidth="1"/>
    <col min="12548" max="12548" width="19.8984375" style="1538" customWidth="1"/>
    <col min="12549" max="12800" width="9" style="1538"/>
    <col min="12801" max="12801" width="5.19921875" style="1538" customWidth="1"/>
    <col min="12802" max="12802" width="44.09765625" style="1538" customWidth="1"/>
    <col min="12803" max="12803" width="10.8984375" style="1538" customWidth="1"/>
    <col min="12804" max="12804" width="19.8984375" style="1538" customWidth="1"/>
    <col min="12805" max="13056" width="9" style="1538"/>
    <col min="13057" max="13057" width="5.19921875" style="1538" customWidth="1"/>
    <col min="13058" max="13058" width="44.09765625" style="1538" customWidth="1"/>
    <col min="13059" max="13059" width="10.8984375" style="1538" customWidth="1"/>
    <col min="13060" max="13060" width="19.8984375" style="1538" customWidth="1"/>
    <col min="13061" max="13312" width="9" style="1538"/>
    <col min="13313" max="13313" width="5.19921875" style="1538" customWidth="1"/>
    <col min="13314" max="13314" width="44.09765625" style="1538" customWidth="1"/>
    <col min="13315" max="13315" width="10.8984375" style="1538" customWidth="1"/>
    <col min="13316" max="13316" width="19.8984375" style="1538" customWidth="1"/>
    <col min="13317" max="13568" width="9" style="1538"/>
    <col min="13569" max="13569" width="5.19921875" style="1538" customWidth="1"/>
    <col min="13570" max="13570" width="44.09765625" style="1538" customWidth="1"/>
    <col min="13571" max="13571" width="10.8984375" style="1538" customWidth="1"/>
    <col min="13572" max="13572" width="19.8984375" style="1538" customWidth="1"/>
    <col min="13573" max="13824" width="9" style="1538"/>
    <col min="13825" max="13825" width="5.19921875" style="1538" customWidth="1"/>
    <col min="13826" max="13826" width="44.09765625" style="1538" customWidth="1"/>
    <col min="13827" max="13827" width="10.8984375" style="1538" customWidth="1"/>
    <col min="13828" max="13828" width="19.8984375" style="1538" customWidth="1"/>
    <col min="13829" max="14080" width="9" style="1538"/>
    <col min="14081" max="14081" width="5.19921875" style="1538" customWidth="1"/>
    <col min="14082" max="14082" width="44.09765625" style="1538" customWidth="1"/>
    <col min="14083" max="14083" width="10.8984375" style="1538" customWidth="1"/>
    <col min="14084" max="14084" width="19.8984375" style="1538" customWidth="1"/>
    <col min="14085" max="14336" width="9" style="1538"/>
    <col min="14337" max="14337" width="5.19921875" style="1538" customWidth="1"/>
    <col min="14338" max="14338" width="44.09765625" style="1538" customWidth="1"/>
    <col min="14339" max="14339" width="10.8984375" style="1538" customWidth="1"/>
    <col min="14340" max="14340" width="19.8984375" style="1538" customWidth="1"/>
    <col min="14341" max="14592" width="9" style="1538"/>
    <col min="14593" max="14593" width="5.19921875" style="1538" customWidth="1"/>
    <col min="14594" max="14594" width="44.09765625" style="1538" customWidth="1"/>
    <col min="14595" max="14595" width="10.8984375" style="1538" customWidth="1"/>
    <col min="14596" max="14596" width="19.8984375" style="1538" customWidth="1"/>
    <col min="14597" max="14848" width="9" style="1538"/>
    <col min="14849" max="14849" width="5.19921875" style="1538" customWidth="1"/>
    <col min="14850" max="14850" width="44.09765625" style="1538" customWidth="1"/>
    <col min="14851" max="14851" width="10.8984375" style="1538" customWidth="1"/>
    <col min="14852" max="14852" width="19.8984375" style="1538" customWidth="1"/>
    <col min="14853" max="15104" width="9" style="1538"/>
    <col min="15105" max="15105" width="5.19921875" style="1538" customWidth="1"/>
    <col min="15106" max="15106" width="44.09765625" style="1538" customWidth="1"/>
    <col min="15107" max="15107" width="10.8984375" style="1538" customWidth="1"/>
    <col min="15108" max="15108" width="19.8984375" style="1538" customWidth="1"/>
    <col min="15109" max="15360" width="9" style="1538"/>
    <col min="15361" max="15361" width="5.19921875" style="1538" customWidth="1"/>
    <col min="15362" max="15362" width="44.09765625" style="1538" customWidth="1"/>
    <col min="15363" max="15363" width="10.8984375" style="1538" customWidth="1"/>
    <col min="15364" max="15364" width="19.8984375" style="1538" customWidth="1"/>
    <col min="15365" max="15616" width="9" style="1538"/>
    <col min="15617" max="15617" width="5.19921875" style="1538" customWidth="1"/>
    <col min="15618" max="15618" width="44.09765625" style="1538" customWidth="1"/>
    <col min="15619" max="15619" width="10.8984375" style="1538" customWidth="1"/>
    <col min="15620" max="15620" width="19.8984375" style="1538" customWidth="1"/>
    <col min="15621" max="15872" width="9" style="1538"/>
    <col min="15873" max="15873" width="5.19921875" style="1538" customWidth="1"/>
    <col min="15874" max="15874" width="44.09765625" style="1538" customWidth="1"/>
    <col min="15875" max="15875" width="10.8984375" style="1538" customWidth="1"/>
    <col min="15876" max="15876" width="19.8984375" style="1538" customWidth="1"/>
    <col min="15877" max="16128" width="9" style="1538"/>
    <col min="16129" max="16129" width="5.19921875" style="1538" customWidth="1"/>
    <col min="16130" max="16130" width="44.09765625" style="1538" customWidth="1"/>
    <col min="16131" max="16131" width="10.8984375" style="1538" customWidth="1"/>
    <col min="16132" max="16132" width="19.8984375" style="1538" customWidth="1"/>
    <col min="16133" max="16384" width="9" style="1538"/>
  </cols>
  <sheetData>
    <row r="1" spans="1:4" ht="20.100000000000001" customHeight="1">
      <c r="A1" s="3400" t="s">
        <v>4971</v>
      </c>
      <c r="B1" s="3400"/>
      <c r="C1" s="3400"/>
      <c r="D1" s="2008"/>
    </row>
    <row r="2" spans="1:4" ht="25.5" customHeight="1">
      <c r="A2" s="3401" t="s">
        <v>4972</v>
      </c>
      <c r="B2" s="3401"/>
      <c r="C2" s="3401"/>
      <c r="D2" s="1947"/>
    </row>
    <row r="3" spans="1:4" ht="14.25" customHeight="1">
      <c r="A3" s="1910" t="s">
        <v>1853</v>
      </c>
      <c r="B3" s="1910" t="s">
        <v>4973</v>
      </c>
      <c r="C3" s="1910" t="s">
        <v>4974</v>
      </c>
      <c r="D3" s="1910" t="s">
        <v>4899</v>
      </c>
    </row>
    <row r="4" spans="1:4" ht="14.25" customHeight="1">
      <c r="A4" s="1910">
        <v>1</v>
      </c>
      <c r="B4" s="1913" t="s">
        <v>4975</v>
      </c>
      <c r="C4" s="2075">
        <f>C5+C18+C28+C34+C35</f>
        <v>0</v>
      </c>
      <c r="D4" s="1910" t="s">
        <v>4976</v>
      </c>
    </row>
    <row r="5" spans="1:4" ht="14.25" customHeight="1">
      <c r="A5" s="1910">
        <v>2</v>
      </c>
      <c r="B5" s="1913" t="s">
        <v>4977</v>
      </c>
      <c r="C5" s="2075">
        <f>C6+C14</f>
        <v>0</v>
      </c>
      <c r="D5" s="1910"/>
    </row>
    <row r="6" spans="1:4" ht="14.25" customHeight="1">
      <c r="A6" s="1910">
        <v>3</v>
      </c>
      <c r="B6" s="1913" t="s">
        <v>4978</v>
      </c>
      <c r="C6" s="2075">
        <f>SUM(C7:C13)</f>
        <v>0</v>
      </c>
      <c r="D6" s="1910"/>
    </row>
    <row r="7" spans="1:4" ht="14.25" customHeight="1">
      <c r="A7" s="1910">
        <v>4</v>
      </c>
      <c r="B7" s="1913" t="s">
        <v>4979</v>
      </c>
      <c r="C7" s="2076"/>
      <c r="D7" s="1910"/>
    </row>
    <row r="8" spans="1:4" ht="14.25" customHeight="1">
      <c r="A8" s="1910">
        <v>5</v>
      </c>
      <c r="B8" s="1913" t="s">
        <v>4980</v>
      </c>
      <c r="C8" s="2076"/>
      <c r="D8" s="1910"/>
    </row>
    <row r="9" spans="1:4" ht="14.25" customHeight="1">
      <c r="A9" s="1910">
        <v>6</v>
      </c>
      <c r="B9" s="1913" t="s">
        <v>4981</v>
      </c>
      <c r="C9" s="2076"/>
      <c r="D9" s="1910"/>
    </row>
    <row r="10" spans="1:4" ht="14.25" customHeight="1">
      <c r="A10" s="1910">
        <v>7</v>
      </c>
      <c r="B10" s="1913" t="s">
        <v>4982</v>
      </c>
      <c r="C10" s="2076"/>
      <c r="D10" s="1910"/>
    </row>
    <row r="11" spans="1:4" ht="14.25" customHeight="1">
      <c r="A11" s="1910">
        <v>8</v>
      </c>
      <c r="B11" s="1913" t="s">
        <v>4983</v>
      </c>
      <c r="C11" s="2076"/>
      <c r="D11" s="1910"/>
    </row>
    <row r="12" spans="1:4" ht="14.25" customHeight="1">
      <c r="A12" s="1910">
        <v>9</v>
      </c>
      <c r="B12" s="1913" t="s">
        <v>4984</v>
      </c>
      <c r="C12" s="2076"/>
      <c r="D12" s="1910"/>
    </row>
    <row r="13" spans="1:4" ht="14.25" customHeight="1">
      <c r="A13" s="1910">
        <v>10</v>
      </c>
      <c r="B13" s="1913" t="s">
        <v>4985</v>
      </c>
      <c r="C13" s="2076"/>
      <c r="D13" s="1910"/>
    </row>
    <row r="14" spans="1:4" ht="14.25" customHeight="1">
      <c r="A14" s="1910">
        <v>11</v>
      </c>
      <c r="B14" s="1913" t="s">
        <v>4986</v>
      </c>
      <c r="C14" s="2075">
        <f>SUM(C15:C17)</f>
        <v>0</v>
      </c>
      <c r="D14" s="1910"/>
    </row>
    <row r="15" spans="1:4" ht="14.25" customHeight="1">
      <c r="A15" s="1910">
        <v>12</v>
      </c>
      <c r="B15" s="1913" t="s">
        <v>4987</v>
      </c>
      <c r="C15" s="2076"/>
      <c r="D15" s="1910"/>
    </row>
    <row r="16" spans="1:4" ht="14.25" customHeight="1">
      <c r="A16" s="1910">
        <v>13</v>
      </c>
      <c r="B16" s="1913" t="s">
        <v>4988</v>
      </c>
      <c r="C16" s="2076"/>
      <c r="D16" s="1910"/>
    </row>
    <row r="17" spans="1:4" ht="14.25" customHeight="1">
      <c r="A17" s="1910">
        <v>14</v>
      </c>
      <c r="B17" s="1913" t="s">
        <v>4989</v>
      </c>
      <c r="C17" s="2076"/>
      <c r="D17" s="1910"/>
    </row>
    <row r="18" spans="1:4" ht="14.25" customHeight="1">
      <c r="A18" s="1910">
        <v>15</v>
      </c>
      <c r="B18" s="1913" t="s">
        <v>4990</v>
      </c>
      <c r="C18" s="2075">
        <f>SUM(C19:C20)-C21+C22-C23+C24+C25-C26+C27</f>
        <v>0</v>
      </c>
      <c r="D18" s="1910"/>
    </row>
    <row r="19" spans="1:4" ht="14.25" customHeight="1">
      <c r="A19" s="1910">
        <v>16</v>
      </c>
      <c r="B19" s="1913" t="s">
        <v>4991</v>
      </c>
      <c r="C19" s="2076"/>
      <c r="D19" s="1910"/>
    </row>
    <row r="20" spans="1:4" ht="14.25" customHeight="1">
      <c r="A20" s="1910">
        <v>17</v>
      </c>
      <c r="B20" s="1913" t="s">
        <v>4992</v>
      </c>
      <c r="C20" s="2076"/>
      <c r="D20" s="1910"/>
    </row>
    <row r="21" spans="1:4" ht="14.25" customHeight="1">
      <c r="A21" s="1910">
        <v>18</v>
      </c>
      <c r="B21" s="1913" t="s">
        <v>4993</v>
      </c>
      <c r="C21" s="2076"/>
      <c r="D21" s="1910"/>
    </row>
    <row r="22" spans="1:4" ht="14.25" customHeight="1">
      <c r="A22" s="1910">
        <v>19</v>
      </c>
      <c r="B22" s="1913" t="s">
        <v>4994</v>
      </c>
      <c r="C22" s="2076"/>
      <c r="D22" s="1910"/>
    </row>
    <row r="23" spans="1:4" ht="14.25" customHeight="1">
      <c r="A23" s="1910">
        <v>20</v>
      </c>
      <c r="B23" s="1913" t="s">
        <v>4995</v>
      </c>
      <c r="C23" s="2076"/>
      <c r="D23" s="1910"/>
    </row>
    <row r="24" spans="1:4" ht="14.25" customHeight="1">
      <c r="A24" s="1910">
        <v>21</v>
      </c>
      <c r="B24" s="1913" t="s">
        <v>4996</v>
      </c>
      <c r="C24" s="2076"/>
      <c r="D24" s="1910"/>
    </row>
    <row r="25" spans="1:4" ht="14.25" customHeight="1">
      <c r="A25" s="1910">
        <v>22</v>
      </c>
      <c r="B25" s="1913" t="s">
        <v>4997</v>
      </c>
      <c r="C25" s="2076"/>
      <c r="D25" s="1910"/>
    </row>
    <row r="26" spans="1:4" ht="14.25" customHeight="1">
      <c r="A26" s="1910">
        <v>23</v>
      </c>
      <c r="B26" s="1913" t="s">
        <v>4998</v>
      </c>
      <c r="C26" s="2076"/>
      <c r="D26" s="1910"/>
    </row>
    <row r="27" spans="1:4" ht="14.25" customHeight="1">
      <c r="A27" s="1910">
        <v>24</v>
      </c>
      <c r="B27" s="1913" t="s">
        <v>4999</v>
      </c>
      <c r="C27" s="2076"/>
      <c r="D27" s="1910"/>
    </row>
    <row r="28" spans="1:4" ht="14.25" customHeight="1">
      <c r="A28" s="1910">
        <v>25</v>
      </c>
      <c r="B28" s="1913" t="s">
        <v>5000</v>
      </c>
      <c r="C28" s="2075">
        <f>C29+C33</f>
        <v>0</v>
      </c>
      <c r="D28" s="1910"/>
    </row>
    <row r="29" spans="1:4" ht="14.25" customHeight="1">
      <c r="A29" s="1910">
        <v>26</v>
      </c>
      <c r="B29" s="1913" t="s">
        <v>5001</v>
      </c>
      <c r="C29" s="2075">
        <f>SUM(C30:C32)</f>
        <v>0</v>
      </c>
      <c r="D29" s="1910"/>
    </row>
    <row r="30" spans="1:4" ht="14.25" customHeight="1">
      <c r="A30" s="1910">
        <v>27</v>
      </c>
      <c r="B30" s="1913" t="s">
        <v>5002</v>
      </c>
      <c r="C30" s="2076"/>
      <c r="D30" s="1910"/>
    </row>
    <row r="31" spans="1:4" ht="14.25" customHeight="1">
      <c r="A31" s="1910">
        <v>28</v>
      </c>
      <c r="B31" s="1913" t="s">
        <v>4988</v>
      </c>
      <c r="C31" s="2076"/>
      <c r="D31" s="1910"/>
    </row>
    <row r="32" spans="1:4" ht="14.25" customHeight="1">
      <c r="A32" s="1910">
        <v>29</v>
      </c>
      <c r="B32" s="1913" t="s">
        <v>4989</v>
      </c>
      <c r="C32" s="2076"/>
      <c r="D32" s="1910"/>
    </row>
    <row r="33" spans="1:4" ht="14.25" customHeight="1">
      <c r="A33" s="1910">
        <v>30</v>
      </c>
      <c r="B33" s="1913" t="s">
        <v>5003</v>
      </c>
      <c r="C33" s="2076"/>
      <c r="D33" s="1910"/>
    </row>
    <row r="34" spans="1:4" ht="14.25" customHeight="1">
      <c r="A34" s="1910">
        <v>31</v>
      </c>
      <c r="B34" s="1913" t="s">
        <v>5004</v>
      </c>
      <c r="C34" s="2076"/>
      <c r="D34" s="1910"/>
    </row>
    <row r="35" spans="1:4" ht="14.25" customHeight="1">
      <c r="A35" s="1910">
        <v>32</v>
      </c>
      <c r="B35" s="1913" t="s">
        <v>5005</v>
      </c>
      <c r="C35" s="2076"/>
      <c r="D35" s="1910"/>
    </row>
    <row r="36" spans="1:4" ht="14.25" customHeight="1">
      <c r="A36" s="1910">
        <v>33</v>
      </c>
      <c r="B36" s="1913" t="s">
        <v>5006</v>
      </c>
      <c r="C36" s="2075">
        <f>SUM(C37:C42)</f>
        <v>0</v>
      </c>
      <c r="D36" s="1910" t="s">
        <v>5007</v>
      </c>
    </row>
    <row r="37" spans="1:4" ht="14.25" customHeight="1">
      <c r="A37" s="1910">
        <v>34</v>
      </c>
      <c r="B37" s="1913" t="s">
        <v>4962</v>
      </c>
      <c r="C37" s="2076"/>
      <c r="D37" s="1910"/>
    </row>
    <row r="38" spans="1:4" ht="14.25" customHeight="1">
      <c r="A38" s="1910">
        <v>35</v>
      </c>
      <c r="B38" s="1913" t="s">
        <v>4963</v>
      </c>
      <c r="C38" s="2076"/>
      <c r="D38" s="1910"/>
    </row>
    <row r="39" spans="1:4" ht="14.25" customHeight="1">
      <c r="A39" s="1910">
        <v>36</v>
      </c>
      <c r="B39" s="1913" t="s">
        <v>4964</v>
      </c>
      <c r="C39" s="2076"/>
      <c r="D39" s="1910"/>
    </row>
    <row r="40" spans="1:4" ht="14.25" customHeight="1">
      <c r="A40" s="1910">
        <v>37</v>
      </c>
      <c r="B40" s="1913" t="s">
        <v>5008</v>
      </c>
      <c r="C40" s="2076"/>
      <c r="D40" s="1910"/>
    </row>
    <row r="41" spans="1:4" ht="14.25" customHeight="1">
      <c r="A41" s="1910">
        <v>38</v>
      </c>
      <c r="B41" s="1913" t="s">
        <v>5009</v>
      </c>
      <c r="C41" s="2076"/>
      <c r="D41" s="1910"/>
    </row>
    <row r="42" spans="1:4" ht="14.25" customHeight="1">
      <c r="A42" s="1910">
        <v>39</v>
      </c>
      <c r="B42" s="1913" t="s">
        <v>5010</v>
      </c>
      <c r="C42" s="2076"/>
      <c r="D42" s="1910"/>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D31"/>
  <sheetViews>
    <sheetView workbookViewId="0">
      <selection activeCell="B10" sqref="B10"/>
    </sheetView>
  </sheetViews>
  <sheetFormatPr defaultColWidth="31.59765625" defaultRowHeight="15.6"/>
  <cols>
    <col min="1" max="1" width="5.09765625" style="1532" customWidth="1"/>
    <col min="2" max="2" width="46.59765625" style="1532" customWidth="1"/>
    <col min="3" max="3" width="13.8984375" style="1532" customWidth="1"/>
    <col min="4" max="4" width="18.8984375" style="1532" customWidth="1"/>
    <col min="5" max="256" width="31.59765625" style="1532"/>
    <col min="257" max="257" width="5.09765625" style="1532" customWidth="1"/>
    <col min="258" max="258" width="46.59765625" style="1532" customWidth="1"/>
    <col min="259" max="259" width="8.5" style="1532" customWidth="1"/>
    <col min="260" max="260" width="18.8984375" style="1532" customWidth="1"/>
    <col min="261" max="512" width="31.59765625" style="1532"/>
    <col min="513" max="513" width="5.09765625" style="1532" customWidth="1"/>
    <col min="514" max="514" width="46.59765625" style="1532" customWidth="1"/>
    <col min="515" max="515" width="8.5" style="1532" customWidth="1"/>
    <col min="516" max="516" width="18.8984375" style="1532" customWidth="1"/>
    <col min="517" max="768" width="31.59765625" style="1532"/>
    <col min="769" max="769" width="5.09765625" style="1532" customWidth="1"/>
    <col min="770" max="770" width="46.59765625" style="1532" customWidth="1"/>
    <col min="771" max="771" width="8.5" style="1532" customWidth="1"/>
    <col min="772" max="772" width="18.8984375" style="1532" customWidth="1"/>
    <col min="773" max="1024" width="31.59765625" style="1532"/>
    <col min="1025" max="1025" width="5.09765625" style="1532" customWidth="1"/>
    <col min="1026" max="1026" width="46.59765625" style="1532" customWidth="1"/>
    <col min="1027" max="1027" width="8.5" style="1532" customWidth="1"/>
    <col min="1028" max="1028" width="18.8984375" style="1532" customWidth="1"/>
    <col min="1029" max="1280" width="31.59765625" style="1532"/>
    <col min="1281" max="1281" width="5.09765625" style="1532" customWidth="1"/>
    <col min="1282" max="1282" width="46.59765625" style="1532" customWidth="1"/>
    <col min="1283" max="1283" width="8.5" style="1532" customWidth="1"/>
    <col min="1284" max="1284" width="18.8984375" style="1532" customWidth="1"/>
    <col min="1285" max="1536" width="31.59765625" style="1532"/>
    <col min="1537" max="1537" width="5.09765625" style="1532" customWidth="1"/>
    <col min="1538" max="1538" width="46.59765625" style="1532" customWidth="1"/>
    <col min="1539" max="1539" width="8.5" style="1532" customWidth="1"/>
    <col min="1540" max="1540" width="18.8984375" style="1532" customWidth="1"/>
    <col min="1541" max="1792" width="31.59765625" style="1532"/>
    <col min="1793" max="1793" width="5.09765625" style="1532" customWidth="1"/>
    <col min="1794" max="1794" width="46.59765625" style="1532" customWidth="1"/>
    <col min="1795" max="1795" width="8.5" style="1532" customWidth="1"/>
    <col min="1796" max="1796" width="18.8984375" style="1532" customWidth="1"/>
    <col min="1797" max="2048" width="31.59765625" style="1532"/>
    <col min="2049" max="2049" width="5.09765625" style="1532" customWidth="1"/>
    <col min="2050" max="2050" width="46.59765625" style="1532" customWidth="1"/>
    <col min="2051" max="2051" width="8.5" style="1532" customWidth="1"/>
    <col min="2052" max="2052" width="18.8984375" style="1532" customWidth="1"/>
    <col min="2053" max="2304" width="31.59765625" style="1532"/>
    <col min="2305" max="2305" width="5.09765625" style="1532" customWidth="1"/>
    <col min="2306" max="2306" width="46.59765625" style="1532" customWidth="1"/>
    <col min="2307" max="2307" width="8.5" style="1532" customWidth="1"/>
    <col min="2308" max="2308" width="18.8984375" style="1532" customWidth="1"/>
    <col min="2309" max="2560" width="31.59765625" style="1532"/>
    <col min="2561" max="2561" width="5.09765625" style="1532" customWidth="1"/>
    <col min="2562" max="2562" width="46.59765625" style="1532" customWidth="1"/>
    <col min="2563" max="2563" width="8.5" style="1532" customWidth="1"/>
    <col min="2564" max="2564" width="18.8984375" style="1532" customWidth="1"/>
    <col min="2565" max="2816" width="31.59765625" style="1532"/>
    <col min="2817" max="2817" width="5.09765625" style="1532" customWidth="1"/>
    <col min="2818" max="2818" width="46.59765625" style="1532" customWidth="1"/>
    <col min="2819" max="2819" width="8.5" style="1532" customWidth="1"/>
    <col min="2820" max="2820" width="18.8984375" style="1532" customWidth="1"/>
    <col min="2821" max="3072" width="31.59765625" style="1532"/>
    <col min="3073" max="3073" width="5.09765625" style="1532" customWidth="1"/>
    <col min="3074" max="3074" width="46.59765625" style="1532" customWidth="1"/>
    <col min="3075" max="3075" width="8.5" style="1532" customWidth="1"/>
    <col min="3076" max="3076" width="18.8984375" style="1532" customWidth="1"/>
    <col min="3077" max="3328" width="31.59765625" style="1532"/>
    <col min="3329" max="3329" width="5.09765625" style="1532" customWidth="1"/>
    <col min="3330" max="3330" width="46.59765625" style="1532" customWidth="1"/>
    <col min="3331" max="3331" width="8.5" style="1532" customWidth="1"/>
    <col min="3332" max="3332" width="18.8984375" style="1532" customWidth="1"/>
    <col min="3333" max="3584" width="31.59765625" style="1532"/>
    <col min="3585" max="3585" width="5.09765625" style="1532" customWidth="1"/>
    <col min="3586" max="3586" width="46.59765625" style="1532" customWidth="1"/>
    <col min="3587" max="3587" width="8.5" style="1532" customWidth="1"/>
    <col min="3588" max="3588" width="18.8984375" style="1532" customWidth="1"/>
    <col min="3589" max="3840" width="31.59765625" style="1532"/>
    <col min="3841" max="3841" width="5.09765625" style="1532" customWidth="1"/>
    <col min="3842" max="3842" width="46.59765625" style="1532" customWidth="1"/>
    <col min="3843" max="3843" width="8.5" style="1532" customWidth="1"/>
    <col min="3844" max="3844" width="18.8984375" style="1532" customWidth="1"/>
    <col min="3845" max="4096" width="31.59765625" style="1532"/>
    <col min="4097" max="4097" width="5.09765625" style="1532" customWidth="1"/>
    <col min="4098" max="4098" width="46.59765625" style="1532" customWidth="1"/>
    <col min="4099" max="4099" width="8.5" style="1532" customWidth="1"/>
    <col min="4100" max="4100" width="18.8984375" style="1532" customWidth="1"/>
    <col min="4101" max="4352" width="31.59765625" style="1532"/>
    <col min="4353" max="4353" width="5.09765625" style="1532" customWidth="1"/>
    <col min="4354" max="4354" width="46.59765625" style="1532" customWidth="1"/>
    <col min="4355" max="4355" width="8.5" style="1532" customWidth="1"/>
    <col min="4356" max="4356" width="18.8984375" style="1532" customWidth="1"/>
    <col min="4357" max="4608" width="31.59765625" style="1532"/>
    <col min="4609" max="4609" width="5.09765625" style="1532" customWidth="1"/>
    <col min="4610" max="4610" width="46.59765625" style="1532" customWidth="1"/>
    <col min="4611" max="4611" width="8.5" style="1532" customWidth="1"/>
    <col min="4612" max="4612" width="18.8984375" style="1532" customWidth="1"/>
    <col min="4613" max="4864" width="31.59765625" style="1532"/>
    <col min="4865" max="4865" width="5.09765625" style="1532" customWidth="1"/>
    <col min="4866" max="4866" width="46.59765625" style="1532" customWidth="1"/>
    <col min="4867" max="4867" width="8.5" style="1532" customWidth="1"/>
    <col min="4868" max="4868" width="18.8984375" style="1532" customWidth="1"/>
    <col min="4869" max="5120" width="31.59765625" style="1532"/>
    <col min="5121" max="5121" width="5.09765625" style="1532" customWidth="1"/>
    <col min="5122" max="5122" width="46.59765625" style="1532" customWidth="1"/>
    <col min="5123" max="5123" width="8.5" style="1532" customWidth="1"/>
    <col min="5124" max="5124" width="18.8984375" style="1532" customWidth="1"/>
    <col min="5125" max="5376" width="31.59765625" style="1532"/>
    <col min="5377" max="5377" width="5.09765625" style="1532" customWidth="1"/>
    <col min="5378" max="5378" width="46.59765625" style="1532" customWidth="1"/>
    <col min="5379" max="5379" width="8.5" style="1532" customWidth="1"/>
    <col min="5380" max="5380" width="18.8984375" style="1532" customWidth="1"/>
    <col min="5381" max="5632" width="31.59765625" style="1532"/>
    <col min="5633" max="5633" width="5.09765625" style="1532" customWidth="1"/>
    <col min="5634" max="5634" width="46.59765625" style="1532" customWidth="1"/>
    <col min="5635" max="5635" width="8.5" style="1532" customWidth="1"/>
    <col min="5636" max="5636" width="18.8984375" style="1532" customWidth="1"/>
    <col min="5637" max="5888" width="31.59765625" style="1532"/>
    <col min="5889" max="5889" width="5.09765625" style="1532" customWidth="1"/>
    <col min="5890" max="5890" width="46.59765625" style="1532" customWidth="1"/>
    <col min="5891" max="5891" width="8.5" style="1532" customWidth="1"/>
    <col min="5892" max="5892" width="18.8984375" style="1532" customWidth="1"/>
    <col min="5893" max="6144" width="31.59765625" style="1532"/>
    <col min="6145" max="6145" width="5.09765625" style="1532" customWidth="1"/>
    <col min="6146" max="6146" width="46.59765625" style="1532" customWidth="1"/>
    <col min="6147" max="6147" width="8.5" style="1532" customWidth="1"/>
    <col min="6148" max="6148" width="18.8984375" style="1532" customWidth="1"/>
    <col min="6149" max="6400" width="31.59765625" style="1532"/>
    <col min="6401" max="6401" width="5.09765625" style="1532" customWidth="1"/>
    <col min="6402" max="6402" width="46.59765625" style="1532" customWidth="1"/>
    <col min="6403" max="6403" width="8.5" style="1532" customWidth="1"/>
    <col min="6404" max="6404" width="18.8984375" style="1532" customWidth="1"/>
    <col min="6405" max="6656" width="31.59765625" style="1532"/>
    <col min="6657" max="6657" width="5.09765625" style="1532" customWidth="1"/>
    <col min="6658" max="6658" width="46.59765625" style="1532" customWidth="1"/>
    <col min="6659" max="6659" width="8.5" style="1532" customWidth="1"/>
    <col min="6660" max="6660" width="18.8984375" style="1532" customWidth="1"/>
    <col min="6661" max="6912" width="31.59765625" style="1532"/>
    <col min="6913" max="6913" width="5.09765625" style="1532" customWidth="1"/>
    <col min="6914" max="6914" width="46.59765625" style="1532" customWidth="1"/>
    <col min="6915" max="6915" width="8.5" style="1532" customWidth="1"/>
    <col min="6916" max="6916" width="18.8984375" style="1532" customWidth="1"/>
    <col min="6917" max="7168" width="31.59765625" style="1532"/>
    <col min="7169" max="7169" width="5.09765625" style="1532" customWidth="1"/>
    <col min="7170" max="7170" width="46.59765625" style="1532" customWidth="1"/>
    <col min="7171" max="7171" width="8.5" style="1532" customWidth="1"/>
    <col min="7172" max="7172" width="18.8984375" style="1532" customWidth="1"/>
    <col min="7173" max="7424" width="31.59765625" style="1532"/>
    <col min="7425" max="7425" width="5.09765625" style="1532" customWidth="1"/>
    <col min="7426" max="7426" width="46.59765625" style="1532" customWidth="1"/>
    <col min="7427" max="7427" width="8.5" style="1532" customWidth="1"/>
    <col min="7428" max="7428" width="18.8984375" style="1532" customWidth="1"/>
    <col min="7429" max="7680" width="31.59765625" style="1532"/>
    <col min="7681" max="7681" width="5.09765625" style="1532" customWidth="1"/>
    <col min="7682" max="7682" width="46.59765625" style="1532" customWidth="1"/>
    <col min="7683" max="7683" width="8.5" style="1532" customWidth="1"/>
    <col min="7684" max="7684" width="18.8984375" style="1532" customWidth="1"/>
    <col min="7685" max="7936" width="31.59765625" style="1532"/>
    <col min="7937" max="7937" width="5.09765625" style="1532" customWidth="1"/>
    <col min="7938" max="7938" width="46.59765625" style="1532" customWidth="1"/>
    <col min="7939" max="7939" width="8.5" style="1532" customWidth="1"/>
    <col min="7940" max="7940" width="18.8984375" style="1532" customWidth="1"/>
    <col min="7941" max="8192" width="31.59765625" style="1532"/>
    <col min="8193" max="8193" width="5.09765625" style="1532" customWidth="1"/>
    <col min="8194" max="8194" width="46.59765625" style="1532" customWidth="1"/>
    <col min="8195" max="8195" width="8.5" style="1532" customWidth="1"/>
    <col min="8196" max="8196" width="18.8984375" style="1532" customWidth="1"/>
    <col min="8197" max="8448" width="31.59765625" style="1532"/>
    <col min="8449" max="8449" width="5.09765625" style="1532" customWidth="1"/>
    <col min="8450" max="8450" width="46.59765625" style="1532" customWidth="1"/>
    <col min="8451" max="8451" width="8.5" style="1532" customWidth="1"/>
    <col min="8452" max="8452" width="18.8984375" style="1532" customWidth="1"/>
    <col min="8453" max="8704" width="31.59765625" style="1532"/>
    <col min="8705" max="8705" width="5.09765625" style="1532" customWidth="1"/>
    <col min="8706" max="8706" width="46.59765625" style="1532" customWidth="1"/>
    <col min="8707" max="8707" width="8.5" style="1532" customWidth="1"/>
    <col min="8708" max="8708" width="18.8984375" style="1532" customWidth="1"/>
    <col min="8709" max="8960" width="31.59765625" style="1532"/>
    <col min="8961" max="8961" width="5.09765625" style="1532" customWidth="1"/>
    <col min="8962" max="8962" width="46.59765625" style="1532" customWidth="1"/>
    <col min="8963" max="8963" width="8.5" style="1532" customWidth="1"/>
    <col min="8964" max="8964" width="18.8984375" style="1532" customWidth="1"/>
    <col min="8965" max="9216" width="31.59765625" style="1532"/>
    <col min="9217" max="9217" width="5.09765625" style="1532" customWidth="1"/>
    <col min="9218" max="9218" width="46.59765625" style="1532" customWidth="1"/>
    <col min="9219" max="9219" width="8.5" style="1532" customWidth="1"/>
    <col min="9220" max="9220" width="18.8984375" style="1532" customWidth="1"/>
    <col min="9221" max="9472" width="31.59765625" style="1532"/>
    <col min="9473" max="9473" width="5.09765625" style="1532" customWidth="1"/>
    <col min="9474" max="9474" width="46.59765625" style="1532" customWidth="1"/>
    <col min="9475" max="9475" width="8.5" style="1532" customWidth="1"/>
    <col min="9476" max="9476" width="18.8984375" style="1532" customWidth="1"/>
    <col min="9477" max="9728" width="31.59765625" style="1532"/>
    <col min="9729" max="9729" width="5.09765625" style="1532" customWidth="1"/>
    <col min="9730" max="9730" width="46.59765625" style="1532" customWidth="1"/>
    <col min="9731" max="9731" width="8.5" style="1532" customWidth="1"/>
    <col min="9732" max="9732" width="18.8984375" style="1532" customWidth="1"/>
    <col min="9733" max="9984" width="31.59765625" style="1532"/>
    <col min="9985" max="9985" width="5.09765625" style="1532" customWidth="1"/>
    <col min="9986" max="9986" width="46.59765625" style="1532" customWidth="1"/>
    <col min="9987" max="9987" width="8.5" style="1532" customWidth="1"/>
    <col min="9988" max="9988" width="18.8984375" style="1532" customWidth="1"/>
    <col min="9989" max="10240" width="31.59765625" style="1532"/>
    <col min="10241" max="10241" width="5.09765625" style="1532" customWidth="1"/>
    <col min="10242" max="10242" width="46.59765625" style="1532" customWidth="1"/>
    <col min="10243" max="10243" width="8.5" style="1532" customWidth="1"/>
    <col min="10244" max="10244" width="18.8984375" style="1532" customWidth="1"/>
    <col min="10245" max="10496" width="31.59765625" style="1532"/>
    <col min="10497" max="10497" width="5.09765625" style="1532" customWidth="1"/>
    <col min="10498" max="10498" width="46.59765625" style="1532" customWidth="1"/>
    <col min="10499" max="10499" width="8.5" style="1532" customWidth="1"/>
    <col min="10500" max="10500" width="18.8984375" style="1532" customWidth="1"/>
    <col min="10501" max="10752" width="31.59765625" style="1532"/>
    <col min="10753" max="10753" width="5.09765625" style="1532" customWidth="1"/>
    <col min="10754" max="10754" width="46.59765625" style="1532" customWidth="1"/>
    <col min="10755" max="10755" width="8.5" style="1532" customWidth="1"/>
    <col min="10756" max="10756" width="18.8984375" style="1532" customWidth="1"/>
    <col min="10757" max="11008" width="31.59765625" style="1532"/>
    <col min="11009" max="11009" width="5.09765625" style="1532" customWidth="1"/>
    <col min="11010" max="11010" width="46.59765625" style="1532" customWidth="1"/>
    <col min="11011" max="11011" width="8.5" style="1532" customWidth="1"/>
    <col min="11012" max="11012" width="18.8984375" style="1532" customWidth="1"/>
    <col min="11013" max="11264" width="31.59765625" style="1532"/>
    <col min="11265" max="11265" width="5.09765625" style="1532" customWidth="1"/>
    <col min="11266" max="11266" width="46.59765625" style="1532" customWidth="1"/>
    <col min="11267" max="11267" width="8.5" style="1532" customWidth="1"/>
    <col min="11268" max="11268" width="18.8984375" style="1532" customWidth="1"/>
    <col min="11269" max="11520" width="31.59765625" style="1532"/>
    <col min="11521" max="11521" width="5.09765625" style="1532" customWidth="1"/>
    <col min="11522" max="11522" width="46.59765625" style="1532" customWidth="1"/>
    <col min="11523" max="11523" width="8.5" style="1532" customWidth="1"/>
    <col min="11524" max="11524" width="18.8984375" style="1532" customWidth="1"/>
    <col min="11525" max="11776" width="31.59765625" style="1532"/>
    <col min="11777" max="11777" width="5.09765625" style="1532" customWidth="1"/>
    <col min="11778" max="11778" width="46.59765625" style="1532" customWidth="1"/>
    <col min="11779" max="11779" width="8.5" style="1532" customWidth="1"/>
    <col min="11780" max="11780" width="18.8984375" style="1532" customWidth="1"/>
    <col min="11781" max="12032" width="31.59765625" style="1532"/>
    <col min="12033" max="12033" width="5.09765625" style="1532" customWidth="1"/>
    <col min="12034" max="12034" width="46.59765625" style="1532" customWidth="1"/>
    <col min="12035" max="12035" width="8.5" style="1532" customWidth="1"/>
    <col min="12036" max="12036" width="18.8984375" style="1532" customWidth="1"/>
    <col min="12037" max="12288" width="31.59765625" style="1532"/>
    <col min="12289" max="12289" width="5.09765625" style="1532" customWidth="1"/>
    <col min="12290" max="12290" width="46.59765625" style="1532" customWidth="1"/>
    <col min="12291" max="12291" width="8.5" style="1532" customWidth="1"/>
    <col min="12292" max="12292" width="18.8984375" style="1532" customWidth="1"/>
    <col min="12293" max="12544" width="31.59765625" style="1532"/>
    <col min="12545" max="12545" width="5.09765625" style="1532" customWidth="1"/>
    <col min="12546" max="12546" width="46.59765625" style="1532" customWidth="1"/>
    <col min="12547" max="12547" width="8.5" style="1532" customWidth="1"/>
    <col min="12548" max="12548" width="18.8984375" style="1532" customWidth="1"/>
    <col min="12549" max="12800" width="31.59765625" style="1532"/>
    <col min="12801" max="12801" width="5.09765625" style="1532" customWidth="1"/>
    <col min="12802" max="12802" width="46.59765625" style="1532" customWidth="1"/>
    <col min="12803" max="12803" width="8.5" style="1532" customWidth="1"/>
    <col min="12804" max="12804" width="18.8984375" style="1532" customWidth="1"/>
    <col min="12805" max="13056" width="31.59765625" style="1532"/>
    <col min="13057" max="13057" width="5.09765625" style="1532" customWidth="1"/>
    <col min="13058" max="13058" width="46.59765625" style="1532" customWidth="1"/>
    <col min="13059" max="13059" width="8.5" style="1532" customWidth="1"/>
    <col min="13060" max="13060" width="18.8984375" style="1532" customWidth="1"/>
    <col min="13061" max="13312" width="31.59765625" style="1532"/>
    <col min="13313" max="13313" width="5.09765625" style="1532" customWidth="1"/>
    <col min="13314" max="13314" width="46.59765625" style="1532" customWidth="1"/>
    <col min="13315" max="13315" width="8.5" style="1532" customWidth="1"/>
    <col min="13316" max="13316" width="18.8984375" style="1532" customWidth="1"/>
    <col min="13317" max="13568" width="31.59765625" style="1532"/>
    <col min="13569" max="13569" width="5.09765625" style="1532" customWidth="1"/>
    <col min="13570" max="13570" width="46.59765625" style="1532" customWidth="1"/>
    <col min="13571" max="13571" width="8.5" style="1532" customWidth="1"/>
    <col min="13572" max="13572" width="18.8984375" style="1532" customWidth="1"/>
    <col min="13573" max="13824" width="31.59765625" style="1532"/>
    <col min="13825" max="13825" width="5.09765625" style="1532" customWidth="1"/>
    <col min="13826" max="13826" width="46.59765625" style="1532" customWidth="1"/>
    <col min="13827" max="13827" width="8.5" style="1532" customWidth="1"/>
    <col min="13828" max="13828" width="18.8984375" style="1532" customWidth="1"/>
    <col min="13829" max="14080" width="31.59765625" style="1532"/>
    <col min="14081" max="14081" width="5.09765625" style="1532" customWidth="1"/>
    <col min="14082" max="14082" width="46.59765625" style="1532" customWidth="1"/>
    <col min="14083" max="14083" width="8.5" style="1532" customWidth="1"/>
    <col min="14084" max="14084" width="18.8984375" style="1532" customWidth="1"/>
    <col min="14085" max="14336" width="31.59765625" style="1532"/>
    <col min="14337" max="14337" width="5.09765625" style="1532" customWidth="1"/>
    <col min="14338" max="14338" width="46.59765625" style="1532" customWidth="1"/>
    <col min="14339" max="14339" width="8.5" style="1532" customWidth="1"/>
    <col min="14340" max="14340" width="18.8984375" style="1532" customWidth="1"/>
    <col min="14341" max="14592" width="31.59765625" style="1532"/>
    <col min="14593" max="14593" width="5.09765625" style="1532" customWidth="1"/>
    <col min="14594" max="14594" width="46.59765625" style="1532" customWidth="1"/>
    <col min="14595" max="14595" width="8.5" style="1532" customWidth="1"/>
    <col min="14596" max="14596" width="18.8984375" style="1532" customWidth="1"/>
    <col min="14597" max="14848" width="31.59765625" style="1532"/>
    <col min="14849" max="14849" width="5.09765625" style="1532" customWidth="1"/>
    <col min="14850" max="14850" width="46.59765625" style="1532" customWidth="1"/>
    <col min="14851" max="14851" width="8.5" style="1532" customWidth="1"/>
    <col min="14852" max="14852" width="18.8984375" style="1532" customWidth="1"/>
    <col min="14853" max="15104" width="31.59765625" style="1532"/>
    <col min="15105" max="15105" width="5.09765625" style="1532" customWidth="1"/>
    <col min="15106" max="15106" width="46.59765625" style="1532" customWidth="1"/>
    <col min="15107" max="15107" width="8.5" style="1532" customWidth="1"/>
    <col min="15108" max="15108" width="18.8984375" style="1532" customWidth="1"/>
    <col min="15109" max="15360" width="31.59765625" style="1532"/>
    <col min="15361" max="15361" width="5.09765625" style="1532" customWidth="1"/>
    <col min="15362" max="15362" width="46.59765625" style="1532" customWidth="1"/>
    <col min="15363" max="15363" width="8.5" style="1532" customWidth="1"/>
    <col min="15364" max="15364" width="18.8984375" style="1532" customWidth="1"/>
    <col min="15365" max="15616" width="31.59765625" style="1532"/>
    <col min="15617" max="15617" width="5.09765625" style="1532" customWidth="1"/>
    <col min="15618" max="15618" width="46.59765625" style="1532" customWidth="1"/>
    <col min="15619" max="15619" width="8.5" style="1532" customWidth="1"/>
    <col min="15620" max="15620" width="18.8984375" style="1532" customWidth="1"/>
    <col min="15621" max="15872" width="31.59765625" style="1532"/>
    <col min="15873" max="15873" width="5.09765625" style="1532" customWidth="1"/>
    <col min="15874" max="15874" width="46.59765625" style="1532" customWidth="1"/>
    <col min="15875" max="15875" width="8.5" style="1532" customWidth="1"/>
    <col min="15876" max="15876" width="18.8984375" style="1532" customWidth="1"/>
    <col min="15877" max="16128" width="31.59765625" style="1532"/>
    <col min="16129" max="16129" width="5.09765625" style="1532" customWidth="1"/>
    <col min="16130" max="16130" width="46.59765625" style="1532" customWidth="1"/>
    <col min="16131" max="16131" width="8.5" style="1532" customWidth="1"/>
    <col min="16132" max="16132" width="18.8984375" style="1532" customWidth="1"/>
    <col min="16133" max="16384" width="31.59765625" style="1532"/>
  </cols>
  <sheetData>
    <row r="1" spans="1:4" ht="20.100000000000001" customHeight="1">
      <c r="A1" s="3400" t="s">
        <v>5011</v>
      </c>
      <c r="B1" s="3400"/>
      <c r="C1" s="3400"/>
      <c r="D1" s="1937"/>
    </row>
    <row r="2" spans="1:4" ht="25.5" customHeight="1">
      <c r="A2" s="3401" t="s">
        <v>5012</v>
      </c>
      <c r="B2" s="3401"/>
      <c r="C2" s="3401"/>
      <c r="D2" s="1854"/>
    </row>
    <row r="3" spans="1:4" s="1537" customFormat="1" ht="14.25" customHeight="1">
      <c r="A3" s="1840" t="s">
        <v>1853</v>
      </c>
      <c r="B3" s="1840" t="s">
        <v>5013</v>
      </c>
      <c r="C3" s="1840" t="s">
        <v>5014</v>
      </c>
      <c r="D3" s="1840" t="s">
        <v>4809</v>
      </c>
    </row>
    <row r="4" spans="1:4" s="1537" customFormat="1" ht="36" customHeight="1">
      <c r="A4" s="1840">
        <v>1</v>
      </c>
      <c r="B4" s="1809" t="s">
        <v>5015</v>
      </c>
      <c r="C4" s="2075">
        <f>SUM(C5:C10)</f>
        <v>0</v>
      </c>
      <c r="D4" s="1953" t="s">
        <v>5016</v>
      </c>
    </row>
    <row r="5" spans="1:4" s="1537" customFormat="1" ht="14.25" customHeight="1">
      <c r="A5" s="1840">
        <v>2</v>
      </c>
      <c r="B5" s="1809" t="s">
        <v>5017</v>
      </c>
      <c r="C5" s="2077"/>
      <c r="D5" s="1953"/>
    </row>
    <row r="6" spans="1:4" s="1537" customFormat="1" ht="14.25" customHeight="1">
      <c r="A6" s="1840">
        <v>3</v>
      </c>
      <c r="B6" s="1809" t="s">
        <v>5018</v>
      </c>
      <c r="C6" s="2077"/>
      <c r="D6" s="1953"/>
    </row>
    <row r="7" spans="1:4" s="1537" customFormat="1" ht="14.25" customHeight="1">
      <c r="A7" s="1840">
        <v>4</v>
      </c>
      <c r="B7" s="1809" t="s">
        <v>5019</v>
      </c>
      <c r="C7" s="2077"/>
      <c r="D7" s="1953"/>
    </row>
    <row r="8" spans="1:4" s="1537" customFormat="1" ht="14.25" customHeight="1">
      <c r="A8" s="1840">
        <v>5</v>
      </c>
      <c r="B8" s="1809" t="s">
        <v>5020</v>
      </c>
      <c r="C8" s="2077"/>
      <c r="D8" s="1953"/>
    </row>
    <row r="9" spans="1:4" s="1537" customFormat="1" ht="14.25" customHeight="1">
      <c r="A9" s="1840">
        <v>6</v>
      </c>
      <c r="B9" s="1809" t="s">
        <v>5021</v>
      </c>
      <c r="C9" s="2077"/>
      <c r="D9" s="1953"/>
    </row>
    <row r="10" spans="1:4" s="1537" customFormat="1" ht="14.25" customHeight="1">
      <c r="A10" s="1840">
        <v>7</v>
      </c>
      <c r="B10" s="1809" t="s">
        <v>5022</v>
      </c>
      <c r="C10" s="2075">
        <f>SUM(C11:C12)</f>
        <v>0</v>
      </c>
      <c r="D10" s="1953"/>
    </row>
    <row r="11" spans="1:4" s="1537" customFormat="1" ht="28.5" customHeight="1">
      <c r="A11" s="1840">
        <v>8</v>
      </c>
      <c r="B11" s="1809" t="s">
        <v>5023</v>
      </c>
      <c r="C11" s="2077"/>
      <c r="D11" s="1953" t="s">
        <v>5024</v>
      </c>
    </row>
    <row r="12" spans="1:4" s="1537" customFormat="1" ht="26.25" customHeight="1">
      <c r="A12" s="1840">
        <v>9</v>
      </c>
      <c r="B12" s="1809" t="s">
        <v>5025</v>
      </c>
      <c r="C12" s="2077"/>
      <c r="D12" s="1953" t="s">
        <v>5026</v>
      </c>
    </row>
    <row r="13" spans="1:4" s="1537" customFormat="1" ht="14.25" customHeight="1">
      <c r="A13" s="1840">
        <v>10</v>
      </c>
      <c r="B13" s="1809" t="s">
        <v>5027</v>
      </c>
      <c r="C13" s="2075">
        <f>SUM(C14:C20)</f>
        <v>0</v>
      </c>
      <c r="D13" s="1953"/>
    </row>
    <row r="14" spans="1:4" s="1537" customFormat="1" ht="14.25" customHeight="1">
      <c r="A14" s="1840">
        <v>11</v>
      </c>
      <c r="B14" s="1809" t="s">
        <v>5028</v>
      </c>
      <c r="C14" s="2077"/>
      <c r="D14" s="1953"/>
    </row>
    <row r="15" spans="1:4" s="1537" customFormat="1" ht="13.8">
      <c r="A15" s="1840">
        <v>12</v>
      </c>
      <c r="B15" s="1809" t="s">
        <v>5029</v>
      </c>
      <c r="C15" s="2077"/>
      <c r="D15" s="1953"/>
    </row>
    <row r="16" spans="1:4">
      <c r="A16" s="1840">
        <v>13</v>
      </c>
      <c r="B16" s="1809" t="s">
        <v>5030</v>
      </c>
      <c r="C16" s="2077"/>
      <c r="D16" s="1953"/>
    </row>
    <row r="17" spans="1:4">
      <c r="A17" s="1840">
        <v>14</v>
      </c>
      <c r="B17" s="1809" t="s">
        <v>5031</v>
      </c>
      <c r="C17" s="2077"/>
      <c r="D17" s="1953"/>
    </row>
    <row r="18" spans="1:4">
      <c r="A18" s="1840">
        <v>15</v>
      </c>
      <c r="B18" s="1818" t="s">
        <v>5032</v>
      </c>
      <c r="C18" s="2077"/>
      <c r="D18" s="1953"/>
    </row>
    <row r="19" spans="1:4">
      <c r="A19" s="1840">
        <v>16</v>
      </c>
      <c r="B19" s="1809" t="s">
        <v>5033</v>
      </c>
      <c r="C19" s="2077"/>
      <c r="D19" s="1953"/>
    </row>
    <row r="20" spans="1:4">
      <c r="A20" s="1840">
        <v>17</v>
      </c>
      <c r="B20" s="1809" t="s">
        <v>5034</v>
      </c>
      <c r="C20" s="2077"/>
      <c r="D20" s="1953"/>
    </row>
    <row r="21" spans="1:4">
      <c r="A21" s="1840">
        <v>18</v>
      </c>
      <c r="B21" s="1809" t="s">
        <v>5035</v>
      </c>
      <c r="C21" s="2075">
        <f>SUM(C22:C26)</f>
        <v>0</v>
      </c>
      <c r="D21" s="1953"/>
    </row>
    <row r="22" spans="1:4" ht="36">
      <c r="A22" s="1840">
        <v>19</v>
      </c>
      <c r="B22" s="1809" t="s">
        <v>5036</v>
      </c>
      <c r="C22" s="2077"/>
      <c r="D22" s="1953" t="s">
        <v>5037</v>
      </c>
    </row>
    <row r="23" spans="1:4">
      <c r="A23" s="1840">
        <v>20</v>
      </c>
      <c r="B23" s="1809" t="s">
        <v>5038</v>
      </c>
      <c r="C23" s="2077"/>
      <c r="D23" s="1953"/>
    </row>
    <row r="24" spans="1:4" ht="14.1" customHeight="1">
      <c r="A24" s="1840">
        <v>21</v>
      </c>
      <c r="B24" s="1809" t="s">
        <v>5039</v>
      </c>
      <c r="C24" s="2077"/>
      <c r="D24" s="1953"/>
    </row>
    <row r="25" spans="1:4" ht="14.1" customHeight="1">
      <c r="A25" s="1840">
        <v>22</v>
      </c>
      <c r="B25" s="1809" t="s">
        <v>5040</v>
      </c>
      <c r="C25" s="2077"/>
      <c r="D25" s="1953"/>
    </row>
    <row r="26" spans="1:4" ht="24">
      <c r="A26" s="1840">
        <v>23</v>
      </c>
      <c r="B26" s="1809" t="s">
        <v>5041</v>
      </c>
      <c r="C26" s="2077"/>
      <c r="D26" s="1953" t="s">
        <v>5042</v>
      </c>
    </row>
    <row r="27" spans="1:4">
      <c r="A27" s="1840">
        <v>24</v>
      </c>
      <c r="B27" s="1809" t="s">
        <v>5043</v>
      </c>
      <c r="C27" s="2075">
        <f>SUM(C28:C31)</f>
        <v>0</v>
      </c>
      <c r="D27" s="1953"/>
    </row>
    <row r="28" spans="1:4">
      <c r="A28" s="1840">
        <v>25</v>
      </c>
      <c r="B28" s="1809" t="s">
        <v>5044</v>
      </c>
      <c r="C28" s="2077"/>
      <c r="D28" s="1953"/>
    </row>
    <row r="29" spans="1:4">
      <c r="A29" s="1840">
        <v>26</v>
      </c>
      <c r="B29" s="1809" t="s">
        <v>5045</v>
      </c>
      <c r="C29" s="2077"/>
      <c r="D29" s="1953"/>
    </row>
    <row r="30" spans="1:4">
      <c r="A30" s="1840">
        <v>27</v>
      </c>
      <c r="B30" s="1809" t="s">
        <v>5046</v>
      </c>
      <c r="C30" s="2077"/>
      <c r="D30" s="1953"/>
    </row>
    <row r="31" spans="1:4">
      <c r="A31" s="1840">
        <v>28</v>
      </c>
      <c r="B31" s="1809" t="s">
        <v>5047</v>
      </c>
      <c r="C31" s="2077"/>
      <c r="D31" s="1953"/>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K811"/>
  <sheetViews>
    <sheetView workbookViewId="0">
      <selection activeCell="E14" sqref="E14"/>
    </sheetView>
  </sheetViews>
  <sheetFormatPr defaultColWidth="22.5" defaultRowHeight="22.2"/>
  <cols>
    <col min="1" max="1" width="3.3984375" style="1531" customWidth="1"/>
    <col min="2" max="2" width="23.3984375" style="1528" customWidth="1"/>
    <col min="3" max="8" width="12.69921875" style="1528" customWidth="1"/>
    <col min="9" max="9" width="11.5" style="1528" customWidth="1"/>
    <col min="10" max="256" width="22.5" style="1528"/>
    <col min="257" max="257" width="3.3984375" style="1528" customWidth="1"/>
    <col min="258" max="258" width="23.3984375" style="1528" customWidth="1"/>
    <col min="259" max="259" width="7.3984375" style="1528" customWidth="1"/>
    <col min="260" max="260" width="7.09765625" style="1528" customWidth="1"/>
    <col min="261" max="261" width="7.19921875" style="1528" customWidth="1"/>
    <col min="262" max="262" width="7.09765625" style="1528" customWidth="1"/>
    <col min="263" max="263" width="7" style="1528" customWidth="1"/>
    <col min="264" max="264" width="6.69921875" style="1528" customWidth="1"/>
    <col min="265" max="265" width="11.5" style="1528" customWidth="1"/>
    <col min="266" max="512" width="22.5" style="1528"/>
    <col min="513" max="513" width="3.3984375" style="1528" customWidth="1"/>
    <col min="514" max="514" width="23.3984375" style="1528" customWidth="1"/>
    <col min="515" max="515" width="7.3984375" style="1528" customWidth="1"/>
    <col min="516" max="516" width="7.09765625" style="1528" customWidth="1"/>
    <col min="517" max="517" width="7.19921875" style="1528" customWidth="1"/>
    <col min="518" max="518" width="7.09765625" style="1528" customWidth="1"/>
    <col min="519" max="519" width="7" style="1528" customWidth="1"/>
    <col min="520" max="520" width="6.69921875" style="1528" customWidth="1"/>
    <col min="521" max="521" width="11.5" style="1528" customWidth="1"/>
    <col min="522" max="768" width="22.5" style="1528"/>
    <col min="769" max="769" width="3.3984375" style="1528" customWidth="1"/>
    <col min="770" max="770" width="23.3984375" style="1528" customWidth="1"/>
    <col min="771" max="771" width="7.3984375" style="1528" customWidth="1"/>
    <col min="772" max="772" width="7.09765625" style="1528" customWidth="1"/>
    <col min="773" max="773" width="7.19921875" style="1528" customWidth="1"/>
    <col min="774" max="774" width="7.09765625" style="1528" customWidth="1"/>
    <col min="775" max="775" width="7" style="1528" customWidth="1"/>
    <col min="776" max="776" width="6.69921875" style="1528" customWidth="1"/>
    <col min="777" max="777" width="11.5" style="1528" customWidth="1"/>
    <col min="778" max="1024" width="22.5" style="1528"/>
    <col min="1025" max="1025" width="3.3984375" style="1528" customWidth="1"/>
    <col min="1026" max="1026" width="23.3984375" style="1528" customWidth="1"/>
    <col min="1027" max="1027" width="7.3984375" style="1528" customWidth="1"/>
    <col min="1028" max="1028" width="7.09765625" style="1528" customWidth="1"/>
    <col min="1029" max="1029" width="7.19921875" style="1528" customWidth="1"/>
    <col min="1030" max="1030" width="7.09765625" style="1528" customWidth="1"/>
    <col min="1031" max="1031" width="7" style="1528" customWidth="1"/>
    <col min="1032" max="1032" width="6.69921875" style="1528" customWidth="1"/>
    <col min="1033" max="1033" width="11.5" style="1528" customWidth="1"/>
    <col min="1034" max="1280" width="22.5" style="1528"/>
    <col min="1281" max="1281" width="3.3984375" style="1528" customWidth="1"/>
    <col min="1282" max="1282" width="23.3984375" style="1528" customWidth="1"/>
    <col min="1283" max="1283" width="7.3984375" style="1528" customWidth="1"/>
    <col min="1284" max="1284" width="7.09765625" style="1528" customWidth="1"/>
    <col min="1285" max="1285" width="7.19921875" style="1528" customWidth="1"/>
    <col min="1286" max="1286" width="7.09765625" style="1528" customWidth="1"/>
    <col min="1287" max="1287" width="7" style="1528" customWidth="1"/>
    <col min="1288" max="1288" width="6.69921875" style="1528" customWidth="1"/>
    <col min="1289" max="1289" width="11.5" style="1528" customWidth="1"/>
    <col min="1290" max="1536" width="22.5" style="1528"/>
    <col min="1537" max="1537" width="3.3984375" style="1528" customWidth="1"/>
    <col min="1538" max="1538" width="23.3984375" style="1528" customWidth="1"/>
    <col min="1539" max="1539" width="7.3984375" style="1528" customWidth="1"/>
    <col min="1540" max="1540" width="7.09765625" style="1528" customWidth="1"/>
    <col min="1541" max="1541" width="7.19921875" style="1528" customWidth="1"/>
    <col min="1542" max="1542" width="7.09765625" style="1528" customWidth="1"/>
    <col min="1543" max="1543" width="7" style="1528" customWidth="1"/>
    <col min="1544" max="1544" width="6.69921875" style="1528" customWidth="1"/>
    <col min="1545" max="1545" width="11.5" style="1528" customWidth="1"/>
    <col min="1546" max="1792" width="22.5" style="1528"/>
    <col min="1793" max="1793" width="3.3984375" style="1528" customWidth="1"/>
    <col min="1794" max="1794" width="23.3984375" style="1528" customWidth="1"/>
    <col min="1795" max="1795" width="7.3984375" style="1528" customWidth="1"/>
    <col min="1796" max="1796" width="7.09765625" style="1528" customWidth="1"/>
    <col min="1797" max="1797" width="7.19921875" style="1528" customWidth="1"/>
    <col min="1798" max="1798" width="7.09765625" style="1528" customWidth="1"/>
    <col min="1799" max="1799" width="7" style="1528" customWidth="1"/>
    <col min="1800" max="1800" width="6.69921875" style="1528" customWidth="1"/>
    <col min="1801" max="1801" width="11.5" style="1528" customWidth="1"/>
    <col min="1802" max="2048" width="22.5" style="1528"/>
    <col min="2049" max="2049" width="3.3984375" style="1528" customWidth="1"/>
    <col min="2050" max="2050" width="23.3984375" style="1528" customWidth="1"/>
    <col min="2051" max="2051" width="7.3984375" style="1528" customWidth="1"/>
    <col min="2052" max="2052" width="7.09765625" style="1528" customWidth="1"/>
    <col min="2053" max="2053" width="7.19921875" style="1528" customWidth="1"/>
    <col min="2054" max="2054" width="7.09765625" style="1528" customWidth="1"/>
    <col min="2055" max="2055" width="7" style="1528" customWidth="1"/>
    <col min="2056" max="2056" width="6.69921875" style="1528" customWidth="1"/>
    <col min="2057" max="2057" width="11.5" style="1528" customWidth="1"/>
    <col min="2058" max="2304" width="22.5" style="1528"/>
    <col min="2305" max="2305" width="3.3984375" style="1528" customWidth="1"/>
    <col min="2306" max="2306" width="23.3984375" style="1528" customWidth="1"/>
    <col min="2307" max="2307" width="7.3984375" style="1528" customWidth="1"/>
    <col min="2308" max="2308" width="7.09765625" style="1528" customWidth="1"/>
    <col min="2309" max="2309" width="7.19921875" style="1528" customWidth="1"/>
    <col min="2310" max="2310" width="7.09765625" style="1528" customWidth="1"/>
    <col min="2311" max="2311" width="7" style="1528" customWidth="1"/>
    <col min="2312" max="2312" width="6.69921875" style="1528" customWidth="1"/>
    <col min="2313" max="2313" width="11.5" style="1528" customWidth="1"/>
    <col min="2314" max="2560" width="22.5" style="1528"/>
    <col min="2561" max="2561" width="3.3984375" style="1528" customWidth="1"/>
    <col min="2562" max="2562" width="23.3984375" style="1528" customWidth="1"/>
    <col min="2563" max="2563" width="7.3984375" style="1528" customWidth="1"/>
    <col min="2564" max="2564" width="7.09765625" style="1528" customWidth="1"/>
    <col min="2565" max="2565" width="7.19921875" style="1528" customWidth="1"/>
    <col min="2566" max="2566" width="7.09765625" style="1528" customWidth="1"/>
    <col min="2567" max="2567" width="7" style="1528" customWidth="1"/>
    <col min="2568" max="2568" width="6.69921875" style="1528" customWidth="1"/>
    <col min="2569" max="2569" width="11.5" style="1528" customWidth="1"/>
    <col min="2570" max="2816" width="22.5" style="1528"/>
    <col min="2817" max="2817" width="3.3984375" style="1528" customWidth="1"/>
    <col min="2818" max="2818" width="23.3984375" style="1528" customWidth="1"/>
    <col min="2819" max="2819" width="7.3984375" style="1528" customWidth="1"/>
    <col min="2820" max="2820" width="7.09765625" style="1528" customWidth="1"/>
    <col min="2821" max="2821" width="7.19921875" style="1528" customWidth="1"/>
    <col min="2822" max="2822" width="7.09765625" style="1528" customWidth="1"/>
    <col min="2823" max="2823" width="7" style="1528" customWidth="1"/>
    <col min="2824" max="2824" width="6.69921875" style="1528" customWidth="1"/>
    <col min="2825" max="2825" width="11.5" style="1528" customWidth="1"/>
    <col min="2826" max="3072" width="22.5" style="1528"/>
    <col min="3073" max="3073" width="3.3984375" style="1528" customWidth="1"/>
    <col min="3074" max="3074" width="23.3984375" style="1528" customWidth="1"/>
    <col min="3075" max="3075" width="7.3984375" style="1528" customWidth="1"/>
    <col min="3076" max="3076" width="7.09765625" style="1528" customWidth="1"/>
    <col min="3077" max="3077" width="7.19921875" style="1528" customWidth="1"/>
    <col min="3078" max="3078" width="7.09765625" style="1528" customWidth="1"/>
    <col min="3079" max="3079" width="7" style="1528" customWidth="1"/>
    <col min="3080" max="3080" width="6.69921875" style="1528" customWidth="1"/>
    <col min="3081" max="3081" width="11.5" style="1528" customWidth="1"/>
    <col min="3082" max="3328" width="22.5" style="1528"/>
    <col min="3329" max="3329" width="3.3984375" style="1528" customWidth="1"/>
    <col min="3330" max="3330" width="23.3984375" style="1528" customWidth="1"/>
    <col min="3331" max="3331" width="7.3984375" style="1528" customWidth="1"/>
    <col min="3332" max="3332" width="7.09765625" style="1528" customWidth="1"/>
    <col min="3333" max="3333" width="7.19921875" style="1528" customWidth="1"/>
    <col min="3334" max="3334" width="7.09765625" style="1528" customWidth="1"/>
    <col min="3335" max="3335" width="7" style="1528" customWidth="1"/>
    <col min="3336" max="3336" width="6.69921875" style="1528" customWidth="1"/>
    <col min="3337" max="3337" width="11.5" style="1528" customWidth="1"/>
    <col min="3338" max="3584" width="22.5" style="1528"/>
    <col min="3585" max="3585" width="3.3984375" style="1528" customWidth="1"/>
    <col min="3586" max="3586" width="23.3984375" style="1528" customWidth="1"/>
    <col min="3587" max="3587" width="7.3984375" style="1528" customWidth="1"/>
    <col min="3588" max="3588" width="7.09765625" style="1528" customWidth="1"/>
    <col min="3589" max="3589" width="7.19921875" style="1528" customWidth="1"/>
    <col min="3590" max="3590" width="7.09765625" style="1528" customWidth="1"/>
    <col min="3591" max="3591" width="7" style="1528" customWidth="1"/>
    <col min="3592" max="3592" width="6.69921875" style="1528" customWidth="1"/>
    <col min="3593" max="3593" width="11.5" style="1528" customWidth="1"/>
    <col min="3594" max="3840" width="22.5" style="1528"/>
    <col min="3841" max="3841" width="3.3984375" style="1528" customWidth="1"/>
    <col min="3842" max="3842" width="23.3984375" style="1528" customWidth="1"/>
    <col min="3843" max="3843" width="7.3984375" style="1528" customWidth="1"/>
    <col min="3844" max="3844" width="7.09765625" style="1528" customWidth="1"/>
    <col min="3845" max="3845" width="7.19921875" style="1528" customWidth="1"/>
    <col min="3846" max="3846" width="7.09765625" style="1528" customWidth="1"/>
    <col min="3847" max="3847" width="7" style="1528" customWidth="1"/>
    <col min="3848" max="3848" width="6.69921875" style="1528" customWidth="1"/>
    <col min="3849" max="3849" width="11.5" style="1528" customWidth="1"/>
    <col min="3850" max="4096" width="22.5" style="1528"/>
    <col min="4097" max="4097" width="3.3984375" style="1528" customWidth="1"/>
    <col min="4098" max="4098" width="23.3984375" style="1528" customWidth="1"/>
    <col min="4099" max="4099" width="7.3984375" style="1528" customWidth="1"/>
    <col min="4100" max="4100" width="7.09765625" style="1528" customWidth="1"/>
    <col min="4101" max="4101" width="7.19921875" style="1528" customWidth="1"/>
    <col min="4102" max="4102" width="7.09765625" style="1528" customWidth="1"/>
    <col min="4103" max="4103" width="7" style="1528" customWidth="1"/>
    <col min="4104" max="4104" width="6.69921875" style="1528" customWidth="1"/>
    <col min="4105" max="4105" width="11.5" style="1528" customWidth="1"/>
    <col min="4106" max="4352" width="22.5" style="1528"/>
    <col min="4353" max="4353" width="3.3984375" style="1528" customWidth="1"/>
    <col min="4354" max="4354" width="23.3984375" style="1528" customWidth="1"/>
    <col min="4355" max="4355" width="7.3984375" style="1528" customWidth="1"/>
    <col min="4356" max="4356" width="7.09765625" style="1528" customWidth="1"/>
    <col min="4357" max="4357" width="7.19921875" style="1528" customWidth="1"/>
    <col min="4358" max="4358" width="7.09765625" style="1528" customWidth="1"/>
    <col min="4359" max="4359" width="7" style="1528" customWidth="1"/>
    <col min="4360" max="4360" width="6.69921875" style="1528" customWidth="1"/>
    <col min="4361" max="4361" width="11.5" style="1528" customWidth="1"/>
    <col min="4362" max="4608" width="22.5" style="1528"/>
    <col min="4609" max="4609" width="3.3984375" style="1528" customWidth="1"/>
    <col min="4610" max="4610" width="23.3984375" style="1528" customWidth="1"/>
    <col min="4611" max="4611" width="7.3984375" style="1528" customWidth="1"/>
    <col min="4612" max="4612" width="7.09765625" style="1528" customWidth="1"/>
    <col min="4613" max="4613" width="7.19921875" style="1528" customWidth="1"/>
    <col min="4614" max="4614" width="7.09765625" style="1528" customWidth="1"/>
    <col min="4615" max="4615" width="7" style="1528" customWidth="1"/>
    <col min="4616" max="4616" width="6.69921875" style="1528" customWidth="1"/>
    <col min="4617" max="4617" width="11.5" style="1528" customWidth="1"/>
    <col min="4618" max="4864" width="22.5" style="1528"/>
    <col min="4865" max="4865" width="3.3984375" style="1528" customWidth="1"/>
    <col min="4866" max="4866" width="23.3984375" style="1528" customWidth="1"/>
    <col min="4867" max="4867" width="7.3984375" style="1528" customWidth="1"/>
    <col min="4868" max="4868" width="7.09765625" style="1528" customWidth="1"/>
    <col min="4869" max="4869" width="7.19921875" style="1528" customWidth="1"/>
    <col min="4870" max="4870" width="7.09765625" style="1528" customWidth="1"/>
    <col min="4871" max="4871" width="7" style="1528" customWidth="1"/>
    <col min="4872" max="4872" width="6.69921875" style="1528" customWidth="1"/>
    <col min="4873" max="4873" width="11.5" style="1528" customWidth="1"/>
    <col min="4874" max="5120" width="22.5" style="1528"/>
    <col min="5121" max="5121" width="3.3984375" style="1528" customWidth="1"/>
    <col min="5122" max="5122" width="23.3984375" style="1528" customWidth="1"/>
    <col min="5123" max="5123" width="7.3984375" style="1528" customWidth="1"/>
    <col min="5124" max="5124" width="7.09765625" style="1528" customWidth="1"/>
    <col min="5125" max="5125" width="7.19921875" style="1528" customWidth="1"/>
    <col min="5126" max="5126" width="7.09765625" style="1528" customWidth="1"/>
    <col min="5127" max="5127" width="7" style="1528" customWidth="1"/>
    <col min="5128" max="5128" width="6.69921875" style="1528" customWidth="1"/>
    <col min="5129" max="5129" width="11.5" style="1528" customWidth="1"/>
    <col min="5130" max="5376" width="22.5" style="1528"/>
    <col min="5377" max="5377" width="3.3984375" style="1528" customWidth="1"/>
    <col min="5378" max="5378" width="23.3984375" style="1528" customWidth="1"/>
    <col min="5379" max="5379" width="7.3984375" style="1528" customWidth="1"/>
    <col min="5380" max="5380" width="7.09765625" style="1528" customWidth="1"/>
    <col min="5381" max="5381" width="7.19921875" style="1528" customWidth="1"/>
    <col min="5382" max="5382" width="7.09765625" style="1528" customWidth="1"/>
    <col min="5383" max="5383" width="7" style="1528" customWidth="1"/>
    <col min="5384" max="5384" width="6.69921875" style="1528" customWidth="1"/>
    <col min="5385" max="5385" width="11.5" style="1528" customWidth="1"/>
    <col min="5386" max="5632" width="22.5" style="1528"/>
    <col min="5633" max="5633" width="3.3984375" style="1528" customWidth="1"/>
    <col min="5634" max="5634" width="23.3984375" style="1528" customWidth="1"/>
    <col min="5635" max="5635" width="7.3984375" style="1528" customWidth="1"/>
    <col min="5636" max="5636" width="7.09765625" style="1528" customWidth="1"/>
    <col min="5637" max="5637" width="7.19921875" style="1528" customWidth="1"/>
    <col min="5638" max="5638" width="7.09765625" style="1528" customWidth="1"/>
    <col min="5639" max="5639" width="7" style="1528" customWidth="1"/>
    <col min="5640" max="5640" width="6.69921875" style="1528" customWidth="1"/>
    <col min="5641" max="5641" width="11.5" style="1528" customWidth="1"/>
    <col min="5642" max="5888" width="22.5" style="1528"/>
    <col min="5889" max="5889" width="3.3984375" style="1528" customWidth="1"/>
    <col min="5890" max="5890" width="23.3984375" style="1528" customWidth="1"/>
    <col min="5891" max="5891" width="7.3984375" style="1528" customWidth="1"/>
    <col min="5892" max="5892" width="7.09765625" style="1528" customWidth="1"/>
    <col min="5893" max="5893" width="7.19921875" style="1528" customWidth="1"/>
    <col min="5894" max="5894" width="7.09765625" style="1528" customWidth="1"/>
    <col min="5895" max="5895" width="7" style="1528" customWidth="1"/>
    <col min="5896" max="5896" width="6.69921875" style="1528" customWidth="1"/>
    <col min="5897" max="5897" width="11.5" style="1528" customWidth="1"/>
    <col min="5898" max="6144" width="22.5" style="1528"/>
    <col min="6145" max="6145" width="3.3984375" style="1528" customWidth="1"/>
    <col min="6146" max="6146" width="23.3984375" style="1528" customWidth="1"/>
    <col min="6147" max="6147" width="7.3984375" style="1528" customWidth="1"/>
    <col min="6148" max="6148" width="7.09765625" style="1528" customWidth="1"/>
    <col min="6149" max="6149" width="7.19921875" style="1528" customWidth="1"/>
    <col min="6150" max="6150" width="7.09765625" style="1528" customWidth="1"/>
    <col min="6151" max="6151" width="7" style="1528" customWidth="1"/>
    <col min="6152" max="6152" width="6.69921875" style="1528" customWidth="1"/>
    <col min="6153" max="6153" width="11.5" style="1528" customWidth="1"/>
    <col min="6154" max="6400" width="22.5" style="1528"/>
    <col min="6401" max="6401" width="3.3984375" style="1528" customWidth="1"/>
    <col min="6402" max="6402" width="23.3984375" style="1528" customWidth="1"/>
    <col min="6403" max="6403" width="7.3984375" style="1528" customWidth="1"/>
    <col min="6404" max="6404" width="7.09765625" style="1528" customWidth="1"/>
    <col min="6405" max="6405" width="7.19921875" style="1528" customWidth="1"/>
    <col min="6406" max="6406" width="7.09765625" style="1528" customWidth="1"/>
    <col min="6407" max="6407" width="7" style="1528" customWidth="1"/>
    <col min="6408" max="6408" width="6.69921875" style="1528" customWidth="1"/>
    <col min="6409" max="6409" width="11.5" style="1528" customWidth="1"/>
    <col min="6410" max="6656" width="22.5" style="1528"/>
    <col min="6657" max="6657" width="3.3984375" style="1528" customWidth="1"/>
    <col min="6658" max="6658" width="23.3984375" style="1528" customWidth="1"/>
    <col min="6659" max="6659" width="7.3984375" style="1528" customWidth="1"/>
    <col min="6660" max="6660" width="7.09765625" style="1528" customWidth="1"/>
    <col min="6661" max="6661" width="7.19921875" style="1528" customWidth="1"/>
    <col min="6662" max="6662" width="7.09765625" style="1528" customWidth="1"/>
    <col min="6663" max="6663" width="7" style="1528" customWidth="1"/>
    <col min="6664" max="6664" width="6.69921875" style="1528" customWidth="1"/>
    <col min="6665" max="6665" width="11.5" style="1528" customWidth="1"/>
    <col min="6666" max="6912" width="22.5" style="1528"/>
    <col min="6913" max="6913" width="3.3984375" style="1528" customWidth="1"/>
    <col min="6914" max="6914" width="23.3984375" style="1528" customWidth="1"/>
    <col min="6915" max="6915" width="7.3984375" style="1528" customWidth="1"/>
    <col min="6916" max="6916" width="7.09765625" style="1528" customWidth="1"/>
    <col min="6917" max="6917" width="7.19921875" style="1528" customWidth="1"/>
    <col min="6918" max="6918" width="7.09765625" style="1528" customWidth="1"/>
    <col min="6919" max="6919" width="7" style="1528" customWidth="1"/>
    <col min="6920" max="6920" width="6.69921875" style="1528" customWidth="1"/>
    <col min="6921" max="6921" width="11.5" style="1528" customWidth="1"/>
    <col min="6922" max="7168" width="22.5" style="1528"/>
    <col min="7169" max="7169" width="3.3984375" style="1528" customWidth="1"/>
    <col min="7170" max="7170" width="23.3984375" style="1528" customWidth="1"/>
    <col min="7171" max="7171" width="7.3984375" style="1528" customWidth="1"/>
    <col min="7172" max="7172" width="7.09765625" style="1528" customWidth="1"/>
    <col min="7173" max="7173" width="7.19921875" style="1528" customWidth="1"/>
    <col min="7174" max="7174" width="7.09765625" style="1528" customWidth="1"/>
    <col min="7175" max="7175" width="7" style="1528" customWidth="1"/>
    <col min="7176" max="7176" width="6.69921875" style="1528" customWidth="1"/>
    <col min="7177" max="7177" width="11.5" style="1528" customWidth="1"/>
    <col min="7178" max="7424" width="22.5" style="1528"/>
    <col min="7425" max="7425" width="3.3984375" style="1528" customWidth="1"/>
    <col min="7426" max="7426" width="23.3984375" style="1528" customWidth="1"/>
    <col min="7427" max="7427" width="7.3984375" style="1528" customWidth="1"/>
    <col min="7428" max="7428" width="7.09765625" style="1528" customWidth="1"/>
    <col min="7429" max="7429" width="7.19921875" style="1528" customWidth="1"/>
    <col min="7430" max="7430" width="7.09765625" style="1528" customWidth="1"/>
    <col min="7431" max="7431" width="7" style="1528" customWidth="1"/>
    <col min="7432" max="7432" width="6.69921875" style="1528" customWidth="1"/>
    <col min="7433" max="7433" width="11.5" style="1528" customWidth="1"/>
    <col min="7434" max="7680" width="22.5" style="1528"/>
    <col min="7681" max="7681" width="3.3984375" style="1528" customWidth="1"/>
    <col min="7682" max="7682" width="23.3984375" style="1528" customWidth="1"/>
    <col min="7683" max="7683" width="7.3984375" style="1528" customWidth="1"/>
    <col min="7684" max="7684" width="7.09765625" style="1528" customWidth="1"/>
    <col min="7685" max="7685" width="7.19921875" style="1528" customWidth="1"/>
    <col min="7686" max="7686" width="7.09765625" style="1528" customWidth="1"/>
    <col min="7687" max="7687" width="7" style="1528" customWidth="1"/>
    <col min="7688" max="7688" width="6.69921875" style="1528" customWidth="1"/>
    <col min="7689" max="7689" width="11.5" style="1528" customWidth="1"/>
    <col min="7690" max="7936" width="22.5" style="1528"/>
    <col min="7937" max="7937" width="3.3984375" style="1528" customWidth="1"/>
    <col min="7938" max="7938" width="23.3984375" style="1528" customWidth="1"/>
    <col min="7939" max="7939" width="7.3984375" style="1528" customWidth="1"/>
    <col min="7940" max="7940" width="7.09765625" style="1528" customWidth="1"/>
    <col min="7941" max="7941" width="7.19921875" style="1528" customWidth="1"/>
    <col min="7942" max="7942" width="7.09765625" style="1528" customWidth="1"/>
    <col min="7943" max="7943" width="7" style="1528" customWidth="1"/>
    <col min="7944" max="7944" width="6.69921875" style="1528" customWidth="1"/>
    <col min="7945" max="7945" width="11.5" style="1528" customWidth="1"/>
    <col min="7946" max="8192" width="22.5" style="1528"/>
    <col min="8193" max="8193" width="3.3984375" style="1528" customWidth="1"/>
    <col min="8194" max="8194" width="23.3984375" style="1528" customWidth="1"/>
    <col min="8195" max="8195" width="7.3984375" style="1528" customWidth="1"/>
    <col min="8196" max="8196" width="7.09765625" style="1528" customWidth="1"/>
    <col min="8197" max="8197" width="7.19921875" style="1528" customWidth="1"/>
    <col min="8198" max="8198" width="7.09765625" style="1528" customWidth="1"/>
    <col min="8199" max="8199" width="7" style="1528" customWidth="1"/>
    <col min="8200" max="8200" width="6.69921875" style="1528" customWidth="1"/>
    <col min="8201" max="8201" width="11.5" style="1528" customWidth="1"/>
    <col min="8202" max="8448" width="22.5" style="1528"/>
    <col min="8449" max="8449" width="3.3984375" style="1528" customWidth="1"/>
    <col min="8450" max="8450" width="23.3984375" style="1528" customWidth="1"/>
    <col min="8451" max="8451" width="7.3984375" style="1528" customWidth="1"/>
    <col min="8452" max="8452" width="7.09765625" style="1528" customWidth="1"/>
    <col min="8453" max="8453" width="7.19921875" style="1528" customWidth="1"/>
    <col min="8454" max="8454" width="7.09765625" style="1528" customWidth="1"/>
    <col min="8455" max="8455" width="7" style="1528" customWidth="1"/>
    <col min="8456" max="8456" width="6.69921875" style="1528" customWidth="1"/>
    <col min="8457" max="8457" width="11.5" style="1528" customWidth="1"/>
    <col min="8458" max="8704" width="22.5" style="1528"/>
    <col min="8705" max="8705" width="3.3984375" style="1528" customWidth="1"/>
    <col min="8706" max="8706" width="23.3984375" style="1528" customWidth="1"/>
    <col min="8707" max="8707" width="7.3984375" style="1528" customWidth="1"/>
    <col min="8708" max="8708" width="7.09765625" style="1528" customWidth="1"/>
    <col min="8709" max="8709" width="7.19921875" style="1528" customWidth="1"/>
    <col min="8710" max="8710" width="7.09765625" style="1528" customWidth="1"/>
    <col min="8711" max="8711" width="7" style="1528" customWidth="1"/>
    <col min="8712" max="8712" width="6.69921875" style="1528" customWidth="1"/>
    <col min="8713" max="8713" width="11.5" style="1528" customWidth="1"/>
    <col min="8714" max="8960" width="22.5" style="1528"/>
    <col min="8961" max="8961" width="3.3984375" style="1528" customWidth="1"/>
    <col min="8962" max="8962" width="23.3984375" style="1528" customWidth="1"/>
    <col min="8963" max="8963" width="7.3984375" style="1528" customWidth="1"/>
    <col min="8964" max="8964" width="7.09765625" style="1528" customWidth="1"/>
    <col min="8965" max="8965" width="7.19921875" style="1528" customWidth="1"/>
    <col min="8966" max="8966" width="7.09765625" style="1528" customWidth="1"/>
    <col min="8967" max="8967" width="7" style="1528" customWidth="1"/>
    <col min="8968" max="8968" width="6.69921875" style="1528" customWidth="1"/>
    <col min="8969" max="8969" width="11.5" style="1528" customWidth="1"/>
    <col min="8970" max="9216" width="22.5" style="1528"/>
    <col min="9217" max="9217" width="3.3984375" style="1528" customWidth="1"/>
    <col min="9218" max="9218" width="23.3984375" style="1528" customWidth="1"/>
    <col min="9219" max="9219" width="7.3984375" style="1528" customWidth="1"/>
    <col min="9220" max="9220" width="7.09765625" style="1528" customWidth="1"/>
    <col min="9221" max="9221" width="7.19921875" style="1528" customWidth="1"/>
    <col min="9222" max="9222" width="7.09765625" style="1528" customWidth="1"/>
    <col min="9223" max="9223" width="7" style="1528" customWidth="1"/>
    <col min="9224" max="9224" width="6.69921875" style="1528" customWidth="1"/>
    <col min="9225" max="9225" width="11.5" style="1528" customWidth="1"/>
    <col min="9226" max="9472" width="22.5" style="1528"/>
    <col min="9473" max="9473" width="3.3984375" style="1528" customWidth="1"/>
    <col min="9474" max="9474" width="23.3984375" style="1528" customWidth="1"/>
    <col min="9475" max="9475" width="7.3984375" style="1528" customWidth="1"/>
    <col min="9476" max="9476" width="7.09765625" style="1528" customWidth="1"/>
    <col min="9477" max="9477" width="7.19921875" style="1528" customWidth="1"/>
    <col min="9478" max="9478" width="7.09765625" style="1528" customWidth="1"/>
    <col min="9479" max="9479" width="7" style="1528" customWidth="1"/>
    <col min="9480" max="9480" width="6.69921875" style="1528" customWidth="1"/>
    <col min="9481" max="9481" width="11.5" style="1528" customWidth="1"/>
    <col min="9482" max="9728" width="22.5" style="1528"/>
    <col min="9729" max="9729" width="3.3984375" style="1528" customWidth="1"/>
    <col min="9730" max="9730" width="23.3984375" style="1528" customWidth="1"/>
    <col min="9731" max="9731" width="7.3984375" style="1528" customWidth="1"/>
    <col min="9732" max="9732" width="7.09765625" style="1528" customWidth="1"/>
    <col min="9733" max="9733" width="7.19921875" style="1528" customWidth="1"/>
    <col min="9734" max="9734" width="7.09765625" style="1528" customWidth="1"/>
    <col min="9735" max="9735" width="7" style="1528" customWidth="1"/>
    <col min="9736" max="9736" width="6.69921875" style="1528" customWidth="1"/>
    <col min="9737" max="9737" width="11.5" style="1528" customWidth="1"/>
    <col min="9738" max="9984" width="22.5" style="1528"/>
    <col min="9985" max="9985" width="3.3984375" style="1528" customWidth="1"/>
    <col min="9986" max="9986" width="23.3984375" style="1528" customWidth="1"/>
    <col min="9987" max="9987" width="7.3984375" style="1528" customWidth="1"/>
    <col min="9988" max="9988" width="7.09765625" style="1528" customWidth="1"/>
    <col min="9989" max="9989" width="7.19921875" style="1528" customWidth="1"/>
    <col min="9990" max="9990" width="7.09765625" style="1528" customWidth="1"/>
    <col min="9991" max="9991" width="7" style="1528" customWidth="1"/>
    <col min="9992" max="9992" width="6.69921875" style="1528" customWidth="1"/>
    <col min="9993" max="9993" width="11.5" style="1528" customWidth="1"/>
    <col min="9994" max="10240" width="22.5" style="1528"/>
    <col min="10241" max="10241" width="3.3984375" style="1528" customWidth="1"/>
    <col min="10242" max="10242" width="23.3984375" style="1528" customWidth="1"/>
    <col min="10243" max="10243" width="7.3984375" style="1528" customWidth="1"/>
    <col min="10244" max="10244" width="7.09765625" style="1528" customWidth="1"/>
    <col min="10245" max="10245" width="7.19921875" style="1528" customWidth="1"/>
    <col min="10246" max="10246" width="7.09765625" style="1528" customWidth="1"/>
    <col min="10247" max="10247" width="7" style="1528" customWidth="1"/>
    <col min="10248" max="10248" width="6.69921875" style="1528" customWidth="1"/>
    <col min="10249" max="10249" width="11.5" style="1528" customWidth="1"/>
    <col min="10250" max="10496" width="22.5" style="1528"/>
    <col min="10497" max="10497" width="3.3984375" style="1528" customWidth="1"/>
    <col min="10498" max="10498" width="23.3984375" style="1528" customWidth="1"/>
    <col min="10499" max="10499" width="7.3984375" style="1528" customWidth="1"/>
    <col min="10500" max="10500" width="7.09765625" style="1528" customWidth="1"/>
    <col min="10501" max="10501" width="7.19921875" style="1528" customWidth="1"/>
    <col min="10502" max="10502" width="7.09765625" style="1528" customWidth="1"/>
    <col min="10503" max="10503" width="7" style="1528" customWidth="1"/>
    <col min="10504" max="10504" width="6.69921875" style="1528" customWidth="1"/>
    <col min="10505" max="10505" width="11.5" style="1528" customWidth="1"/>
    <col min="10506" max="10752" width="22.5" style="1528"/>
    <col min="10753" max="10753" width="3.3984375" style="1528" customWidth="1"/>
    <col min="10754" max="10754" width="23.3984375" style="1528" customWidth="1"/>
    <col min="10755" max="10755" width="7.3984375" style="1528" customWidth="1"/>
    <col min="10756" max="10756" width="7.09765625" style="1528" customWidth="1"/>
    <col min="10757" max="10757" width="7.19921875" style="1528" customWidth="1"/>
    <col min="10758" max="10758" width="7.09765625" style="1528" customWidth="1"/>
    <col min="10759" max="10759" width="7" style="1528" customWidth="1"/>
    <col min="10760" max="10760" width="6.69921875" style="1528" customWidth="1"/>
    <col min="10761" max="10761" width="11.5" style="1528" customWidth="1"/>
    <col min="10762" max="11008" width="22.5" style="1528"/>
    <col min="11009" max="11009" width="3.3984375" style="1528" customWidth="1"/>
    <col min="11010" max="11010" width="23.3984375" style="1528" customWidth="1"/>
    <col min="11011" max="11011" width="7.3984375" style="1528" customWidth="1"/>
    <col min="11012" max="11012" width="7.09765625" style="1528" customWidth="1"/>
    <col min="11013" max="11013" width="7.19921875" style="1528" customWidth="1"/>
    <col min="11014" max="11014" width="7.09765625" style="1528" customWidth="1"/>
    <col min="11015" max="11015" width="7" style="1528" customWidth="1"/>
    <col min="11016" max="11016" width="6.69921875" style="1528" customWidth="1"/>
    <col min="11017" max="11017" width="11.5" style="1528" customWidth="1"/>
    <col min="11018" max="11264" width="22.5" style="1528"/>
    <col min="11265" max="11265" width="3.3984375" style="1528" customWidth="1"/>
    <col min="11266" max="11266" width="23.3984375" style="1528" customWidth="1"/>
    <col min="11267" max="11267" width="7.3984375" style="1528" customWidth="1"/>
    <col min="11268" max="11268" width="7.09765625" style="1528" customWidth="1"/>
    <col min="11269" max="11269" width="7.19921875" style="1528" customWidth="1"/>
    <col min="11270" max="11270" width="7.09765625" style="1528" customWidth="1"/>
    <col min="11271" max="11271" width="7" style="1528" customWidth="1"/>
    <col min="11272" max="11272" width="6.69921875" style="1528" customWidth="1"/>
    <col min="11273" max="11273" width="11.5" style="1528" customWidth="1"/>
    <col min="11274" max="11520" width="22.5" style="1528"/>
    <col min="11521" max="11521" width="3.3984375" style="1528" customWidth="1"/>
    <col min="11522" max="11522" width="23.3984375" style="1528" customWidth="1"/>
    <col min="11523" max="11523" width="7.3984375" style="1528" customWidth="1"/>
    <col min="11524" max="11524" width="7.09765625" style="1528" customWidth="1"/>
    <col min="11525" max="11525" width="7.19921875" style="1528" customWidth="1"/>
    <col min="11526" max="11526" width="7.09765625" style="1528" customWidth="1"/>
    <col min="11527" max="11527" width="7" style="1528" customWidth="1"/>
    <col min="11528" max="11528" width="6.69921875" style="1528" customWidth="1"/>
    <col min="11529" max="11529" width="11.5" style="1528" customWidth="1"/>
    <col min="11530" max="11776" width="22.5" style="1528"/>
    <col min="11777" max="11777" width="3.3984375" style="1528" customWidth="1"/>
    <col min="11778" max="11778" width="23.3984375" style="1528" customWidth="1"/>
    <col min="11779" max="11779" width="7.3984375" style="1528" customWidth="1"/>
    <col min="11780" max="11780" width="7.09765625" style="1528" customWidth="1"/>
    <col min="11781" max="11781" width="7.19921875" style="1528" customWidth="1"/>
    <col min="11782" max="11782" width="7.09765625" style="1528" customWidth="1"/>
    <col min="11783" max="11783" width="7" style="1528" customWidth="1"/>
    <col min="11784" max="11784" width="6.69921875" style="1528" customWidth="1"/>
    <col min="11785" max="11785" width="11.5" style="1528" customWidth="1"/>
    <col min="11786" max="12032" width="22.5" style="1528"/>
    <col min="12033" max="12033" width="3.3984375" style="1528" customWidth="1"/>
    <col min="12034" max="12034" width="23.3984375" style="1528" customWidth="1"/>
    <col min="12035" max="12035" width="7.3984375" style="1528" customWidth="1"/>
    <col min="12036" max="12036" width="7.09765625" style="1528" customWidth="1"/>
    <col min="12037" max="12037" width="7.19921875" style="1528" customWidth="1"/>
    <col min="12038" max="12038" width="7.09765625" style="1528" customWidth="1"/>
    <col min="12039" max="12039" width="7" style="1528" customWidth="1"/>
    <col min="12040" max="12040" width="6.69921875" style="1528" customWidth="1"/>
    <col min="12041" max="12041" width="11.5" style="1528" customWidth="1"/>
    <col min="12042" max="12288" width="22.5" style="1528"/>
    <col min="12289" max="12289" width="3.3984375" style="1528" customWidth="1"/>
    <col min="12290" max="12290" width="23.3984375" style="1528" customWidth="1"/>
    <col min="12291" max="12291" width="7.3984375" style="1528" customWidth="1"/>
    <col min="12292" max="12292" width="7.09765625" style="1528" customWidth="1"/>
    <col min="12293" max="12293" width="7.19921875" style="1528" customWidth="1"/>
    <col min="12294" max="12294" width="7.09765625" style="1528" customWidth="1"/>
    <col min="12295" max="12295" width="7" style="1528" customWidth="1"/>
    <col min="12296" max="12296" width="6.69921875" style="1528" customWidth="1"/>
    <col min="12297" max="12297" width="11.5" style="1528" customWidth="1"/>
    <col min="12298" max="12544" width="22.5" style="1528"/>
    <col min="12545" max="12545" width="3.3984375" style="1528" customWidth="1"/>
    <col min="12546" max="12546" width="23.3984375" style="1528" customWidth="1"/>
    <col min="12547" max="12547" width="7.3984375" style="1528" customWidth="1"/>
    <col min="12548" max="12548" width="7.09765625" style="1528" customWidth="1"/>
    <col min="12549" max="12549" width="7.19921875" style="1528" customWidth="1"/>
    <col min="12550" max="12550" width="7.09765625" style="1528" customWidth="1"/>
    <col min="12551" max="12551" width="7" style="1528" customWidth="1"/>
    <col min="12552" max="12552" width="6.69921875" style="1528" customWidth="1"/>
    <col min="12553" max="12553" width="11.5" style="1528" customWidth="1"/>
    <col min="12554" max="12800" width="22.5" style="1528"/>
    <col min="12801" max="12801" width="3.3984375" style="1528" customWidth="1"/>
    <col min="12802" max="12802" width="23.3984375" style="1528" customWidth="1"/>
    <col min="12803" max="12803" width="7.3984375" style="1528" customWidth="1"/>
    <col min="12804" max="12804" width="7.09765625" style="1528" customWidth="1"/>
    <col min="12805" max="12805" width="7.19921875" style="1528" customWidth="1"/>
    <col min="12806" max="12806" width="7.09765625" style="1528" customWidth="1"/>
    <col min="12807" max="12807" width="7" style="1528" customWidth="1"/>
    <col min="12808" max="12808" width="6.69921875" style="1528" customWidth="1"/>
    <col min="12809" max="12809" width="11.5" style="1528" customWidth="1"/>
    <col min="12810" max="13056" width="22.5" style="1528"/>
    <col min="13057" max="13057" width="3.3984375" style="1528" customWidth="1"/>
    <col min="13058" max="13058" width="23.3984375" style="1528" customWidth="1"/>
    <col min="13059" max="13059" width="7.3984375" style="1528" customWidth="1"/>
    <col min="13060" max="13060" width="7.09765625" style="1528" customWidth="1"/>
    <col min="13061" max="13061" width="7.19921875" style="1528" customWidth="1"/>
    <col min="13062" max="13062" width="7.09765625" style="1528" customWidth="1"/>
    <col min="13063" max="13063" width="7" style="1528" customWidth="1"/>
    <col min="13064" max="13064" width="6.69921875" style="1528" customWidth="1"/>
    <col min="13065" max="13065" width="11.5" style="1528" customWidth="1"/>
    <col min="13066" max="13312" width="22.5" style="1528"/>
    <col min="13313" max="13313" width="3.3984375" style="1528" customWidth="1"/>
    <col min="13314" max="13314" width="23.3984375" style="1528" customWidth="1"/>
    <col min="13315" max="13315" width="7.3984375" style="1528" customWidth="1"/>
    <col min="13316" max="13316" width="7.09765625" style="1528" customWidth="1"/>
    <col min="13317" max="13317" width="7.19921875" style="1528" customWidth="1"/>
    <col min="13318" max="13318" width="7.09765625" style="1528" customWidth="1"/>
    <col min="13319" max="13319" width="7" style="1528" customWidth="1"/>
    <col min="13320" max="13320" width="6.69921875" style="1528" customWidth="1"/>
    <col min="13321" max="13321" width="11.5" style="1528" customWidth="1"/>
    <col min="13322" max="13568" width="22.5" style="1528"/>
    <col min="13569" max="13569" width="3.3984375" style="1528" customWidth="1"/>
    <col min="13570" max="13570" width="23.3984375" style="1528" customWidth="1"/>
    <col min="13571" max="13571" width="7.3984375" style="1528" customWidth="1"/>
    <col min="13572" max="13572" width="7.09765625" style="1528" customWidth="1"/>
    <col min="13573" max="13573" width="7.19921875" style="1528" customWidth="1"/>
    <col min="13574" max="13574" width="7.09765625" style="1528" customWidth="1"/>
    <col min="13575" max="13575" width="7" style="1528" customWidth="1"/>
    <col min="13576" max="13576" width="6.69921875" style="1528" customWidth="1"/>
    <col min="13577" max="13577" width="11.5" style="1528" customWidth="1"/>
    <col min="13578" max="13824" width="22.5" style="1528"/>
    <col min="13825" max="13825" width="3.3984375" style="1528" customWidth="1"/>
    <col min="13826" max="13826" width="23.3984375" style="1528" customWidth="1"/>
    <col min="13827" max="13827" width="7.3984375" style="1528" customWidth="1"/>
    <col min="13828" max="13828" width="7.09765625" style="1528" customWidth="1"/>
    <col min="13829" max="13829" width="7.19921875" style="1528" customWidth="1"/>
    <col min="13830" max="13830" width="7.09765625" style="1528" customWidth="1"/>
    <col min="13831" max="13831" width="7" style="1528" customWidth="1"/>
    <col min="13832" max="13832" width="6.69921875" style="1528" customWidth="1"/>
    <col min="13833" max="13833" width="11.5" style="1528" customWidth="1"/>
    <col min="13834" max="14080" width="22.5" style="1528"/>
    <col min="14081" max="14081" width="3.3984375" style="1528" customWidth="1"/>
    <col min="14082" max="14082" width="23.3984375" style="1528" customWidth="1"/>
    <col min="14083" max="14083" width="7.3984375" style="1528" customWidth="1"/>
    <col min="14084" max="14084" width="7.09765625" style="1528" customWidth="1"/>
    <col min="14085" max="14085" width="7.19921875" style="1528" customWidth="1"/>
    <col min="14086" max="14086" width="7.09765625" style="1528" customWidth="1"/>
    <col min="14087" max="14087" width="7" style="1528" customWidth="1"/>
    <col min="14088" max="14088" width="6.69921875" style="1528" customWidth="1"/>
    <col min="14089" max="14089" width="11.5" style="1528" customWidth="1"/>
    <col min="14090" max="14336" width="22.5" style="1528"/>
    <col min="14337" max="14337" width="3.3984375" style="1528" customWidth="1"/>
    <col min="14338" max="14338" width="23.3984375" style="1528" customWidth="1"/>
    <col min="14339" max="14339" width="7.3984375" style="1528" customWidth="1"/>
    <col min="14340" max="14340" width="7.09765625" style="1528" customWidth="1"/>
    <col min="14341" max="14341" width="7.19921875" style="1528" customWidth="1"/>
    <col min="14342" max="14342" width="7.09765625" style="1528" customWidth="1"/>
    <col min="14343" max="14343" width="7" style="1528" customWidth="1"/>
    <col min="14344" max="14344" width="6.69921875" style="1528" customWidth="1"/>
    <col min="14345" max="14345" width="11.5" style="1528" customWidth="1"/>
    <col min="14346" max="14592" width="22.5" style="1528"/>
    <col min="14593" max="14593" width="3.3984375" style="1528" customWidth="1"/>
    <col min="14594" max="14594" width="23.3984375" style="1528" customWidth="1"/>
    <col min="14595" max="14595" width="7.3984375" style="1528" customWidth="1"/>
    <col min="14596" max="14596" width="7.09765625" style="1528" customWidth="1"/>
    <col min="14597" max="14597" width="7.19921875" style="1528" customWidth="1"/>
    <col min="14598" max="14598" width="7.09765625" style="1528" customWidth="1"/>
    <col min="14599" max="14599" width="7" style="1528" customWidth="1"/>
    <col min="14600" max="14600" width="6.69921875" style="1528" customWidth="1"/>
    <col min="14601" max="14601" width="11.5" style="1528" customWidth="1"/>
    <col min="14602" max="14848" width="22.5" style="1528"/>
    <col min="14849" max="14849" width="3.3984375" style="1528" customWidth="1"/>
    <col min="14850" max="14850" width="23.3984375" style="1528" customWidth="1"/>
    <col min="14851" max="14851" width="7.3984375" style="1528" customWidth="1"/>
    <col min="14852" max="14852" width="7.09765625" style="1528" customWidth="1"/>
    <col min="14853" max="14853" width="7.19921875" style="1528" customWidth="1"/>
    <col min="14854" max="14854" width="7.09765625" style="1528" customWidth="1"/>
    <col min="14855" max="14855" width="7" style="1528" customWidth="1"/>
    <col min="14856" max="14856" width="6.69921875" style="1528" customWidth="1"/>
    <col min="14857" max="14857" width="11.5" style="1528" customWidth="1"/>
    <col min="14858" max="15104" width="22.5" style="1528"/>
    <col min="15105" max="15105" width="3.3984375" style="1528" customWidth="1"/>
    <col min="15106" max="15106" width="23.3984375" style="1528" customWidth="1"/>
    <col min="15107" max="15107" width="7.3984375" style="1528" customWidth="1"/>
    <col min="15108" max="15108" width="7.09765625" style="1528" customWidth="1"/>
    <col min="15109" max="15109" width="7.19921875" style="1528" customWidth="1"/>
    <col min="15110" max="15110" width="7.09765625" style="1528" customWidth="1"/>
    <col min="15111" max="15111" width="7" style="1528" customWidth="1"/>
    <col min="15112" max="15112" width="6.69921875" style="1528" customWidth="1"/>
    <col min="15113" max="15113" width="11.5" style="1528" customWidth="1"/>
    <col min="15114" max="15360" width="22.5" style="1528"/>
    <col min="15361" max="15361" width="3.3984375" style="1528" customWidth="1"/>
    <col min="15362" max="15362" width="23.3984375" style="1528" customWidth="1"/>
    <col min="15363" max="15363" width="7.3984375" style="1528" customWidth="1"/>
    <col min="15364" max="15364" width="7.09765625" style="1528" customWidth="1"/>
    <col min="15365" max="15365" width="7.19921875" style="1528" customWidth="1"/>
    <col min="15366" max="15366" width="7.09765625" style="1528" customWidth="1"/>
    <col min="15367" max="15367" width="7" style="1528" customWidth="1"/>
    <col min="15368" max="15368" width="6.69921875" style="1528" customWidth="1"/>
    <col min="15369" max="15369" width="11.5" style="1528" customWidth="1"/>
    <col min="15370" max="15616" width="22.5" style="1528"/>
    <col min="15617" max="15617" width="3.3984375" style="1528" customWidth="1"/>
    <col min="15618" max="15618" width="23.3984375" style="1528" customWidth="1"/>
    <col min="15619" max="15619" width="7.3984375" style="1528" customWidth="1"/>
    <col min="15620" max="15620" width="7.09765625" style="1528" customWidth="1"/>
    <col min="15621" max="15621" width="7.19921875" style="1528" customWidth="1"/>
    <col min="15622" max="15622" width="7.09765625" style="1528" customWidth="1"/>
    <col min="15623" max="15623" width="7" style="1528" customWidth="1"/>
    <col min="15624" max="15624" width="6.69921875" style="1528" customWidth="1"/>
    <col min="15625" max="15625" width="11.5" style="1528" customWidth="1"/>
    <col min="15626" max="15872" width="22.5" style="1528"/>
    <col min="15873" max="15873" width="3.3984375" style="1528" customWidth="1"/>
    <col min="15874" max="15874" width="23.3984375" style="1528" customWidth="1"/>
    <col min="15875" max="15875" width="7.3984375" style="1528" customWidth="1"/>
    <col min="15876" max="15876" width="7.09765625" style="1528" customWidth="1"/>
    <col min="15877" max="15877" width="7.19921875" style="1528" customWidth="1"/>
    <col min="15878" max="15878" width="7.09765625" style="1528" customWidth="1"/>
    <col min="15879" max="15879" width="7" style="1528" customWidth="1"/>
    <col min="15880" max="15880" width="6.69921875" style="1528" customWidth="1"/>
    <col min="15881" max="15881" width="11.5" style="1528" customWidth="1"/>
    <col min="15882" max="16128" width="22.5" style="1528"/>
    <col min="16129" max="16129" width="3.3984375" style="1528" customWidth="1"/>
    <col min="16130" max="16130" width="23.3984375" style="1528" customWidth="1"/>
    <col min="16131" max="16131" width="7.3984375" style="1528" customWidth="1"/>
    <col min="16132" max="16132" width="7.09765625" style="1528" customWidth="1"/>
    <col min="16133" max="16133" width="7.19921875" style="1528" customWidth="1"/>
    <col min="16134" max="16134" width="7.09765625" style="1528" customWidth="1"/>
    <col min="16135" max="16135" width="7" style="1528" customWidth="1"/>
    <col min="16136" max="16136" width="6.69921875" style="1528" customWidth="1"/>
    <col min="16137" max="16137" width="11.5" style="1528" customWidth="1"/>
    <col min="16138" max="16384" width="22.5" style="1528"/>
  </cols>
  <sheetData>
    <row r="1" spans="1:11" s="1542" customFormat="1" ht="20.100000000000001" customHeight="1">
      <c r="A1" s="3941" t="s">
        <v>5048</v>
      </c>
      <c r="B1" s="3941"/>
      <c r="C1" s="3941"/>
      <c r="D1" s="3941"/>
      <c r="E1" s="3941"/>
      <c r="F1" s="3941"/>
      <c r="G1" s="3941"/>
      <c r="H1" s="3941"/>
      <c r="I1" s="2009"/>
      <c r="K1" s="1675" t="str">
        <f>余额表!W1</f>
        <v xml:space="preserve">会计科目名称 </v>
      </c>
    </row>
    <row r="2" spans="1:11" ht="25.5" customHeight="1">
      <c r="A2" s="3401" t="s">
        <v>5049</v>
      </c>
      <c r="B2" s="3401"/>
      <c r="C2" s="3401"/>
      <c r="D2" s="3401"/>
      <c r="E2" s="3401"/>
      <c r="F2" s="3401"/>
      <c r="G2" s="3401"/>
      <c r="H2" s="3401"/>
      <c r="I2" s="1918"/>
    </row>
    <row r="3" spans="1:11" ht="14.25" customHeight="1">
      <c r="A3" s="3402" t="s">
        <v>1853</v>
      </c>
      <c r="B3" s="3402" t="s">
        <v>5013</v>
      </c>
      <c r="C3" s="3405" t="s">
        <v>5050</v>
      </c>
      <c r="D3" s="3405" t="s">
        <v>5051</v>
      </c>
      <c r="E3" s="3402" t="s">
        <v>1292</v>
      </c>
      <c r="F3" s="3405" t="s">
        <v>6509</v>
      </c>
      <c r="G3" s="3402" t="s">
        <v>966</v>
      </c>
      <c r="H3" s="3405" t="s">
        <v>5051</v>
      </c>
      <c r="I3" s="3405" t="s">
        <v>4809</v>
      </c>
    </row>
    <row r="4" spans="1:11" ht="23.25" customHeight="1">
      <c r="A4" s="3403"/>
      <c r="B4" s="3403"/>
      <c r="C4" s="3406"/>
      <c r="D4" s="3406"/>
      <c r="E4" s="3404"/>
      <c r="F4" s="3406"/>
      <c r="G4" s="3404"/>
      <c r="H4" s="3406"/>
      <c r="I4" s="3406"/>
    </row>
    <row r="5" spans="1:11" ht="17.25" customHeight="1">
      <c r="A5" s="3404"/>
      <c r="B5" s="3404"/>
      <c r="C5" s="1844">
        <v>1</v>
      </c>
      <c r="D5" s="1919">
        <v>2</v>
      </c>
      <c r="E5" s="1845">
        <v>3</v>
      </c>
      <c r="F5" s="1919">
        <v>4</v>
      </c>
      <c r="G5" s="1840">
        <v>5</v>
      </c>
      <c r="H5" s="1840">
        <v>6</v>
      </c>
      <c r="I5" s="1818"/>
    </row>
    <row r="6" spans="1:11" ht="14.25" customHeight="1">
      <c r="A6" s="1840">
        <v>1</v>
      </c>
      <c r="B6" s="1818" t="s">
        <v>5052</v>
      </c>
      <c r="C6" s="2072">
        <f>营业费用!H6+营业费用!H7+营业费用!H8+营业费用!H9+营业费用!H13+营业费用!H17+营业费用!H18+营业费用!H22</f>
        <v>0</v>
      </c>
      <c r="D6" s="2030" t="s">
        <v>509</v>
      </c>
      <c r="E6" s="2072">
        <f>管理费用!H6+管理费用!H7+管理费用!H8+管理费用!H9+管理费用!H13+管理费用!H17+管理费用!H18+管理费用!H22</f>
        <v>0</v>
      </c>
      <c r="F6" s="2030" t="s">
        <v>509</v>
      </c>
      <c r="G6" s="2030" t="s">
        <v>509</v>
      </c>
      <c r="H6" s="2030" t="s">
        <v>509</v>
      </c>
      <c r="I6" s="1818"/>
    </row>
    <row r="7" spans="1:11" ht="14.25" customHeight="1">
      <c r="A7" s="1840">
        <v>2</v>
      </c>
      <c r="B7" s="1818" t="s">
        <v>5053</v>
      </c>
      <c r="C7" s="2072">
        <f>营业费用!H29</f>
        <v>0</v>
      </c>
      <c r="D7" s="2072">
        <f>营业费用!G29</f>
        <v>0</v>
      </c>
      <c r="E7" s="2072">
        <f>管理费用!H29</f>
        <v>0</v>
      </c>
      <c r="F7" s="2072">
        <f>管理费用!G29</f>
        <v>0</v>
      </c>
      <c r="G7" s="2030" t="s">
        <v>509</v>
      </c>
      <c r="H7" s="2030" t="s">
        <v>509</v>
      </c>
      <c r="I7" s="1818"/>
    </row>
    <row r="8" spans="1:11" ht="14.25" customHeight="1">
      <c r="A8" s="1840">
        <v>3</v>
      </c>
      <c r="B8" s="1818" t="s">
        <v>5054</v>
      </c>
      <c r="C8" s="2072">
        <f>营业费用!H30</f>
        <v>0</v>
      </c>
      <c r="D8" s="2072">
        <f>营业费用!G30</f>
        <v>0</v>
      </c>
      <c r="E8" s="2072">
        <f>管理费用!H30</f>
        <v>0</v>
      </c>
      <c r="F8" s="2072">
        <f>管理费用!G30</f>
        <v>0</v>
      </c>
      <c r="G8" s="2030" t="s">
        <v>509</v>
      </c>
      <c r="H8" s="2030" t="s">
        <v>509</v>
      </c>
      <c r="I8" s="1818"/>
    </row>
    <row r="9" spans="1:11" ht="14.25" customHeight="1">
      <c r="A9" s="1840">
        <v>4</v>
      </c>
      <c r="B9" s="1818" t="s">
        <v>5055</v>
      </c>
      <c r="C9" s="2072">
        <f>营业费用!H10</f>
        <v>0</v>
      </c>
      <c r="D9" s="2030" t="s">
        <v>509</v>
      </c>
      <c r="E9" s="2072">
        <f>管理费用!H10</f>
        <v>0</v>
      </c>
      <c r="F9" s="2030" t="s">
        <v>509</v>
      </c>
      <c r="G9" s="2030" t="s">
        <v>509</v>
      </c>
      <c r="H9" s="2030" t="s">
        <v>509</v>
      </c>
      <c r="I9" s="1818"/>
      <c r="J9" s="1675" t="s">
        <v>6597</v>
      </c>
    </row>
    <row r="10" spans="1:11" ht="14.25" customHeight="1">
      <c r="A10" s="1840">
        <v>5</v>
      </c>
      <c r="B10" s="1818" t="s">
        <v>5056</v>
      </c>
      <c r="C10" s="2072">
        <f>营业费用!H11</f>
        <v>0</v>
      </c>
      <c r="D10" s="2030" t="s">
        <v>509</v>
      </c>
      <c r="E10" s="2072">
        <f>管理费用!H11</f>
        <v>0</v>
      </c>
      <c r="F10" s="2030" t="s">
        <v>509</v>
      </c>
      <c r="G10" s="2030" t="s">
        <v>509</v>
      </c>
      <c r="H10" s="2030" t="s">
        <v>509</v>
      </c>
      <c r="I10" s="1818"/>
    </row>
    <row r="11" spans="1:11" ht="14.25" customHeight="1">
      <c r="A11" s="1840">
        <v>6</v>
      </c>
      <c r="B11" s="1818" t="s">
        <v>5057</v>
      </c>
      <c r="C11" s="2072">
        <f>营业费用!H31</f>
        <v>0</v>
      </c>
      <c r="D11" s="2072">
        <f>营业费用!G31</f>
        <v>0</v>
      </c>
      <c r="E11" s="2072">
        <f>管理费用!H31</f>
        <v>0</v>
      </c>
      <c r="F11" s="2072">
        <f>管理费用!G31</f>
        <v>0</v>
      </c>
      <c r="G11" s="2072">
        <f>财务费用!H6</f>
        <v>0</v>
      </c>
      <c r="H11" s="2072">
        <f>财务费用!G6</f>
        <v>0</v>
      </c>
      <c r="I11" s="1818"/>
      <c r="J11" s="1675" t="s">
        <v>6598</v>
      </c>
    </row>
    <row r="12" spans="1:11" ht="14.25" customHeight="1">
      <c r="A12" s="1840">
        <v>7</v>
      </c>
      <c r="B12" s="1818" t="s">
        <v>5058</v>
      </c>
      <c r="C12" s="2072">
        <f>营业费用!H20+营业费用!H23+营业费用!H24</f>
        <v>0</v>
      </c>
      <c r="D12" s="2030" t="s">
        <v>509</v>
      </c>
      <c r="E12" s="2072">
        <f>管理费用!H20+管理费用!H23+管理费用!H24</f>
        <v>0</v>
      </c>
      <c r="F12" s="2030" t="s">
        <v>509</v>
      </c>
      <c r="G12" s="2030" t="s">
        <v>509</v>
      </c>
      <c r="H12" s="2030" t="s">
        <v>509</v>
      </c>
      <c r="I12" s="1818"/>
    </row>
    <row r="13" spans="1:11" ht="14.25" customHeight="1">
      <c r="A13" s="1840">
        <v>8</v>
      </c>
      <c r="B13" s="1818" t="s">
        <v>5059</v>
      </c>
      <c r="C13" s="2072">
        <f>营业费用!H19</f>
        <v>0</v>
      </c>
      <c r="D13" s="2030" t="s">
        <v>509</v>
      </c>
      <c r="E13" s="2072">
        <f>管理费用!H19</f>
        <v>0</v>
      </c>
      <c r="F13" s="2030" t="s">
        <v>509</v>
      </c>
      <c r="G13" s="2030" t="s">
        <v>509</v>
      </c>
      <c r="H13" s="2030" t="s">
        <v>509</v>
      </c>
      <c r="I13" s="1818"/>
      <c r="J13" s="1675" t="s">
        <v>270</v>
      </c>
    </row>
    <row r="14" spans="1:11" ht="14.25" customHeight="1">
      <c r="A14" s="1840">
        <v>9</v>
      </c>
      <c r="B14" s="1818" t="s">
        <v>5060</v>
      </c>
      <c r="C14" s="2072">
        <f>营业费用!H32</f>
        <v>0</v>
      </c>
      <c r="D14" s="2030" t="s">
        <v>509</v>
      </c>
      <c r="E14" s="2072">
        <f>管理费用!H32</f>
        <v>0</v>
      </c>
      <c r="F14" s="2030" t="s">
        <v>509</v>
      </c>
      <c r="G14" s="2030" t="s">
        <v>509</v>
      </c>
      <c r="H14" s="2030" t="s">
        <v>509</v>
      </c>
      <c r="I14" s="1818"/>
    </row>
    <row r="15" spans="1:11" ht="14.25" customHeight="1">
      <c r="A15" s="1840">
        <v>10</v>
      </c>
      <c r="B15" s="1818" t="s">
        <v>5061</v>
      </c>
      <c r="C15" s="2072">
        <f>营业费用!H33</f>
        <v>0</v>
      </c>
      <c r="D15" s="2030" t="s">
        <v>509</v>
      </c>
      <c r="E15" s="2072">
        <f>管理费用!H33</f>
        <v>0</v>
      </c>
      <c r="F15" s="2030" t="s">
        <v>509</v>
      </c>
      <c r="G15" s="2030" t="s">
        <v>509</v>
      </c>
      <c r="H15" s="2030" t="s">
        <v>509</v>
      </c>
      <c r="I15" s="1818"/>
    </row>
    <row r="16" spans="1:11" ht="14.25" customHeight="1">
      <c r="A16" s="1840">
        <v>11</v>
      </c>
      <c r="B16" s="1818" t="s">
        <v>5062</v>
      </c>
      <c r="C16" s="2072">
        <f>营业费用!H21</f>
        <v>0</v>
      </c>
      <c r="D16" s="2072">
        <f>营业费用!G21</f>
        <v>0</v>
      </c>
      <c r="E16" s="2072">
        <f>管理费用!H21</f>
        <v>0</v>
      </c>
      <c r="F16" s="2072">
        <f>管理费用!G21</f>
        <v>0</v>
      </c>
      <c r="G16" s="2030" t="s">
        <v>509</v>
      </c>
      <c r="H16" s="2030" t="s">
        <v>509</v>
      </c>
      <c r="I16" s="1818"/>
    </row>
    <row r="17" spans="1:9" ht="14.25" customHeight="1">
      <c r="A17" s="1840">
        <v>12</v>
      </c>
      <c r="B17" s="1818" t="s">
        <v>5063</v>
      </c>
      <c r="C17" s="2072">
        <f>营业费用!H34</f>
        <v>0</v>
      </c>
      <c r="D17" s="2030" t="s">
        <v>509</v>
      </c>
      <c r="E17" s="2072">
        <f>管理费用!H34</f>
        <v>0</v>
      </c>
      <c r="F17" s="2030" t="s">
        <v>509</v>
      </c>
      <c r="G17" s="2030" t="s">
        <v>509</v>
      </c>
      <c r="H17" s="2030" t="s">
        <v>509</v>
      </c>
      <c r="I17" s="1818"/>
    </row>
    <row r="18" spans="1:9" ht="14.25" customHeight="1">
      <c r="A18" s="1840">
        <v>13</v>
      </c>
      <c r="B18" s="1818" t="s">
        <v>5064</v>
      </c>
      <c r="C18" s="2072">
        <f>营业费用!H35</f>
        <v>0</v>
      </c>
      <c r="D18" s="2030" t="s">
        <v>509</v>
      </c>
      <c r="E18" s="2072">
        <f>管理费用!H35</f>
        <v>0</v>
      </c>
      <c r="F18" s="2030" t="s">
        <v>509</v>
      </c>
      <c r="G18" s="2030" t="s">
        <v>509</v>
      </c>
      <c r="H18" s="2030" t="s">
        <v>509</v>
      </c>
      <c r="I18" s="1818"/>
    </row>
    <row r="19" spans="1:9" ht="14.25" customHeight="1">
      <c r="A19" s="1840">
        <v>14</v>
      </c>
      <c r="B19" s="1818" t="s">
        <v>5065</v>
      </c>
      <c r="C19" s="2072">
        <f>营业费用!H36</f>
        <v>0</v>
      </c>
      <c r="D19" s="2030" t="s">
        <v>509</v>
      </c>
      <c r="E19" s="2072">
        <f>管理费用!H36</f>
        <v>0</v>
      </c>
      <c r="F19" s="2030" t="s">
        <v>509</v>
      </c>
      <c r="G19" s="2030" t="s">
        <v>509</v>
      </c>
      <c r="H19" s="2030" t="s">
        <v>509</v>
      </c>
      <c r="I19" s="1818"/>
    </row>
    <row r="20" spans="1:9" ht="14.25" customHeight="1">
      <c r="A20" s="1840">
        <v>15</v>
      </c>
      <c r="B20" s="1818" t="s">
        <v>5066</v>
      </c>
      <c r="C20" s="2072">
        <f>营业费用!H37</f>
        <v>0</v>
      </c>
      <c r="D20" s="2072">
        <f>营业费用!G37</f>
        <v>0</v>
      </c>
      <c r="E20" s="2072">
        <f>管理费用!H37</f>
        <v>0</v>
      </c>
      <c r="F20" s="2072">
        <f>管理费用!G37</f>
        <v>0</v>
      </c>
      <c r="G20" s="2030" t="s">
        <v>509</v>
      </c>
      <c r="H20" s="2030" t="s">
        <v>509</v>
      </c>
      <c r="I20" s="1818"/>
    </row>
    <row r="21" spans="1:9" ht="14.25" customHeight="1">
      <c r="A21" s="1840">
        <v>16</v>
      </c>
      <c r="B21" s="1818" t="s">
        <v>5067</v>
      </c>
      <c r="C21" s="2072">
        <f>营业费用!H38</f>
        <v>0</v>
      </c>
      <c r="D21" s="2072">
        <f>营业费用!G38</f>
        <v>0</v>
      </c>
      <c r="E21" s="2072">
        <f>管理费用!H38</f>
        <v>0</v>
      </c>
      <c r="F21" s="2072">
        <f>管理费用!G38</f>
        <v>0</v>
      </c>
      <c r="G21" s="2030" t="s">
        <v>509</v>
      </c>
      <c r="H21" s="2030" t="s">
        <v>509</v>
      </c>
      <c r="I21" s="1818"/>
    </row>
    <row r="22" spans="1:9" ht="14.25" customHeight="1">
      <c r="A22" s="1840">
        <v>17</v>
      </c>
      <c r="B22" s="1818" t="s">
        <v>5068</v>
      </c>
      <c r="C22" s="2072">
        <f>营业费用!H39</f>
        <v>0</v>
      </c>
      <c r="D22" s="2030" t="s">
        <v>509</v>
      </c>
      <c r="E22" s="2072">
        <f>管理费用!H39</f>
        <v>0</v>
      </c>
      <c r="F22" s="2030" t="s">
        <v>509</v>
      </c>
      <c r="G22" s="2030" t="s">
        <v>509</v>
      </c>
      <c r="H22" s="2030" t="s">
        <v>509</v>
      </c>
      <c r="I22" s="1818"/>
    </row>
    <row r="23" spans="1:9" ht="14.25" customHeight="1">
      <c r="A23" s="1840">
        <v>18</v>
      </c>
      <c r="B23" s="1818" t="s">
        <v>5069</v>
      </c>
      <c r="C23" s="2072">
        <f>营业费用!H40</f>
        <v>0</v>
      </c>
      <c r="D23" s="2072">
        <f>营业费用!G40</f>
        <v>0</v>
      </c>
      <c r="E23" s="2072">
        <f>管理费用!H40</f>
        <v>0</v>
      </c>
      <c r="F23" s="2072">
        <f>管理费用!G40</f>
        <v>0</v>
      </c>
      <c r="G23" s="2030" t="s">
        <v>509</v>
      </c>
      <c r="H23" s="2030" t="s">
        <v>509</v>
      </c>
      <c r="I23" s="1818"/>
    </row>
    <row r="24" spans="1:9" ht="14.25" customHeight="1">
      <c r="A24" s="1840">
        <v>19</v>
      </c>
      <c r="B24" s="1818" t="s">
        <v>5070</v>
      </c>
      <c r="C24" s="2072">
        <f>营业费用!H41</f>
        <v>0</v>
      </c>
      <c r="D24" s="2072">
        <f>营业费用!G41</f>
        <v>0</v>
      </c>
      <c r="E24" s="2072">
        <f>管理费用!H41</f>
        <v>0</v>
      </c>
      <c r="F24" s="2072">
        <f>管理费用!G41</f>
        <v>0</v>
      </c>
      <c r="G24" s="2030" t="s">
        <v>509</v>
      </c>
      <c r="H24" s="2030" t="s">
        <v>509</v>
      </c>
      <c r="I24" s="1818"/>
    </row>
    <row r="25" spans="1:9" ht="14.1" customHeight="1">
      <c r="A25" s="1840">
        <v>20</v>
      </c>
      <c r="B25" s="1818" t="s">
        <v>5071</v>
      </c>
      <c r="C25" s="2072">
        <f>营业费用!H25+营业费用!H26+营业费用!H27+营业费用!H28</f>
        <v>0</v>
      </c>
      <c r="D25" s="2030" t="s">
        <v>509</v>
      </c>
      <c r="E25" s="2072">
        <f>管理费用!H25+管理费用!H26+管理费用!H27+管理费用!H28</f>
        <v>0</v>
      </c>
      <c r="F25" s="2030" t="s">
        <v>509</v>
      </c>
      <c r="G25" s="2030" t="s">
        <v>509</v>
      </c>
      <c r="H25" s="2030" t="s">
        <v>509</v>
      </c>
      <c r="I25" s="1818"/>
    </row>
    <row r="26" spans="1:9" ht="14.1" customHeight="1">
      <c r="A26" s="1840">
        <v>21</v>
      </c>
      <c r="B26" s="1818" t="s">
        <v>5072</v>
      </c>
      <c r="C26" s="2030" t="s">
        <v>6559</v>
      </c>
      <c r="D26" s="2030" t="s">
        <v>509</v>
      </c>
      <c r="E26" s="2030" t="s">
        <v>509</v>
      </c>
      <c r="F26" s="2030" t="s">
        <v>509</v>
      </c>
      <c r="G26" s="2072">
        <f>财务费用!H7-财务费用!H11</f>
        <v>0</v>
      </c>
      <c r="H26" s="2072">
        <f>财务费用!G7-财务费用!G11</f>
        <v>0</v>
      </c>
      <c r="I26" s="1818"/>
    </row>
    <row r="27" spans="1:9" ht="14.25" customHeight="1">
      <c r="A27" s="1840">
        <v>22</v>
      </c>
      <c r="B27" s="1818" t="s">
        <v>5073</v>
      </c>
      <c r="C27" s="2030" t="s">
        <v>6559</v>
      </c>
      <c r="D27" s="2030" t="s">
        <v>509</v>
      </c>
      <c r="E27" s="2030" t="s">
        <v>509</v>
      </c>
      <c r="F27" s="2030" t="s">
        <v>509</v>
      </c>
      <c r="G27" s="2072">
        <f>财务费用!H9-财务费用!H13</f>
        <v>0</v>
      </c>
      <c r="H27" s="2072">
        <f>财务费用!G9-财务费用!G13</f>
        <v>0</v>
      </c>
      <c r="I27" s="1818"/>
    </row>
    <row r="28" spans="1:9" ht="14.25" customHeight="1">
      <c r="A28" s="1840">
        <v>23</v>
      </c>
      <c r="B28" s="1818" t="s">
        <v>5074</v>
      </c>
      <c r="C28" s="2030" t="s">
        <v>6559</v>
      </c>
      <c r="D28" s="2030" t="s">
        <v>509</v>
      </c>
      <c r="E28" s="2030" t="s">
        <v>509</v>
      </c>
      <c r="F28" s="2030" t="s">
        <v>509</v>
      </c>
      <c r="G28" s="2072">
        <f>财务费用!H10</f>
        <v>0</v>
      </c>
      <c r="H28" s="2030" t="s">
        <v>509</v>
      </c>
      <c r="I28" s="1818"/>
    </row>
    <row r="29" spans="1:9" ht="14.25" customHeight="1">
      <c r="A29" s="1840">
        <v>24</v>
      </c>
      <c r="B29" s="1818" t="s">
        <v>5075</v>
      </c>
      <c r="C29" s="2072">
        <f>营业费用!H12+营业费用!H14+营业费用!H15+营业费用!H16+营业费用!H42</f>
        <v>0</v>
      </c>
      <c r="D29" s="2072">
        <f>营业费用!G12+营业费用!G14+营业费用!G15+营业费用!G16+营业费用!G42</f>
        <v>0</v>
      </c>
      <c r="E29" s="2072">
        <f>管理费用!H12+管理费用!H14+管理费用!H15+管理费用!H16+管理费用!H42</f>
        <v>0</v>
      </c>
      <c r="F29" s="2072">
        <f>管理费用!G12+管理费用!G14+管理费用!G15+管理费用!G16+管理费用!G42</f>
        <v>0</v>
      </c>
      <c r="G29" s="2072">
        <f>财务费用!H14</f>
        <v>0</v>
      </c>
      <c r="H29" s="2072">
        <f>财务费用!G14</f>
        <v>0</v>
      </c>
      <c r="I29" s="1818"/>
    </row>
    <row r="30" spans="1:9" ht="119.25" customHeight="1">
      <c r="A30" s="1840">
        <v>25</v>
      </c>
      <c r="B30" s="1818" t="s">
        <v>5076</v>
      </c>
      <c r="C30" s="2040">
        <f t="shared" ref="C30:H30" si="0">SUM(C6:C29)</f>
        <v>0</v>
      </c>
      <c r="D30" s="2040">
        <f t="shared" si="0"/>
        <v>0</v>
      </c>
      <c r="E30" s="2040">
        <f t="shared" si="0"/>
        <v>0</v>
      </c>
      <c r="F30" s="2040">
        <f t="shared" si="0"/>
        <v>0</v>
      </c>
      <c r="G30" s="2040">
        <f t="shared" si="0"/>
        <v>0</v>
      </c>
      <c r="H30" s="2040">
        <f t="shared" si="0"/>
        <v>0</v>
      </c>
      <c r="I30" s="1819" t="s">
        <v>5077</v>
      </c>
    </row>
    <row r="31" spans="1:9">
      <c r="A31" s="1528"/>
    </row>
    <row r="32" spans="1:9">
      <c r="A32" s="1528"/>
    </row>
    <row r="33" spans="1:1">
      <c r="A33" s="1528"/>
    </row>
    <row r="34" spans="1:1">
      <c r="A34" s="1528"/>
    </row>
    <row r="35" spans="1:1">
      <c r="A35" s="1528"/>
    </row>
    <row r="36" spans="1:1">
      <c r="A36" s="1528"/>
    </row>
    <row r="37" spans="1:1">
      <c r="A37" s="1528"/>
    </row>
    <row r="38" spans="1:1">
      <c r="A38" s="1528"/>
    </row>
    <row r="39" spans="1:1">
      <c r="A39" s="1528"/>
    </row>
    <row r="40" spans="1:1">
      <c r="A40" s="1528"/>
    </row>
    <row r="41" spans="1:1">
      <c r="A41" s="1528"/>
    </row>
    <row r="42" spans="1:1">
      <c r="A42" s="1528"/>
    </row>
    <row r="43" spans="1:1">
      <c r="A43" s="1528"/>
    </row>
    <row r="44" spans="1:1">
      <c r="A44" s="1528"/>
    </row>
    <row r="45" spans="1:1">
      <c r="A45" s="1528"/>
    </row>
    <row r="46" spans="1:1">
      <c r="A46" s="1528"/>
    </row>
    <row r="47" spans="1:1">
      <c r="A47" s="1528"/>
    </row>
    <row r="48" spans="1:1">
      <c r="A48" s="1528"/>
    </row>
    <row r="49" spans="1:1">
      <c r="A49" s="1528"/>
    </row>
    <row r="50" spans="1:1">
      <c r="A50" s="1528"/>
    </row>
    <row r="51" spans="1:1">
      <c r="A51" s="1528"/>
    </row>
    <row r="52" spans="1:1">
      <c r="A52" s="1528"/>
    </row>
    <row r="53" spans="1:1">
      <c r="A53" s="1528"/>
    </row>
    <row r="54" spans="1:1">
      <c r="A54" s="1528"/>
    </row>
    <row r="55" spans="1:1">
      <c r="A55" s="1528"/>
    </row>
    <row r="56" spans="1:1">
      <c r="A56" s="1528"/>
    </row>
    <row r="57" spans="1:1">
      <c r="A57" s="1528"/>
    </row>
    <row r="58" spans="1:1">
      <c r="A58" s="1528"/>
    </row>
    <row r="59" spans="1:1">
      <c r="A59" s="1528"/>
    </row>
    <row r="60" spans="1:1">
      <c r="A60" s="1528"/>
    </row>
    <row r="61" spans="1:1">
      <c r="A61" s="1528"/>
    </row>
    <row r="62" spans="1:1">
      <c r="A62" s="1528"/>
    </row>
    <row r="63" spans="1:1">
      <c r="A63" s="1528"/>
    </row>
    <row r="64" spans="1:1">
      <c r="A64" s="1528"/>
    </row>
    <row r="65" spans="1:1">
      <c r="A65" s="1528"/>
    </row>
    <row r="66" spans="1:1">
      <c r="A66" s="1528"/>
    </row>
    <row r="67" spans="1:1">
      <c r="A67" s="1528"/>
    </row>
    <row r="68" spans="1:1">
      <c r="A68" s="1528"/>
    </row>
    <row r="69" spans="1:1">
      <c r="A69" s="1528"/>
    </row>
    <row r="70" spans="1:1">
      <c r="A70" s="1528"/>
    </row>
    <row r="71" spans="1:1">
      <c r="A71" s="1528"/>
    </row>
    <row r="72" spans="1:1">
      <c r="A72" s="1528"/>
    </row>
    <row r="73" spans="1:1">
      <c r="A73" s="1528"/>
    </row>
    <row r="74" spans="1:1">
      <c r="A74" s="1528"/>
    </row>
    <row r="75" spans="1:1">
      <c r="A75" s="1528"/>
    </row>
    <row r="76" spans="1:1">
      <c r="A76" s="1528"/>
    </row>
    <row r="77" spans="1:1">
      <c r="A77" s="1528"/>
    </row>
    <row r="78" spans="1:1">
      <c r="A78" s="1528"/>
    </row>
    <row r="79" spans="1:1">
      <c r="A79" s="1528"/>
    </row>
    <row r="80" spans="1:1">
      <c r="A80" s="1528"/>
    </row>
    <row r="81" spans="1:1">
      <c r="A81" s="1528"/>
    </row>
    <row r="82" spans="1:1">
      <c r="A82" s="1528"/>
    </row>
    <row r="83" spans="1:1">
      <c r="A83" s="1528"/>
    </row>
    <row r="84" spans="1:1">
      <c r="A84" s="1528"/>
    </row>
    <row r="85" spans="1:1">
      <c r="A85" s="1528"/>
    </row>
    <row r="86" spans="1:1">
      <c r="A86" s="1528"/>
    </row>
    <row r="87" spans="1:1">
      <c r="A87" s="1528"/>
    </row>
    <row r="88" spans="1:1">
      <c r="A88" s="1528"/>
    </row>
    <row r="89" spans="1:1">
      <c r="A89" s="1528"/>
    </row>
    <row r="90" spans="1:1">
      <c r="A90" s="1528"/>
    </row>
    <row r="91" spans="1:1">
      <c r="A91" s="1528"/>
    </row>
    <row r="92" spans="1:1">
      <c r="A92" s="1528"/>
    </row>
    <row r="93" spans="1:1">
      <c r="A93" s="1528"/>
    </row>
    <row r="94" spans="1:1">
      <c r="A94" s="1528"/>
    </row>
    <row r="95" spans="1:1">
      <c r="A95" s="1528"/>
    </row>
    <row r="96" spans="1:1">
      <c r="A96" s="1528"/>
    </row>
    <row r="97" spans="1:1">
      <c r="A97" s="1528"/>
    </row>
    <row r="98" spans="1:1">
      <c r="A98" s="1528"/>
    </row>
    <row r="99" spans="1:1">
      <c r="A99" s="1528"/>
    </row>
    <row r="100" spans="1:1">
      <c r="A100" s="1528"/>
    </row>
    <row r="101" spans="1:1">
      <c r="A101" s="1528"/>
    </row>
    <row r="102" spans="1:1">
      <c r="A102" s="1528"/>
    </row>
    <row r="103" spans="1:1">
      <c r="A103" s="1528"/>
    </row>
    <row r="104" spans="1:1">
      <c r="A104" s="1528"/>
    </row>
    <row r="105" spans="1:1">
      <c r="A105" s="1528"/>
    </row>
    <row r="106" spans="1:1">
      <c r="A106" s="1528"/>
    </row>
    <row r="107" spans="1:1">
      <c r="A107" s="1528"/>
    </row>
    <row r="108" spans="1:1">
      <c r="A108" s="1528"/>
    </row>
    <row r="109" spans="1:1">
      <c r="A109" s="1528"/>
    </row>
    <row r="110" spans="1:1">
      <c r="A110" s="1528"/>
    </row>
    <row r="111" spans="1:1">
      <c r="A111" s="1528"/>
    </row>
    <row r="112" spans="1:1">
      <c r="A112" s="1528"/>
    </row>
    <row r="113" spans="1:1">
      <c r="A113" s="1528"/>
    </row>
    <row r="114" spans="1:1">
      <c r="A114" s="1528"/>
    </row>
    <row r="115" spans="1:1">
      <c r="A115" s="1528"/>
    </row>
    <row r="116" spans="1:1">
      <c r="A116" s="1528"/>
    </row>
    <row r="117" spans="1:1">
      <c r="A117" s="1528"/>
    </row>
    <row r="118" spans="1:1">
      <c r="A118" s="1528"/>
    </row>
    <row r="119" spans="1:1">
      <c r="A119" s="1528"/>
    </row>
    <row r="120" spans="1:1">
      <c r="A120" s="1528"/>
    </row>
    <row r="121" spans="1:1">
      <c r="A121" s="1528"/>
    </row>
    <row r="122" spans="1:1">
      <c r="A122" s="1528"/>
    </row>
    <row r="123" spans="1:1">
      <c r="A123" s="1528"/>
    </row>
    <row r="124" spans="1:1">
      <c r="A124" s="1528"/>
    </row>
    <row r="125" spans="1:1">
      <c r="A125" s="1528"/>
    </row>
    <row r="126" spans="1:1">
      <c r="A126" s="1528"/>
    </row>
    <row r="127" spans="1:1">
      <c r="A127" s="1528"/>
    </row>
    <row r="128" spans="1:1">
      <c r="A128" s="1528"/>
    </row>
    <row r="129" spans="1:1">
      <c r="A129" s="1528"/>
    </row>
    <row r="130" spans="1:1">
      <c r="A130" s="1528"/>
    </row>
    <row r="131" spans="1:1">
      <c r="A131" s="1528"/>
    </row>
    <row r="132" spans="1:1">
      <c r="A132" s="1528"/>
    </row>
    <row r="133" spans="1:1">
      <c r="A133" s="1528"/>
    </row>
    <row r="134" spans="1:1">
      <c r="A134" s="1528"/>
    </row>
    <row r="135" spans="1:1">
      <c r="A135" s="1528"/>
    </row>
    <row r="136" spans="1:1">
      <c r="A136" s="1528"/>
    </row>
    <row r="137" spans="1:1">
      <c r="A137" s="1528"/>
    </row>
    <row r="138" spans="1:1">
      <c r="A138" s="1528"/>
    </row>
    <row r="139" spans="1:1">
      <c r="A139" s="1528"/>
    </row>
    <row r="140" spans="1:1">
      <c r="A140" s="1528"/>
    </row>
    <row r="141" spans="1:1">
      <c r="A141" s="1528"/>
    </row>
    <row r="142" spans="1:1">
      <c r="A142" s="1528"/>
    </row>
    <row r="143" spans="1:1">
      <c r="A143" s="1528"/>
    </row>
    <row r="144" spans="1:1">
      <c r="A144" s="1528"/>
    </row>
    <row r="145" spans="1:1">
      <c r="A145" s="1528"/>
    </row>
    <row r="146" spans="1:1">
      <c r="A146" s="1528"/>
    </row>
    <row r="147" spans="1:1">
      <c r="A147" s="1528"/>
    </row>
    <row r="148" spans="1:1">
      <c r="A148" s="1528"/>
    </row>
    <row r="149" spans="1:1">
      <c r="A149" s="1528"/>
    </row>
    <row r="150" spans="1:1">
      <c r="A150" s="1528"/>
    </row>
    <row r="151" spans="1:1">
      <c r="A151" s="1528"/>
    </row>
    <row r="152" spans="1:1">
      <c r="A152" s="1528"/>
    </row>
    <row r="153" spans="1:1">
      <c r="A153" s="1528"/>
    </row>
    <row r="154" spans="1:1">
      <c r="A154" s="1528"/>
    </row>
    <row r="155" spans="1:1">
      <c r="A155" s="1528"/>
    </row>
    <row r="156" spans="1:1">
      <c r="A156" s="1528"/>
    </row>
    <row r="157" spans="1:1">
      <c r="A157" s="1528"/>
    </row>
    <row r="158" spans="1:1">
      <c r="A158" s="1528"/>
    </row>
    <row r="159" spans="1:1">
      <c r="A159" s="1528"/>
    </row>
    <row r="160" spans="1:1">
      <c r="A160" s="1528"/>
    </row>
    <row r="161" spans="1:1">
      <c r="A161" s="1528"/>
    </row>
    <row r="162" spans="1:1">
      <c r="A162" s="1528"/>
    </row>
    <row r="163" spans="1:1">
      <c r="A163" s="1528"/>
    </row>
    <row r="164" spans="1:1">
      <c r="A164" s="1528"/>
    </row>
    <row r="165" spans="1:1">
      <c r="A165" s="1528"/>
    </row>
    <row r="166" spans="1:1">
      <c r="A166" s="1528"/>
    </row>
    <row r="167" spans="1:1">
      <c r="A167" s="1528"/>
    </row>
    <row r="168" spans="1:1">
      <c r="A168" s="1528"/>
    </row>
    <row r="169" spans="1:1">
      <c r="A169" s="1528"/>
    </row>
    <row r="170" spans="1:1">
      <c r="A170" s="1528"/>
    </row>
    <row r="171" spans="1:1">
      <c r="A171" s="1528"/>
    </row>
    <row r="172" spans="1:1">
      <c r="A172" s="1528"/>
    </row>
    <row r="173" spans="1:1">
      <c r="A173" s="1528"/>
    </row>
    <row r="174" spans="1:1">
      <c r="A174" s="1528"/>
    </row>
    <row r="175" spans="1:1">
      <c r="A175" s="1528"/>
    </row>
    <row r="176" spans="1:1">
      <c r="A176" s="1528"/>
    </row>
    <row r="177" spans="1:1">
      <c r="A177" s="1528"/>
    </row>
    <row r="178" spans="1:1">
      <c r="A178" s="1528"/>
    </row>
    <row r="179" spans="1:1">
      <c r="A179" s="1528"/>
    </row>
    <row r="180" spans="1:1">
      <c r="A180" s="1528"/>
    </row>
    <row r="181" spans="1:1">
      <c r="A181" s="1528"/>
    </row>
    <row r="182" spans="1:1">
      <c r="A182" s="1528"/>
    </row>
    <row r="183" spans="1:1">
      <c r="A183" s="1528"/>
    </row>
    <row r="184" spans="1:1">
      <c r="A184" s="1528"/>
    </row>
    <row r="185" spans="1:1">
      <c r="A185" s="1528"/>
    </row>
    <row r="186" spans="1:1">
      <c r="A186" s="1528"/>
    </row>
    <row r="187" spans="1:1">
      <c r="A187" s="1528"/>
    </row>
    <row r="188" spans="1:1">
      <c r="A188" s="1528"/>
    </row>
    <row r="189" spans="1:1">
      <c r="A189" s="1528"/>
    </row>
    <row r="190" spans="1:1">
      <c r="A190" s="1528"/>
    </row>
    <row r="191" spans="1:1">
      <c r="A191" s="1528"/>
    </row>
    <row r="192" spans="1:1">
      <c r="A192" s="1528"/>
    </row>
    <row r="193" spans="1:1">
      <c r="A193" s="1528"/>
    </row>
    <row r="194" spans="1:1">
      <c r="A194" s="1528"/>
    </row>
    <row r="195" spans="1:1">
      <c r="A195" s="1528"/>
    </row>
    <row r="196" spans="1:1">
      <c r="A196" s="1528"/>
    </row>
    <row r="197" spans="1:1">
      <c r="A197" s="1528"/>
    </row>
    <row r="198" spans="1:1">
      <c r="A198" s="1528"/>
    </row>
    <row r="199" spans="1:1">
      <c r="A199" s="1528"/>
    </row>
    <row r="200" spans="1:1">
      <c r="A200" s="1528"/>
    </row>
    <row r="201" spans="1:1">
      <c r="A201" s="1528"/>
    </row>
    <row r="202" spans="1:1">
      <c r="A202" s="1528"/>
    </row>
    <row r="203" spans="1:1">
      <c r="A203" s="1528"/>
    </row>
    <row r="204" spans="1:1">
      <c r="A204" s="1528"/>
    </row>
    <row r="205" spans="1:1">
      <c r="A205" s="1528"/>
    </row>
    <row r="206" spans="1:1">
      <c r="A206" s="1528"/>
    </row>
    <row r="207" spans="1:1">
      <c r="A207" s="1528"/>
    </row>
    <row r="208" spans="1:1">
      <c r="A208" s="1528"/>
    </row>
    <row r="209" spans="1:1">
      <c r="A209" s="1528"/>
    </row>
    <row r="210" spans="1:1">
      <c r="A210" s="1528"/>
    </row>
    <row r="211" spans="1:1">
      <c r="A211" s="1528"/>
    </row>
    <row r="212" spans="1:1">
      <c r="A212" s="1528"/>
    </row>
    <row r="213" spans="1:1">
      <c r="A213" s="1528"/>
    </row>
    <row r="214" spans="1:1">
      <c r="A214" s="1528"/>
    </row>
    <row r="215" spans="1:1">
      <c r="A215" s="1528"/>
    </row>
    <row r="216" spans="1:1">
      <c r="A216" s="1528"/>
    </row>
    <row r="217" spans="1:1">
      <c r="A217" s="1528"/>
    </row>
    <row r="218" spans="1:1">
      <c r="A218" s="1528"/>
    </row>
    <row r="219" spans="1:1">
      <c r="A219" s="1528"/>
    </row>
    <row r="220" spans="1:1">
      <c r="A220" s="1528"/>
    </row>
    <row r="221" spans="1:1">
      <c r="A221" s="1528"/>
    </row>
    <row r="222" spans="1:1">
      <c r="A222" s="1528"/>
    </row>
    <row r="223" spans="1:1">
      <c r="A223" s="1528"/>
    </row>
    <row r="224" spans="1:1">
      <c r="A224" s="1528"/>
    </row>
    <row r="225" spans="1:1">
      <c r="A225" s="1528"/>
    </row>
    <row r="226" spans="1:1">
      <c r="A226" s="1528"/>
    </row>
    <row r="227" spans="1:1">
      <c r="A227" s="1528"/>
    </row>
    <row r="228" spans="1:1">
      <c r="A228" s="1528"/>
    </row>
    <row r="229" spans="1:1">
      <c r="A229" s="1528"/>
    </row>
    <row r="230" spans="1:1">
      <c r="A230" s="1528"/>
    </row>
    <row r="231" spans="1:1">
      <c r="A231" s="1528"/>
    </row>
    <row r="232" spans="1:1">
      <c r="A232" s="1528"/>
    </row>
    <row r="233" spans="1:1">
      <c r="A233" s="1528"/>
    </row>
    <row r="234" spans="1:1">
      <c r="A234" s="1528"/>
    </row>
    <row r="235" spans="1:1">
      <c r="A235" s="1528"/>
    </row>
    <row r="236" spans="1:1">
      <c r="A236" s="1528"/>
    </row>
    <row r="237" spans="1:1">
      <c r="A237" s="1528"/>
    </row>
    <row r="238" spans="1:1">
      <c r="A238" s="1528"/>
    </row>
    <row r="239" spans="1:1">
      <c r="A239" s="1528"/>
    </row>
    <row r="240" spans="1:1">
      <c r="A240" s="1528"/>
    </row>
    <row r="241" spans="1:1">
      <c r="A241" s="1528"/>
    </row>
    <row r="242" spans="1:1">
      <c r="A242" s="1528"/>
    </row>
    <row r="243" spans="1:1">
      <c r="A243" s="1528"/>
    </row>
    <row r="244" spans="1:1">
      <c r="A244" s="1528"/>
    </row>
    <row r="245" spans="1:1">
      <c r="A245" s="1528"/>
    </row>
    <row r="246" spans="1:1">
      <c r="A246" s="1528"/>
    </row>
    <row r="247" spans="1:1">
      <c r="A247" s="1528"/>
    </row>
    <row r="248" spans="1:1">
      <c r="A248" s="1528"/>
    </row>
    <row r="249" spans="1:1">
      <c r="A249" s="1528"/>
    </row>
    <row r="250" spans="1:1">
      <c r="A250" s="1528"/>
    </row>
    <row r="251" spans="1:1">
      <c r="A251" s="1528"/>
    </row>
    <row r="252" spans="1:1">
      <c r="A252" s="1528"/>
    </row>
    <row r="253" spans="1:1">
      <c r="A253" s="1528"/>
    </row>
    <row r="254" spans="1:1">
      <c r="A254" s="1528"/>
    </row>
    <row r="255" spans="1:1">
      <c r="A255" s="1528"/>
    </row>
    <row r="256" spans="1:1">
      <c r="A256" s="1528"/>
    </row>
    <row r="257" spans="1:1">
      <c r="A257" s="1528"/>
    </row>
    <row r="258" spans="1:1">
      <c r="A258" s="1528"/>
    </row>
    <row r="259" spans="1:1">
      <c r="A259" s="1528"/>
    </row>
    <row r="260" spans="1:1">
      <c r="A260" s="1528"/>
    </row>
    <row r="261" spans="1:1">
      <c r="A261" s="1528"/>
    </row>
    <row r="262" spans="1:1">
      <c r="A262" s="1528"/>
    </row>
    <row r="263" spans="1:1">
      <c r="A263" s="1528"/>
    </row>
    <row r="264" spans="1:1">
      <c r="A264" s="1528"/>
    </row>
    <row r="265" spans="1:1">
      <c r="A265" s="1528"/>
    </row>
    <row r="266" spans="1:1">
      <c r="A266" s="1528"/>
    </row>
    <row r="267" spans="1:1">
      <c r="A267" s="1528"/>
    </row>
    <row r="268" spans="1:1">
      <c r="A268" s="1528"/>
    </row>
    <row r="269" spans="1:1">
      <c r="A269" s="1528"/>
    </row>
    <row r="270" spans="1:1">
      <c r="A270" s="1528"/>
    </row>
    <row r="271" spans="1:1">
      <c r="A271" s="1528"/>
    </row>
    <row r="272" spans="1:1">
      <c r="A272" s="1528"/>
    </row>
    <row r="273" spans="1:1">
      <c r="A273" s="1528"/>
    </row>
    <row r="274" spans="1:1">
      <c r="A274" s="1528"/>
    </row>
    <row r="275" spans="1:1">
      <c r="A275" s="1528"/>
    </row>
    <row r="276" spans="1:1">
      <c r="A276" s="1528"/>
    </row>
    <row r="277" spans="1:1">
      <c r="A277" s="1528"/>
    </row>
    <row r="278" spans="1:1">
      <c r="A278" s="1528"/>
    </row>
    <row r="279" spans="1:1">
      <c r="A279" s="1528"/>
    </row>
    <row r="280" spans="1:1">
      <c r="A280" s="1528"/>
    </row>
    <row r="281" spans="1:1">
      <c r="A281" s="1528"/>
    </row>
    <row r="282" spans="1:1">
      <c r="A282" s="1528"/>
    </row>
    <row r="283" spans="1:1">
      <c r="A283" s="1528"/>
    </row>
    <row r="284" spans="1:1">
      <c r="A284" s="1528"/>
    </row>
    <row r="285" spans="1:1">
      <c r="A285" s="1528"/>
    </row>
    <row r="286" spans="1:1">
      <c r="A286" s="1528"/>
    </row>
    <row r="287" spans="1:1">
      <c r="A287" s="1528"/>
    </row>
    <row r="288" spans="1:1">
      <c r="A288" s="1528"/>
    </row>
    <row r="289" spans="1:1">
      <c r="A289" s="1528"/>
    </row>
    <row r="290" spans="1:1">
      <c r="A290" s="1528"/>
    </row>
    <row r="291" spans="1:1">
      <c r="A291" s="1528"/>
    </row>
    <row r="292" spans="1:1">
      <c r="A292" s="1528"/>
    </row>
    <row r="293" spans="1:1">
      <c r="A293" s="1528"/>
    </row>
    <row r="294" spans="1:1">
      <c r="A294" s="1528"/>
    </row>
    <row r="295" spans="1:1">
      <c r="A295" s="1528"/>
    </row>
    <row r="296" spans="1:1">
      <c r="A296" s="1528"/>
    </row>
    <row r="297" spans="1:1">
      <c r="A297" s="1528"/>
    </row>
    <row r="298" spans="1:1">
      <c r="A298" s="1528"/>
    </row>
    <row r="299" spans="1:1">
      <c r="A299" s="1528"/>
    </row>
    <row r="300" spans="1:1">
      <c r="A300" s="1528"/>
    </row>
    <row r="301" spans="1:1">
      <c r="A301" s="1528"/>
    </row>
    <row r="302" spans="1:1">
      <c r="A302" s="1528"/>
    </row>
    <row r="303" spans="1:1">
      <c r="A303" s="1528"/>
    </row>
    <row r="304" spans="1:1">
      <c r="A304" s="1528"/>
    </row>
    <row r="305" spans="1:1">
      <c r="A305" s="1528"/>
    </row>
    <row r="306" spans="1:1">
      <c r="A306" s="1528"/>
    </row>
    <row r="307" spans="1:1">
      <c r="A307" s="1528"/>
    </row>
    <row r="308" spans="1:1">
      <c r="A308" s="1528"/>
    </row>
    <row r="309" spans="1:1">
      <c r="A309" s="1528"/>
    </row>
    <row r="310" spans="1:1">
      <c r="A310" s="1528"/>
    </row>
    <row r="311" spans="1:1">
      <c r="A311" s="1528"/>
    </row>
    <row r="312" spans="1:1">
      <c r="A312" s="1528"/>
    </row>
    <row r="313" spans="1:1">
      <c r="A313" s="1528"/>
    </row>
    <row r="314" spans="1:1">
      <c r="A314" s="1528"/>
    </row>
    <row r="315" spans="1:1">
      <c r="A315" s="1528"/>
    </row>
    <row r="316" spans="1:1">
      <c r="A316" s="1528"/>
    </row>
    <row r="317" spans="1:1">
      <c r="A317" s="1528"/>
    </row>
    <row r="318" spans="1:1">
      <c r="A318" s="1528"/>
    </row>
    <row r="319" spans="1:1">
      <c r="A319" s="1528"/>
    </row>
    <row r="320" spans="1:1">
      <c r="A320" s="1528"/>
    </row>
    <row r="321" spans="1:1">
      <c r="A321" s="1528"/>
    </row>
    <row r="322" spans="1:1">
      <c r="A322" s="1528"/>
    </row>
    <row r="323" spans="1:1">
      <c r="A323" s="1528"/>
    </row>
    <row r="324" spans="1:1">
      <c r="A324" s="1528"/>
    </row>
    <row r="325" spans="1:1">
      <c r="A325" s="1528"/>
    </row>
    <row r="326" spans="1:1">
      <c r="A326" s="1528"/>
    </row>
    <row r="327" spans="1:1">
      <c r="A327" s="1528"/>
    </row>
    <row r="328" spans="1:1">
      <c r="A328" s="1528"/>
    </row>
    <row r="329" spans="1:1">
      <c r="A329" s="1528"/>
    </row>
    <row r="330" spans="1:1">
      <c r="A330" s="1528"/>
    </row>
    <row r="331" spans="1:1">
      <c r="A331" s="1528"/>
    </row>
    <row r="332" spans="1:1">
      <c r="A332" s="1528"/>
    </row>
    <row r="333" spans="1:1">
      <c r="A333" s="1528"/>
    </row>
    <row r="334" spans="1:1">
      <c r="A334" s="1528"/>
    </row>
    <row r="335" spans="1:1">
      <c r="A335" s="1528"/>
    </row>
    <row r="336" spans="1:1">
      <c r="A336" s="1528"/>
    </row>
    <row r="337" spans="1:1">
      <c r="A337" s="1528"/>
    </row>
    <row r="338" spans="1:1">
      <c r="A338" s="1528"/>
    </row>
    <row r="339" spans="1:1">
      <c r="A339" s="1528"/>
    </row>
    <row r="340" spans="1:1">
      <c r="A340" s="1528"/>
    </row>
    <row r="341" spans="1:1">
      <c r="A341" s="1528"/>
    </row>
    <row r="342" spans="1:1">
      <c r="A342" s="1528"/>
    </row>
    <row r="343" spans="1:1">
      <c r="A343" s="1528"/>
    </row>
    <row r="344" spans="1:1">
      <c r="A344" s="1528"/>
    </row>
    <row r="345" spans="1:1">
      <c r="A345" s="1528"/>
    </row>
    <row r="346" spans="1:1">
      <c r="A346" s="1528"/>
    </row>
    <row r="347" spans="1:1">
      <c r="A347" s="1528"/>
    </row>
    <row r="348" spans="1:1">
      <c r="A348" s="1528"/>
    </row>
    <row r="349" spans="1:1">
      <c r="A349" s="1528"/>
    </row>
    <row r="350" spans="1:1">
      <c r="A350" s="1528"/>
    </row>
    <row r="351" spans="1:1">
      <c r="A351" s="1528"/>
    </row>
    <row r="352" spans="1:1">
      <c r="A352" s="1528"/>
    </row>
    <row r="353" spans="1:1">
      <c r="A353" s="1528"/>
    </row>
    <row r="354" spans="1:1">
      <c r="A354" s="1528"/>
    </row>
    <row r="355" spans="1:1">
      <c r="A355" s="1528"/>
    </row>
    <row r="356" spans="1:1">
      <c r="A356" s="1528"/>
    </row>
    <row r="357" spans="1:1">
      <c r="A357" s="1528"/>
    </row>
    <row r="358" spans="1:1">
      <c r="A358" s="1528"/>
    </row>
    <row r="359" spans="1:1">
      <c r="A359" s="1528"/>
    </row>
    <row r="360" spans="1:1">
      <c r="A360" s="1528"/>
    </row>
    <row r="361" spans="1:1">
      <c r="A361" s="1528"/>
    </row>
    <row r="362" spans="1:1">
      <c r="A362" s="1528"/>
    </row>
    <row r="363" spans="1:1">
      <c r="A363" s="1528"/>
    </row>
    <row r="364" spans="1:1">
      <c r="A364" s="1528"/>
    </row>
    <row r="365" spans="1:1">
      <c r="A365" s="1528"/>
    </row>
    <row r="366" spans="1:1">
      <c r="A366" s="1528"/>
    </row>
    <row r="367" spans="1:1">
      <c r="A367" s="1528"/>
    </row>
    <row r="368" spans="1:1">
      <c r="A368" s="1528"/>
    </row>
    <row r="369" spans="1:1">
      <c r="A369" s="1528"/>
    </row>
    <row r="370" spans="1:1">
      <c r="A370" s="1528"/>
    </row>
    <row r="371" spans="1:1">
      <c r="A371" s="1528"/>
    </row>
    <row r="372" spans="1:1">
      <c r="A372" s="1528"/>
    </row>
    <row r="373" spans="1:1">
      <c r="A373" s="1528"/>
    </row>
    <row r="374" spans="1:1">
      <c r="A374" s="1528"/>
    </row>
    <row r="375" spans="1:1">
      <c r="A375" s="1528"/>
    </row>
    <row r="376" spans="1:1">
      <c r="A376" s="1528"/>
    </row>
    <row r="377" spans="1:1">
      <c r="A377" s="1528"/>
    </row>
    <row r="378" spans="1:1">
      <c r="A378" s="1528"/>
    </row>
    <row r="379" spans="1:1">
      <c r="A379" s="1528"/>
    </row>
    <row r="380" spans="1:1">
      <c r="A380" s="1528"/>
    </row>
    <row r="381" spans="1:1">
      <c r="A381" s="1528"/>
    </row>
    <row r="382" spans="1:1">
      <c r="A382" s="1528"/>
    </row>
    <row r="383" spans="1:1">
      <c r="A383" s="1528"/>
    </row>
    <row r="384" spans="1:1">
      <c r="A384" s="1528"/>
    </row>
    <row r="385" spans="1:1">
      <c r="A385" s="1528"/>
    </row>
    <row r="386" spans="1:1">
      <c r="A386" s="1528"/>
    </row>
    <row r="387" spans="1:1">
      <c r="A387" s="1528"/>
    </row>
    <row r="388" spans="1:1">
      <c r="A388" s="1528"/>
    </row>
    <row r="389" spans="1:1">
      <c r="A389" s="1528"/>
    </row>
    <row r="390" spans="1:1">
      <c r="A390" s="1528"/>
    </row>
    <row r="391" spans="1:1">
      <c r="A391" s="1528"/>
    </row>
    <row r="392" spans="1:1">
      <c r="A392" s="1528"/>
    </row>
    <row r="393" spans="1:1">
      <c r="A393" s="1528"/>
    </row>
    <row r="394" spans="1:1">
      <c r="A394" s="1528"/>
    </row>
    <row r="395" spans="1:1">
      <c r="A395" s="1528"/>
    </row>
    <row r="396" spans="1:1">
      <c r="A396" s="1528"/>
    </row>
    <row r="397" spans="1:1">
      <c r="A397" s="1528"/>
    </row>
    <row r="398" spans="1:1">
      <c r="A398" s="1528"/>
    </row>
    <row r="399" spans="1:1">
      <c r="A399" s="1528"/>
    </row>
    <row r="400" spans="1:1">
      <c r="A400" s="1528"/>
    </row>
    <row r="401" spans="1:1">
      <c r="A401" s="1528"/>
    </row>
    <row r="402" spans="1:1">
      <c r="A402" s="1528"/>
    </row>
    <row r="403" spans="1:1">
      <c r="A403" s="1528"/>
    </row>
    <row r="404" spans="1:1">
      <c r="A404" s="1528"/>
    </row>
    <row r="405" spans="1:1">
      <c r="A405" s="1528"/>
    </row>
    <row r="406" spans="1:1">
      <c r="A406" s="1528"/>
    </row>
    <row r="407" spans="1:1">
      <c r="A407" s="1528"/>
    </row>
    <row r="408" spans="1:1">
      <c r="A408" s="1528"/>
    </row>
    <row r="409" spans="1:1">
      <c r="A409" s="1528"/>
    </row>
    <row r="410" spans="1:1">
      <c r="A410" s="1528"/>
    </row>
    <row r="411" spans="1:1">
      <c r="A411" s="1528"/>
    </row>
    <row r="412" spans="1:1">
      <c r="A412" s="1528"/>
    </row>
    <row r="413" spans="1:1">
      <c r="A413" s="1528"/>
    </row>
    <row r="414" spans="1:1">
      <c r="A414" s="1528"/>
    </row>
    <row r="415" spans="1:1">
      <c r="A415" s="1528"/>
    </row>
    <row r="416" spans="1:1">
      <c r="A416" s="1528"/>
    </row>
    <row r="417" spans="1:1">
      <c r="A417" s="1528"/>
    </row>
    <row r="418" spans="1:1">
      <c r="A418" s="1528"/>
    </row>
    <row r="419" spans="1:1">
      <c r="A419" s="1528"/>
    </row>
    <row r="420" spans="1:1">
      <c r="A420" s="1528"/>
    </row>
    <row r="421" spans="1:1">
      <c r="A421" s="1528"/>
    </row>
    <row r="422" spans="1:1">
      <c r="A422" s="1528"/>
    </row>
    <row r="423" spans="1:1">
      <c r="A423" s="1528"/>
    </row>
    <row r="424" spans="1:1">
      <c r="A424" s="1528"/>
    </row>
    <row r="425" spans="1:1">
      <c r="A425" s="1528"/>
    </row>
    <row r="426" spans="1:1">
      <c r="A426" s="1528"/>
    </row>
    <row r="427" spans="1:1">
      <c r="A427" s="1528"/>
    </row>
    <row r="428" spans="1:1">
      <c r="A428" s="1528"/>
    </row>
    <row r="429" spans="1:1">
      <c r="A429" s="1528"/>
    </row>
    <row r="430" spans="1:1">
      <c r="A430" s="1528"/>
    </row>
    <row r="431" spans="1:1">
      <c r="A431" s="1528"/>
    </row>
    <row r="432" spans="1:1">
      <c r="A432" s="1528"/>
    </row>
    <row r="433" spans="1:1">
      <c r="A433" s="1528"/>
    </row>
    <row r="434" spans="1:1">
      <c r="A434" s="1528"/>
    </row>
    <row r="435" spans="1:1">
      <c r="A435" s="1528"/>
    </row>
    <row r="436" spans="1:1">
      <c r="A436" s="1528"/>
    </row>
    <row r="437" spans="1:1">
      <c r="A437" s="1528"/>
    </row>
    <row r="438" spans="1:1">
      <c r="A438" s="1528"/>
    </row>
    <row r="439" spans="1:1">
      <c r="A439" s="1528"/>
    </row>
    <row r="440" spans="1:1">
      <c r="A440" s="1528"/>
    </row>
    <row r="441" spans="1:1">
      <c r="A441" s="1528"/>
    </row>
    <row r="442" spans="1:1">
      <c r="A442" s="1528"/>
    </row>
    <row r="443" spans="1:1">
      <c r="A443" s="1528"/>
    </row>
    <row r="444" spans="1:1">
      <c r="A444" s="1528"/>
    </row>
    <row r="445" spans="1:1">
      <c r="A445" s="1528"/>
    </row>
    <row r="446" spans="1:1">
      <c r="A446" s="1528"/>
    </row>
    <row r="447" spans="1:1">
      <c r="A447" s="1528"/>
    </row>
    <row r="448" spans="1:1">
      <c r="A448" s="1528"/>
    </row>
    <row r="449" spans="1:1">
      <c r="A449" s="1528"/>
    </row>
    <row r="450" spans="1:1">
      <c r="A450" s="1528"/>
    </row>
    <row r="451" spans="1:1">
      <c r="A451" s="1528"/>
    </row>
    <row r="452" spans="1:1">
      <c r="A452" s="1528"/>
    </row>
    <row r="453" spans="1:1">
      <c r="A453" s="1528"/>
    </row>
    <row r="454" spans="1:1">
      <c r="A454" s="1528"/>
    </row>
    <row r="455" spans="1:1">
      <c r="A455" s="1528"/>
    </row>
    <row r="456" spans="1:1">
      <c r="A456" s="1528"/>
    </row>
    <row r="457" spans="1:1">
      <c r="A457" s="1528"/>
    </row>
    <row r="458" spans="1:1">
      <c r="A458" s="1528"/>
    </row>
    <row r="459" spans="1:1">
      <c r="A459" s="1528"/>
    </row>
    <row r="460" spans="1:1">
      <c r="A460" s="1528"/>
    </row>
    <row r="461" spans="1:1">
      <c r="A461" s="1528"/>
    </row>
    <row r="462" spans="1:1">
      <c r="A462" s="1528"/>
    </row>
    <row r="463" spans="1:1">
      <c r="A463" s="1528"/>
    </row>
    <row r="464" spans="1:1">
      <c r="A464" s="1528"/>
    </row>
    <row r="465" spans="1:1">
      <c r="A465" s="1528"/>
    </row>
    <row r="466" spans="1:1">
      <c r="A466" s="1528"/>
    </row>
    <row r="467" spans="1:1">
      <c r="A467" s="1528"/>
    </row>
    <row r="468" spans="1:1">
      <c r="A468" s="1528"/>
    </row>
    <row r="469" spans="1:1">
      <c r="A469" s="1528"/>
    </row>
    <row r="470" spans="1:1">
      <c r="A470" s="1528"/>
    </row>
    <row r="471" spans="1:1">
      <c r="A471" s="1528"/>
    </row>
    <row r="472" spans="1:1">
      <c r="A472" s="1528"/>
    </row>
    <row r="473" spans="1:1">
      <c r="A473" s="1528"/>
    </row>
    <row r="474" spans="1:1">
      <c r="A474" s="1528"/>
    </row>
    <row r="475" spans="1:1">
      <c r="A475" s="1528"/>
    </row>
    <row r="476" spans="1:1">
      <c r="A476" s="1528"/>
    </row>
    <row r="477" spans="1:1">
      <c r="A477" s="1528"/>
    </row>
    <row r="478" spans="1:1">
      <c r="A478" s="1528"/>
    </row>
    <row r="479" spans="1:1">
      <c r="A479" s="1528"/>
    </row>
    <row r="480" spans="1:1">
      <c r="A480" s="1528"/>
    </row>
    <row r="481" spans="1:1">
      <c r="A481" s="1528"/>
    </row>
    <row r="482" spans="1:1">
      <c r="A482" s="1528"/>
    </row>
    <row r="483" spans="1:1">
      <c r="A483" s="1528"/>
    </row>
    <row r="484" spans="1:1">
      <c r="A484" s="1528"/>
    </row>
    <row r="485" spans="1:1">
      <c r="A485" s="1528"/>
    </row>
    <row r="486" spans="1:1">
      <c r="A486" s="1528"/>
    </row>
    <row r="487" spans="1:1">
      <c r="A487" s="1528"/>
    </row>
    <row r="488" spans="1:1">
      <c r="A488" s="1528"/>
    </row>
    <row r="489" spans="1:1">
      <c r="A489" s="1528"/>
    </row>
    <row r="490" spans="1:1">
      <c r="A490" s="1528"/>
    </row>
    <row r="491" spans="1:1">
      <c r="A491" s="1528"/>
    </row>
    <row r="492" spans="1:1">
      <c r="A492" s="1528"/>
    </row>
    <row r="493" spans="1:1">
      <c r="A493" s="1528"/>
    </row>
    <row r="494" spans="1:1">
      <c r="A494" s="1528"/>
    </row>
    <row r="495" spans="1:1">
      <c r="A495" s="1528"/>
    </row>
    <row r="496" spans="1:1">
      <c r="A496" s="1528"/>
    </row>
    <row r="497" spans="1:1">
      <c r="A497" s="1528"/>
    </row>
    <row r="498" spans="1:1">
      <c r="A498" s="1528"/>
    </row>
    <row r="499" spans="1:1">
      <c r="A499" s="1528"/>
    </row>
    <row r="500" spans="1:1">
      <c r="A500" s="1528"/>
    </row>
    <row r="501" spans="1:1">
      <c r="A501" s="1528"/>
    </row>
    <row r="502" spans="1:1">
      <c r="A502" s="1528"/>
    </row>
    <row r="503" spans="1:1">
      <c r="A503" s="1528"/>
    </row>
    <row r="504" spans="1:1">
      <c r="A504" s="1528"/>
    </row>
    <row r="505" spans="1:1">
      <c r="A505" s="1528"/>
    </row>
    <row r="506" spans="1:1">
      <c r="A506" s="1528"/>
    </row>
    <row r="507" spans="1:1">
      <c r="A507" s="1528"/>
    </row>
    <row r="508" spans="1:1">
      <c r="A508" s="1528"/>
    </row>
    <row r="509" spans="1:1">
      <c r="A509" s="1528"/>
    </row>
    <row r="510" spans="1:1">
      <c r="A510" s="1528"/>
    </row>
    <row r="511" spans="1:1">
      <c r="A511" s="1528"/>
    </row>
    <row r="512" spans="1:1">
      <c r="A512" s="1528"/>
    </row>
    <row r="513" spans="1:1">
      <c r="A513" s="1528"/>
    </row>
    <row r="514" spans="1:1">
      <c r="A514" s="1528"/>
    </row>
    <row r="515" spans="1:1">
      <c r="A515" s="1528"/>
    </row>
    <row r="516" spans="1:1">
      <c r="A516" s="1528"/>
    </row>
    <row r="517" spans="1:1">
      <c r="A517" s="1528"/>
    </row>
    <row r="518" spans="1:1">
      <c r="A518" s="1528"/>
    </row>
    <row r="519" spans="1:1">
      <c r="A519" s="1528"/>
    </row>
    <row r="520" spans="1:1">
      <c r="A520" s="1528"/>
    </row>
    <row r="521" spans="1:1">
      <c r="A521" s="1528"/>
    </row>
    <row r="522" spans="1:1">
      <c r="A522" s="1528"/>
    </row>
    <row r="523" spans="1:1">
      <c r="A523" s="1528"/>
    </row>
    <row r="524" spans="1:1">
      <c r="A524" s="1528"/>
    </row>
    <row r="525" spans="1:1">
      <c r="A525" s="1528"/>
    </row>
    <row r="526" spans="1:1">
      <c r="A526" s="1528"/>
    </row>
    <row r="527" spans="1:1">
      <c r="A527" s="1528"/>
    </row>
    <row r="528" spans="1:1">
      <c r="A528" s="1528"/>
    </row>
    <row r="529" spans="1:1">
      <c r="A529" s="1528"/>
    </row>
    <row r="530" spans="1:1">
      <c r="A530" s="1528"/>
    </row>
    <row r="531" spans="1:1">
      <c r="A531" s="1528"/>
    </row>
    <row r="532" spans="1:1">
      <c r="A532" s="1528"/>
    </row>
    <row r="533" spans="1:1">
      <c r="A533" s="1528"/>
    </row>
    <row r="534" spans="1:1">
      <c r="A534" s="1528"/>
    </row>
    <row r="535" spans="1:1">
      <c r="A535" s="1528"/>
    </row>
    <row r="536" spans="1:1">
      <c r="A536" s="1528"/>
    </row>
    <row r="537" spans="1:1">
      <c r="A537" s="1528"/>
    </row>
    <row r="538" spans="1:1">
      <c r="A538" s="1528"/>
    </row>
    <row r="539" spans="1:1">
      <c r="A539" s="1528"/>
    </row>
    <row r="540" spans="1:1">
      <c r="A540" s="1528"/>
    </row>
    <row r="541" spans="1:1">
      <c r="A541" s="1528"/>
    </row>
    <row r="542" spans="1:1">
      <c r="A542" s="1528"/>
    </row>
    <row r="543" spans="1:1">
      <c r="A543" s="1528"/>
    </row>
    <row r="544" spans="1:1">
      <c r="A544" s="1528"/>
    </row>
    <row r="545" spans="1:1">
      <c r="A545" s="1528"/>
    </row>
    <row r="546" spans="1:1">
      <c r="A546" s="1528"/>
    </row>
    <row r="547" spans="1:1">
      <c r="A547" s="1528"/>
    </row>
    <row r="548" spans="1:1">
      <c r="A548" s="1528"/>
    </row>
    <row r="549" spans="1:1">
      <c r="A549" s="1528"/>
    </row>
    <row r="550" spans="1:1">
      <c r="A550" s="1528"/>
    </row>
    <row r="551" spans="1:1">
      <c r="A551" s="1528"/>
    </row>
    <row r="552" spans="1:1">
      <c r="A552" s="1528"/>
    </row>
    <row r="553" spans="1:1">
      <c r="A553" s="1528"/>
    </row>
    <row r="554" spans="1:1">
      <c r="A554" s="1528"/>
    </row>
    <row r="555" spans="1:1">
      <c r="A555" s="1528"/>
    </row>
    <row r="556" spans="1:1">
      <c r="A556" s="1528"/>
    </row>
    <row r="557" spans="1:1">
      <c r="A557" s="1528"/>
    </row>
    <row r="558" spans="1:1">
      <c r="A558" s="1528"/>
    </row>
    <row r="559" spans="1:1">
      <c r="A559" s="1528"/>
    </row>
    <row r="560" spans="1:1">
      <c r="A560" s="1528"/>
    </row>
    <row r="561" spans="1:1">
      <c r="A561" s="1528"/>
    </row>
    <row r="562" spans="1:1">
      <c r="A562" s="1528"/>
    </row>
    <row r="563" spans="1:1">
      <c r="A563" s="1528"/>
    </row>
    <row r="564" spans="1:1">
      <c r="A564" s="1528"/>
    </row>
    <row r="565" spans="1:1">
      <c r="A565" s="1528"/>
    </row>
    <row r="566" spans="1:1">
      <c r="A566" s="1528"/>
    </row>
    <row r="567" spans="1:1">
      <c r="A567" s="1528"/>
    </row>
    <row r="568" spans="1:1">
      <c r="A568" s="1528"/>
    </row>
    <row r="569" spans="1:1">
      <c r="A569" s="1528"/>
    </row>
    <row r="570" spans="1:1">
      <c r="A570" s="1528"/>
    </row>
    <row r="571" spans="1:1">
      <c r="A571" s="1528"/>
    </row>
    <row r="572" spans="1:1">
      <c r="A572" s="1528"/>
    </row>
    <row r="573" spans="1:1">
      <c r="A573" s="1528"/>
    </row>
    <row r="574" spans="1:1">
      <c r="A574" s="1528"/>
    </row>
    <row r="575" spans="1:1">
      <c r="A575" s="1528"/>
    </row>
    <row r="576" spans="1:1">
      <c r="A576" s="1528"/>
    </row>
    <row r="577" spans="1:1">
      <c r="A577" s="1528"/>
    </row>
    <row r="578" spans="1:1">
      <c r="A578" s="1528"/>
    </row>
    <row r="579" spans="1:1">
      <c r="A579" s="1528"/>
    </row>
    <row r="580" spans="1:1">
      <c r="A580" s="1528"/>
    </row>
    <row r="581" spans="1:1">
      <c r="A581" s="1528"/>
    </row>
    <row r="582" spans="1:1">
      <c r="A582" s="1528"/>
    </row>
    <row r="583" spans="1:1">
      <c r="A583" s="1528"/>
    </row>
    <row r="584" spans="1:1">
      <c r="A584" s="1528"/>
    </row>
    <row r="585" spans="1:1">
      <c r="A585" s="1528"/>
    </row>
    <row r="586" spans="1:1">
      <c r="A586" s="1528"/>
    </row>
    <row r="587" spans="1:1">
      <c r="A587" s="1528"/>
    </row>
    <row r="588" spans="1:1">
      <c r="A588" s="1528"/>
    </row>
    <row r="589" spans="1:1">
      <c r="A589" s="1528"/>
    </row>
    <row r="590" spans="1:1">
      <c r="A590" s="1528"/>
    </row>
    <row r="591" spans="1:1">
      <c r="A591" s="1528"/>
    </row>
    <row r="592" spans="1:1">
      <c r="A592" s="1528"/>
    </row>
    <row r="593" spans="1:1">
      <c r="A593" s="1528"/>
    </row>
    <row r="594" spans="1:1">
      <c r="A594" s="1528"/>
    </row>
    <row r="595" spans="1:1">
      <c r="A595" s="1528"/>
    </row>
    <row r="596" spans="1:1">
      <c r="A596" s="1528"/>
    </row>
    <row r="597" spans="1:1">
      <c r="A597" s="1528"/>
    </row>
    <row r="598" spans="1:1">
      <c r="A598" s="1528"/>
    </row>
    <row r="599" spans="1:1">
      <c r="A599" s="1528"/>
    </row>
    <row r="600" spans="1:1">
      <c r="A600" s="1528"/>
    </row>
    <row r="601" spans="1:1">
      <c r="A601" s="1528"/>
    </row>
    <row r="602" spans="1:1">
      <c r="A602" s="1528"/>
    </row>
    <row r="603" spans="1:1">
      <c r="A603" s="1528"/>
    </row>
    <row r="604" spans="1:1">
      <c r="A604" s="1528"/>
    </row>
    <row r="605" spans="1:1">
      <c r="A605" s="1528"/>
    </row>
    <row r="606" spans="1:1">
      <c r="A606" s="1528"/>
    </row>
    <row r="607" spans="1:1">
      <c r="A607" s="1528"/>
    </row>
    <row r="608" spans="1:1">
      <c r="A608" s="1528"/>
    </row>
    <row r="609" spans="1:1">
      <c r="A609" s="1528"/>
    </row>
    <row r="610" spans="1:1">
      <c r="A610" s="1528"/>
    </row>
    <row r="611" spans="1:1">
      <c r="A611" s="1528"/>
    </row>
    <row r="612" spans="1:1">
      <c r="A612" s="1528"/>
    </row>
    <row r="613" spans="1:1">
      <c r="A613" s="1528"/>
    </row>
    <row r="614" spans="1:1">
      <c r="A614" s="1528"/>
    </row>
    <row r="615" spans="1:1">
      <c r="A615" s="1528"/>
    </row>
    <row r="616" spans="1:1">
      <c r="A616" s="1528"/>
    </row>
    <row r="617" spans="1:1">
      <c r="A617" s="1528"/>
    </row>
    <row r="618" spans="1:1">
      <c r="A618" s="1528"/>
    </row>
    <row r="619" spans="1:1">
      <c r="A619" s="1528"/>
    </row>
    <row r="620" spans="1:1">
      <c r="A620" s="1528"/>
    </row>
    <row r="621" spans="1:1">
      <c r="A621" s="1528"/>
    </row>
    <row r="622" spans="1:1">
      <c r="A622" s="1528"/>
    </row>
    <row r="623" spans="1:1">
      <c r="A623" s="1528"/>
    </row>
    <row r="624" spans="1:1">
      <c r="A624" s="1528"/>
    </row>
    <row r="625" spans="1:1">
      <c r="A625" s="1528"/>
    </row>
    <row r="626" spans="1:1">
      <c r="A626" s="1528"/>
    </row>
    <row r="627" spans="1:1">
      <c r="A627" s="1528"/>
    </row>
    <row r="628" spans="1:1">
      <c r="A628" s="1528"/>
    </row>
    <row r="629" spans="1:1">
      <c r="A629" s="1528"/>
    </row>
    <row r="630" spans="1:1">
      <c r="A630" s="1528"/>
    </row>
    <row r="631" spans="1:1">
      <c r="A631" s="1528"/>
    </row>
    <row r="632" spans="1:1">
      <c r="A632" s="1528"/>
    </row>
    <row r="633" spans="1:1">
      <c r="A633" s="1528"/>
    </row>
    <row r="634" spans="1:1">
      <c r="A634" s="1528"/>
    </row>
    <row r="635" spans="1:1">
      <c r="A635" s="1528"/>
    </row>
    <row r="636" spans="1:1">
      <c r="A636" s="1528"/>
    </row>
    <row r="637" spans="1:1">
      <c r="A637" s="1528"/>
    </row>
    <row r="638" spans="1:1">
      <c r="A638" s="1528"/>
    </row>
    <row r="639" spans="1:1">
      <c r="A639" s="1528"/>
    </row>
    <row r="640" spans="1:1">
      <c r="A640" s="1528"/>
    </row>
    <row r="641" spans="1:1">
      <c r="A641" s="1528"/>
    </row>
    <row r="642" spans="1:1">
      <c r="A642" s="1528"/>
    </row>
    <row r="643" spans="1:1">
      <c r="A643" s="1528"/>
    </row>
    <row r="644" spans="1:1">
      <c r="A644" s="1528"/>
    </row>
    <row r="645" spans="1:1">
      <c r="A645" s="1528"/>
    </row>
    <row r="646" spans="1:1">
      <c r="A646" s="1528"/>
    </row>
    <row r="647" spans="1:1">
      <c r="A647" s="1528"/>
    </row>
    <row r="648" spans="1:1">
      <c r="A648" s="1528"/>
    </row>
    <row r="649" spans="1:1">
      <c r="A649" s="1528"/>
    </row>
    <row r="650" spans="1:1">
      <c r="A650" s="1528"/>
    </row>
    <row r="651" spans="1:1">
      <c r="A651" s="1528"/>
    </row>
    <row r="652" spans="1:1">
      <c r="A652" s="1528"/>
    </row>
    <row r="653" spans="1:1">
      <c r="A653" s="1528"/>
    </row>
    <row r="654" spans="1:1">
      <c r="A654" s="1528"/>
    </row>
    <row r="655" spans="1:1">
      <c r="A655" s="1528"/>
    </row>
    <row r="656" spans="1:1">
      <c r="A656" s="1528"/>
    </row>
    <row r="657" spans="1:1">
      <c r="A657" s="1528"/>
    </row>
    <row r="658" spans="1:1">
      <c r="A658" s="1528"/>
    </row>
    <row r="659" spans="1:1">
      <c r="A659" s="1528"/>
    </row>
    <row r="660" spans="1:1">
      <c r="A660" s="1528"/>
    </row>
    <row r="661" spans="1:1">
      <c r="A661" s="1528"/>
    </row>
    <row r="662" spans="1:1">
      <c r="A662" s="1528"/>
    </row>
    <row r="663" spans="1:1">
      <c r="A663" s="1528"/>
    </row>
    <row r="664" spans="1:1">
      <c r="A664" s="1528"/>
    </row>
    <row r="665" spans="1:1">
      <c r="A665" s="1528"/>
    </row>
    <row r="666" spans="1:1">
      <c r="A666" s="1528"/>
    </row>
    <row r="667" spans="1:1">
      <c r="A667" s="1528"/>
    </row>
    <row r="668" spans="1:1">
      <c r="A668" s="1528"/>
    </row>
    <row r="669" spans="1:1">
      <c r="A669" s="1528"/>
    </row>
    <row r="670" spans="1:1">
      <c r="A670" s="1528"/>
    </row>
    <row r="671" spans="1:1">
      <c r="A671" s="1528"/>
    </row>
    <row r="672" spans="1:1">
      <c r="A672" s="1528"/>
    </row>
    <row r="673" spans="1:1">
      <c r="A673" s="1528"/>
    </row>
    <row r="674" spans="1:1">
      <c r="A674" s="1528"/>
    </row>
    <row r="675" spans="1:1">
      <c r="A675" s="1528"/>
    </row>
    <row r="676" spans="1:1">
      <c r="A676" s="1528"/>
    </row>
    <row r="677" spans="1:1">
      <c r="A677" s="1528"/>
    </row>
    <row r="678" spans="1:1">
      <c r="A678" s="1528"/>
    </row>
    <row r="679" spans="1:1">
      <c r="A679" s="1528"/>
    </row>
    <row r="680" spans="1:1">
      <c r="A680" s="1528"/>
    </row>
    <row r="681" spans="1:1">
      <c r="A681" s="1528"/>
    </row>
    <row r="682" spans="1:1">
      <c r="A682" s="1528"/>
    </row>
    <row r="683" spans="1:1">
      <c r="A683" s="1528"/>
    </row>
    <row r="684" spans="1:1">
      <c r="A684" s="1528"/>
    </row>
    <row r="685" spans="1:1">
      <c r="A685" s="1528"/>
    </row>
    <row r="686" spans="1:1">
      <c r="A686" s="1528"/>
    </row>
    <row r="687" spans="1:1">
      <c r="A687" s="1528"/>
    </row>
    <row r="688" spans="1:1">
      <c r="A688" s="1528"/>
    </row>
    <row r="689" spans="1:1">
      <c r="A689" s="1528"/>
    </row>
    <row r="690" spans="1:1">
      <c r="A690" s="1528"/>
    </row>
    <row r="691" spans="1:1">
      <c r="A691" s="1528"/>
    </row>
    <row r="692" spans="1:1">
      <c r="A692" s="1528"/>
    </row>
    <row r="693" spans="1:1">
      <c r="A693" s="1528"/>
    </row>
    <row r="694" spans="1:1">
      <c r="A694" s="1528"/>
    </row>
    <row r="695" spans="1:1">
      <c r="A695" s="1528"/>
    </row>
    <row r="696" spans="1:1">
      <c r="A696" s="1528"/>
    </row>
    <row r="697" spans="1:1">
      <c r="A697" s="1528"/>
    </row>
    <row r="698" spans="1:1">
      <c r="A698" s="1528"/>
    </row>
    <row r="699" spans="1:1">
      <c r="A699" s="1528"/>
    </row>
    <row r="700" spans="1:1">
      <c r="A700" s="1528"/>
    </row>
    <row r="701" spans="1:1">
      <c r="A701" s="1528"/>
    </row>
    <row r="702" spans="1:1">
      <c r="A702" s="1528"/>
    </row>
    <row r="703" spans="1:1">
      <c r="A703" s="1528"/>
    </row>
    <row r="704" spans="1:1">
      <c r="A704" s="1528"/>
    </row>
    <row r="705" spans="1:1">
      <c r="A705" s="1528"/>
    </row>
    <row r="706" spans="1:1">
      <c r="A706" s="1528"/>
    </row>
    <row r="707" spans="1:1">
      <c r="A707" s="1528"/>
    </row>
    <row r="708" spans="1:1">
      <c r="A708" s="1528"/>
    </row>
    <row r="709" spans="1:1">
      <c r="A709" s="1528"/>
    </row>
    <row r="710" spans="1:1">
      <c r="A710" s="1528"/>
    </row>
    <row r="711" spans="1:1">
      <c r="A711" s="1528"/>
    </row>
    <row r="712" spans="1:1">
      <c r="A712" s="1528"/>
    </row>
    <row r="713" spans="1:1">
      <c r="A713" s="1528"/>
    </row>
    <row r="714" spans="1:1">
      <c r="A714" s="1528"/>
    </row>
    <row r="715" spans="1:1">
      <c r="A715" s="1528"/>
    </row>
    <row r="716" spans="1:1">
      <c r="A716" s="1528"/>
    </row>
    <row r="717" spans="1:1">
      <c r="A717" s="1528"/>
    </row>
    <row r="718" spans="1:1">
      <c r="A718" s="1528"/>
    </row>
    <row r="719" spans="1:1">
      <c r="A719" s="1528"/>
    </row>
    <row r="720" spans="1:1">
      <c r="A720" s="1528"/>
    </row>
    <row r="721" spans="1:1">
      <c r="A721" s="1528"/>
    </row>
    <row r="722" spans="1:1">
      <c r="A722" s="1528"/>
    </row>
    <row r="723" spans="1:1">
      <c r="A723" s="1528"/>
    </row>
    <row r="724" spans="1:1">
      <c r="A724" s="1528"/>
    </row>
    <row r="725" spans="1:1">
      <c r="A725" s="1528"/>
    </row>
    <row r="726" spans="1:1">
      <c r="A726" s="1528"/>
    </row>
    <row r="727" spans="1:1">
      <c r="A727" s="1528"/>
    </row>
    <row r="728" spans="1:1">
      <c r="A728" s="1528"/>
    </row>
    <row r="729" spans="1:1">
      <c r="A729" s="1528"/>
    </row>
    <row r="730" spans="1:1">
      <c r="A730" s="1528"/>
    </row>
    <row r="731" spans="1:1">
      <c r="A731" s="1528"/>
    </row>
    <row r="732" spans="1:1">
      <c r="A732" s="1528"/>
    </row>
    <row r="733" spans="1:1">
      <c r="A733" s="1528"/>
    </row>
    <row r="734" spans="1:1">
      <c r="A734" s="1528"/>
    </row>
    <row r="735" spans="1:1">
      <c r="A735" s="1528"/>
    </row>
    <row r="736" spans="1:1">
      <c r="A736" s="1528"/>
    </row>
    <row r="737" spans="1:1">
      <c r="A737" s="1528"/>
    </row>
    <row r="738" spans="1:1">
      <c r="A738" s="1528"/>
    </row>
    <row r="739" spans="1:1">
      <c r="A739" s="1528"/>
    </row>
    <row r="740" spans="1:1">
      <c r="A740" s="1528"/>
    </row>
    <row r="741" spans="1:1">
      <c r="A741" s="1528"/>
    </row>
    <row r="742" spans="1:1">
      <c r="A742" s="1528"/>
    </row>
    <row r="743" spans="1:1">
      <c r="A743" s="1528"/>
    </row>
    <row r="744" spans="1:1">
      <c r="A744" s="1528"/>
    </row>
    <row r="745" spans="1:1">
      <c r="A745" s="1528"/>
    </row>
    <row r="746" spans="1:1">
      <c r="A746" s="1528"/>
    </row>
    <row r="747" spans="1:1">
      <c r="A747" s="1528"/>
    </row>
    <row r="748" spans="1:1">
      <c r="A748" s="1528"/>
    </row>
    <row r="749" spans="1:1">
      <c r="A749" s="1528"/>
    </row>
    <row r="750" spans="1:1">
      <c r="A750" s="1528"/>
    </row>
    <row r="751" spans="1:1">
      <c r="A751" s="1528"/>
    </row>
    <row r="752" spans="1:1">
      <c r="A752" s="1528"/>
    </row>
    <row r="753" spans="1:1">
      <c r="A753" s="1528"/>
    </row>
    <row r="754" spans="1:1">
      <c r="A754" s="1528"/>
    </row>
    <row r="755" spans="1:1">
      <c r="A755" s="1528"/>
    </row>
    <row r="756" spans="1:1">
      <c r="A756" s="1528"/>
    </row>
    <row r="757" spans="1:1">
      <c r="A757" s="1528"/>
    </row>
    <row r="758" spans="1:1">
      <c r="A758" s="1528"/>
    </row>
    <row r="759" spans="1:1">
      <c r="A759" s="1528"/>
    </row>
    <row r="760" spans="1:1">
      <c r="A760" s="1528"/>
    </row>
    <row r="761" spans="1:1">
      <c r="A761" s="1528"/>
    </row>
    <row r="762" spans="1:1">
      <c r="A762" s="1528"/>
    </row>
    <row r="763" spans="1:1">
      <c r="A763" s="1528"/>
    </row>
    <row r="764" spans="1:1">
      <c r="A764" s="1528"/>
    </row>
    <row r="765" spans="1:1">
      <c r="A765" s="1528"/>
    </row>
    <row r="766" spans="1:1">
      <c r="A766" s="1528"/>
    </row>
    <row r="767" spans="1:1">
      <c r="A767" s="1528"/>
    </row>
    <row r="768" spans="1:1">
      <c r="A768" s="1528"/>
    </row>
    <row r="769" spans="1:1">
      <c r="A769" s="1528"/>
    </row>
    <row r="770" spans="1:1">
      <c r="A770" s="1528"/>
    </row>
    <row r="771" spans="1:1">
      <c r="A771" s="1528"/>
    </row>
    <row r="772" spans="1:1">
      <c r="A772" s="1528"/>
    </row>
    <row r="773" spans="1:1">
      <c r="A773" s="1528"/>
    </row>
    <row r="774" spans="1:1">
      <c r="A774" s="1528"/>
    </row>
    <row r="775" spans="1:1">
      <c r="A775" s="1528"/>
    </row>
    <row r="776" spans="1:1">
      <c r="A776" s="1528"/>
    </row>
    <row r="777" spans="1:1">
      <c r="A777" s="1528"/>
    </row>
    <row r="778" spans="1:1">
      <c r="A778" s="1528"/>
    </row>
    <row r="779" spans="1:1">
      <c r="A779" s="1528"/>
    </row>
    <row r="780" spans="1:1">
      <c r="A780" s="1528"/>
    </row>
    <row r="781" spans="1:1">
      <c r="A781" s="1528"/>
    </row>
    <row r="782" spans="1:1">
      <c r="A782" s="1528"/>
    </row>
    <row r="783" spans="1:1">
      <c r="A783" s="1528"/>
    </row>
    <row r="784" spans="1:1">
      <c r="A784" s="1528"/>
    </row>
    <row r="785" spans="1:1">
      <c r="A785" s="1528"/>
    </row>
    <row r="786" spans="1:1">
      <c r="A786" s="1528"/>
    </row>
    <row r="787" spans="1:1">
      <c r="A787" s="1528"/>
    </row>
    <row r="788" spans="1:1">
      <c r="A788" s="1528"/>
    </row>
    <row r="789" spans="1:1">
      <c r="A789" s="1528"/>
    </row>
    <row r="790" spans="1:1">
      <c r="A790" s="1528"/>
    </row>
    <row r="791" spans="1:1">
      <c r="A791" s="1528"/>
    </row>
    <row r="792" spans="1:1">
      <c r="A792" s="1528"/>
    </row>
    <row r="793" spans="1:1">
      <c r="A793" s="1528"/>
    </row>
    <row r="794" spans="1:1">
      <c r="A794" s="1528"/>
    </row>
    <row r="795" spans="1:1">
      <c r="A795" s="1528"/>
    </row>
    <row r="796" spans="1:1">
      <c r="A796" s="1528"/>
    </row>
    <row r="797" spans="1:1">
      <c r="A797" s="1528"/>
    </row>
    <row r="798" spans="1:1">
      <c r="A798" s="1528"/>
    </row>
    <row r="799" spans="1:1">
      <c r="A799" s="1528"/>
    </row>
    <row r="800" spans="1:1">
      <c r="A800" s="1528"/>
    </row>
    <row r="801" spans="1:1">
      <c r="A801" s="1528"/>
    </row>
    <row r="802" spans="1:1">
      <c r="A802" s="1528"/>
    </row>
    <row r="803" spans="1:1">
      <c r="A803" s="1528"/>
    </row>
    <row r="804" spans="1:1">
      <c r="A804" s="1528"/>
    </row>
    <row r="805" spans="1:1">
      <c r="A805" s="1528"/>
    </row>
    <row r="806" spans="1:1">
      <c r="A806" s="1528"/>
    </row>
    <row r="807" spans="1:1">
      <c r="A807" s="1528"/>
    </row>
    <row r="808" spans="1:1">
      <c r="A808" s="1528"/>
    </row>
    <row r="809" spans="1:1">
      <c r="A809" s="1528"/>
    </row>
    <row r="810" spans="1:1">
      <c r="A810" s="1528"/>
    </row>
    <row r="811" spans="1:1">
      <c r="A811" s="1528"/>
    </row>
  </sheetData>
  <mergeCells count="11">
    <mergeCell ref="I3:I4"/>
    <mergeCell ref="A1:H1"/>
    <mergeCell ref="A2:H2"/>
    <mergeCell ref="A3:A5"/>
    <mergeCell ref="B3:B5"/>
    <mergeCell ref="C3:C4"/>
    <mergeCell ref="D3:D4"/>
    <mergeCell ref="E3:E4"/>
    <mergeCell ref="F3:F4"/>
    <mergeCell ref="G3:G4"/>
    <mergeCell ref="H3:H4"/>
  </mergeCells>
  <phoneticPr fontId="51" type="noConversion"/>
  <hyperlinks>
    <hyperlink ref="K1" location="余额表!A1" display="余额表!A1"/>
    <hyperlink ref="J9" location="营业费用!A1" display="营业费用!A1"/>
    <hyperlink ref="J11" location="管理费用!A1" display="管理费用!A1"/>
    <hyperlink ref="J13" location="财务费用!A1" display="财务费用!A1"/>
  </hyperlinks>
  <printOptions horizontalCentered="1"/>
  <pageMargins left="0.78740157480314998" right="0.35433070866141703" top="0.511811023622047" bottom="0.11811023622047198" header="0.511811023622047" footer="0.511811023622047"/>
  <pageSetup paperSize="9" orientation="portrait" useFirstPageNumber="1"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H47"/>
  <sheetViews>
    <sheetView workbookViewId="0">
      <selection activeCell="A2" sqref="A2:F2"/>
    </sheetView>
  </sheetViews>
  <sheetFormatPr defaultRowHeight="14.1" customHeight="1"/>
  <cols>
    <col min="1" max="1" width="3.59765625" style="1549" customWidth="1"/>
    <col min="2" max="2" width="48.09765625" style="1544" customWidth="1"/>
    <col min="3" max="6" width="11.8984375" style="1550" customWidth="1"/>
    <col min="7" max="7" width="26.69921875" style="1543" customWidth="1"/>
    <col min="8" max="8" width="30.09765625" style="1544" customWidth="1"/>
    <col min="9" max="256" width="9" style="1544"/>
    <col min="257" max="257" width="5.19921875" style="1544" customWidth="1"/>
    <col min="258" max="258" width="48.09765625" style="1544" customWidth="1"/>
    <col min="259" max="262" width="6.59765625" style="1544" customWidth="1"/>
    <col min="263" max="263" width="31.5" style="1544" customWidth="1"/>
    <col min="264" max="264" width="30.09765625" style="1544" customWidth="1"/>
    <col min="265" max="512" width="9" style="1544"/>
    <col min="513" max="513" width="5.19921875" style="1544" customWidth="1"/>
    <col min="514" max="514" width="48.09765625" style="1544" customWidth="1"/>
    <col min="515" max="518" width="6.59765625" style="1544" customWidth="1"/>
    <col min="519" max="519" width="31.5" style="1544" customWidth="1"/>
    <col min="520" max="520" width="30.09765625" style="1544" customWidth="1"/>
    <col min="521" max="768" width="9" style="1544"/>
    <col min="769" max="769" width="5.19921875" style="1544" customWidth="1"/>
    <col min="770" max="770" width="48.09765625" style="1544" customWidth="1"/>
    <col min="771" max="774" width="6.59765625" style="1544" customWidth="1"/>
    <col min="775" max="775" width="31.5" style="1544" customWidth="1"/>
    <col min="776" max="776" width="30.09765625" style="1544" customWidth="1"/>
    <col min="777" max="1024" width="9" style="1544"/>
    <col min="1025" max="1025" width="5.19921875" style="1544" customWidth="1"/>
    <col min="1026" max="1026" width="48.09765625" style="1544" customWidth="1"/>
    <col min="1027" max="1030" width="6.59765625" style="1544" customWidth="1"/>
    <col min="1031" max="1031" width="31.5" style="1544" customWidth="1"/>
    <col min="1032" max="1032" width="30.09765625" style="1544" customWidth="1"/>
    <col min="1033" max="1280" width="9" style="1544"/>
    <col min="1281" max="1281" width="5.19921875" style="1544" customWidth="1"/>
    <col min="1282" max="1282" width="48.09765625" style="1544" customWidth="1"/>
    <col min="1283" max="1286" width="6.59765625" style="1544" customWidth="1"/>
    <col min="1287" max="1287" width="31.5" style="1544" customWidth="1"/>
    <col min="1288" max="1288" width="30.09765625" style="1544" customWidth="1"/>
    <col min="1289" max="1536" width="9" style="1544"/>
    <col min="1537" max="1537" width="5.19921875" style="1544" customWidth="1"/>
    <col min="1538" max="1538" width="48.09765625" style="1544" customWidth="1"/>
    <col min="1539" max="1542" width="6.59765625" style="1544" customWidth="1"/>
    <col min="1543" max="1543" width="31.5" style="1544" customWidth="1"/>
    <col min="1544" max="1544" width="30.09765625" style="1544" customWidth="1"/>
    <col min="1545" max="1792" width="9" style="1544"/>
    <col min="1793" max="1793" width="5.19921875" style="1544" customWidth="1"/>
    <col min="1794" max="1794" width="48.09765625" style="1544" customWidth="1"/>
    <col min="1795" max="1798" width="6.59765625" style="1544" customWidth="1"/>
    <col min="1799" max="1799" width="31.5" style="1544" customWidth="1"/>
    <col min="1800" max="1800" width="30.09765625" style="1544" customWidth="1"/>
    <col min="1801" max="2048" width="9" style="1544"/>
    <col min="2049" max="2049" width="5.19921875" style="1544" customWidth="1"/>
    <col min="2050" max="2050" width="48.09765625" style="1544" customWidth="1"/>
    <col min="2051" max="2054" width="6.59765625" style="1544" customWidth="1"/>
    <col min="2055" max="2055" width="31.5" style="1544" customWidth="1"/>
    <col min="2056" max="2056" width="30.09765625" style="1544" customWidth="1"/>
    <col min="2057" max="2304" width="9" style="1544"/>
    <col min="2305" max="2305" width="5.19921875" style="1544" customWidth="1"/>
    <col min="2306" max="2306" width="48.09765625" style="1544" customWidth="1"/>
    <col min="2307" max="2310" width="6.59765625" style="1544" customWidth="1"/>
    <col min="2311" max="2311" width="31.5" style="1544" customWidth="1"/>
    <col min="2312" max="2312" width="30.09765625" style="1544" customWidth="1"/>
    <col min="2313" max="2560" width="9" style="1544"/>
    <col min="2561" max="2561" width="5.19921875" style="1544" customWidth="1"/>
    <col min="2562" max="2562" width="48.09765625" style="1544" customWidth="1"/>
    <col min="2563" max="2566" width="6.59765625" style="1544" customWidth="1"/>
    <col min="2567" max="2567" width="31.5" style="1544" customWidth="1"/>
    <col min="2568" max="2568" width="30.09765625" style="1544" customWidth="1"/>
    <col min="2569" max="2816" width="9" style="1544"/>
    <col min="2817" max="2817" width="5.19921875" style="1544" customWidth="1"/>
    <col min="2818" max="2818" width="48.09765625" style="1544" customWidth="1"/>
    <col min="2819" max="2822" width="6.59765625" style="1544" customWidth="1"/>
    <col min="2823" max="2823" width="31.5" style="1544" customWidth="1"/>
    <col min="2824" max="2824" width="30.09765625" style="1544" customWidth="1"/>
    <col min="2825" max="3072" width="9" style="1544"/>
    <col min="3073" max="3073" width="5.19921875" style="1544" customWidth="1"/>
    <col min="3074" max="3074" width="48.09765625" style="1544" customWidth="1"/>
    <col min="3075" max="3078" width="6.59765625" style="1544" customWidth="1"/>
    <col min="3079" max="3079" width="31.5" style="1544" customWidth="1"/>
    <col min="3080" max="3080" width="30.09765625" style="1544" customWidth="1"/>
    <col min="3081" max="3328" width="9" style="1544"/>
    <col min="3329" max="3329" width="5.19921875" style="1544" customWidth="1"/>
    <col min="3330" max="3330" width="48.09765625" style="1544" customWidth="1"/>
    <col min="3331" max="3334" width="6.59765625" style="1544" customWidth="1"/>
    <col min="3335" max="3335" width="31.5" style="1544" customWidth="1"/>
    <col min="3336" max="3336" width="30.09765625" style="1544" customWidth="1"/>
    <col min="3337" max="3584" width="9" style="1544"/>
    <col min="3585" max="3585" width="5.19921875" style="1544" customWidth="1"/>
    <col min="3586" max="3586" width="48.09765625" style="1544" customWidth="1"/>
    <col min="3587" max="3590" width="6.59765625" style="1544" customWidth="1"/>
    <col min="3591" max="3591" width="31.5" style="1544" customWidth="1"/>
    <col min="3592" max="3592" width="30.09765625" style="1544" customWidth="1"/>
    <col min="3593" max="3840" width="9" style="1544"/>
    <col min="3841" max="3841" width="5.19921875" style="1544" customWidth="1"/>
    <col min="3842" max="3842" width="48.09765625" style="1544" customWidth="1"/>
    <col min="3843" max="3846" width="6.59765625" style="1544" customWidth="1"/>
    <col min="3847" max="3847" width="31.5" style="1544" customWidth="1"/>
    <col min="3848" max="3848" width="30.09765625" style="1544" customWidth="1"/>
    <col min="3849" max="4096" width="9" style="1544"/>
    <col min="4097" max="4097" width="5.19921875" style="1544" customWidth="1"/>
    <col min="4098" max="4098" width="48.09765625" style="1544" customWidth="1"/>
    <col min="4099" max="4102" width="6.59765625" style="1544" customWidth="1"/>
    <col min="4103" max="4103" width="31.5" style="1544" customWidth="1"/>
    <col min="4104" max="4104" width="30.09765625" style="1544" customWidth="1"/>
    <col min="4105" max="4352" width="9" style="1544"/>
    <col min="4353" max="4353" width="5.19921875" style="1544" customWidth="1"/>
    <col min="4354" max="4354" width="48.09765625" style="1544" customWidth="1"/>
    <col min="4355" max="4358" width="6.59765625" style="1544" customWidth="1"/>
    <col min="4359" max="4359" width="31.5" style="1544" customWidth="1"/>
    <col min="4360" max="4360" width="30.09765625" style="1544" customWidth="1"/>
    <col min="4361" max="4608" width="9" style="1544"/>
    <col min="4609" max="4609" width="5.19921875" style="1544" customWidth="1"/>
    <col min="4610" max="4610" width="48.09765625" style="1544" customWidth="1"/>
    <col min="4611" max="4614" width="6.59765625" style="1544" customWidth="1"/>
    <col min="4615" max="4615" width="31.5" style="1544" customWidth="1"/>
    <col min="4616" max="4616" width="30.09765625" style="1544" customWidth="1"/>
    <col min="4617" max="4864" width="9" style="1544"/>
    <col min="4865" max="4865" width="5.19921875" style="1544" customWidth="1"/>
    <col min="4866" max="4866" width="48.09765625" style="1544" customWidth="1"/>
    <col min="4867" max="4870" width="6.59765625" style="1544" customWidth="1"/>
    <col min="4871" max="4871" width="31.5" style="1544" customWidth="1"/>
    <col min="4872" max="4872" width="30.09765625" style="1544" customWidth="1"/>
    <col min="4873" max="5120" width="9" style="1544"/>
    <col min="5121" max="5121" width="5.19921875" style="1544" customWidth="1"/>
    <col min="5122" max="5122" width="48.09765625" style="1544" customWidth="1"/>
    <col min="5123" max="5126" width="6.59765625" style="1544" customWidth="1"/>
    <col min="5127" max="5127" width="31.5" style="1544" customWidth="1"/>
    <col min="5128" max="5128" width="30.09765625" style="1544" customWidth="1"/>
    <col min="5129" max="5376" width="9" style="1544"/>
    <col min="5377" max="5377" width="5.19921875" style="1544" customWidth="1"/>
    <col min="5378" max="5378" width="48.09765625" style="1544" customWidth="1"/>
    <col min="5379" max="5382" width="6.59765625" style="1544" customWidth="1"/>
    <col min="5383" max="5383" width="31.5" style="1544" customWidth="1"/>
    <col min="5384" max="5384" width="30.09765625" style="1544" customWidth="1"/>
    <col min="5385" max="5632" width="9" style="1544"/>
    <col min="5633" max="5633" width="5.19921875" style="1544" customWidth="1"/>
    <col min="5634" max="5634" width="48.09765625" style="1544" customWidth="1"/>
    <col min="5635" max="5638" width="6.59765625" style="1544" customWidth="1"/>
    <col min="5639" max="5639" width="31.5" style="1544" customWidth="1"/>
    <col min="5640" max="5640" width="30.09765625" style="1544" customWidth="1"/>
    <col min="5641" max="5888" width="9" style="1544"/>
    <col min="5889" max="5889" width="5.19921875" style="1544" customWidth="1"/>
    <col min="5890" max="5890" width="48.09765625" style="1544" customWidth="1"/>
    <col min="5891" max="5894" width="6.59765625" style="1544" customWidth="1"/>
    <col min="5895" max="5895" width="31.5" style="1544" customWidth="1"/>
    <col min="5896" max="5896" width="30.09765625" style="1544" customWidth="1"/>
    <col min="5897" max="6144" width="9" style="1544"/>
    <col min="6145" max="6145" width="5.19921875" style="1544" customWidth="1"/>
    <col min="6146" max="6146" width="48.09765625" style="1544" customWidth="1"/>
    <col min="6147" max="6150" width="6.59765625" style="1544" customWidth="1"/>
    <col min="6151" max="6151" width="31.5" style="1544" customWidth="1"/>
    <col min="6152" max="6152" width="30.09765625" style="1544" customWidth="1"/>
    <col min="6153" max="6400" width="9" style="1544"/>
    <col min="6401" max="6401" width="5.19921875" style="1544" customWidth="1"/>
    <col min="6402" max="6402" width="48.09765625" style="1544" customWidth="1"/>
    <col min="6403" max="6406" width="6.59765625" style="1544" customWidth="1"/>
    <col min="6407" max="6407" width="31.5" style="1544" customWidth="1"/>
    <col min="6408" max="6408" width="30.09765625" style="1544" customWidth="1"/>
    <col min="6409" max="6656" width="9" style="1544"/>
    <col min="6657" max="6657" width="5.19921875" style="1544" customWidth="1"/>
    <col min="6658" max="6658" width="48.09765625" style="1544" customWidth="1"/>
    <col min="6659" max="6662" width="6.59765625" style="1544" customWidth="1"/>
    <col min="6663" max="6663" width="31.5" style="1544" customWidth="1"/>
    <col min="6664" max="6664" width="30.09765625" style="1544" customWidth="1"/>
    <col min="6665" max="6912" width="9" style="1544"/>
    <col min="6913" max="6913" width="5.19921875" style="1544" customWidth="1"/>
    <col min="6914" max="6914" width="48.09765625" style="1544" customWidth="1"/>
    <col min="6915" max="6918" width="6.59765625" style="1544" customWidth="1"/>
    <col min="6919" max="6919" width="31.5" style="1544" customWidth="1"/>
    <col min="6920" max="6920" width="30.09765625" style="1544" customWidth="1"/>
    <col min="6921" max="7168" width="9" style="1544"/>
    <col min="7169" max="7169" width="5.19921875" style="1544" customWidth="1"/>
    <col min="7170" max="7170" width="48.09765625" style="1544" customWidth="1"/>
    <col min="7171" max="7174" width="6.59765625" style="1544" customWidth="1"/>
    <col min="7175" max="7175" width="31.5" style="1544" customWidth="1"/>
    <col min="7176" max="7176" width="30.09765625" style="1544" customWidth="1"/>
    <col min="7177" max="7424" width="9" style="1544"/>
    <col min="7425" max="7425" width="5.19921875" style="1544" customWidth="1"/>
    <col min="7426" max="7426" width="48.09765625" style="1544" customWidth="1"/>
    <col min="7427" max="7430" width="6.59765625" style="1544" customWidth="1"/>
    <col min="7431" max="7431" width="31.5" style="1544" customWidth="1"/>
    <col min="7432" max="7432" width="30.09765625" style="1544" customWidth="1"/>
    <col min="7433" max="7680" width="9" style="1544"/>
    <col min="7681" max="7681" width="5.19921875" style="1544" customWidth="1"/>
    <col min="7682" max="7682" width="48.09765625" style="1544" customWidth="1"/>
    <col min="7683" max="7686" width="6.59765625" style="1544" customWidth="1"/>
    <col min="7687" max="7687" width="31.5" style="1544" customWidth="1"/>
    <col min="7688" max="7688" width="30.09765625" style="1544" customWidth="1"/>
    <col min="7689" max="7936" width="9" style="1544"/>
    <col min="7937" max="7937" width="5.19921875" style="1544" customWidth="1"/>
    <col min="7938" max="7938" width="48.09765625" style="1544" customWidth="1"/>
    <col min="7939" max="7942" width="6.59765625" style="1544" customWidth="1"/>
    <col min="7943" max="7943" width="31.5" style="1544" customWidth="1"/>
    <col min="7944" max="7944" width="30.09765625" style="1544" customWidth="1"/>
    <col min="7945" max="8192" width="9" style="1544"/>
    <col min="8193" max="8193" width="5.19921875" style="1544" customWidth="1"/>
    <col min="8194" max="8194" width="48.09765625" style="1544" customWidth="1"/>
    <col min="8195" max="8198" width="6.59765625" style="1544" customWidth="1"/>
    <col min="8199" max="8199" width="31.5" style="1544" customWidth="1"/>
    <col min="8200" max="8200" width="30.09765625" style="1544" customWidth="1"/>
    <col min="8201" max="8448" width="9" style="1544"/>
    <col min="8449" max="8449" width="5.19921875" style="1544" customWidth="1"/>
    <col min="8450" max="8450" width="48.09765625" style="1544" customWidth="1"/>
    <col min="8451" max="8454" width="6.59765625" style="1544" customWidth="1"/>
    <col min="8455" max="8455" width="31.5" style="1544" customWidth="1"/>
    <col min="8456" max="8456" width="30.09765625" style="1544" customWidth="1"/>
    <col min="8457" max="8704" width="9" style="1544"/>
    <col min="8705" max="8705" width="5.19921875" style="1544" customWidth="1"/>
    <col min="8706" max="8706" width="48.09765625" style="1544" customWidth="1"/>
    <col min="8707" max="8710" width="6.59765625" style="1544" customWidth="1"/>
    <col min="8711" max="8711" width="31.5" style="1544" customWidth="1"/>
    <col min="8712" max="8712" width="30.09765625" style="1544" customWidth="1"/>
    <col min="8713" max="8960" width="9" style="1544"/>
    <col min="8961" max="8961" width="5.19921875" style="1544" customWidth="1"/>
    <col min="8962" max="8962" width="48.09765625" style="1544" customWidth="1"/>
    <col min="8963" max="8966" width="6.59765625" style="1544" customWidth="1"/>
    <col min="8967" max="8967" width="31.5" style="1544" customWidth="1"/>
    <col min="8968" max="8968" width="30.09765625" style="1544" customWidth="1"/>
    <col min="8969" max="9216" width="9" style="1544"/>
    <col min="9217" max="9217" width="5.19921875" style="1544" customWidth="1"/>
    <col min="9218" max="9218" width="48.09765625" style="1544" customWidth="1"/>
    <col min="9219" max="9222" width="6.59765625" style="1544" customWidth="1"/>
    <col min="9223" max="9223" width="31.5" style="1544" customWidth="1"/>
    <col min="9224" max="9224" width="30.09765625" style="1544" customWidth="1"/>
    <col min="9225" max="9472" width="9" style="1544"/>
    <col min="9473" max="9473" width="5.19921875" style="1544" customWidth="1"/>
    <col min="9474" max="9474" width="48.09765625" style="1544" customWidth="1"/>
    <col min="9475" max="9478" width="6.59765625" style="1544" customWidth="1"/>
    <col min="9479" max="9479" width="31.5" style="1544" customWidth="1"/>
    <col min="9480" max="9480" width="30.09765625" style="1544" customWidth="1"/>
    <col min="9481" max="9728" width="9" style="1544"/>
    <col min="9729" max="9729" width="5.19921875" style="1544" customWidth="1"/>
    <col min="9730" max="9730" width="48.09765625" style="1544" customWidth="1"/>
    <col min="9731" max="9734" width="6.59765625" style="1544" customWidth="1"/>
    <col min="9735" max="9735" width="31.5" style="1544" customWidth="1"/>
    <col min="9736" max="9736" width="30.09765625" style="1544" customWidth="1"/>
    <col min="9737" max="9984" width="9" style="1544"/>
    <col min="9985" max="9985" width="5.19921875" style="1544" customWidth="1"/>
    <col min="9986" max="9986" width="48.09765625" style="1544" customWidth="1"/>
    <col min="9987" max="9990" width="6.59765625" style="1544" customWidth="1"/>
    <col min="9991" max="9991" width="31.5" style="1544" customWidth="1"/>
    <col min="9992" max="9992" width="30.09765625" style="1544" customWidth="1"/>
    <col min="9993" max="10240" width="9" style="1544"/>
    <col min="10241" max="10241" width="5.19921875" style="1544" customWidth="1"/>
    <col min="10242" max="10242" width="48.09765625" style="1544" customWidth="1"/>
    <col min="10243" max="10246" width="6.59765625" style="1544" customWidth="1"/>
    <col min="10247" max="10247" width="31.5" style="1544" customWidth="1"/>
    <col min="10248" max="10248" width="30.09765625" style="1544" customWidth="1"/>
    <col min="10249" max="10496" width="9" style="1544"/>
    <col min="10497" max="10497" width="5.19921875" style="1544" customWidth="1"/>
    <col min="10498" max="10498" width="48.09765625" style="1544" customWidth="1"/>
    <col min="10499" max="10502" width="6.59765625" style="1544" customWidth="1"/>
    <col min="10503" max="10503" width="31.5" style="1544" customWidth="1"/>
    <col min="10504" max="10504" width="30.09765625" style="1544" customWidth="1"/>
    <col min="10505" max="10752" width="9" style="1544"/>
    <col min="10753" max="10753" width="5.19921875" style="1544" customWidth="1"/>
    <col min="10754" max="10754" width="48.09765625" style="1544" customWidth="1"/>
    <col min="10755" max="10758" width="6.59765625" style="1544" customWidth="1"/>
    <col min="10759" max="10759" width="31.5" style="1544" customWidth="1"/>
    <col min="10760" max="10760" width="30.09765625" style="1544" customWidth="1"/>
    <col min="10761" max="11008" width="9" style="1544"/>
    <col min="11009" max="11009" width="5.19921875" style="1544" customWidth="1"/>
    <col min="11010" max="11010" width="48.09765625" style="1544" customWidth="1"/>
    <col min="11011" max="11014" width="6.59765625" style="1544" customWidth="1"/>
    <col min="11015" max="11015" width="31.5" style="1544" customWidth="1"/>
    <col min="11016" max="11016" width="30.09765625" style="1544" customWidth="1"/>
    <col min="11017" max="11264" width="9" style="1544"/>
    <col min="11265" max="11265" width="5.19921875" style="1544" customWidth="1"/>
    <col min="11266" max="11266" width="48.09765625" style="1544" customWidth="1"/>
    <col min="11267" max="11270" width="6.59765625" style="1544" customWidth="1"/>
    <col min="11271" max="11271" width="31.5" style="1544" customWidth="1"/>
    <col min="11272" max="11272" width="30.09765625" style="1544" customWidth="1"/>
    <col min="11273" max="11520" width="9" style="1544"/>
    <col min="11521" max="11521" width="5.19921875" style="1544" customWidth="1"/>
    <col min="11522" max="11522" width="48.09765625" style="1544" customWidth="1"/>
    <col min="11523" max="11526" width="6.59765625" style="1544" customWidth="1"/>
    <col min="11527" max="11527" width="31.5" style="1544" customWidth="1"/>
    <col min="11528" max="11528" width="30.09765625" style="1544" customWidth="1"/>
    <col min="11529" max="11776" width="9" style="1544"/>
    <col min="11777" max="11777" width="5.19921875" style="1544" customWidth="1"/>
    <col min="11778" max="11778" width="48.09765625" style="1544" customWidth="1"/>
    <col min="11779" max="11782" width="6.59765625" style="1544" customWidth="1"/>
    <col min="11783" max="11783" width="31.5" style="1544" customWidth="1"/>
    <col min="11784" max="11784" width="30.09765625" style="1544" customWidth="1"/>
    <col min="11785" max="12032" width="9" style="1544"/>
    <col min="12033" max="12033" width="5.19921875" style="1544" customWidth="1"/>
    <col min="12034" max="12034" width="48.09765625" style="1544" customWidth="1"/>
    <col min="12035" max="12038" width="6.59765625" style="1544" customWidth="1"/>
    <col min="12039" max="12039" width="31.5" style="1544" customWidth="1"/>
    <col min="12040" max="12040" width="30.09765625" style="1544" customWidth="1"/>
    <col min="12041" max="12288" width="9" style="1544"/>
    <col min="12289" max="12289" width="5.19921875" style="1544" customWidth="1"/>
    <col min="12290" max="12290" width="48.09765625" style="1544" customWidth="1"/>
    <col min="12291" max="12294" width="6.59765625" style="1544" customWidth="1"/>
    <col min="12295" max="12295" width="31.5" style="1544" customWidth="1"/>
    <col min="12296" max="12296" width="30.09765625" style="1544" customWidth="1"/>
    <col min="12297" max="12544" width="9" style="1544"/>
    <col min="12545" max="12545" width="5.19921875" style="1544" customWidth="1"/>
    <col min="12546" max="12546" width="48.09765625" style="1544" customWidth="1"/>
    <col min="12547" max="12550" width="6.59765625" style="1544" customWidth="1"/>
    <col min="12551" max="12551" width="31.5" style="1544" customWidth="1"/>
    <col min="12552" max="12552" width="30.09765625" style="1544" customWidth="1"/>
    <col min="12553" max="12800" width="9" style="1544"/>
    <col min="12801" max="12801" width="5.19921875" style="1544" customWidth="1"/>
    <col min="12802" max="12802" width="48.09765625" style="1544" customWidth="1"/>
    <col min="12803" max="12806" width="6.59765625" style="1544" customWidth="1"/>
    <col min="12807" max="12807" width="31.5" style="1544" customWidth="1"/>
    <col min="12808" max="12808" width="30.09765625" style="1544" customWidth="1"/>
    <col min="12809" max="13056" width="9" style="1544"/>
    <col min="13057" max="13057" width="5.19921875" style="1544" customWidth="1"/>
    <col min="13058" max="13058" width="48.09765625" style="1544" customWidth="1"/>
    <col min="13059" max="13062" width="6.59765625" style="1544" customWidth="1"/>
    <col min="13063" max="13063" width="31.5" style="1544" customWidth="1"/>
    <col min="13064" max="13064" width="30.09765625" style="1544" customWidth="1"/>
    <col min="13065" max="13312" width="9" style="1544"/>
    <col min="13313" max="13313" width="5.19921875" style="1544" customWidth="1"/>
    <col min="13314" max="13314" width="48.09765625" style="1544" customWidth="1"/>
    <col min="13315" max="13318" width="6.59765625" style="1544" customWidth="1"/>
    <col min="13319" max="13319" width="31.5" style="1544" customWidth="1"/>
    <col min="13320" max="13320" width="30.09765625" style="1544" customWidth="1"/>
    <col min="13321" max="13568" width="9" style="1544"/>
    <col min="13569" max="13569" width="5.19921875" style="1544" customWidth="1"/>
    <col min="13570" max="13570" width="48.09765625" style="1544" customWidth="1"/>
    <col min="13571" max="13574" width="6.59765625" style="1544" customWidth="1"/>
    <col min="13575" max="13575" width="31.5" style="1544" customWidth="1"/>
    <col min="13576" max="13576" width="30.09765625" style="1544" customWidth="1"/>
    <col min="13577" max="13824" width="9" style="1544"/>
    <col min="13825" max="13825" width="5.19921875" style="1544" customWidth="1"/>
    <col min="13826" max="13826" width="48.09765625" style="1544" customWidth="1"/>
    <col min="13827" max="13830" width="6.59765625" style="1544" customWidth="1"/>
    <col min="13831" max="13831" width="31.5" style="1544" customWidth="1"/>
    <col min="13832" max="13832" width="30.09765625" style="1544" customWidth="1"/>
    <col min="13833" max="14080" width="9" style="1544"/>
    <col min="14081" max="14081" width="5.19921875" style="1544" customWidth="1"/>
    <col min="14082" max="14082" width="48.09765625" style="1544" customWidth="1"/>
    <col min="14083" max="14086" width="6.59765625" style="1544" customWidth="1"/>
    <col min="14087" max="14087" width="31.5" style="1544" customWidth="1"/>
    <col min="14088" max="14088" width="30.09765625" style="1544" customWidth="1"/>
    <col min="14089" max="14336" width="9" style="1544"/>
    <col min="14337" max="14337" width="5.19921875" style="1544" customWidth="1"/>
    <col min="14338" max="14338" width="48.09765625" style="1544" customWidth="1"/>
    <col min="14339" max="14342" width="6.59765625" style="1544" customWidth="1"/>
    <col min="14343" max="14343" width="31.5" style="1544" customWidth="1"/>
    <col min="14344" max="14344" width="30.09765625" style="1544" customWidth="1"/>
    <col min="14345" max="14592" width="9" style="1544"/>
    <col min="14593" max="14593" width="5.19921875" style="1544" customWidth="1"/>
    <col min="14594" max="14594" width="48.09765625" style="1544" customWidth="1"/>
    <col min="14595" max="14598" width="6.59765625" style="1544" customWidth="1"/>
    <col min="14599" max="14599" width="31.5" style="1544" customWidth="1"/>
    <col min="14600" max="14600" width="30.09765625" style="1544" customWidth="1"/>
    <col min="14601" max="14848" width="9" style="1544"/>
    <col min="14849" max="14849" width="5.19921875" style="1544" customWidth="1"/>
    <col min="14850" max="14850" width="48.09765625" style="1544" customWidth="1"/>
    <col min="14851" max="14854" width="6.59765625" style="1544" customWidth="1"/>
    <col min="14855" max="14855" width="31.5" style="1544" customWidth="1"/>
    <col min="14856" max="14856" width="30.09765625" style="1544" customWidth="1"/>
    <col min="14857" max="15104" width="9" style="1544"/>
    <col min="15105" max="15105" width="5.19921875" style="1544" customWidth="1"/>
    <col min="15106" max="15106" width="48.09765625" style="1544" customWidth="1"/>
    <col min="15107" max="15110" width="6.59765625" style="1544" customWidth="1"/>
    <col min="15111" max="15111" width="31.5" style="1544" customWidth="1"/>
    <col min="15112" max="15112" width="30.09765625" style="1544" customWidth="1"/>
    <col min="15113" max="15360" width="9" style="1544"/>
    <col min="15361" max="15361" width="5.19921875" style="1544" customWidth="1"/>
    <col min="15362" max="15362" width="48.09765625" style="1544" customWidth="1"/>
    <col min="15363" max="15366" width="6.59765625" style="1544" customWidth="1"/>
    <col min="15367" max="15367" width="31.5" style="1544" customWidth="1"/>
    <col min="15368" max="15368" width="30.09765625" style="1544" customWidth="1"/>
    <col min="15369" max="15616" width="9" style="1544"/>
    <col min="15617" max="15617" width="5.19921875" style="1544" customWidth="1"/>
    <col min="15618" max="15618" width="48.09765625" style="1544" customWidth="1"/>
    <col min="15619" max="15622" width="6.59765625" style="1544" customWidth="1"/>
    <col min="15623" max="15623" width="31.5" style="1544" customWidth="1"/>
    <col min="15624" max="15624" width="30.09765625" style="1544" customWidth="1"/>
    <col min="15625" max="15872" width="9" style="1544"/>
    <col min="15873" max="15873" width="5.19921875" style="1544" customWidth="1"/>
    <col min="15874" max="15874" width="48.09765625" style="1544" customWidth="1"/>
    <col min="15875" max="15878" width="6.59765625" style="1544" customWidth="1"/>
    <col min="15879" max="15879" width="31.5" style="1544" customWidth="1"/>
    <col min="15880" max="15880" width="30.09765625" style="1544" customWidth="1"/>
    <col min="15881" max="16128" width="9" style="1544"/>
    <col min="16129" max="16129" width="5.19921875" style="1544" customWidth="1"/>
    <col min="16130" max="16130" width="48.09765625" style="1544" customWidth="1"/>
    <col min="16131" max="16134" width="6.59765625" style="1544" customWidth="1"/>
    <col min="16135" max="16135" width="31.5" style="1544" customWidth="1"/>
    <col min="16136" max="16136" width="30.09765625" style="1544" customWidth="1"/>
    <col min="16137" max="16384" width="9" style="1544"/>
  </cols>
  <sheetData>
    <row r="1" spans="1:8" ht="20.100000000000001" customHeight="1">
      <c r="A1" s="3463" t="s">
        <v>5078</v>
      </c>
      <c r="B1" s="3463"/>
      <c r="C1" s="3463"/>
      <c r="D1" s="3463"/>
      <c r="E1" s="3463"/>
      <c r="F1" s="3463"/>
      <c r="G1" s="2010"/>
    </row>
    <row r="2" spans="1:8" s="1545" customFormat="1" ht="25.5" customHeight="1">
      <c r="A2" s="3401" t="s">
        <v>921</v>
      </c>
      <c r="B2" s="3401"/>
      <c r="C2" s="3401"/>
      <c r="D2" s="3401"/>
      <c r="E2" s="3401"/>
      <c r="F2" s="3401"/>
      <c r="G2" s="1920"/>
    </row>
    <row r="3" spans="1:8" ht="14.25" customHeight="1">
      <c r="A3" s="3942" t="s">
        <v>1853</v>
      </c>
      <c r="B3" s="3942" t="s">
        <v>5079</v>
      </c>
      <c r="C3" s="1922" t="s">
        <v>1850</v>
      </c>
      <c r="D3" s="1922" t="s">
        <v>1851</v>
      </c>
      <c r="E3" s="1922" t="s">
        <v>1462</v>
      </c>
      <c r="F3" s="1922" t="s">
        <v>1463</v>
      </c>
      <c r="G3" s="1928" t="s">
        <v>1857</v>
      </c>
    </row>
    <row r="4" spans="1:8" ht="14.25" customHeight="1">
      <c r="A4" s="3488"/>
      <c r="B4" s="3488"/>
      <c r="C4" s="1922">
        <v>1</v>
      </c>
      <c r="D4" s="1922">
        <v>2</v>
      </c>
      <c r="E4" s="1922">
        <v>3</v>
      </c>
      <c r="F4" s="1922">
        <v>4</v>
      </c>
      <c r="G4" s="1991"/>
    </row>
    <row r="5" spans="1:8" ht="14.25" customHeight="1">
      <c r="A5" s="1922">
        <v>1</v>
      </c>
      <c r="B5" s="1923" t="s">
        <v>5080</v>
      </c>
      <c r="C5" s="1965" t="s">
        <v>1859</v>
      </c>
      <c r="D5" s="1965" t="s">
        <v>1859</v>
      </c>
      <c r="E5" s="2075">
        <f>E6+E7+E8+E10+E11+E12+E14+E15</f>
        <v>0</v>
      </c>
      <c r="F5" s="2075">
        <f>F7+F8+F9+F11+F12+F14+F15</f>
        <v>0</v>
      </c>
      <c r="G5" s="1991"/>
    </row>
    <row r="6" spans="1:8" ht="36.75" customHeight="1">
      <c r="A6" s="1922">
        <v>2</v>
      </c>
      <c r="B6" s="1923" t="s">
        <v>5081</v>
      </c>
      <c r="C6" s="1965" t="s">
        <v>1859</v>
      </c>
      <c r="D6" s="2072">
        <f>A105010视同销售和房地产开发企业特定业务纳税调整明细表!C5</f>
        <v>0</v>
      </c>
      <c r="E6" s="2072">
        <f>A105010视同销售和房地产开发企业特定业务纳税调整明细表!D5</f>
        <v>0</v>
      </c>
      <c r="F6" s="1965" t="s">
        <v>1859</v>
      </c>
      <c r="G6" s="1991" t="s">
        <v>5082</v>
      </c>
    </row>
    <row r="7" spans="1:8" s="1547" customFormat="1" ht="51.75" customHeight="1">
      <c r="A7" s="1922">
        <v>3</v>
      </c>
      <c r="B7" s="1923" t="s">
        <v>5083</v>
      </c>
      <c r="C7" s="2072">
        <f>A105020未按权责发生制确认收入纳税调整明细表!D19</f>
        <v>0</v>
      </c>
      <c r="D7" s="2072">
        <f>A105020未按权责发生制确认收入纳税调整明细表!F19</f>
        <v>0</v>
      </c>
      <c r="E7" s="2075">
        <f>MAX(D7-C7,0)</f>
        <v>0</v>
      </c>
      <c r="F7" s="2075">
        <f>MAX(C7-D7,0)</f>
        <v>0</v>
      </c>
      <c r="G7" s="1991" t="s">
        <v>5084</v>
      </c>
      <c r="H7" s="1546"/>
    </row>
    <row r="8" spans="1:8" s="1547" customFormat="1" ht="58.5" customHeight="1">
      <c r="A8" s="1922">
        <v>4</v>
      </c>
      <c r="B8" s="1923" t="s">
        <v>5085</v>
      </c>
      <c r="C8" s="2072">
        <f>A105030投资收益纳税调整明细表!C15+A105030投资收益纳税调整明细表!J15</f>
        <v>0</v>
      </c>
      <c r="D8" s="2072">
        <f>A105030投资收益纳税调整明细表!D15+A105030投资收益纳税调整明细表!K15</f>
        <v>0</v>
      </c>
      <c r="E8" s="2075">
        <f>MAX(0,D8-C8)</f>
        <v>0</v>
      </c>
      <c r="F8" s="2081">
        <f>MAX(0,C8-D8)</f>
        <v>0</v>
      </c>
      <c r="G8" s="1991" t="s">
        <v>5086</v>
      </c>
      <c r="H8" s="1546"/>
    </row>
    <row r="9" spans="1:8" s="1547" customFormat="1" ht="14.25" customHeight="1">
      <c r="A9" s="1924">
        <v>5</v>
      </c>
      <c r="B9" s="1925" t="s">
        <v>5087</v>
      </c>
      <c r="C9" s="1990" t="s">
        <v>1859</v>
      </c>
      <c r="D9" s="1990" t="s">
        <v>1859</v>
      </c>
      <c r="E9" s="1990" t="s">
        <v>1859</v>
      </c>
      <c r="F9" s="2073">
        <f>-其他事项!F11</f>
        <v>0</v>
      </c>
      <c r="G9" s="1991"/>
    </row>
    <row r="10" spans="1:8" s="1547" customFormat="1" ht="14.25" customHeight="1">
      <c r="A10" s="1922">
        <v>6</v>
      </c>
      <c r="B10" s="1923" t="s">
        <v>5088</v>
      </c>
      <c r="C10" s="1924" t="s">
        <v>1859</v>
      </c>
      <c r="D10" s="1924" t="s">
        <v>1859</v>
      </c>
      <c r="E10" s="2072">
        <f>其他事项!F12</f>
        <v>0</v>
      </c>
      <c r="F10" s="1965" t="s">
        <v>1859</v>
      </c>
      <c r="G10" s="1991"/>
    </row>
    <row r="11" spans="1:8" s="1547" customFormat="1" ht="26.25" customHeight="1">
      <c r="A11" s="1922">
        <v>7</v>
      </c>
      <c r="B11" s="1923" t="s">
        <v>5089</v>
      </c>
      <c r="C11" s="2072">
        <f>-公允价值变动审定表!G17</f>
        <v>0</v>
      </c>
      <c r="D11" s="1965" t="s">
        <v>1859</v>
      </c>
      <c r="E11" s="2075">
        <f>MAX(0,-C11)</f>
        <v>0</v>
      </c>
      <c r="F11" s="2075">
        <f>MAX(0,C11)</f>
        <v>0</v>
      </c>
      <c r="G11" s="1991" t="s">
        <v>5090</v>
      </c>
    </row>
    <row r="12" spans="1:8" s="1547" customFormat="1" ht="14.25" customHeight="1">
      <c r="A12" s="1922">
        <v>8</v>
      </c>
      <c r="B12" s="1923" t="s">
        <v>5091</v>
      </c>
      <c r="C12" s="1965" t="s">
        <v>1859</v>
      </c>
      <c r="D12" s="1965" t="s">
        <v>1859</v>
      </c>
      <c r="E12" s="2075">
        <f>MAX(其他事项!F8,0)+MAX(A105040专项用途财政性资金纳税调整表!P13,0)</f>
        <v>0</v>
      </c>
      <c r="F12" s="2075">
        <f>MAX(-其他事项!F8,0)+MAX(A105040专项用途财政性资金纳税调整表!F13,0)</f>
        <v>0</v>
      </c>
      <c r="G12" s="1991"/>
    </row>
    <row r="13" spans="1:8" s="1547" customFormat="1" ht="42.75" customHeight="1">
      <c r="A13" s="1922">
        <v>9</v>
      </c>
      <c r="B13" s="1923" t="s">
        <v>5092</v>
      </c>
      <c r="C13" s="1965" t="s">
        <v>1859</v>
      </c>
      <c r="D13" s="1965" t="s">
        <v>1859</v>
      </c>
      <c r="E13" s="2072">
        <f>A105040专项用途财政性资金纳税调整表!P13</f>
        <v>0</v>
      </c>
      <c r="F13" s="2072">
        <f>A105040专项用途财政性资金纳税调整表!F13</f>
        <v>0</v>
      </c>
      <c r="G13" s="1991" t="s">
        <v>5093</v>
      </c>
    </row>
    <row r="14" spans="1:8" s="1547" customFormat="1" ht="27.75" customHeight="1">
      <c r="A14" s="1922">
        <v>10</v>
      </c>
      <c r="B14" s="1923" t="s">
        <v>5094</v>
      </c>
      <c r="C14" s="2072">
        <f>其他事项!D10</f>
        <v>0</v>
      </c>
      <c r="D14" s="2072">
        <f>其他事项!E10</f>
        <v>0</v>
      </c>
      <c r="E14" s="2075">
        <f>MAX(0,C14-D14)</f>
        <v>0</v>
      </c>
      <c r="F14" s="2075">
        <f>MAX(0,D14-C14)</f>
        <v>0</v>
      </c>
      <c r="G14" s="1991" t="s">
        <v>5095</v>
      </c>
    </row>
    <row r="15" spans="1:8" ht="34.5" customHeight="1">
      <c r="A15" s="1922">
        <v>11</v>
      </c>
      <c r="B15" s="1923" t="s">
        <v>5096</v>
      </c>
      <c r="C15" s="2072">
        <f>其他事项!D7</f>
        <v>0</v>
      </c>
      <c r="D15" s="2072">
        <f>其他事项!E7</f>
        <v>0</v>
      </c>
      <c r="E15" s="2075">
        <f>MAX(0,D15-C15)</f>
        <v>0</v>
      </c>
      <c r="F15" s="2075">
        <f>MAX(0,C15-D15)</f>
        <v>0</v>
      </c>
      <c r="G15" s="1991" t="s">
        <v>5097</v>
      </c>
    </row>
    <row r="16" spans="1:8" s="1547" customFormat="1" ht="28.5" customHeight="1">
      <c r="A16" s="1924">
        <v>12</v>
      </c>
      <c r="B16" s="1925" t="s">
        <v>5098</v>
      </c>
      <c r="C16" s="1924" t="s">
        <v>1859</v>
      </c>
      <c r="D16" s="1924" t="s">
        <v>1859</v>
      </c>
      <c r="E16" s="2078">
        <f>SUM(E17:E28,E30:E33)</f>
        <v>0</v>
      </c>
      <c r="F16" s="2078">
        <f>SUM(F17:F28,F30:F33)</f>
        <v>0</v>
      </c>
      <c r="G16" s="1991"/>
    </row>
    <row r="17" spans="1:8" s="1547" customFormat="1" ht="35.25" customHeight="1">
      <c r="A17" s="1922">
        <v>13</v>
      </c>
      <c r="B17" s="1923" t="s">
        <v>5099</v>
      </c>
      <c r="C17" s="1965" t="s">
        <v>1859</v>
      </c>
      <c r="D17" s="2072">
        <f>A105010视同销售和房地产开发企业特定业务纳税调整明细表!C15</f>
        <v>0</v>
      </c>
      <c r="E17" s="1965" t="s">
        <v>1859</v>
      </c>
      <c r="F17" s="2075">
        <f>ABS(A105010视同销售和房地产开发企业特定业务纳税调整明细表!D15)</f>
        <v>0</v>
      </c>
      <c r="G17" s="1991" t="s">
        <v>5100</v>
      </c>
    </row>
    <row r="18" spans="1:8" s="1547" customFormat="1" ht="59.25" customHeight="1">
      <c r="A18" s="1922">
        <v>14</v>
      </c>
      <c r="B18" s="1923" t="s">
        <v>5101</v>
      </c>
      <c r="C18" s="2072">
        <f>A105050职工薪酬纳税调整明细表!C17</f>
        <v>0</v>
      </c>
      <c r="D18" s="2072">
        <f>A105050职工薪酬纳税调整明细表!F17</f>
        <v>0</v>
      </c>
      <c r="E18" s="2075">
        <f>MAX(0,C18-D18)</f>
        <v>0</v>
      </c>
      <c r="F18" s="2075">
        <f>MAX(0,D18-C18)</f>
        <v>0</v>
      </c>
      <c r="G18" s="1991" t="s">
        <v>5102</v>
      </c>
      <c r="H18" s="1546"/>
    </row>
    <row r="19" spans="1:8" s="1547" customFormat="1" ht="27.75" customHeight="1">
      <c r="A19" s="1922">
        <v>15</v>
      </c>
      <c r="B19" s="1923" t="s">
        <v>5103</v>
      </c>
      <c r="C19" s="2072">
        <f>招待!J15</f>
        <v>0</v>
      </c>
      <c r="D19" s="2072">
        <f>招待!J22</f>
        <v>0</v>
      </c>
      <c r="E19" s="2075">
        <f>C19-D19</f>
        <v>0</v>
      </c>
      <c r="F19" s="1965" t="s">
        <v>1859</v>
      </c>
      <c r="G19" s="1991" t="s">
        <v>5104</v>
      </c>
    </row>
    <row r="20" spans="1:8" s="1547" customFormat="1" ht="45" customHeight="1">
      <c r="A20" s="1922">
        <v>16</v>
      </c>
      <c r="B20" s="1923" t="s">
        <v>5105</v>
      </c>
      <c r="C20" s="1965" t="s">
        <v>6512</v>
      </c>
      <c r="D20" s="1965" t="s">
        <v>1859</v>
      </c>
      <c r="E20" s="2075">
        <f>MAX(0,A105060广告费和业务宣传费跨年度纳税调整明细表!C15)</f>
        <v>0</v>
      </c>
      <c r="F20" s="2075">
        <f>MAX(0,-A105060广告费和业务宣传费跨年度纳税调整明细表!C15)</f>
        <v>0</v>
      </c>
      <c r="G20" s="1991" t="s">
        <v>5106</v>
      </c>
    </row>
    <row r="21" spans="1:8" s="1547" customFormat="1" ht="49.5" customHeight="1">
      <c r="A21" s="1922">
        <v>17</v>
      </c>
      <c r="B21" s="1923" t="s">
        <v>5107</v>
      </c>
      <c r="C21" s="2072">
        <f>A105070捐赠支出纳税调整明细表!C25+A105070捐赠支出纳税调整明细表!G25</f>
        <v>0</v>
      </c>
      <c r="D21" s="2072">
        <f>A105070捐赠支出纳税调整明细表!E25</f>
        <v>0</v>
      </c>
      <c r="E21" s="2072">
        <f>A105070捐赠支出纳税调整明细表!H25</f>
        <v>0</v>
      </c>
      <c r="F21" s="1965" t="s">
        <v>1859</v>
      </c>
      <c r="G21" s="1991" t="s">
        <v>5108</v>
      </c>
      <c r="H21" s="1546"/>
    </row>
    <row r="22" spans="1:8" s="1547" customFormat="1" ht="14.25" customHeight="1">
      <c r="A22" s="1922">
        <v>18</v>
      </c>
      <c r="B22" s="1923" t="s">
        <v>5109</v>
      </c>
      <c r="C22" s="2072">
        <f>利息!H18</f>
        <v>0</v>
      </c>
      <c r="D22" s="2072">
        <f>利息!I18</f>
        <v>0</v>
      </c>
      <c r="E22" s="2075">
        <f>MAX(0,C22-D22)</f>
        <v>0</v>
      </c>
      <c r="F22" s="2075">
        <f>MAX(0,D22-C22)</f>
        <v>0</v>
      </c>
      <c r="G22" s="1991" t="s">
        <v>5110</v>
      </c>
    </row>
    <row r="23" spans="1:8" s="1547" customFormat="1" ht="14.25" customHeight="1">
      <c r="A23" s="1922">
        <v>19</v>
      </c>
      <c r="B23" s="1923" t="s">
        <v>5111</v>
      </c>
      <c r="C23" s="2072">
        <f>其他事项!D30</f>
        <v>0</v>
      </c>
      <c r="D23" s="1965" t="s">
        <v>1859</v>
      </c>
      <c r="E23" s="2075">
        <f>C23</f>
        <v>0</v>
      </c>
      <c r="F23" s="1965" t="s">
        <v>1859</v>
      </c>
      <c r="G23" s="1991" t="s">
        <v>5112</v>
      </c>
    </row>
    <row r="24" spans="1:8" s="1547" customFormat="1" ht="14.25" customHeight="1">
      <c r="A24" s="1922">
        <v>20</v>
      </c>
      <c r="B24" s="1923" t="s">
        <v>5113</v>
      </c>
      <c r="C24" s="2072">
        <f>其他事项!D29</f>
        <v>0</v>
      </c>
      <c r="D24" s="1965" t="s">
        <v>1859</v>
      </c>
      <c r="E24" s="2075">
        <f>C24</f>
        <v>0</v>
      </c>
      <c r="F24" s="1965" t="s">
        <v>1859</v>
      </c>
      <c r="G24" s="1991" t="s">
        <v>5112</v>
      </c>
    </row>
    <row r="25" spans="1:8" s="1547" customFormat="1" ht="14.25" customHeight="1">
      <c r="A25" s="1922">
        <v>21</v>
      </c>
      <c r="B25" s="1923" t="s">
        <v>5114</v>
      </c>
      <c r="C25" s="2072">
        <f>营外收支!E27</f>
        <v>0</v>
      </c>
      <c r="D25" s="1965" t="s">
        <v>1859</v>
      </c>
      <c r="E25" s="2075">
        <f>C25</f>
        <v>0</v>
      </c>
      <c r="F25" s="1965" t="s">
        <v>1859</v>
      </c>
      <c r="G25" s="1991" t="s">
        <v>5112</v>
      </c>
    </row>
    <row r="26" spans="1:8" s="1547" customFormat="1" ht="14.25" customHeight="1">
      <c r="A26" s="1922">
        <v>22</v>
      </c>
      <c r="B26" s="1923" t="s">
        <v>5115</v>
      </c>
      <c r="C26" s="2072">
        <f>其他事项!D39</f>
        <v>0</v>
      </c>
      <c r="D26" s="2072">
        <f>其他事项!E39</f>
        <v>0</v>
      </c>
      <c r="E26" s="2075">
        <f>MAX(0,C26-D26)</f>
        <v>0</v>
      </c>
      <c r="F26" s="2075">
        <f>MAX(0,D26-C26)</f>
        <v>0</v>
      </c>
      <c r="G26" s="1991" t="s">
        <v>5116</v>
      </c>
    </row>
    <row r="27" spans="1:8" s="1547" customFormat="1" ht="14.25" customHeight="1">
      <c r="A27" s="1922">
        <v>23</v>
      </c>
      <c r="B27" s="1923" t="s">
        <v>5117</v>
      </c>
      <c r="C27" s="2072">
        <f>其他事项!D20</f>
        <v>0</v>
      </c>
      <c r="D27" s="2072">
        <f>其他事项!E20</f>
        <v>0</v>
      </c>
      <c r="E27" s="2075">
        <f>C27-D27</f>
        <v>0</v>
      </c>
      <c r="F27" s="1965" t="s">
        <v>1859</v>
      </c>
      <c r="G27" s="1991" t="s">
        <v>5118</v>
      </c>
    </row>
    <row r="28" spans="1:8" ht="14.25" customHeight="1">
      <c r="A28" s="1922">
        <v>24</v>
      </c>
      <c r="B28" s="1923" t="s">
        <v>5119</v>
      </c>
      <c r="C28" s="1965" t="s">
        <v>1859</v>
      </c>
      <c r="D28" s="1965" t="s">
        <v>1859</v>
      </c>
      <c r="E28" s="2072">
        <f>A105040专项用途财政性资金纳税调整表!M13+其他事项!D21</f>
        <v>0</v>
      </c>
      <c r="F28" s="1965" t="s">
        <v>1859</v>
      </c>
      <c r="G28" s="1991"/>
    </row>
    <row r="29" spans="1:8" ht="14.25" customHeight="1">
      <c r="A29" s="1924">
        <v>25</v>
      </c>
      <c r="B29" s="1926" t="s">
        <v>5120</v>
      </c>
      <c r="C29" s="1924" t="s">
        <v>1859</v>
      </c>
      <c r="D29" s="1924" t="s">
        <v>1859</v>
      </c>
      <c r="E29" s="2073">
        <f>A105040专项用途财政性资金纳税调整表!M13</f>
        <v>0</v>
      </c>
      <c r="F29" s="1924" t="s">
        <v>1859</v>
      </c>
      <c r="G29" s="1991" t="s">
        <v>5121</v>
      </c>
    </row>
    <row r="30" spans="1:8" s="1547" customFormat="1" ht="14.25" customHeight="1">
      <c r="A30" s="1922">
        <v>26</v>
      </c>
      <c r="B30" s="1923" t="s">
        <v>6493</v>
      </c>
      <c r="C30" s="2072">
        <f>其他事项!D40</f>
        <v>0</v>
      </c>
      <c r="D30" s="2072">
        <f>其他事项!E40</f>
        <v>0</v>
      </c>
      <c r="E30" s="2075">
        <f>MAX(0,C30-D30)</f>
        <v>0</v>
      </c>
      <c r="F30" s="2075">
        <f>MAX(0,D30-C30)</f>
        <v>0</v>
      </c>
      <c r="G30" s="1991" t="s">
        <v>5116</v>
      </c>
    </row>
    <row r="31" spans="1:8" ht="14.25" customHeight="1">
      <c r="A31" s="1922">
        <v>27</v>
      </c>
      <c r="B31" s="1923" t="s">
        <v>5122</v>
      </c>
      <c r="C31" s="2072">
        <f>其他事项!D24</f>
        <v>0</v>
      </c>
      <c r="D31" s="1965" t="s">
        <v>1859</v>
      </c>
      <c r="E31" s="2075">
        <f>C31</f>
        <v>0</v>
      </c>
      <c r="F31" s="1965" t="s">
        <v>1859</v>
      </c>
      <c r="G31" s="1991"/>
    </row>
    <row r="32" spans="1:8" s="1548" customFormat="1" ht="14.25" customHeight="1">
      <c r="A32" s="1922">
        <v>28</v>
      </c>
      <c r="B32" s="1923" t="s">
        <v>5123</v>
      </c>
      <c r="C32" s="1965" t="s">
        <v>1859</v>
      </c>
      <c r="D32" s="1965" t="s">
        <v>1859</v>
      </c>
      <c r="E32" s="2075">
        <f>A108010境外所得纳税调整后所得明细表!Q15+A108010境外所得纳税调整后所得明细表!R15</f>
        <v>0</v>
      </c>
      <c r="F32" s="1965" t="s">
        <v>1859</v>
      </c>
      <c r="G32" s="1991" t="s">
        <v>5124</v>
      </c>
    </row>
    <row r="33" spans="1:8" ht="14.25" customHeight="1">
      <c r="A33" s="1922">
        <v>29</v>
      </c>
      <c r="B33" s="1923" t="s">
        <v>5125</v>
      </c>
      <c r="C33" s="2072">
        <f>其他事项!D22+其他事项!D23+其他事项!D25+其他事项!D26+其他事项!D28+其他事项!D31+其他事项!D32+其他事项!D34+其他事项!D35+其他事项!D37+其他事项!D38+其他事项!D41+租金!D11</f>
        <v>0</v>
      </c>
      <c r="D33" s="2072">
        <f>其他事项!E27+其他事项!E31+其他事项!E33+其他事项!E35+其他事项!E36+其他事项!E41+租金!D13</f>
        <v>0</v>
      </c>
      <c r="E33" s="2075">
        <f>MAX(0,C33-D33)</f>
        <v>0</v>
      </c>
      <c r="F33" s="2075">
        <f>MAX(0,D33-C33)</f>
        <v>0</v>
      </c>
      <c r="G33" s="1991" t="s">
        <v>5116</v>
      </c>
    </row>
    <row r="34" spans="1:8" s="1547" customFormat="1" ht="14.25" customHeight="1">
      <c r="A34" s="1922">
        <v>30</v>
      </c>
      <c r="B34" s="1923" t="s">
        <v>5126</v>
      </c>
      <c r="C34" s="1965" t="s">
        <v>1859</v>
      </c>
      <c r="D34" s="1965" t="s">
        <v>1859</v>
      </c>
      <c r="E34" s="2075">
        <f ca="1">E35+E36+E37+E38</f>
        <v>0</v>
      </c>
      <c r="F34" s="2075">
        <f ca="1">F35+F36+F37+F38</f>
        <v>0</v>
      </c>
      <c r="G34" s="1991"/>
    </row>
    <row r="35" spans="1:8" s="1547" customFormat="1" ht="60.75" customHeight="1">
      <c r="A35" s="1922">
        <v>31</v>
      </c>
      <c r="B35" s="1923" t="s">
        <v>5127</v>
      </c>
      <c r="C35" s="2072">
        <f>A105080资产折旧、摊销情况及纳税调整明细表!D32</f>
        <v>0</v>
      </c>
      <c r="D35" s="2072">
        <f ca="1">A105080资产折旧、摊销情况及纳税调整明细表!G32+A105080资产折旧、摊销情况及纳税调整明细表!H32</f>
        <v>0</v>
      </c>
      <c r="E35" s="2075">
        <f ca="1">MAX(0,A105080资产折旧、摊销情况及纳税调整明细表!K32)</f>
        <v>0</v>
      </c>
      <c r="F35" s="2075">
        <f ca="1">MAX(0,-A105080资产折旧、摊销情况及纳税调整明细表!K32)</f>
        <v>0</v>
      </c>
      <c r="G35" s="1991" t="s">
        <v>5128</v>
      </c>
      <c r="H35" s="1546"/>
    </row>
    <row r="36" spans="1:8" ht="14.25" customHeight="1">
      <c r="A36" s="1922">
        <v>32</v>
      </c>
      <c r="B36" s="1923" t="s">
        <v>5129</v>
      </c>
      <c r="C36" s="2072">
        <f>减值准备审核表!H22</f>
        <v>0</v>
      </c>
      <c r="D36" s="1965" t="s">
        <v>1859</v>
      </c>
      <c r="E36" s="2075">
        <f>MAX(0,C36)</f>
        <v>0</v>
      </c>
      <c r="F36" s="2075">
        <f>MAX(0,-C36)</f>
        <v>0</v>
      </c>
      <c r="G36" s="1991" t="s">
        <v>5130</v>
      </c>
    </row>
    <row r="37" spans="1:8" s="1547" customFormat="1" ht="61.5" customHeight="1">
      <c r="A37" s="1922">
        <v>33</v>
      </c>
      <c r="B37" s="1923" t="s">
        <v>5131</v>
      </c>
      <c r="C37" s="2072">
        <f>A105090资产损失税前扣除及纳税调整明细表!C18</f>
        <v>0</v>
      </c>
      <c r="D37" s="2072">
        <f>A105090资产损失税前扣除及纳税调整明细表!D18</f>
        <v>0</v>
      </c>
      <c r="E37" s="2075">
        <f>MAX(0,A105090资产损失税前扣除及纳税调整明细表!E18)</f>
        <v>0</v>
      </c>
      <c r="F37" s="2075">
        <f>MAX(0,-A105090资产损失税前扣除及纳税调整明细表!E18)</f>
        <v>0</v>
      </c>
      <c r="G37" s="1991" t="s">
        <v>5132</v>
      </c>
      <c r="H37" s="1546"/>
    </row>
    <row r="38" spans="1:8" s="1547" customFormat="1" ht="14.25" customHeight="1">
      <c r="A38" s="1922">
        <v>34</v>
      </c>
      <c r="B38" s="1923" t="s">
        <v>5133</v>
      </c>
      <c r="C38" s="2072">
        <f>SUM(其他事项!D13:'其他事项'!D15)</f>
        <v>0</v>
      </c>
      <c r="D38" s="2072">
        <f>SUM(其他事项!E13:'其他事项'!E15)</f>
        <v>0</v>
      </c>
      <c r="E38" s="2075">
        <f>MAX(0,C38-D38)</f>
        <v>0</v>
      </c>
      <c r="F38" s="2075">
        <f>MAX(0,D38-C38)</f>
        <v>0</v>
      </c>
      <c r="G38" s="1991" t="s">
        <v>5116</v>
      </c>
    </row>
    <row r="39" spans="1:8" s="1547" customFormat="1" ht="14.25" customHeight="1">
      <c r="A39" s="1922">
        <v>35</v>
      </c>
      <c r="B39" s="1927" t="s">
        <v>5134</v>
      </c>
      <c r="C39" s="1965" t="s">
        <v>1859</v>
      </c>
      <c r="D39" s="1965" t="s">
        <v>1859</v>
      </c>
      <c r="E39" s="2075">
        <f>E40+E41+E42+E43+E44</f>
        <v>0</v>
      </c>
      <c r="F39" s="2075">
        <f>F40+F41+F42+F43+F44</f>
        <v>0</v>
      </c>
      <c r="G39" s="1991"/>
    </row>
    <row r="40" spans="1:8" s="1547" customFormat="1" ht="63" customHeight="1">
      <c r="A40" s="1922">
        <v>36</v>
      </c>
      <c r="B40" s="1923" t="s">
        <v>5135</v>
      </c>
      <c r="C40" s="2072">
        <f>A105100企业重组纳税调整明细表!C19+A105100企业重组纳税调整明细表!F19</f>
        <v>0</v>
      </c>
      <c r="D40" s="2072">
        <f>A105100企业重组纳税调整明细表!D19+A105100企业重组纳税调整明细表!G19</f>
        <v>0</v>
      </c>
      <c r="E40" s="2075">
        <f>MAX(0,A105100企业重组纳税调整明细表!I19)</f>
        <v>0</v>
      </c>
      <c r="F40" s="2075">
        <f>MAX(0,-A105100企业重组纳税调整明细表!I19)</f>
        <v>0</v>
      </c>
      <c r="G40" s="1991" t="s">
        <v>5136</v>
      </c>
      <c r="H40" s="1546"/>
    </row>
    <row r="41" spans="1:8" s="1547" customFormat="1" ht="53.25" customHeight="1">
      <c r="A41" s="1922">
        <v>37</v>
      </c>
      <c r="B41" s="1923" t="s">
        <v>5137</v>
      </c>
      <c r="C41" s="1965" t="s">
        <v>1859</v>
      </c>
      <c r="D41" s="1965" t="s">
        <v>1859</v>
      </c>
      <c r="E41" s="2075">
        <f>MAX(0,A105110政策性搬迁纳税调整明细表!C27)</f>
        <v>0</v>
      </c>
      <c r="F41" s="2075">
        <f>MAX(0,-A105110政策性搬迁纳税调整明细表!C27)</f>
        <v>0</v>
      </c>
      <c r="G41" s="1991" t="s">
        <v>5138</v>
      </c>
    </row>
    <row r="42" spans="1:8" s="1547" customFormat="1" ht="63" customHeight="1">
      <c r="A42" s="1922">
        <v>38</v>
      </c>
      <c r="B42" s="1927" t="s">
        <v>5139</v>
      </c>
      <c r="C42" s="2072">
        <f>A105120特殊行业准备金纳税调整明细表!C34</f>
        <v>0</v>
      </c>
      <c r="D42" s="2072">
        <f>A105120特殊行业准备金纳税调整明细表!D34</f>
        <v>0</v>
      </c>
      <c r="E42" s="2075">
        <f>MAX(0,A105120特殊行业准备金纳税调整明细表!E34)</f>
        <v>0</v>
      </c>
      <c r="F42" s="2075">
        <f>MAX(0,-A105120特殊行业准备金纳税调整明细表!E34)</f>
        <v>0</v>
      </c>
      <c r="G42" s="1991" t="s">
        <v>5140</v>
      </c>
      <c r="H42" s="1546"/>
    </row>
    <row r="43" spans="1:8" s="1547" customFormat="1" ht="51.75" customHeight="1">
      <c r="A43" s="1924">
        <v>39</v>
      </c>
      <c r="B43" s="1926" t="s">
        <v>5141</v>
      </c>
      <c r="C43" s="1924" t="s">
        <v>1859</v>
      </c>
      <c r="D43" s="2073">
        <f>A105010视同销售和房地产开发企业特定业务纳税调整明细表!C25</f>
        <v>0</v>
      </c>
      <c r="E43" s="2078">
        <f>MAX(0,A105010视同销售和房地产开发企业特定业务纳税调整明细表!D25)</f>
        <v>0</v>
      </c>
      <c r="F43" s="2078">
        <f>MAX(0,-A105010视同销售和房地产开发企业特定业务纳税调整明细表!D25)</f>
        <v>0</v>
      </c>
      <c r="G43" s="1991" t="s">
        <v>5142</v>
      </c>
      <c r="H43" s="1546"/>
    </row>
    <row r="44" spans="1:8" s="1547" customFormat="1" ht="14.25" customHeight="1">
      <c r="A44" s="1922">
        <v>40</v>
      </c>
      <c r="B44" s="1923" t="s">
        <v>5143</v>
      </c>
      <c r="C44" s="1965" t="s">
        <v>1859</v>
      </c>
      <c r="D44" s="1965" t="s">
        <v>1859</v>
      </c>
      <c r="E44" s="2075">
        <f>MAX(0,其他事项!F17)</f>
        <v>0</v>
      </c>
      <c r="F44" s="2075">
        <f>MAX(0,-其他事项!F17)</f>
        <v>0</v>
      </c>
      <c r="G44" s="1991"/>
    </row>
    <row r="45" spans="1:8" s="1547" customFormat="1" ht="14.25" customHeight="1">
      <c r="A45" s="1922">
        <v>41</v>
      </c>
      <c r="B45" s="1923" t="s">
        <v>5144</v>
      </c>
      <c r="C45" s="1965" t="s">
        <v>1859</v>
      </c>
      <c r="D45" s="1965" t="s">
        <v>1859</v>
      </c>
      <c r="E45" s="2075">
        <f>MAX(0,其他事项!F18)</f>
        <v>0</v>
      </c>
      <c r="F45" s="2075">
        <f>MAX(0,-其他事项!F18)</f>
        <v>0</v>
      </c>
      <c r="G45" s="1991"/>
    </row>
    <row r="46" spans="1:8" s="1547" customFormat="1" ht="14.25" customHeight="1">
      <c r="A46" s="1922">
        <v>42</v>
      </c>
      <c r="B46" s="1923" t="s">
        <v>5145</v>
      </c>
      <c r="C46" s="1965" t="s">
        <v>1859</v>
      </c>
      <c r="D46" s="1965" t="s">
        <v>1859</v>
      </c>
      <c r="E46" s="2075">
        <f>MAX(0,其他事项!F19)</f>
        <v>0</v>
      </c>
      <c r="F46" s="2075">
        <f>MAX(0,-其他事项!F19)</f>
        <v>0</v>
      </c>
      <c r="G46" s="1991"/>
    </row>
    <row r="47" spans="1:8" s="1547" customFormat="1" ht="35.25" customHeight="1">
      <c r="A47" s="1922">
        <v>43</v>
      </c>
      <c r="B47" s="1923" t="s">
        <v>5146</v>
      </c>
      <c r="C47" s="1965" t="s">
        <v>1859</v>
      </c>
      <c r="D47" s="1965" t="s">
        <v>1859</v>
      </c>
      <c r="E47" s="2075">
        <f ca="1">E5+E16+E34+E39+E45+E46</f>
        <v>0</v>
      </c>
      <c r="F47" s="2075">
        <f ca="1">F5+F16+F34+F39+F45+F46</f>
        <v>0</v>
      </c>
      <c r="G47" s="1991" t="s">
        <v>5147</v>
      </c>
    </row>
  </sheetData>
  <mergeCells count="4">
    <mergeCell ref="A1:F1"/>
    <mergeCell ref="A2:F2"/>
    <mergeCell ref="A3:A4"/>
    <mergeCell ref="B3:B4"/>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tabColor rgb="FFFFFF00"/>
  </sheetPr>
  <dimension ref="A1:F33"/>
  <sheetViews>
    <sheetView workbookViewId="0">
      <selection sqref="A1:D1"/>
    </sheetView>
  </sheetViews>
  <sheetFormatPr defaultRowHeight="15.6"/>
  <cols>
    <col min="1" max="1" width="5.19921875" style="1555" customWidth="1"/>
    <col min="2" max="2" width="54.19921875" style="1551" customWidth="1"/>
    <col min="3" max="4" width="12.69921875" style="1555" customWidth="1"/>
    <col min="5" max="5" width="26.8984375" style="1551" customWidth="1"/>
    <col min="6" max="256" width="9" style="1551"/>
    <col min="257" max="257" width="5.19921875" style="1551" customWidth="1"/>
    <col min="258" max="258" width="54.19921875" style="1551" customWidth="1"/>
    <col min="259" max="260" width="10.5" style="1551" customWidth="1"/>
    <col min="261" max="261" width="26.8984375" style="1551" customWidth="1"/>
    <col min="262" max="512" width="9" style="1551"/>
    <col min="513" max="513" width="5.19921875" style="1551" customWidth="1"/>
    <col min="514" max="514" width="54.19921875" style="1551" customWidth="1"/>
    <col min="515" max="516" width="10.5" style="1551" customWidth="1"/>
    <col min="517" max="517" width="26.8984375" style="1551" customWidth="1"/>
    <col min="518" max="768" width="9" style="1551"/>
    <col min="769" max="769" width="5.19921875" style="1551" customWidth="1"/>
    <col min="770" max="770" width="54.19921875" style="1551" customWidth="1"/>
    <col min="771" max="772" width="10.5" style="1551" customWidth="1"/>
    <col min="773" max="773" width="26.8984375" style="1551" customWidth="1"/>
    <col min="774" max="1024" width="9" style="1551"/>
    <col min="1025" max="1025" width="5.19921875" style="1551" customWidth="1"/>
    <col min="1026" max="1026" width="54.19921875" style="1551" customWidth="1"/>
    <col min="1027" max="1028" width="10.5" style="1551" customWidth="1"/>
    <col min="1029" max="1029" width="26.8984375" style="1551" customWidth="1"/>
    <col min="1030" max="1280" width="9" style="1551"/>
    <col min="1281" max="1281" width="5.19921875" style="1551" customWidth="1"/>
    <col min="1282" max="1282" width="54.19921875" style="1551" customWidth="1"/>
    <col min="1283" max="1284" width="10.5" style="1551" customWidth="1"/>
    <col min="1285" max="1285" width="26.8984375" style="1551" customWidth="1"/>
    <col min="1286" max="1536" width="9" style="1551"/>
    <col min="1537" max="1537" width="5.19921875" style="1551" customWidth="1"/>
    <col min="1538" max="1538" width="54.19921875" style="1551" customWidth="1"/>
    <col min="1539" max="1540" width="10.5" style="1551" customWidth="1"/>
    <col min="1541" max="1541" width="26.8984375" style="1551" customWidth="1"/>
    <col min="1542" max="1792" width="9" style="1551"/>
    <col min="1793" max="1793" width="5.19921875" style="1551" customWidth="1"/>
    <col min="1794" max="1794" width="54.19921875" style="1551" customWidth="1"/>
    <col min="1795" max="1796" width="10.5" style="1551" customWidth="1"/>
    <col min="1797" max="1797" width="26.8984375" style="1551" customWidth="1"/>
    <col min="1798" max="2048" width="9" style="1551"/>
    <col min="2049" max="2049" width="5.19921875" style="1551" customWidth="1"/>
    <col min="2050" max="2050" width="54.19921875" style="1551" customWidth="1"/>
    <col min="2051" max="2052" width="10.5" style="1551" customWidth="1"/>
    <col min="2053" max="2053" width="26.8984375" style="1551" customWidth="1"/>
    <col min="2054" max="2304" width="9" style="1551"/>
    <col min="2305" max="2305" width="5.19921875" style="1551" customWidth="1"/>
    <col min="2306" max="2306" width="54.19921875" style="1551" customWidth="1"/>
    <col min="2307" max="2308" width="10.5" style="1551" customWidth="1"/>
    <col min="2309" max="2309" width="26.8984375" style="1551" customWidth="1"/>
    <col min="2310" max="2560" width="9" style="1551"/>
    <col min="2561" max="2561" width="5.19921875" style="1551" customWidth="1"/>
    <col min="2562" max="2562" width="54.19921875" style="1551" customWidth="1"/>
    <col min="2563" max="2564" width="10.5" style="1551" customWidth="1"/>
    <col min="2565" max="2565" width="26.8984375" style="1551" customWidth="1"/>
    <col min="2566" max="2816" width="9" style="1551"/>
    <col min="2817" max="2817" width="5.19921875" style="1551" customWidth="1"/>
    <col min="2818" max="2818" width="54.19921875" style="1551" customWidth="1"/>
    <col min="2819" max="2820" width="10.5" style="1551" customWidth="1"/>
    <col min="2821" max="2821" width="26.8984375" style="1551" customWidth="1"/>
    <col min="2822" max="3072" width="9" style="1551"/>
    <col min="3073" max="3073" width="5.19921875" style="1551" customWidth="1"/>
    <col min="3074" max="3074" width="54.19921875" style="1551" customWidth="1"/>
    <col min="3075" max="3076" width="10.5" style="1551" customWidth="1"/>
    <col min="3077" max="3077" width="26.8984375" style="1551" customWidth="1"/>
    <col min="3078" max="3328" width="9" style="1551"/>
    <col min="3329" max="3329" width="5.19921875" style="1551" customWidth="1"/>
    <col min="3330" max="3330" width="54.19921875" style="1551" customWidth="1"/>
    <col min="3331" max="3332" width="10.5" style="1551" customWidth="1"/>
    <col min="3333" max="3333" width="26.8984375" style="1551" customWidth="1"/>
    <col min="3334" max="3584" width="9" style="1551"/>
    <col min="3585" max="3585" width="5.19921875" style="1551" customWidth="1"/>
    <col min="3586" max="3586" width="54.19921875" style="1551" customWidth="1"/>
    <col min="3587" max="3588" width="10.5" style="1551" customWidth="1"/>
    <col min="3589" max="3589" width="26.8984375" style="1551" customWidth="1"/>
    <col min="3590" max="3840" width="9" style="1551"/>
    <col min="3841" max="3841" width="5.19921875" style="1551" customWidth="1"/>
    <col min="3842" max="3842" width="54.19921875" style="1551" customWidth="1"/>
    <col min="3843" max="3844" width="10.5" style="1551" customWidth="1"/>
    <col min="3845" max="3845" width="26.8984375" style="1551" customWidth="1"/>
    <col min="3846" max="4096" width="9" style="1551"/>
    <col min="4097" max="4097" width="5.19921875" style="1551" customWidth="1"/>
    <col min="4098" max="4098" width="54.19921875" style="1551" customWidth="1"/>
    <col min="4099" max="4100" width="10.5" style="1551" customWidth="1"/>
    <col min="4101" max="4101" width="26.8984375" style="1551" customWidth="1"/>
    <col min="4102" max="4352" width="9" style="1551"/>
    <col min="4353" max="4353" width="5.19921875" style="1551" customWidth="1"/>
    <col min="4354" max="4354" width="54.19921875" style="1551" customWidth="1"/>
    <col min="4355" max="4356" width="10.5" style="1551" customWidth="1"/>
    <col min="4357" max="4357" width="26.8984375" style="1551" customWidth="1"/>
    <col min="4358" max="4608" width="9" style="1551"/>
    <col min="4609" max="4609" width="5.19921875" style="1551" customWidth="1"/>
    <col min="4610" max="4610" width="54.19921875" style="1551" customWidth="1"/>
    <col min="4611" max="4612" width="10.5" style="1551" customWidth="1"/>
    <col min="4613" max="4613" width="26.8984375" style="1551" customWidth="1"/>
    <col min="4614" max="4864" width="9" style="1551"/>
    <col min="4865" max="4865" width="5.19921875" style="1551" customWidth="1"/>
    <col min="4866" max="4866" width="54.19921875" style="1551" customWidth="1"/>
    <col min="4867" max="4868" width="10.5" style="1551" customWidth="1"/>
    <col min="4869" max="4869" width="26.8984375" style="1551" customWidth="1"/>
    <col min="4870" max="5120" width="9" style="1551"/>
    <col min="5121" max="5121" width="5.19921875" style="1551" customWidth="1"/>
    <col min="5122" max="5122" width="54.19921875" style="1551" customWidth="1"/>
    <col min="5123" max="5124" width="10.5" style="1551" customWidth="1"/>
    <col min="5125" max="5125" width="26.8984375" style="1551" customWidth="1"/>
    <col min="5126" max="5376" width="9" style="1551"/>
    <col min="5377" max="5377" width="5.19921875" style="1551" customWidth="1"/>
    <col min="5378" max="5378" width="54.19921875" style="1551" customWidth="1"/>
    <col min="5379" max="5380" width="10.5" style="1551" customWidth="1"/>
    <col min="5381" max="5381" width="26.8984375" style="1551" customWidth="1"/>
    <col min="5382" max="5632" width="9" style="1551"/>
    <col min="5633" max="5633" width="5.19921875" style="1551" customWidth="1"/>
    <col min="5634" max="5634" width="54.19921875" style="1551" customWidth="1"/>
    <col min="5635" max="5636" width="10.5" style="1551" customWidth="1"/>
    <col min="5637" max="5637" width="26.8984375" style="1551" customWidth="1"/>
    <col min="5638" max="5888" width="9" style="1551"/>
    <col min="5889" max="5889" width="5.19921875" style="1551" customWidth="1"/>
    <col min="5890" max="5890" width="54.19921875" style="1551" customWidth="1"/>
    <col min="5891" max="5892" width="10.5" style="1551" customWidth="1"/>
    <col min="5893" max="5893" width="26.8984375" style="1551" customWidth="1"/>
    <col min="5894" max="6144" width="9" style="1551"/>
    <col min="6145" max="6145" width="5.19921875" style="1551" customWidth="1"/>
    <col min="6146" max="6146" width="54.19921875" style="1551" customWidth="1"/>
    <col min="6147" max="6148" width="10.5" style="1551" customWidth="1"/>
    <col min="6149" max="6149" width="26.8984375" style="1551" customWidth="1"/>
    <col min="6150" max="6400" width="9" style="1551"/>
    <col min="6401" max="6401" width="5.19921875" style="1551" customWidth="1"/>
    <col min="6402" max="6402" width="54.19921875" style="1551" customWidth="1"/>
    <col min="6403" max="6404" width="10.5" style="1551" customWidth="1"/>
    <col min="6405" max="6405" width="26.8984375" style="1551" customWidth="1"/>
    <col min="6406" max="6656" width="9" style="1551"/>
    <col min="6657" max="6657" width="5.19921875" style="1551" customWidth="1"/>
    <col min="6658" max="6658" width="54.19921875" style="1551" customWidth="1"/>
    <col min="6659" max="6660" width="10.5" style="1551" customWidth="1"/>
    <col min="6661" max="6661" width="26.8984375" style="1551" customWidth="1"/>
    <col min="6662" max="6912" width="9" style="1551"/>
    <col min="6913" max="6913" width="5.19921875" style="1551" customWidth="1"/>
    <col min="6914" max="6914" width="54.19921875" style="1551" customWidth="1"/>
    <col min="6915" max="6916" width="10.5" style="1551" customWidth="1"/>
    <col min="6917" max="6917" width="26.8984375" style="1551" customWidth="1"/>
    <col min="6918" max="7168" width="9" style="1551"/>
    <col min="7169" max="7169" width="5.19921875" style="1551" customWidth="1"/>
    <col min="7170" max="7170" width="54.19921875" style="1551" customWidth="1"/>
    <col min="7171" max="7172" width="10.5" style="1551" customWidth="1"/>
    <col min="7173" max="7173" width="26.8984375" style="1551" customWidth="1"/>
    <col min="7174" max="7424" width="9" style="1551"/>
    <col min="7425" max="7425" width="5.19921875" style="1551" customWidth="1"/>
    <col min="7426" max="7426" width="54.19921875" style="1551" customWidth="1"/>
    <col min="7427" max="7428" width="10.5" style="1551" customWidth="1"/>
    <col min="7429" max="7429" width="26.8984375" style="1551" customWidth="1"/>
    <col min="7430" max="7680" width="9" style="1551"/>
    <col min="7681" max="7681" width="5.19921875" style="1551" customWidth="1"/>
    <col min="7682" max="7682" width="54.19921875" style="1551" customWidth="1"/>
    <col min="7683" max="7684" width="10.5" style="1551" customWidth="1"/>
    <col min="7685" max="7685" width="26.8984375" style="1551" customWidth="1"/>
    <col min="7686" max="7936" width="9" style="1551"/>
    <col min="7937" max="7937" width="5.19921875" style="1551" customWidth="1"/>
    <col min="7938" max="7938" width="54.19921875" style="1551" customWidth="1"/>
    <col min="7939" max="7940" width="10.5" style="1551" customWidth="1"/>
    <col min="7941" max="7941" width="26.8984375" style="1551" customWidth="1"/>
    <col min="7942" max="8192" width="9" style="1551"/>
    <col min="8193" max="8193" width="5.19921875" style="1551" customWidth="1"/>
    <col min="8194" max="8194" width="54.19921875" style="1551" customWidth="1"/>
    <col min="8195" max="8196" width="10.5" style="1551" customWidth="1"/>
    <col min="8197" max="8197" width="26.8984375" style="1551" customWidth="1"/>
    <col min="8198" max="8448" width="9" style="1551"/>
    <col min="8449" max="8449" width="5.19921875" style="1551" customWidth="1"/>
    <col min="8450" max="8450" width="54.19921875" style="1551" customWidth="1"/>
    <col min="8451" max="8452" width="10.5" style="1551" customWidth="1"/>
    <col min="8453" max="8453" width="26.8984375" style="1551" customWidth="1"/>
    <col min="8454" max="8704" width="9" style="1551"/>
    <col min="8705" max="8705" width="5.19921875" style="1551" customWidth="1"/>
    <col min="8706" max="8706" width="54.19921875" style="1551" customWidth="1"/>
    <col min="8707" max="8708" width="10.5" style="1551" customWidth="1"/>
    <col min="8709" max="8709" width="26.8984375" style="1551" customWidth="1"/>
    <col min="8710" max="8960" width="9" style="1551"/>
    <col min="8961" max="8961" width="5.19921875" style="1551" customWidth="1"/>
    <col min="8962" max="8962" width="54.19921875" style="1551" customWidth="1"/>
    <col min="8963" max="8964" width="10.5" style="1551" customWidth="1"/>
    <col min="8965" max="8965" width="26.8984375" style="1551" customWidth="1"/>
    <col min="8966" max="9216" width="9" style="1551"/>
    <col min="9217" max="9217" width="5.19921875" style="1551" customWidth="1"/>
    <col min="9218" max="9218" width="54.19921875" style="1551" customWidth="1"/>
    <col min="9219" max="9220" width="10.5" style="1551" customWidth="1"/>
    <col min="9221" max="9221" width="26.8984375" style="1551" customWidth="1"/>
    <col min="9222" max="9472" width="9" style="1551"/>
    <col min="9473" max="9473" width="5.19921875" style="1551" customWidth="1"/>
    <col min="9474" max="9474" width="54.19921875" style="1551" customWidth="1"/>
    <col min="9475" max="9476" width="10.5" style="1551" customWidth="1"/>
    <col min="9477" max="9477" width="26.8984375" style="1551" customWidth="1"/>
    <col min="9478" max="9728" width="9" style="1551"/>
    <col min="9729" max="9729" width="5.19921875" style="1551" customWidth="1"/>
    <col min="9730" max="9730" width="54.19921875" style="1551" customWidth="1"/>
    <col min="9731" max="9732" width="10.5" style="1551" customWidth="1"/>
    <col min="9733" max="9733" width="26.8984375" style="1551" customWidth="1"/>
    <col min="9734" max="9984" width="9" style="1551"/>
    <col min="9985" max="9985" width="5.19921875" style="1551" customWidth="1"/>
    <col min="9986" max="9986" width="54.19921875" style="1551" customWidth="1"/>
    <col min="9987" max="9988" width="10.5" style="1551" customWidth="1"/>
    <col min="9989" max="9989" width="26.8984375" style="1551" customWidth="1"/>
    <col min="9990" max="10240" width="9" style="1551"/>
    <col min="10241" max="10241" width="5.19921875" style="1551" customWidth="1"/>
    <col min="10242" max="10242" width="54.19921875" style="1551" customWidth="1"/>
    <col min="10243" max="10244" width="10.5" style="1551" customWidth="1"/>
    <col min="10245" max="10245" width="26.8984375" style="1551" customWidth="1"/>
    <col min="10246" max="10496" width="9" style="1551"/>
    <col min="10497" max="10497" width="5.19921875" style="1551" customWidth="1"/>
    <col min="10498" max="10498" width="54.19921875" style="1551" customWidth="1"/>
    <col min="10499" max="10500" width="10.5" style="1551" customWidth="1"/>
    <col min="10501" max="10501" width="26.8984375" style="1551" customWidth="1"/>
    <col min="10502" max="10752" width="9" style="1551"/>
    <col min="10753" max="10753" width="5.19921875" style="1551" customWidth="1"/>
    <col min="10754" max="10754" width="54.19921875" style="1551" customWidth="1"/>
    <col min="10755" max="10756" width="10.5" style="1551" customWidth="1"/>
    <col min="10757" max="10757" width="26.8984375" style="1551" customWidth="1"/>
    <col min="10758" max="11008" width="9" style="1551"/>
    <col min="11009" max="11009" width="5.19921875" style="1551" customWidth="1"/>
    <col min="11010" max="11010" width="54.19921875" style="1551" customWidth="1"/>
    <col min="11011" max="11012" width="10.5" style="1551" customWidth="1"/>
    <col min="11013" max="11013" width="26.8984375" style="1551" customWidth="1"/>
    <col min="11014" max="11264" width="9" style="1551"/>
    <col min="11265" max="11265" width="5.19921875" style="1551" customWidth="1"/>
    <col min="11266" max="11266" width="54.19921875" style="1551" customWidth="1"/>
    <col min="11267" max="11268" width="10.5" style="1551" customWidth="1"/>
    <col min="11269" max="11269" width="26.8984375" style="1551" customWidth="1"/>
    <col min="11270" max="11520" width="9" style="1551"/>
    <col min="11521" max="11521" width="5.19921875" style="1551" customWidth="1"/>
    <col min="11522" max="11522" width="54.19921875" style="1551" customWidth="1"/>
    <col min="11523" max="11524" width="10.5" style="1551" customWidth="1"/>
    <col min="11525" max="11525" width="26.8984375" style="1551" customWidth="1"/>
    <col min="11526" max="11776" width="9" style="1551"/>
    <col min="11777" max="11777" width="5.19921875" style="1551" customWidth="1"/>
    <col min="11778" max="11778" width="54.19921875" style="1551" customWidth="1"/>
    <col min="11779" max="11780" width="10.5" style="1551" customWidth="1"/>
    <col min="11781" max="11781" width="26.8984375" style="1551" customWidth="1"/>
    <col min="11782" max="12032" width="9" style="1551"/>
    <col min="12033" max="12033" width="5.19921875" style="1551" customWidth="1"/>
    <col min="12034" max="12034" width="54.19921875" style="1551" customWidth="1"/>
    <col min="12035" max="12036" width="10.5" style="1551" customWidth="1"/>
    <col min="12037" max="12037" width="26.8984375" style="1551" customWidth="1"/>
    <col min="12038" max="12288" width="9" style="1551"/>
    <col min="12289" max="12289" width="5.19921875" style="1551" customWidth="1"/>
    <col min="12290" max="12290" width="54.19921875" style="1551" customWidth="1"/>
    <col min="12291" max="12292" width="10.5" style="1551" customWidth="1"/>
    <col min="12293" max="12293" width="26.8984375" style="1551" customWidth="1"/>
    <col min="12294" max="12544" width="9" style="1551"/>
    <col min="12545" max="12545" width="5.19921875" style="1551" customWidth="1"/>
    <col min="12546" max="12546" width="54.19921875" style="1551" customWidth="1"/>
    <col min="12547" max="12548" width="10.5" style="1551" customWidth="1"/>
    <col min="12549" max="12549" width="26.8984375" style="1551" customWidth="1"/>
    <col min="12550" max="12800" width="9" style="1551"/>
    <col min="12801" max="12801" width="5.19921875" style="1551" customWidth="1"/>
    <col min="12802" max="12802" width="54.19921875" style="1551" customWidth="1"/>
    <col min="12803" max="12804" width="10.5" style="1551" customWidth="1"/>
    <col min="12805" max="12805" width="26.8984375" style="1551" customWidth="1"/>
    <col min="12806" max="13056" width="9" style="1551"/>
    <col min="13057" max="13057" width="5.19921875" style="1551" customWidth="1"/>
    <col min="13058" max="13058" width="54.19921875" style="1551" customWidth="1"/>
    <col min="13059" max="13060" width="10.5" style="1551" customWidth="1"/>
    <col min="13061" max="13061" width="26.8984375" style="1551" customWidth="1"/>
    <col min="13062" max="13312" width="9" style="1551"/>
    <col min="13313" max="13313" width="5.19921875" style="1551" customWidth="1"/>
    <col min="13314" max="13314" width="54.19921875" style="1551" customWidth="1"/>
    <col min="13315" max="13316" width="10.5" style="1551" customWidth="1"/>
    <col min="13317" max="13317" width="26.8984375" style="1551" customWidth="1"/>
    <col min="13318" max="13568" width="9" style="1551"/>
    <col min="13569" max="13569" width="5.19921875" style="1551" customWidth="1"/>
    <col min="13570" max="13570" width="54.19921875" style="1551" customWidth="1"/>
    <col min="13571" max="13572" width="10.5" style="1551" customWidth="1"/>
    <col min="13573" max="13573" width="26.8984375" style="1551" customWidth="1"/>
    <col min="13574" max="13824" width="9" style="1551"/>
    <col min="13825" max="13825" width="5.19921875" style="1551" customWidth="1"/>
    <col min="13826" max="13826" width="54.19921875" style="1551" customWidth="1"/>
    <col min="13827" max="13828" width="10.5" style="1551" customWidth="1"/>
    <col min="13829" max="13829" width="26.8984375" style="1551" customWidth="1"/>
    <col min="13830" max="14080" width="9" style="1551"/>
    <col min="14081" max="14081" width="5.19921875" style="1551" customWidth="1"/>
    <col min="14082" max="14082" width="54.19921875" style="1551" customWidth="1"/>
    <col min="14083" max="14084" width="10.5" style="1551" customWidth="1"/>
    <col min="14085" max="14085" width="26.8984375" style="1551" customWidth="1"/>
    <col min="14086" max="14336" width="9" style="1551"/>
    <col min="14337" max="14337" width="5.19921875" style="1551" customWidth="1"/>
    <col min="14338" max="14338" width="54.19921875" style="1551" customWidth="1"/>
    <col min="14339" max="14340" width="10.5" style="1551" customWidth="1"/>
    <col min="14341" max="14341" width="26.8984375" style="1551" customWidth="1"/>
    <col min="14342" max="14592" width="9" style="1551"/>
    <col min="14593" max="14593" width="5.19921875" style="1551" customWidth="1"/>
    <col min="14594" max="14594" width="54.19921875" style="1551" customWidth="1"/>
    <col min="14595" max="14596" width="10.5" style="1551" customWidth="1"/>
    <col min="14597" max="14597" width="26.8984375" style="1551" customWidth="1"/>
    <col min="14598" max="14848" width="9" style="1551"/>
    <col min="14849" max="14849" width="5.19921875" style="1551" customWidth="1"/>
    <col min="14850" max="14850" width="54.19921875" style="1551" customWidth="1"/>
    <col min="14851" max="14852" width="10.5" style="1551" customWidth="1"/>
    <col min="14853" max="14853" width="26.8984375" style="1551" customWidth="1"/>
    <col min="14854" max="15104" width="9" style="1551"/>
    <col min="15105" max="15105" width="5.19921875" style="1551" customWidth="1"/>
    <col min="15106" max="15106" width="54.19921875" style="1551" customWidth="1"/>
    <col min="15107" max="15108" width="10.5" style="1551" customWidth="1"/>
    <col min="15109" max="15109" width="26.8984375" style="1551" customWidth="1"/>
    <col min="15110" max="15360" width="9" style="1551"/>
    <col min="15361" max="15361" width="5.19921875" style="1551" customWidth="1"/>
    <col min="15362" max="15362" width="54.19921875" style="1551" customWidth="1"/>
    <col min="15363" max="15364" width="10.5" style="1551" customWidth="1"/>
    <col min="15365" max="15365" width="26.8984375" style="1551" customWidth="1"/>
    <col min="15366" max="15616" width="9" style="1551"/>
    <col min="15617" max="15617" width="5.19921875" style="1551" customWidth="1"/>
    <col min="15618" max="15618" width="54.19921875" style="1551" customWidth="1"/>
    <col min="15619" max="15620" width="10.5" style="1551" customWidth="1"/>
    <col min="15621" max="15621" width="26.8984375" style="1551" customWidth="1"/>
    <col min="15622" max="15872" width="9" style="1551"/>
    <col min="15873" max="15873" width="5.19921875" style="1551" customWidth="1"/>
    <col min="15874" max="15874" width="54.19921875" style="1551" customWidth="1"/>
    <col min="15875" max="15876" width="10.5" style="1551" customWidth="1"/>
    <col min="15877" max="15877" width="26.8984375" style="1551" customWidth="1"/>
    <col min="15878" max="16128" width="9" style="1551"/>
    <col min="16129" max="16129" width="5.19921875" style="1551" customWidth="1"/>
    <col min="16130" max="16130" width="54.19921875" style="1551" customWidth="1"/>
    <col min="16131" max="16132" width="10.5" style="1551" customWidth="1"/>
    <col min="16133" max="16133" width="26.8984375" style="1551" customWidth="1"/>
    <col min="16134" max="16384" width="9" style="1551"/>
  </cols>
  <sheetData>
    <row r="1" spans="1:6" ht="20.100000000000001" customHeight="1">
      <c r="A1" s="3463" t="s">
        <v>5148</v>
      </c>
      <c r="B1" s="3463"/>
      <c r="C1" s="3463"/>
      <c r="D1" s="3463"/>
      <c r="E1" s="1802"/>
    </row>
    <row r="2" spans="1:6" ht="25.5" customHeight="1">
      <c r="A2" s="3401" t="s">
        <v>5149</v>
      </c>
      <c r="B2" s="3401"/>
      <c r="C2" s="3401"/>
      <c r="D2" s="3401"/>
      <c r="E2" s="1833"/>
    </row>
    <row r="3" spans="1:6" s="1552" customFormat="1" ht="14.25" customHeight="1">
      <c r="A3" s="3399" t="s">
        <v>1853</v>
      </c>
      <c r="B3" s="3399" t="s">
        <v>5079</v>
      </c>
      <c r="C3" s="1840" t="s">
        <v>1851</v>
      </c>
      <c r="D3" s="1840" t="s">
        <v>5150</v>
      </c>
      <c r="E3" s="3399" t="s">
        <v>5151</v>
      </c>
    </row>
    <row r="4" spans="1:6" s="1552" customFormat="1" ht="14.25" customHeight="1">
      <c r="A4" s="3399"/>
      <c r="B4" s="3399"/>
      <c r="C4" s="1840">
        <v>1</v>
      </c>
      <c r="D4" s="1840">
        <v>2</v>
      </c>
      <c r="E4" s="3399"/>
    </row>
    <row r="5" spans="1:6" s="1552" customFormat="1" ht="14.25" customHeight="1">
      <c r="A5" s="1840">
        <v>1</v>
      </c>
      <c r="B5" s="1809" t="s">
        <v>5152</v>
      </c>
      <c r="C5" s="2072">
        <f>视同销售和房地产开发企业特定业务审核表!C8</f>
        <v>0</v>
      </c>
      <c r="D5" s="2072">
        <f>视同销售和房地产开发企业特定业务审核表!D8</f>
        <v>0</v>
      </c>
      <c r="E5" s="1809" t="s">
        <v>5153</v>
      </c>
    </row>
    <row r="6" spans="1:6" s="1552" customFormat="1" ht="14.25" customHeight="1">
      <c r="A6" s="1840">
        <v>2</v>
      </c>
      <c r="B6" s="1809" t="s">
        <v>5154</v>
      </c>
      <c r="C6" s="2072">
        <f>视同销售和房地产开发企业特定业务审核表!C9</f>
        <v>0</v>
      </c>
      <c r="D6" s="2072">
        <f>视同销售和房地产开发企业特定业务审核表!D9</f>
        <v>0</v>
      </c>
      <c r="E6" s="1809" t="s">
        <v>5155</v>
      </c>
    </row>
    <row r="7" spans="1:6" s="1552" customFormat="1" ht="14.25" customHeight="1">
      <c r="A7" s="1840">
        <v>3</v>
      </c>
      <c r="B7" s="1809" t="s">
        <v>5156</v>
      </c>
      <c r="C7" s="2072">
        <f>视同销售和房地产开发企业特定业务审核表!C10</f>
        <v>0</v>
      </c>
      <c r="D7" s="2072">
        <f>视同销售和房地产开发企业特定业务审核表!D10</f>
        <v>0</v>
      </c>
      <c r="E7" s="1809"/>
    </row>
    <row r="8" spans="1:6" s="1552" customFormat="1" ht="14.25" customHeight="1">
      <c r="A8" s="1840">
        <v>4</v>
      </c>
      <c r="B8" s="1809" t="s">
        <v>5157</v>
      </c>
      <c r="C8" s="2072">
        <f>视同销售和房地产开发企业特定业务审核表!C11</f>
        <v>0</v>
      </c>
      <c r="D8" s="2072">
        <f>视同销售和房地产开发企业特定业务审核表!D11</f>
        <v>0</v>
      </c>
      <c r="E8" s="1809"/>
    </row>
    <row r="9" spans="1:6" s="1552" customFormat="1" ht="14.25" customHeight="1">
      <c r="A9" s="1840">
        <v>5</v>
      </c>
      <c r="B9" s="1809" t="s">
        <v>5158</v>
      </c>
      <c r="C9" s="2072">
        <f>视同销售和房地产开发企业特定业务审核表!C12</f>
        <v>0</v>
      </c>
      <c r="D9" s="2072">
        <f>视同销售和房地产开发企业特定业务审核表!D12</f>
        <v>0</v>
      </c>
      <c r="E9" s="1809"/>
    </row>
    <row r="10" spans="1:6" s="1552" customFormat="1" ht="14.25" customHeight="1">
      <c r="A10" s="1840">
        <v>6</v>
      </c>
      <c r="B10" s="1809" t="s">
        <v>5159</v>
      </c>
      <c r="C10" s="2072">
        <f>视同销售和房地产开发企业特定业务审核表!C13</f>
        <v>0</v>
      </c>
      <c r="D10" s="2072">
        <f>视同销售和房地产开发企业特定业务审核表!D13</f>
        <v>0</v>
      </c>
      <c r="E10" s="1809"/>
    </row>
    <row r="11" spans="1:6" s="1552" customFormat="1" ht="14.25" customHeight="1">
      <c r="A11" s="1840">
        <v>7</v>
      </c>
      <c r="B11" s="1809" t="s">
        <v>5160</v>
      </c>
      <c r="C11" s="2072">
        <f>视同销售和房地产开发企业特定业务审核表!C14</f>
        <v>0</v>
      </c>
      <c r="D11" s="2072">
        <f>视同销售和房地产开发企业特定业务审核表!D14</f>
        <v>0</v>
      </c>
      <c r="E11" s="1809"/>
    </row>
    <row r="12" spans="1:6" s="1552" customFormat="1" ht="14.25" customHeight="1">
      <c r="A12" s="1840">
        <v>8</v>
      </c>
      <c r="B12" s="1809" t="s">
        <v>5161</v>
      </c>
      <c r="C12" s="2072">
        <f>视同销售和房地产开发企业特定业务审核表!C15</f>
        <v>0</v>
      </c>
      <c r="D12" s="2072">
        <f>视同销售和房地产开发企业特定业务审核表!D15</f>
        <v>0</v>
      </c>
      <c r="E12" s="1809"/>
      <c r="F12" s="1675" t="s">
        <v>6434</v>
      </c>
    </row>
    <row r="13" spans="1:6" s="1552" customFormat="1" ht="14.25" customHeight="1">
      <c r="A13" s="1840">
        <v>9</v>
      </c>
      <c r="B13" s="1809" t="s">
        <v>5162</v>
      </c>
      <c r="C13" s="2072">
        <f>视同销售和房地产开发企业特定业务审核表!C16</f>
        <v>0</v>
      </c>
      <c r="D13" s="2072">
        <f>视同销售和房地产开发企业特定业务审核表!D16</f>
        <v>0</v>
      </c>
      <c r="E13" s="1809"/>
    </row>
    <row r="14" spans="1:6" s="1552" customFormat="1" ht="14.25" customHeight="1">
      <c r="A14" s="1840">
        <v>10</v>
      </c>
      <c r="B14" s="1809" t="s">
        <v>5163</v>
      </c>
      <c r="C14" s="2072">
        <f>视同销售和房地产开发企业特定业务审核表!C17</f>
        <v>0</v>
      </c>
      <c r="D14" s="2072">
        <f>视同销售和房地产开发企业特定业务审核表!D17</f>
        <v>0</v>
      </c>
      <c r="E14" s="1809"/>
    </row>
    <row r="15" spans="1:6" s="1552" customFormat="1" ht="46.5" customHeight="1">
      <c r="A15" s="1840">
        <v>11</v>
      </c>
      <c r="B15" s="1809" t="s">
        <v>5164</v>
      </c>
      <c r="C15" s="2072">
        <f>视同销售和房地产开发企业特定业务审核表!C18</f>
        <v>0</v>
      </c>
      <c r="D15" s="2072">
        <f>视同销售和房地产开发企业特定业务审核表!D18</f>
        <v>0</v>
      </c>
      <c r="E15" s="1810" t="s">
        <v>5165</v>
      </c>
    </row>
    <row r="16" spans="1:6" s="1552" customFormat="1" ht="14.25" customHeight="1">
      <c r="A16" s="1840">
        <v>12</v>
      </c>
      <c r="B16" s="1809" t="s">
        <v>5166</v>
      </c>
      <c r="C16" s="2072">
        <f>视同销售和房地产开发企业特定业务审核表!C19</f>
        <v>0</v>
      </c>
      <c r="D16" s="2072">
        <f>视同销售和房地产开发企业特定业务审核表!D19</f>
        <v>0</v>
      </c>
      <c r="E16" s="1809"/>
    </row>
    <row r="17" spans="1:5" s="1552" customFormat="1" ht="14.25" customHeight="1">
      <c r="A17" s="1840">
        <v>13</v>
      </c>
      <c r="B17" s="1809" t="s">
        <v>5167</v>
      </c>
      <c r="C17" s="2072">
        <f>视同销售和房地产开发企业特定业务审核表!C20</f>
        <v>0</v>
      </c>
      <c r="D17" s="2072">
        <f>视同销售和房地产开发企业特定业务审核表!D20</f>
        <v>0</v>
      </c>
      <c r="E17" s="1809"/>
    </row>
    <row r="18" spans="1:5" s="1552" customFormat="1" ht="14.25" customHeight="1">
      <c r="A18" s="1840">
        <v>14</v>
      </c>
      <c r="B18" s="1809" t="s">
        <v>5168</v>
      </c>
      <c r="C18" s="2072">
        <f>视同销售和房地产开发企业特定业务审核表!C21</f>
        <v>0</v>
      </c>
      <c r="D18" s="2072">
        <f>视同销售和房地产开发企业特定业务审核表!D21</f>
        <v>0</v>
      </c>
      <c r="E18" s="1809"/>
    </row>
    <row r="19" spans="1:5" s="1552" customFormat="1" ht="14.25" customHeight="1">
      <c r="A19" s="1840">
        <v>15</v>
      </c>
      <c r="B19" s="1809" t="s">
        <v>5169</v>
      </c>
      <c r="C19" s="2072">
        <f>视同销售和房地产开发企业特定业务审核表!C22</f>
        <v>0</v>
      </c>
      <c r="D19" s="2072">
        <f>视同销售和房地产开发企业特定业务审核表!D22</f>
        <v>0</v>
      </c>
      <c r="E19" s="1809"/>
    </row>
    <row r="20" spans="1:5" s="1552" customFormat="1" ht="14.25" customHeight="1">
      <c r="A20" s="1840">
        <v>16</v>
      </c>
      <c r="B20" s="1809" t="s">
        <v>5170</v>
      </c>
      <c r="C20" s="2072">
        <f>视同销售和房地产开发企业特定业务审核表!C23</f>
        <v>0</v>
      </c>
      <c r="D20" s="2072">
        <f>视同销售和房地产开发企业特定业务审核表!D23</f>
        <v>0</v>
      </c>
      <c r="E20" s="1809"/>
    </row>
    <row r="21" spans="1:5" s="1552" customFormat="1" ht="14.25" customHeight="1">
      <c r="A21" s="1840">
        <v>17</v>
      </c>
      <c r="B21" s="1811" t="s">
        <v>5171</v>
      </c>
      <c r="C21" s="2072">
        <f>视同销售和房地产开发企业特定业务审核表!C24</f>
        <v>0</v>
      </c>
      <c r="D21" s="2072">
        <f>视同销售和房地产开发企业特定业务审核表!D24</f>
        <v>0</v>
      </c>
      <c r="E21" s="1809"/>
    </row>
    <row r="22" spans="1:5" s="1552" customFormat="1" ht="14.25" customHeight="1">
      <c r="A22" s="1840">
        <v>18</v>
      </c>
      <c r="B22" s="1809" t="s">
        <v>5172</v>
      </c>
      <c r="C22" s="2072">
        <f>视同销售和房地产开发企业特定业务审核表!C25</f>
        <v>0</v>
      </c>
      <c r="D22" s="2072">
        <f>视同销售和房地产开发企业特定业务审核表!D25</f>
        <v>0</v>
      </c>
      <c r="E22" s="1809"/>
    </row>
    <row r="23" spans="1:5" s="1552" customFormat="1" ht="14.25" customHeight="1">
      <c r="A23" s="1840">
        <v>19</v>
      </c>
      <c r="B23" s="1809" t="s">
        <v>5173</v>
      </c>
      <c r="C23" s="2072">
        <f>视同销售和房地产开发企业特定业务审核表!C26</f>
        <v>0</v>
      </c>
      <c r="D23" s="2072">
        <f>视同销售和房地产开发企业特定业务审核表!D26</f>
        <v>0</v>
      </c>
      <c r="E23" s="1809"/>
    </row>
    <row r="24" spans="1:5" s="1552" customFormat="1" ht="14.25" customHeight="1">
      <c r="A24" s="1840">
        <v>20</v>
      </c>
      <c r="B24" s="1809" t="s">
        <v>5163</v>
      </c>
      <c r="C24" s="2072">
        <f>视同销售和房地产开发企业特定业务审核表!C27</f>
        <v>0</v>
      </c>
      <c r="D24" s="2072">
        <f>视同销售和房地产开发企业特定业务审核表!D27</f>
        <v>0</v>
      </c>
      <c r="E24" s="1809"/>
    </row>
    <row r="25" spans="1:5" s="1552" customFormat="1" ht="48.75" customHeight="1">
      <c r="A25" s="1840">
        <v>21</v>
      </c>
      <c r="B25" s="1809" t="s">
        <v>5174</v>
      </c>
      <c r="C25" s="2072">
        <f>视同销售和房地产开发企业特定业务审核表!C28</f>
        <v>0</v>
      </c>
      <c r="D25" s="2072">
        <f>视同销售和房地产开发企业特定业务审核表!D28</f>
        <v>0</v>
      </c>
      <c r="E25" s="1810" t="s">
        <v>5175</v>
      </c>
    </row>
    <row r="26" spans="1:5" s="1552" customFormat="1" ht="21.75" customHeight="1">
      <c r="A26" s="1841">
        <v>22</v>
      </c>
      <c r="B26" s="1813" t="s">
        <v>5176</v>
      </c>
      <c r="C26" s="2072">
        <f>视同销售和房地产开发企业特定业务审核表!C29</f>
        <v>0</v>
      </c>
      <c r="D26" s="2072">
        <f>视同销售和房地产开发企业特定业务审核表!D29</f>
        <v>0</v>
      </c>
      <c r="E26" s="1811"/>
    </row>
    <row r="27" spans="1:5" s="1552" customFormat="1" ht="14.25" customHeight="1">
      <c r="A27" s="1840">
        <v>23</v>
      </c>
      <c r="B27" s="1810" t="s">
        <v>5177</v>
      </c>
      <c r="C27" s="2072">
        <f>视同销售和房地产开发企业特定业务审核表!C30</f>
        <v>0</v>
      </c>
      <c r="D27" s="2065" t="str">
        <f>视同销售和房地产开发企业特定业务审核表!D30</f>
        <v>*</v>
      </c>
      <c r="E27" s="1809"/>
    </row>
    <row r="28" spans="1:5" s="1554" customFormat="1" ht="14.25" customHeight="1">
      <c r="A28" s="1840">
        <v>24</v>
      </c>
      <c r="B28" s="1809" t="s">
        <v>5178</v>
      </c>
      <c r="C28" s="2072">
        <f>视同销售和房地产开发企业特定业务审核表!C31</f>
        <v>0</v>
      </c>
      <c r="D28" s="2072">
        <f>视同销售和房地产开发企业特定业务审核表!D31</f>
        <v>0</v>
      </c>
      <c r="E28" s="1809"/>
    </row>
    <row r="29" spans="1:5" s="1554" customFormat="1" ht="14.25" customHeight="1">
      <c r="A29" s="1840">
        <v>25</v>
      </c>
      <c r="B29" s="1809" t="s">
        <v>5179</v>
      </c>
      <c r="C29" s="2072">
        <f>视同销售和房地产开发企业特定业务审核表!C32</f>
        <v>0</v>
      </c>
      <c r="D29" s="2072">
        <f>视同销售和房地产开发企业特定业务审核表!D32</f>
        <v>0</v>
      </c>
      <c r="E29" s="1809"/>
    </row>
    <row r="30" spans="1:5" s="1554" customFormat="1" ht="14.25" customHeight="1">
      <c r="A30" s="1841">
        <v>26</v>
      </c>
      <c r="B30" s="1813" t="s">
        <v>5180</v>
      </c>
      <c r="C30" s="2072">
        <f>视同销售和房地产开发企业特定业务审核表!C33</f>
        <v>0</v>
      </c>
      <c r="D30" s="2072">
        <f>视同销售和房地产开发企业特定业务审核表!D33</f>
        <v>0</v>
      </c>
      <c r="E30" s="1811"/>
    </row>
    <row r="31" spans="1:5" s="1554" customFormat="1" ht="14.25" customHeight="1">
      <c r="A31" s="1840">
        <v>27</v>
      </c>
      <c r="B31" s="1810" t="s">
        <v>5181</v>
      </c>
      <c r="C31" s="2072">
        <f>视同销售和房地产开发企业特定业务审核表!C34</f>
        <v>0</v>
      </c>
      <c r="D31" s="2065" t="str">
        <f>视同销售和房地产开发企业特定业务审核表!D34</f>
        <v>*</v>
      </c>
      <c r="E31" s="1809"/>
    </row>
    <row r="32" spans="1:5" s="1554" customFormat="1" ht="14.25" customHeight="1">
      <c r="A32" s="1840">
        <v>28</v>
      </c>
      <c r="B32" s="1809" t="s">
        <v>5182</v>
      </c>
      <c r="C32" s="2072">
        <f>视同销售和房地产开发企业特定业务审核表!C35</f>
        <v>0</v>
      </c>
      <c r="D32" s="2072">
        <f>视同销售和房地产开发企业特定业务审核表!D35</f>
        <v>0</v>
      </c>
      <c r="E32" s="1809"/>
    </row>
    <row r="33" spans="1:5" s="1552" customFormat="1" ht="14.25" customHeight="1">
      <c r="A33" s="1840">
        <v>29</v>
      </c>
      <c r="B33" s="1809" t="s">
        <v>5183</v>
      </c>
      <c r="C33" s="2072">
        <f>视同销售和房地产开发企业特定业务审核表!C36</f>
        <v>0</v>
      </c>
      <c r="D33" s="2072">
        <f>视同销售和房地产开发企业特定业务审核表!D36</f>
        <v>0</v>
      </c>
      <c r="E33" s="1809"/>
    </row>
  </sheetData>
  <mergeCells count="5">
    <mergeCell ref="A1:D1"/>
    <mergeCell ref="A2:D2"/>
    <mergeCell ref="A3:A4"/>
    <mergeCell ref="B3:B4"/>
    <mergeCell ref="E3:E4"/>
  </mergeCells>
  <phoneticPr fontId="51" type="noConversion"/>
  <hyperlinks>
    <hyperlink ref="F12" location="视同销售和房地产开发企业特定业务审核表!A1" display="视同销售和房地产开发企业特定业务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FFFF00"/>
  </sheetPr>
  <dimension ref="A1:J19"/>
  <sheetViews>
    <sheetView workbookViewId="0">
      <selection sqref="A1:H1"/>
    </sheetView>
  </sheetViews>
  <sheetFormatPr defaultRowHeight="12"/>
  <cols>
    <col min="1" max="1" width="5.19921875" style="1557" customWidth="1"/>
    <col min="2" max="2" width="44.19921875" style="1552" customWidth="1"/>
    <col min="3" max="8" width="11.8984375" style="1552" customWidth="1"/>
    <col min="9" max="9" width="16.69921875" style="1552" customWidth="1"/>
    <col min="10" max="256" width="9" style="1552"/>
    <col min="257" max="257" width="5.19921875" style="1552" customWidth="1"/>
    <col min="258" max="258" width="42.59765625" style="1552" customWidth="1"/>
    <col min="259" max="259" width="8.3984375" style="1552" customWidth="1"/>
    <col min="260" max="260" width="8" style="1552" customWidth="1"/>
    <col min="261" max="261" width="7.5" style="1552" customWidth="1"/>
    <col min="262" max="262" width="8.5" style="1552" customWidth="1"/>
    <col min="263" max="263" width="8" style="1552" customWidth="1"/>
    <col min="264" max="264" width="9.8984375" style="1552" customWidth="1"/>
    <col min="265" max="265" width="19.5" style="1552" customWidth="1"/>
    <col min="266" max="512" width="9" style="1552"/>
    <col min="513" max="513" width="5.19921875" style="1552" customWidth="1"/>
    <col min="514" max="514" width="42.59765625" style="1552" customWidth="1"/>
    <col min="515" max="515" width="8.3984375" style="1552" customWidth="1"/>
    <col min="516" max="516" width="8" style="1552" customWidth="1"/>
    <col min="517" max="517" width="7.5" style="1552" customWidth="1"/>
    <col min="518" max="518" width="8.5" style="1552" customWidth="1"/>
    <col min="519" max="519" width="8" style="1552" customWidth="1"/>
    <col min="520" max="520" width="9.8984375" style="1552" customWidth="1"/>
    <col min="521" max="521" width="19.5" style="1552" customWidth="1"/>
    <col min="522" max="768" width="9" style="1552"/>
    <col min="769" max="769" width="5.19921875" style="1552" customWidth="1"/>
    <col min="770" max="770" width="42.59765625" style="1552" customWidth="1"/>
    <col min="771" max="771" width="8.3984375" style="1552" customWidth="1"/>
    <col min="772" max="772" width="8" style="1552" customWidth="1"/>
    <col min="773" max="773" width="7.5" style="1552" customWidth="1"/>
    <col min="774" max="774" width="8.5" style="1552" customWidth="1"/>
    <col min="775" max="775" width="8" style="1552" customWidth="1"/>
    <col min="776" max="776" width="9.8984375" style="1552" customWidth="1"/>
    <col min="777" max="777" width="19.5" style="1552" customWidth="1"/>
    <col min="778" max="1024" width="9" style="1552"/>
    <col min="1025" max="1025" width="5.19921875" style="1552" customWidth="1"/>
    <col min="1026" max="1026" width="42.59765625" style="1552" customWidth="1"/>
    <col min="1027" max="1027" width="8.3984375" style="1552" customWidth="1"/>
    <col min="1028" max="1028" width="8" style="1552" customWidth="1"/>
    <col min="1029" max="1029" width="7.5" style="1552" customWidth="1"/>
    <col min="1030" max="1030" width="8.5" style="1552" customWidth="1"/>
    <col min="1031" max="1031" width="8" style="1552" customWidth="1"/>
    <col min="1032" max="1032" width="9.8984375" style="1552" customWidth="1"/>
    <col min="1033" max="1033" width="19.5" style="1552" customWidth="1"/>
    <col min="1034" max="1280" width="9" style="1552"/>
    <col min="1281" max="1281" width="5.19921875" style="1552" customWidth="1"/>
    <col min="1282" max="1282" width="42.59765625" style="1552" customWidth="1"/>
    <col min="1283" max="1283" width="8.3984375" style="1552" customWidth="1"/>
    <col min="1284" max="1284" width="8" style="1552" customWidth="1"/>
    <col min="1285" max="1285" width="7.5" style="1552" customWidth="1"/>
    <col min="1286" max="1286" width="8.5" style="1552" customWidth="1"/>
    <col min="1287" max="1287" width="8" style="1552" customWidth="1"/>
    <col min="1288" max="1288" width="9.8984375" style="1552" customWidth="1"/>
    <col min="1289" max="1289" width="19.5" style="1552" customWidth="1"/>
    <col min="1290" max="1536" width="9" style="1552"/>
    <col min="1537" max="1537" width="5.19921875" style="1552" customWidth="1"/>
    <col min="1538" max="1538" width="42.59765625" style="1552" customWidth="1"/>
    <col min="1539" max="1539" width="8.3984375" style="1552" customWidth="1"/>
    <col min="1540" max="1540" width="8" style="1552" customWidth="1"/>
    <col min="1541" max="1541" width="7.5" style="1552" customWidth="1"/>
    <col min="1542" max="1542" width="8.5" style="1552" customWidth="1"/>
    <col min="1543" max="1543" width="8" style="1552" customWidth="1"/>
    <col min="1544" max="1544" width="9.8984375" style="1552" customWidth="1"/>
    <col min="1545" max="1545" width="19.5" style="1552" customWidth="1"/>
    <col min="1546" max="1792" width="9" style="1552"/>
    <col min="1793" max="1793" width="5.19921875" style="1552" customWidth="1"/>
    <col min="1794" max="1794" width="42.59765625" style="1552" customWidth="1"/>
    <col min="1795" max="1795" width="8.3984375" style="1552" customWidth="1"/>
    <col min="1796" max="1796" width="8" style="1552" customWidth="1"/>
    <col min="1797" max="1797" width="7.5" style="1552" customWidth="1"/>
    <col min="1798" max="1798" width="8.5" style="1552" customWidth="1"/>
    <col min="1799" max="1799" width="8" style="1552" customWidth="1"/>
    <col min="1800" max="1800" width="9.8984375" style="1552" customWidth="1"/>
    <col min="1801" max="1801" width="19.5" style="1552" customWidth="1"/>
    <col min="1802" max="2048" width="9" style="1552"/>
    <col min="2049" max="2049" width="5.19921875" style="1552" customWidth="1"/>
    <col min="2050" max="2050" width="42.59765625" style="1552" customWidth="1"/>
    <col min="2051" max="2051" width="8.3984375" style="1552" customWidth="1"/>
    <col min="2052" max="2052" width="8" style="1552" customWidth="1"/>
    <col min="2053" max="2053" width="7.5" style="1552" customWidth="1"/>
    <col min="2054" max="2054" width="8.5" style="1552" customWidth="1"/>
    <col min="2055" max="2055" width="8" style="1552" customWidth="1"/>
    <col min="2056" max="2056" width="9.8984375" style="1552" customWidth="1"/>
    <col min="2057" max="2057" width="19.5" style="1552" customWidth="1"/>
    <col min="2058" max="2304" width="9" style="1552"/>
    <col min="2305" max="2305" width="5.19921875" style="1552" customWidth="1"/>
    <col min="2306" max="2306" width="42.59765625" style="1552" customWidth="1"/>
    <col min="2307" max="2307" width="8.3984375" style="1552" customWidth="1"/>
    <col min="2308" max="2308" width="8" style="1552" customWidth="1"/>
    <col min="2309" max="2309" width="7.5" style="1552" customWidth="1"/>
    <col min="2310" max="2310" width="8.5" style="1552" customWidth="1"/>
    <col min="2311" max="2311" width="8" style="1552" customWidth="1"/>
    <col min="2312" max="2312" width="9.8984375" style="1552" customWidth="1"/>
    <col min="2313" max="2313" width="19.5" style="1552" customWidth="1"/>
    <col min="2314" max="2560" width="9" style="1552"/>
    <col min="2561" max="2561" width="5.19921875" style="1552" customWidth="1"/>
    <col min="2562" max="2562" width="42.59765625" style="1552" customWidth="1"/>
    <col min="2563" max="2563" width="8.3984375" style="1552" customWidth="1"/>
    <col min="2564" max="2564" width="8" style="1552" customWidth="1"/>
    <col min="2565" max="2565" width="7.5" style="1552" customWidth="1"/>
    <col min="2566" max="2566" width="8.5" style="1552" customWidth="1"/>
    <col min="2567" max="2567" width="8" style="1552" customWidth="1"/>
    <col min="2568" max="2568" width="9.8984375" style="1552" customWidth="1"/>
    <col min="2569" max="2569" width="19.5" style="1552" customWidth="1"/>
    <col min="2570" max="2816" width="9" style="1552"/>
    <col min="2817" max="2817" width="5.19921875" style="1552" customWidth="1"/>
    <col min="2818" max="2818" width="42.59765625" style="1552" customWidth="1"/>
    <col min="2819" max="2819" width="8.3984375" style="1552" customWidth="1"/>
    <col min="2820" max="2820" width="8" style="1552" customWidth="1"/>
    <col min="2821" max="2821" width="7.5" style="1552" customWidth="1"/>
    <col min="2822" max="2822" width="8.5" style="1552" customWidth="1"/>
    <col min="2823" max="2823" width="8" style="1552" customWidth="1"/>
    <col min="2824" max="2824" width="9.8984375" style="1552" customWidth="1"/>
    <col min="2825" max="2825" width="19.5" style="1552" customWidth="1"/>
    <col min="2826" max="3072" width="9" style="1552"/>
    <col min="3073" max="3073" width="5.19921875" style="1552" customWidth="1"/>
    <col min="3074" max="3074" width="42.59765625" style="1552" customWidth="1"/>
    <col min="3075" max="3075" width="8.3984375" style="1552" customWidth="1"/>
    <col min="3076" max="3076" width="8" style="1552" customWidth="1"/>
    <col min="3077" max="3077" width="7.5" style="1552" customWidth="1"/>
    <col min="3078" max="3078" width="8.5" style="1552" customWidth="1"/>
    <col min="3079" max="3079" width="8" style="1552" customWidth="1"/>
    <col min="3080" max="3080" width="9.8984375" style="1552" customWidth="1"/>
    <col min="3081" max="3081" width="19.5" style="1552" customWidth="1"/>
    <col min="3082" max="3328" width="9" style="1552"/>
    <col min="3329" max="3329" width="5.19921875" style="1552" customWidth="1"/>
    <col min="3330" max="3330" width="42.59765625" style="1552" customWidth="1"/>
    <col min="3331" max="3331" width="8.3984375" style="1552" customWidth="1"/>
    <col min="3332" max="3332" width="8" style="1552" customWidth="1"/>
    <col min="3333" max="3333" width="7.5" style="1552" customWidth="1"/>
    <col min="3334" max="3334" width="8.5" style="1552" customWidth="1"/>
    <col min="3335" max="3335" width="8" style="1552" customWidth="1"/>
    <col min="3336" max="3336" width="9.8984375" style="1552" customWidth="1"/>
    <col min="3337" max="3337" width="19.5" style="1552" customWidth="1"/>
    <col min="3338" max="3584" width="9" style="1552"/>
    <col min="3585" max="3585" width="5.19921875" style="1552" customWidth="1"/>
    <col min="3586" max="3586" width="42.59765625" style="1552" customWidth="1"/>
    <col min="3587" max="3587" width="8.3984375" style="1552" customWidth="1"/>
    <col min="3588" max="3588" width="8" style="1552" customWidth="1"/>
    <col min="3589" max="3589" width="7.5" style="1552" customWidth="1"/>
    <col min="3590" max="3590" width="8.5" style="1552" customWidth="1"/>
    <col min="3591" max="3591" width="8" style="1552" customWidth="1"/>
    <col min="3592" max="3592" width="9.8984375" style="1552" customWidth="1"/>
    <col min="3593" max="3593" width="19.5" style="1552" customWidth="1"/>
    <col min="3594" max="3840" width="9" style="1552"/>
    <col min="3841" max="3841" width="5.19921875" style="1552" customWidth="1"/>
    <col min="3842" max="3842" width="42.59765625" style="1552" customWidth="1"/>
    <col min="3843" max="3843" width="8.3984375" style="1552" customWidth="1"/>
    <col min="3844" max="3844" width="8" style="1552" customWidth="1"/>
    <col min="3845" max="3845" width="7.5" style="1552" customWidth="1"/>
    <col min="3846" max="3846" width="8.5" style="1552" customWidth="1"/>
    <col min="3847" max="3847" width="8" style="1552" customWidth="1"/>
    <col min="3848" max="3848" width="9.8984375" style="1552" customWidth="1"/>
    <col min="3849" max="3849" width="19.5" style="1552" customWidth="1"/>
    <col min="3850" max="4096" width="9" style="1552"/>
    <col min="4097" max="4097" width="5.19921875" style="1552" customWidth="1"/>
    <col min="4098" max="4098" width="42.59765625" style="1552" customWidth="1"/>
    <col min="4099" max="4099" width="8.3984375" style="1552" customWidth="1"/>
    <col min="4100" max="4100" width="8" style="1552" customWidth="1"/>
    <col min="4101" max="4101" width="7.5" style="1552" customWidth="1"/>
    <col min="4102" max="4102" width="8.5" style="1552" customWidth="1"/>
    <col min="4103" max="4103" width="8" style="1552" customWidth="1"/>
    <col min="4104" max="4104" width="9.8984375" style="1552" customWidth="1"/>
    <col min="4105" max="4105" width="19.5" style="1552" customWidth="1"/>
    <col min="4106" max="4352" width="9" style="1552"/>
    <col min="4353" max="4353" width="5.19921875" style="1552" customWidth="1"/>
    <col min="4354" max="4354" width="42.59765625" style="1552" customWidth="1"/>
    <col min="4355" max="4355" width="8.3984375" style="1552" customWidth="1"/>
    <col min="4356" max="4356" width="8" style="1552" customWidth="1"/>
    <col min="4357" max="4357" width="7.5" style="1552" customWidth="1"/>
    <col min="4358" max="4358" width="8.5" style="1552" customWidth="1"/>
    <col min="4359" max="4359" width="8" style="1552" customWidth="1"/>
    <col min="4360" max="4360" width="9.8984375" style="1552" customWidth="1"/>
    <col min="4361" max="4361" width="19.5" style="1552" customWidth="1"/>
    <col min="4362" max="4608" width="9" style="1552"/>
    <col min="4609" max="4609" width="5.19921875" style="1552" customWidth="1"/>
    <col min="4610" max="4610" width="42.59765625" style="1552" customWidth="1"/>
    <col min="4611" max="4611" width="8.3984375" style="1552" customWidth="1"/>
    <col min="4612" max="4612" width="8" style="1552" customWidth="1"/>
    <col min="4613" max="4613" width="7.5" style="1552" customWidth="1"/>
    <col min="4614" max="4614" width="8.5" style="1552" customWidth="1"/>
    <col min="4615" max="4615" width="8" style="1552" customWidth="1"/>
    <col min="4616" max="4616" width="9.8984375" style="1552" customWidth="1"/>
    <col min="4617" max="4617" width="19.5" style="1552" customWidth="1"/>
    <col min="4618" max="4864" width="9" style="1552"/>
    <col min="4865" max="4865" width="5.19921875" style="1552" customWidth="1"/>
    <col min="4866" max="4866" width="42.59765625" style="1552" customWidth="1"/>
    <col min="4867" max="4867" width="8.3984375" style="1552" customWidth="1"/>
    <col min="4868" max="4868" width="8" style="1552" customWidth="1"/>
    <col min="4869" max="4869" width="7.5" style="1552" customWidth="1"/>
    <col min="4870" max="4870" width="8.5" style="1552" customWidth="1"/>
    <col min="4871" max="4871" width="8" style="1552" customWidth="1"/>
    <col min="4872" max="4872" width="9.8984375" style="1552" customWidth="1"/>
    <col min="4873" max="4873" width="19.5" style="1552" customWidth="1"/>
    <col min="4874" max="5120" width="9" style="1552"/>
    <col min="5121" max="5121" width="5.19921875" style="1552" customWidth="1"/>
    <col min="5122" max="5122" width="42.59765625" style="1552" customWidth="1"/>
    <col min="5123" max="5123" width="8.3984375" style="1552" customWidth="1"/>
    <col min="5124" max="5124" width="8" style="1552" customWidth="1"/>
    <col min="5125" max="5125" width="7.5" style="1552" customWidth="1"/>
    <col min="5126" max="5126" width="8.5" style="1552" customWidth="1"/>
    <col min="5127" max="5127" width="8" style="1552" customWidth="1"/>
    <col min="5128" max="5128" width="9.8984375" style="1552" customWidth="1"/>
    <col min="5129" max="5129" width="19.5" style="1552" customWidth="1"/>
    <col min="5130" max="5376" width="9" style="1552"/>
    <col min="5377" max="5377" width="5.19921875" style="1552" customWidth="1"/>
    <col min="5378" max="5378" width="42.59765625" style="1552" customWidth="1"/>
    <col min="5379" max="5379" width="8.3984375" style="1552" customWidth="1"/>
    <col min="5380" max="5380" width="8" style="1552" customWidth="1"/>
    <col min="5381" max="5381" width="7.5" style="1552" customWidth="1"/>
    <col min="5382" max="5382" width="8.5" style="1552" customWidth="1"/>
    <col min="5383" max="5383" width="8" style="1552" customWidth="1"/>
    <col min="5384" max="5384" width="9.8984375" style="1552" customWidth="1"/>
    <col min="5385" max="5385" width="19.5" style="1552" customWidth="1"/>
    <col min="5386" max="5632" width="9" style="1552"/>
    <col min="5633" max="5633" width="5.19921875" style="1552" customWidth="1"/>
    <col min="5634" max="5634" width="42.59765625" style="1552" customWidth="1"/>
    <col min="5635" max="5635" width="8.3984375" style="1552" customWidth="1"/>
    <col min="5636" max="5636" width="8" style="1552" customWidth="1"/>
    <col min="5637" max="5637" width="7.5" style="1552" customWidth="1"/>
    <col min="5638" max="5638" width="8.5" style="1552" customWidth="1"/>
    <col min="5639" max="5639" width="8" style="1552" customWidth="1"/>
    <col min="5640" max="5640" width="9.8984375" style="1552" customWidth="1"/>
    <col min="5641" max="5641" width="19.5" style="1552" customWidth="1"/>
    <col min="5642" max="5888" width="9" style="1552"/>
    <col min="5889" max="5889" width="5.19921875" style="1552" customWidth="1"/>
    <col min="5890" max="5890" width="42.59765625" style="1552" customWidth="1"/>
    <col min="5891" max="5891" width="8.3984375" style="1552" customWidth="1"/>
    <col min="5892" max="5892" width="8" style="1552" customWidth="1"/>
    <col min="5893" max="5893" width="7.5" style="1552" customWidth="1"/>
    <col min="5894" max="5894" width="8.5" style="1552" customWidth="1"/>
    <col min="5895" max="5895" width="8" style="1552" customWidth="1"/>
    <col min="5896" max="5896" width="9.8984375" style="1552" customWidth="1"/>
    <col min="5897" max="5897" width="19.5" style="1552" customWidth="1"/>
    <col min="5898" max="6144" width="9" style="1552"/>
    <col min="6145" max="6145" width="5.19921875" style="1552" customWidth="1"/>
    <col min="6146" max="6146" width="42.59765625" style="1552" customWidth="1"/>
    <col min="6147" max="6147" width="8.3984375" style="1552" customWidth="1"/>
    <col min="6148" max="6148" width="8" style="1552" customWidth="1"/>
    <col min="6149" max="6149" width="7.5" style="1552" customWidth="1"/>
    <col min="6150" max="6150" width="8.5" style="1552" customWidth="1"/>
    <col min="6151" max="6151" width="8" style="1552" customWidth="1"/>
    <col min="6152" max="6152" width="9.8984375" style="1552" customWidth="1"/>
    <col min="6153" max="6153" width="19.5" style="1552" customWidth="1"/>
    <col min="6154" max="6400" width="9" style="1552"/>
    <col min="6401" max="6401" width="5.19921875" style="1552" customWidth="1"/>
    <col min="6402" max="6402" width="42.59765625" style="1552" customWidth="1"/>
    <col min="6403" max="6403" width="8.3984375" style="1552" customWidth="1"/>
    <col min="6404" max="6404" width="8" style="1552" customWidth="1"/>
    <col min="6405" max="6405" width="7.5" style="1552" customWidth="1"/>
    <col min="6406" max="6406" width="8.5" style="1552" customWidth="1"/>
    <col min="6407" max="6407" width="8" style="1552" customWidth="1"/>
    <col min="6408" max="6408" width="9.8984375" style="1552" customWidth="1"/>
    <col min="6409" max="6409" width="19.5" style="1552" customWidth="1"/>
    <col min="6410" max="6656" width="9" style="1552"/>
    <col min="6657" max="6657" width="5.19921875" style="1552" customWidth="1"/>
    <col min="6658" max="6658" width="42.59765625" style="1552" customWidth="1"/>
    <col min="6659" max="6659" width="8.3984375" style="1552" customWidth="1"/>
    <col min="6660" max="6660" width="8" style="1552" customWidth="1"/>
    <col min="6661" max="6661" width="7.5" style="1552" customWidth="1"/>
    <col min="6662" max="6662" width="8.5" style="1552" customWidth="1"/>
    <col min="6663" max="6663" width="8" style="1552" customWidth="1"/>
    <col min="6664" max="6664" width="9.8984375" style="1552" customWidth="1"/>
    <col min="6665" max="6665" width="19.5" style="1552" customWidth="1"/>
    <col min="6666" max="6912" width="9" style="1552"/>
    <col min="6913" max="6913" width="5.19921875" style="1552" customWidth="1"/>
    <col min="6914" max="6914" width="42.59765625" style="1552" customWidth="1"/>
    <col min="6915" max="6915" width="8.3984375" style="1552" customWidth="1"/>
    <col min="6916" max="6916" width="8" style="1552" customWidth="1"/>
    <col min="6917" max="6917" width="7.5" style="1552" customWidth="1"/>
    <col min="6918" max="6918" width="8.5" style="1552" customWidth="1"/>
    <col min="6919" max="6919" width="8" style="1552" customWidth="1"/>
    <col min="6920" max="6920" width="9.8984375" style="1552" customWidth="1"/>
    <col min="6921" max="6921" width="19.5" style="1552" customWidth="1"/>
    <col min="6922" max="7168" width="9" style="1552"/>
    <col min="7169" max="7169" width="5.19921875" style="1552" customWidth="1"/>
    <col min="7170" max="7170" width="42.59765625" style="1552" customWidth="1"/>
    <col min="7171" max="7171" width="8.3984375" style="1552" customWidth="1"/>
    <col min="7172" max="7172" width="8" style="1552" customWidth="1"/>
    <col min="7173" max="7173" width="7.5" style="1552" customWidth="1"/>
    <col min="7174" max="7174" width="8.5" style="1552" customWidth="1"/>
    <col min="7175" max="7175" width="8" style="1552" customWidth="1"/>
    <col min="7176" max="7176" width="9.8984375" style="1552" customWidth="1"/>
    <col min="7177" max="7177" width="19.5" style="1552" customWidth="1"/>
    <col min="7178" max="7424" width="9" style="1552"/>
    <col min="7425" max="7425" width="5.19921875" style="1552" customWidth="1"/>
    <col min="7426" max="7426" width="42.59765625" style="1552" customWidth="1"/>
    <col min="7427" max="7427" width="8.3984375" style="1552" customWidth="1"/>
    <col min="7428" max="7428" width="8" style="1552" customWidth="1"/>
    <col min="7429" max="7429" width="7.5" style="1552" customWidth="1"/>
    <col min="7430" max="7430" width="8.5" style="1552" customWidth="1"/>
    <col min="7431" max="7431" width="8" style="1552" customWidth="1"/>
    <col min="7432" max="7432" width="9.8984375" style="1552" customWidth="1"/>
    <col min="7433" max="7433" width="19.5" style="1552" customWidth="1"/>
    <col min="7434" max="7680" width="9" style="1552"/>
    <col min="7681" max="7681" width="5.19921875" style="1552" customWidth="1"/>
    <col min="7682" max="7682" width="42.59765625" style="1552" customWidth="1"/>
    <col min="7683" max="7683" width="8.3984375" style="1552" customWidth="1"/>
    <col min="7684" max="7684" width="8" style="1552" customWidth="1"/>
    <col min="7685" max="7685" width="7.5" style="1552" customWidth="1"/>
    <col min="7686" max="7686" width="8.5" style="1552" customWidth="1"/>
    <col min="7687" max="7687" width="8" style="1552" customWidth="1"/>
    <col min="7688" max="7688" width="9.8984375" style="1552" customWidth="1"/>
    <col min="7689" max="7689" width="19.5" style="1552" customWidth="1"/>
    <col min="7690" max="7936" width="9" style="1552"/>
    <col min="7937" max="7937" width="5.19921875" style="1552" customWidth="1"/>
    <col min="7938" max="7938" width="42.59765625" style="1552" customWidth="1"/>
    <col min="7939" max="7939" width="8.3984375" style="1552" customWidth="1"/>
    <col min="7940" max="7940" width="8" style="1552" customWidth="1"/>
    <col min="7941" max="7941" width="7.5" style="1552" customWidth="1"/>
    <col min="7942" max="7942" width="8.5" style="1552" customWidth="1"/>
    <col min="7943" max="7943" width="8" style="1552" customWidth="1"/>
    <col min="7944" max="7944" width="9.8984375" style="1552" customWidth="1"/>
    <col min="7945" max="7945" width="19.5" style="1552" customWidth="1"/>
    <col min="7946" max="8192" width="9" style="1552"/>
    <col min="8193" max="8193" width="5.19921875" style="1552" customWidth="1"/>
    <col min="8194" max="8194" width="42.59765625" style="1552" customWidth="1"/>
    <col min="8195" max="8195" width="8.3984375" style="1552" customWidth="1"/>
    <col min="8196" max="8196" width="8" style="1552" customWidth="1"/>
    <col min="8197" max="8197" width="7.5" style="1552" customWidth="1"/>
    <col min="8198" max="8198" width="8.5" style="1552" customWidth="1"/>
    <col min="8199" max="8199" width="8" style="1552" customWidth="1"/>
    <col min="8200" max="8200" width="9.8984375" style="1552" customWidth="1"/>
    <col min="8201" max="8201" width="19.5" style="1552" customWidth="1"/>
    <col min="8202" max="8448" width="9" style="1552"/>
    <col min="8449" max="8449" width="5.19921875" style="1552" customWidth="1"/>
    <col min="8450" max="8450" width="42.59765625" style="1552" customWidth="1"/>
    <col min="8451" max="8451" width="8.3984375" style="1552" customWidth="1"/>
    <col min="8452" max="8452" width="8" style="1552" customWidth="1"/>
    <col min="8453" max="8453" width="7.5" style="1552" customWidth="1"/>
    <col min="8454" max="8454" width="8.5" style="1552" customWidth="1"/>
    <col min="8455" max="8455" width="8" style="1552" customWidth="1"/>
    <col min="8456" max="8456" width="9.8984375" style="1552" customWidth="1"/>
    <col min="8457" max="8457" width="19.5" style="1552" customWidth="1"/>
    <col min="8458" max="8704" width="9" style="1552"/>
    <col min="8705" max="8705" width="5.19921875" style="1552" customWidth="1"/>
    <col min="8706" max="8706" width="42.59765625" style="1552" customWidth="1"/>
    <col min="8707" max="8707" width="8.3984375" style="1552" customWidth="1"/>
    <col min="8708" max="8708" width="8" style="1552" customWidth="1"/>
    <col min="8709" max="8709" width="7.5" style="1552" customWidth="1"/>
    <col min="8710" max="8710" width="8.5" style="1552" customWidth="1"/>
    <col min="8711" max="8711" width="8" style="1552" customWidth="1"/>
    <col min="8712" max="8712" width="9.8984375" style="1552" customWidth="1"/>
    <col min="8713" max="8713" width="19.5" style="1552" customWidth="1"/>
    <col min="8714" max="8960" width="9" style="1552"/>
    <col min="8961" max="8961" width="5.19921875" style="1552" customWidth="1"/>
    <col min="8962" max="8962" width="42.59765625" style="1552" customWidth="1"/>
    <col min="8963" max="8963" width="8.3984375" style="1552" customWidth="1"/>
    <col min="8964" max="8964" width="8" style="1552" customWidth="1"/>
    <col min="8965" max="8965" width="7.5" style="1552" customWidth="1"/>
    <col min="8966" max="8966" width="8.5" style="1552" customWidth="1"/>
    <col min="8967" max="8967" width="8" style="1552" customWidth="1"/>
    <col min="8968" max="8968" width="9.8984375" style="1552" customWidth="1"/>
    <col min="8969" max="8969" width="19.5" style="1552" customWidth="1"/>
    <col min="8970" max="9216" width="9" style="1552"/>
    <col min="9217" max="9217" width="5.19921875" style="1552" customWidth="1"/>
    <col min="9218" max="9218" width="42.59765625" style="1552" customWidth="1"/>
    <col min="9219" max="9219" width="8.3984375" style="1552" customWidth="1"/>
    <col min="9220" max="9220" width="8" style="1552" customWidth="1"/>
    <col min="9221" max="9221" width="7.5" style="1552" customWidth="1"/>
    <col min="9222" max="9222" width="8.5" style="1552" customWidth="1"/>
    <col min="9223" max="9223" width="8" style="1552" customWidth="1"/>
    <col min="9224" max="9224" width="9.8984375" style="1552" customWidth="1"/>
    <col min="9225" max="9225" width="19.5" style="1552" customWidth="1"/>
    <col min="9226" max="9472" width="9" style="1552"/>
    <col min="9473" max="9473" width="5.19921875" style="1552" customWidth="1"/>
    <col min="9474" max="9474" width="42.59765625" style="1552" customWidth="1"/>
    <col min="9475" max="9475" width="8.3984375" style="1552" customWidth="1"/>
    <col min="9476" max="9476" width="8" style="1552" customWidth="1"/>
    <col min="9477" max="9477" width="7.5" style="1552" customWidth="1"/>
    <col min="9478" max="9478" width="8.5" style="1552" customWidth="1"/>
    <col min="9479" max="9479" width="8" style="1552" customWidth="1"/>
    <col min="9480" max="9480" width="9.8984375" style="1552" customWidth="1"/>
    <col min="9481" max="9481" width="19.5" style="1552" customWidth="1"/>
    <col min="9482" max="9728" width="9" style="1552"/>
    <col min="9729" max="9729" width="5.19921875" style="1552" customWidth="1"/>
    <col min="9730" max="9730" width="42.59765625" style="1552" customWidth="1"/>
    <col min="9731" max="9731" width="8.3984375" style="1552" customWidth="1"/>
    <col min="9732" max="9732" width="8" style="1552" customWidth="1"/>
    <col min="9733" max="9733" width="7.5" style="1552" customWidth="1"/>
    <col min="9734" max="9734" width="8.5" style="1552" customWidth="1"/>
    <col min="9735" max="9735" width="8" style="1552" customWidth="1"/>
    <col min="9736" max="9736" width="9.8984375" style="1552" customWidth="1"/>
    <col min="9737" max="9737" width="19.5" style="1552" customWidth="1"/>
    <col min="9738" max="9984" width="9" style="1552"/>
    <col min="9985" max="9985" width="5.19921875" style="1552" customWidth="1"/>
    <col min="9986" max="9986" width="42.59765625" style="1552" customWidth="1"/>
    <col min="9987" max="9987" width="8.3984375" style="1552" customWidth="1"/>
    <col min="9988" max="9988" width="8" style="1552" customWidth="1"/>
    <col min="9989" max="9989" width="7.5" style="1552" customWidth="1"/>
    <col min="9990" max="9990" width="8.5" style="1552" customWidth="1"/>
    <col min="9991" max="9991" width="8" style="1552" customWidth="1"/>
    <col min="9992" max="9992" width="9.8984375" style="1552" customWidth="1"/>
    <col min="9993" max="9993" width="19.5" style="1552" customWidth="1"/>
    <col min="9994" max="10240" width="9" style="1552"/>
    <col min="10241" max="10241" width="5.19921875" style="1552" customWidth="1"/>
    <col min="10242" max="10242" width="42.59765625" style="1552" customWidth="1"/>
    <col min="10243" max="10243" width="8.3984375" style="1552" customWidth="1"/>
    <col min="10244" max="10244" width="8" style="1552" customWidth="1"/>
    <col min="10245" max="10245" width="7.5" style="1552" customWidth="1"/>
    <col min="10246" max="10246" width="8.5" style="1552" customWidth="1"/>
    <col min="10247" max="10247" width="8" style="1552" customWidth="1"/>
    <col min="10248" max="10248" width="9.8984375" style="1552" customWidth="1"/>
    <col min="10249" max="10249" width="19.5" style="1552" customWidth="1"/>
    <col min="10250" max="10496" width="9" style="1552"/>
    <col min="10497" max="10497" width="5.19921875" style="1552" customWidth="1"/>
    <col min="10498" max="10498" width="42.59765625" style="1552" customWidth="1"/>
    <col min="10499" max="10499" width="8.3984375" style="1552" customWidth="1"/>
    <col min="10500" max="10500" width="8" style="1552" customWidth="1"/>
    <col min="10501" max="10501" width="7.5" style="1552" customWidth="1"/>
    <col min="10502" max="10502" width="8.5" style="1552" customWidth="1"/>
    <col min="10503" max="10503" width="8" style="1552" customWidth="1"/>
    <col min="10504" max="10504" width="9.8984375" style="1552" customWidth="1"/>
    <col min="10505" max="10505" width="19.5" style="1552" customWidth="1"/>
    <col min="10506" max="10752" width="9" style="1552"/>
    <col min="10753" max="10753" width="5.19921875" style="1552" customWidth="1"/>
    <col min="10754" max="10754" width="42.59765625" style="1552" customWidth="1"/>
    <col min="10755" max="10755" width="8.3984375" style="1552" customWidth="1"/>
    <col min="10756" max="10756" width="8" style="1552" customWidth="1"/>
    <col min="10757" max="10757" width="7.5" style="1552" customWidth="1"/>
    <col min="10758" max="10758" width="8.5" style="1552" customWidth="1"/>
    <col min="10759" max="10759" width="8" style="1552" customWidth="1"/>
    <col min="10760" max="10760" width="9.8984375" style="1552" customWidth="1"/>
    <col min="10761" max="10761" width="19.5" style="1552" customWidth="1"/>
    <col min="10762" max="11008" width="9" style="1552"/>
    <col min="11009" max="11009" width="5.19921875" style="1552" customWidth="1"/>
    <col min="11010" max="11010" width="42.59765625" style="1552" customWidth="1"/>
    <col min="11011" max="11011" width="8.3984375" style="1552" customWidth="1"/>
    <col min="11012" max="11012" width="8" style="1552" customWidth="1"/>
    <col min="11013" max="11013" width="7.5" style="1552" customWidth="1"/>
    <col min="11014" max="11014" width="8.5" style="1552" customWidth="1"/>
    <col min="11015" max="11015" width="8" style="1552" customWidth="1"/>
    <col min="11016" max="11016" width="9.8984375" style="1552" customWidth="1"/>
    <col min="11017" max="11017" width="19.5" style="1552" customWidth="1"/>
    <col min="11018" max="11264" width="9" style="1552"/>
    <col min="11265" max="11265" width="5.19921875" style="1552" customWidth="1"/>
    <col min="11266" max="11266" width="42.59765625" style="1552" customWidth="1"/>
    <col min="11267" max="11267" width="8.3984375" style="1552" customWidth="1"/>
    <col min="11268" max="11268" width="8" style="1552" customWidth="1"/>
    <col min="11269" max="11269" width="7.5" style="1552" customWidth="1"/>
    <col min="11270" max="11270" width="8.5" style="1552" customWidth="1"/>
    <col min="11271" max="11271" width="8" style="1552" customWidth="1"/>
    <col min="11272" max="11272" width="9.8984375" style="1552" customWidth="1"/>
    <col min="11273" max="11273" width="19.5" style="1552" customWidth="1"/>
    <col min="11274" max="11520" width="9" style="1552"/>
    <col min="11521" max="11521" width="5.19921875" style="1552" customWidth="1"/>
    <col min="11522" max="11522" width="42.59765625" style="1552" customWidth="1"/>
    <col min="11523" max="11523" width="8.3984375" style="1552" customWidth="1"/>
    <col min="11524" max="11524" width="8" style="1552" customWidth="1"/>
    <col min="11525" max="11525" width="7.5" style="1552" customWidth="1"/>
    <col min="11526" max="11526" width="8.5" style="1552" customWidth="1"/>
    <col min="11527" max="11527" width="8" style="1552" customWidth="1"/>
    <col min="11528" max="11528" width="9.8984375" style="1552" customWidth="1"/>
    <col min="11529" max="11529" width="19.5" style="1552" customWidth="1"/>
    <col min="11530" max="11776" width="9" style="1552"/>
    <col min="11777" max="11777" width="5.19921875" style="1552" customWidth="1"/>
    <col min="11778" max="11778" width="42.59765625" style="1552" customWidth="1"/>
    <col min="11779" max="11779" width="8.3984375" style="1552" customWidth="1"/>
    <col min="11780" max="11780" width="8" style="1552" customWidth="1"/>
    <col min="11781" max="11781" width="7.5" style="1552" customWidth="1"/>
    <col min="11782" max="11782" width="8.5" style="1552" customWidth="1"/>
    <col min="11783" max="11783" width="8" style="1552" customWidth="1"/>
    <col min="11784" max="11784" width="9.8984375" style="1552" customWidth="1"/>
    <col min="11785" max="11785" width="19.5" style="1552" customWidth="1"/>
    <col min="11786" max="12032" width="9" style="1552"/>
    <col min="12033" max="12033" width="5.19921875" style="1552" customWidth="1"/>
    <col min="12034" max="12034" width="42.59765625" style="1552" customWidth="1"/>
    <col min="12035" max="12035" width="8.3984375" style="1552" customWidth="1"/>
    <col min="12036" max="12036" width="8" style="1552" customWidth="1"/>
    <col min="12037" max="12037" width="7.5" style="1552" customWidth="1"/>
    <col min="12038" max="12038" width="8.5" style="1552" customWidth="1"/>
    <col min="12039" max="12039" width="8" style="1552" customWidth="1"/>
    <col min="12040" max="12040" width="9.8984375" style="1552" customWidth="1"/>
    <col min="12041" max="12041" width="19.5" style="1552" customWidth="1"/>
    <col min="12042" max="12288" width="9" style="1552"/>
    <col min="12289" max="12289" width="5.19921875" style="1552" customWidth="1"/>
    <col min="12290" max="12290" width="42.59765625" style="1552" customWidth="1"/>
    <col min="12291" max="12291" width="8.3984375" style="1552" customWidth="1"/>
    <col min="12292" max="12292" width="8" style="1552" customWidth="1"/>
    <col min="12293" max="12293" width="7.5" style="1552" customWidth="1"/>
    <col min="12294" max="12294" width="8.5" style="1552" customWidth="1"/>
    <col min="12295" max="12295" width="8" style="1552" customWidth="1"/>
    <col min="12296" max="12296" width="9.8984375" style="1552" customWidth="1"/>
    <col min="12297" max="12297" width="19.5" style="1552" customWidth="1"/>
    <col min="12298" max="12544" width="9" style="1552"/>
    <col min="12545" max="12545" width="5.19921875" style="1552" customWidth="1"/>
    <col min="12546" max="12546" width="42.59765625" style="1552" customWidth="1"/>
    <col min="12547" max="12547" width="8.3984375" style="1552" customWidth="1"/>
    <col min="12548" max="12548" width="8" style="1552" customWidth="1"/>
    <col min="12549" max="12549" width="7.5" style="1552" customWidth="1"/>
    <col min="12550" max="12550" width="8.5" style="1552" customWidth="1"/>
    <col min="12551" max="12551" width="8" style="1552" customWidth="1"/>
    <col min="12552" max="12552" width="9.8984375" style="1552" customWidth="1"/>
    <col min="12553" max="12553" width="19.5" style="1552" customWidth="1"/>
    <col min="12554" max="12800" width="9" style="1552"/>
    <col min="12801" max="12801" width="5.19921875" style="1552" customWidth="1"/>
    <col min="12802" max="12802" width="42.59765625" style="1552" customWidth="1"/>
    <col min="12803" max="12803" width="8.3984375" style="1552" customWidth="1"/>
    <col min="12804" max="12804" width="8" style="1552" customWidth="1"/>
    <col min="12805" max="12805" width="7.5" style="1552" customWidth="1"/>
    <col min="12806" max="12806" width="8.5" style="1552" customWidth="1"/>
    <col min="12807" max="12807" width="8" style="1552" customWidth="1"/>
    <col min="12808" max="12808" width="9.8984375" style="1552" customWidth="1"/>
    <col min="12809" max="12809" width="19.5" style="1552" customWidth="1"/>
    <col min="12810" max="13056" width="9" style="1552"/>
    <col min="13057" max="13057" width="5.19921875" style="1552" customWidth="1"/>
    <col min="13058" max="13058" width="42.59765625" style="1552" customWidth="1"/>
    <col min="13059" max="13059" width="8.3984375" style="1552" customWidth="1"/>
    <col min="13060" max="13060" width="8" style="1552" customWidth="1"/>
    <col min="13061" max="13061" width="7.5" style="1552" customWidth="1"/>
    <col min="13062" max="13062" width="8.5" style="1552" customWidth="1"/>
    <col min="13063" max="13063" width="8" style="1552" customWidth="1"/>
    <col min="13064" max="13064" width="9.8984375" style="1552" customWidth="1"/>
    <col min="13065" max="13065" width="19.5" style="1552" customWidth="1"/>
    <col min="13066" max="13312" width="9" style="1552"/>
    <col min="13313" max="13313" width="5.19921875" style="1552" customWidth="1"/>
    <col min="13314" max="13314" width="42.59765625" style="1552" customWidth="1"/>
    <col min="13315" max="13315" width="8.3984375" style="1552" customWidth="1"/>
    <col min="13316" max="13316" width="8" style="1552" customWidth="1"/>
    <col min="13317" max="13317" width="7.5" style="1552" customWidth="1"/>
    <col min="13318" max="13318" width="8.5" style="1552" customWidth="1"/>
    <col min="13319" max="13319" width="8" style="1552" customWidth="1"/>
    <col min="13320" max="13320" width="9.8984375" style="1552" customWidth="1"/>
    <col min="13321" max="13321" width="19.5" style="1552" customWidth="1"/>
    <col min="13322" max="13568" width="9" style="1552"/>
    <col min="13569" max="13569" width="5.19921875" style="1552" customWidth="1"/>
    <col min="13570" max="13570" width="42.59765625" style="1552" customWidth="1"/>
    <col min="13571" max="13571" width="8.3984375" style="1552" customWidth="1"/>
    <col min="13572" max="13572" width="8" style="1552" customWidth="1"/>
    <col min="13573" max="13573" width="7.5" style="1552" customWidth="1"/>
    <col min="13574" max="13574" width="8.5" style="1552" customWidth="1"/>
    <col min="13575" max="13575" width="8" style="1552" customWidth="1"/>
    <col min="13576" max="13576" width="9.8984375" style="1552" customWidth="1"/>
    <col min="13577" max="13577" width="19.5" style="1552" customWidth="1"/>
    <col min="13578" max="13824" width="9" style="1552"/>
    <col min="13825" max="13825" width="5.19921875" style="1552" customWidth="1"/>
    <col min="13826" max="13826" width="42.59765625" style="1552" customWidth="1"/>
    <col min="13827" max="13827" width="8.3984375" style="1552" customWidth="1"/>
    <col min="13828" max="13828" width="8" style="1552" customWidth="1"/>
    <col min="13829" max="13829" width="7.5" style="1552" customWidth="1"/>
    <col min="13830" max="13830" width="8.5" style="1552" customWidth="1"/>
    <col min="13831" max="13831" width="8" style="1552" customWidth="1"/>
    <col min="13832" max="13832" width="9.8984375" style="1552" customWidth="1"/>
    <col min="13833" max="13833" width="19.5" style="1552" customWidth="1"/>
    <col min="13834" max="14080" width="9" style="1552"/>
    <col min="14081" max="14081" width="5.19921875" style="1552" customWidth="1"/>
    <col min="14082" max="14082" width="42.59765625" style="1552" customWidth="1"/>
    <col min="14083" max="14083" width="8.3984375" style="1552" customWidth="1"/>
    <col min="14084" max="14084" width="8" style="1552" customWidth="1"/>
    <col min="14085" max="14085" width="7.5" style="1552" customWidth="1"/>
    <col min="14086" max="14086" width="8.5" style="1552" customWidth="1"/>
    <col min="14087" max="14087" width="8" style="1552" customWidth="1"/>
    <col min="14088" max="14088" width="9.8984375" style="1552" customWidth="1"/>
    <col min="14089" max="14089" width="19.5" style="1552" customWidth="1"/>
    <col min="14090" max="14336" width="9" style="1552"/>
    <col min="14337" max="14337" width="5.19921875" style="1552" customWidth="1"/>
    <col min="14338" max="14338" width="42.59765625" style="1552" customWidth="1"/>
    <col min="14339" max="14339" width="8.3984375" style="1552" customWidth="1"/>
    <col min="14340" max="14340" width="8" style="1552" customWidth="1"/>
    <col min="14341" max="14341" width="7.5" style="1552" customWidth="1"/>
    <col min="14342" max="14342" width="8.5" style="1552" customWidth="1"/>
    <col min="14343" max="14343" width="8" style="1552" customWidth="1"/>
    <col min="14344" max="14344" width="9.8984375" style="1552" customWidth="1"/>
    <col min="14345" max="14345" width="19.5" style="1552" customWidth="1"/>
    <col min="14346" max="14592" width="9" style="1552"/>
    <col min="14593" max="14593" width="5.19921875" style="1552" customWidth="1"/>
    <col min="14594" max="14594" width="42.59765625" style="1552" customWidth="1"/>
    <col min="14595" max="14595" width="8.3984375" style="1552" customWidth="1"/>
    <col min="14596" max="14596" width="8" style="1552" customWidth="1"/>
    <col min="14597" max="14597" width="7.5" style="1552" customWidth="1"/>
    <col min="14598" max="14598" width="8.5" style="1552" customWidth="1"/>
    <col min="14599" max="14599" width="8" style="1552" customWidth="1"/>
    <col min="14600" max="14600" width="9.8984375" style="1552" customWidth="1"/>
    <col min="14601" max="14601" width="19.5" style="1552" customWidth="1"/>
    <col min="14602" max="14848" width="9" style="1552"/>
    <col min="14849" max="14849" width="5.19921875" style="1552" customWidth="1"/>
    <col min="14850" max="14850" width="42.59765625" style="1552" customWidth="1"/>
    <col min="14851" max="14851" width="8.3984375" style="1552" customWidth="1"/>
    <col min="14852" max="14852" width="8" style="1552" customWidth="1"/>
    <col min="14853" max="14853" width="7.5" style="1552" customWidth="1"/>
    <col min="14854" max="14854" width="8.5" style="1552" customWidth="1"/>
    <col min="14855" max="14855" width="8" style="1552" customWidth="1"/>
    <col min="14856" max="14856" width="9.8984375" style="1552" customWidth="1"/>
    <col min="14857" max="14857" width="19.5" style="1552" customWidth="1"/>
    <col min="14858" max="15104" width="9" style="1552"/>
    <col min="15105" max="15105" width="5.19921875" style="1552" customWidth="1"/>
    <col min="15106" max="15106" width="42.59765625" style="1552" customWidth="1"/>
    <col min="15107" max="15107" width="8.3984375" style="1552" customWidth="1"/>
    <col min="15108" max="15108" width="8" style="1552" customWidth="1"/>
    <col min="15109" max="15109" width="7.5" style="1552" customWidth="1"/>
    <col min="15110" max="15110" width="8.5" style="1552" customWidth="1"/>
    <col min="15111" max="15111" width="8" style="1552" customWidth="1"/>
    <col min="15112" max="15112" width="9.8984375" style="1552" customWidth="1"/>
    <col min="15113" max="15113" width="19.5" style="1552" customWidth="1"/>
    <col min="15114" max="15360" width="9" style="1552"/>
    <col min="15361" max="15361" width="5.19921875" style="1552" customWidth="1"/>
    <col min="15362" max="15362" width="42.59765625" style="1552" customWidth="1"/>
    <col min="15363" max="15363" width="8.3984375" style="1552" customWidth="1"/>
    <col min="15364" max="15364" width="8" style="1552" customWidth="1"/>
    <col min="15365" max="15365" width="7.5" style="1552" customWidth="1"/>
    <col min="15366" max="15366" width="8.5" style="1552" customWidth="1"/>
    <col min="15367" max="15367" width="8" style="1552" customWidth="1"/>
    <col min="15368" max="15368" width="9.8984375" style="1552" customWidth="1"/>
    <col min="15369" max="15369" width="19.5" style="1552" customWidth="1"/>
    <col min="15370" max="15616" width="9" style="1552"/>
    <col min="15617" max="15617" width="5.19921875" style="1552" customWidth="1"/>
    <col min="15618" max="15618" width="42.59765625" style="1552" customWidth="1"/>
    <col min="15619" max="15619" width="8.3984375" style="1552" customWidth="1"/>
    <col min="15620" max="15620" width="8" style="1552" customWidth="1"/>
    <col min="15621" max="15621" width="7.5" style="1552" customWidth="1"/>
    <col min="15622" max="15622" width="8.5" style="1552" customWidth="1"/>
    <col min="15623" max="15623" width="8" style="1552" customWidth="1"/>
    <col min="15624" max="15624" width="9.8984375" style="1552" customWidth="1"/>
    <col min="15625" max="15625" width="19.5" style="1552" customWidth="1"/>
    <col min="15626" max="15872" width="9" style="1552"/>
    <col min="15873" max="15873" width="5.19921875" style="1552" customWidth="1"/>
    <col min="15874" max="15874" width="42.59765625" style="1552" customWidth="1"/>
    <col min="15875" max="15875" width="8.3984375" style="1552" customWidth="1"/>
    <col min="15876" max="15876" width="8" style="1552" customWidth="1"/>
    <col min="15877" max="15877" width="7.5" style="1552" customWidth="1"/>
    <col min="15878" max="15878" width="8.5" style="1552" customWidth="1"/>
    <col min="15879" max="15879" width="8" style="1552" customWidth="1"/>
    <col min="15880" max="15880" width="9.8984375" style="1552" customWidth="1"/>
    <col min="15881" max="15881" width="19.5" style="1552" customWidth="1"/>
    <col min="15882" max="16128" width="9" style="1552"/>
    <col min="16129" max="16129" width="5.19921875" style="1552" customWidth="1"/>
    <col min="16130" max="16130" width="42.59765625" style="1552" customWidth="1"/>
    <col min="16131" max="16131" width="8.3984375" style="1552" customWidth="1"/>
    <col min="16132" max="16132" width="8" style="1552" customWidth="1"/>
    <col min="16133" max="16133" width="7.5" style="1552" customWidth="1"/>
    <col min="16134" max="16134" width="8.5" style="1552" customWidth="1"/>
    <col min="16135" max="16135" width="8" style="1552" customWidth="1"/>
    <col min="16136" max="16136" width="9.8984375" style="1552" customWidth="1"/>
    <col min="16137" max="16137" width="19.5" style="1552" customWidth="1"/>
    <col min="16138" max="16384" width="9" style="1552"/>
  </cols>
  <sheetData>
    <row r="1" spans="1:10" s="1551" customFormat="1" ht="20.100000000000001" customHeight="1">
      <c r="A1" s="3400" t="s">
        <v>5184</v>
      </c>
      <c r="B1" s="3400"/>
      <c r="C1" s="3400"/>
      <c r="D1" s="3400"/>
      <c r="E1" s="3400"/>
      <c r="F1" s="3400"/>
      <c r="G1" s="3400"/>
      <c r="H1" s="3400"/>
      <c r="I1" s="1802"/>
    </row>
    <row r="2" spans="1:10" ht="25.5" customHeight="1">
      <c r="A2" s="3401" t="s">
        <v>5185</v>
      </c>
      <c r="B2" s="3401"/>
      <c r="C2" s="3401"/>
      <c r="D2" s="3401"/>
      <c r="E2" s="3401"/>
      <c r="F2" s="3401"/>
      <c r="G2" s="3401"/>
      <c r="H2" s="3401"/>
      <c r="I2" s="1820"/>
    </row>
    <row r="3" spans="1:10" s="1556" customFormat="1" ht="29.25" customHeight="1">
      <c r="A3" s="3402" t="s">
        <v>1853</v>
      </c>
      <c r="B3" s="3402" t="s">
        <v>5079</v>
      </c>
      <c r="C3" s="3405" t="s">
        <v>5186</v>
      </c>
      <c r="D3" s="3399" t="s">
        <v>1850</v>
      </c>
      <c r="E3" s="3399"/>
      <c r="F3" s="3399" t="s">
        <v>1851</v>
      </c>
      <c r="G3" s="3399"/>
      <c r="H3" s="3405" t="s">
        <v>5187</v>
      </c>
      <c r="I3" s="1843" t="s">
        <v>1857</v>
      </c>
    </row>
    <row r="4" spans="1:10" s="1556" customFormat="1" ht="18" customHeight="1">
      <c r="A4" s="3403"/>
      <c r="B4" s="3403"/>
      <c r="C4" s="3406"/>
      <c r="D4" s="1840" t="s">
        <v>5188</v>
      </c>
      <c r="E4" s="1840" t="s">
        <v>5189</v>
      </c>
      <c r="F4" s="1840" t="s">
        <v>5188</v>
      </c>
      <c r="G4" s="1840" t="s">
        <v>5189</v>
      </c>
      <c r="H4" s="3406"/>
      <c r="I4" s="2001"/>
    </row>
    <row r="5" spans="1:10" ht="14.25" customHeight="1">
      <c r="A5" s="3404"/>
      <c r="B5" s="3404"/>
      <c r="C5" s="1844">
        <v>1</v>
      </c>
      <c r="D5" s="1844">
        <v>2</v>
      </c>
      <c r="E5" s="1844">
        <v>3</v>
      </c>
      <c r="F5" s="1844">
        <v>4</v>
      </c>
      <c r="G5" s="1844">
        <v>5</v>
      </c>
      <c r="H5" s="1844" t="s">
        <v>5190</v>
      </c>
      <c r="I5" s="1809"/>
    </row>
    <row r="6" spans="1:10" ht="14.25" customHeight="1">
      <c r="A6" s="1840">
        <v>1</v>
      </c>
      <c r="B6" s="1809" t="s">
        <v>5191</v>
      </c>
      <c r="C6" s="2072">
        <f>未按权责发生制确认收入审核表!C6</f>
        <v>0</v>
      </c>
      <c r="D6" s="2072">
        <f>未按权责发生制确认收入审核表!D6</f>
        <v>0</v>
      </c>
      <c r="E6" s="2072">
        <f>未按权责发生制确认收入审核表!E6</f>
        <v>0</v>
      </c>
      <c r="F6" s="2072">
        <f>未按权责发生制确认收入审核表!F6</f>
        <v>0</v>
      </c>
      <c r="G6" s="2072">
        <f>未按权责发生制确认收入审核表!G6</f>
        <v>0</v>
      </c>
      <c r="H6" s="2072">
        <f>未按权责发生制确认收入审核表!H6</f>
        <v>0</v>
      </c>
      <c r="I6" s="1809"/>
    </row>
    <row r="7" spans="1:10" ht="14.25" customHeight="1">
      <c r="A7" s="1840">
        <v>2</v>
      </c>
      <c r="B7" s="1809" t="s">
        <v>5192</v>
      </c>
      <c r="C7" s="2072">
        <f>未按权责发生制确认收入审核表!C7</f>
        <v>0</v>
      </c>
      <c r="D7" s="2072">
        <f>未按权责发生制确认收入审核表!D7</f>
        <v>0</v>
      </c>
      <c r="E7" s="2072">
        <f>未按权责发生制确认收入审核表!E7</f>
        <v>0</v>
      </c>
      <c r="F7" s="2072">
        <f>未按权责发生制确认收入审核表!F7</f>
        <v>0</v>
      </c>
      <c r="G7" s="2072">
        <f>未按权责发生制确认收入审核表!G7</f>
        <v>0</v>
      </c>
      <c r="H7" s="2072">
        <f>未按权责发生制确认收入审核表!H7</f>
        <v>0</v>
      </c>
      <c r="I7" s="1809"/>
    </row>
    <row r="8" spans="1:10" ht="14.25" customHeight="1">
      <c r="A8" s="1840">
        <v>3</v>
      </c>
      <c r="B8" s="1809" t="s">
        <v>5193</v>
      </c>
      <c r="C8" s="2072">
        <f>未按权责发生制确认收入审核表!C8</f>
        <v>0</v>
      </c>
      <c r="D8" s="2072">
        <f>未按权责发生制确认收入审核表!D8</f>
        <v>0</v>
      </c>
      <c r="E8" s="2072">
        <f>未按权责发生制确认收入审核表!E8</f>
        <v>0</v>
      </c>
      <c r="F8" s="2072">
        <f>未按权责发生制确认收入审核表!F8</f>
        <v>0</v>
      </c>
      <c r="G8" s="2072">
        <f>未按权责发生制确认收入审核表!G8</f>
        <v>0</v>
      </c>
      <c r="H8" s="2072">
        <f>未按权责发生制确认收入审核表!H8</f>
        <v>0</v>
      </c>
      <c r="I8" s="1809"/>
    </row>
    <row r="9" spans="1:10" ht="14.25" customHeight="1">
      <c r="A9" s="1840">
        <v>4</v>
      </c>
      <c r="B9" s="1809" t="s">
        <v>5194</v>
      </c>
      <c r="C9" s="2072">
        <f>未按权责发生制确认收入审核表!C9</f>
        <v>0</v>
      </c>
      <c r="D9" s="2072">
        <f>未按权责发生制确认收入审核表!D9</f>
        <v>0</v>
      </c>
      <c r="E9" s="2072">
        <f>未按权责发生制确认收入审核表!E9</f>
        <v>0</v>
      </c>
      <c r="F9" s="2072">
        <f>未按权责发生制确认收入审核表!F9</f>
        <v>0</v>
      </c>
      <c r="G9" s="2072">
        <f>未按权责发生制确认收入审核表!G9</f>
        <v>0</v>
      </c>
      <c r="H9" s="2072">
        <f>未按权责发生制确认收入审核表!H9</f>
        <v>0</v>
      </c>
      <c r="I9" s="1809"/>
    </row>
    <row r="10" spans="1:10" ht="14.25" customHeight="1">
      <c r="A10" s="1840">
        <v>5</v>
      </c>
      <c r="B10" s="1809" t="s">
        <v>5195</v>
      </c>
      <c r="C10" s="2072">
        <f>未按权责发生制确认收入审核表!C10</f>
        <v>0</v>
      </c>
      <c r="D10" s="2072">
        <f>未按权责发生制确认收入审核表!D10</f>
        <v>0</v>
      </c>
      <c r="E10" s="2072">
        <f>未按权责发生制确认收入审核表!E10</f>
        <v>0</v>
      </c>
      <c r="F10" s="2072">
        <f>未按权责发生制确认收入审核表!F10</f>
        <v>0</v>
      </c>
      <c r="G10" s="2072">
        <f>未按权责发生制确认收入审核表!G10</f>
        <v>0</v>
      </c>
      <c r="H10" s="2072">
        <f>未按权责发生制确认收入审核表!H10</f>
        <v>0</v>
      </c>
      <c r="I10" s="1809"/>
    </row>
    <row r="11" spans="1:10" ht="14.25" customHeight="1">
      <c r="A11" s="1840">
        <v>6</v>
      </c>
      <c r="B11" s="1809" t="s">
        <v>5196</v>
      </c>
      <c r="C11" s="2072">
        <f>未按权责发生制确认收入审核表!C11</f>
        <v>0</v>
      </c>
      <c r="D11" s="2072">
        <f>未按权责发生制确认收入审核表!D11</f>
        <v>0</v>
      </c>
      <c r="E11" s="2072">
        <f>未按权责发生制确认收入审核表!E11</f>
        <v>0</v>
      </c>
      <c r="F11" s="2072">
        <f>未按权责发生制确认收入审核表!F11</f>
        <v>0</v>
      </c>
      <c r="G11" s="2072">
        <f>未按权责发生制确认收入审核表!G11</f>
        <v>0</v>
      </c>
      <c r="H11" s="2072">
        <f>未按权责发生制确认收入审核表!H11</f>
        <v>0</v>
      </c>
      <c r="I11" s="1809"/>
    </row>
    <row r="12" spans="1:10" ht="14.25" customHeight="1">
      <c r="A12" s="1840">
        <v>7</v>
      </c>
      <c r="B12" s="1809" t="s">
        <v>5197</v>
      </c>
      <c r="C12" s="2072">
        <f>未按权责发生制确认收入审核表!C12</f>
        <v>0</v>
      </c>
      <c r="D12" s="2072">
        <f>未按权责发生制确认收入审核表!D12</f>
        <v>0</v>
      </c>
      <c r="E12" s="2072">
        <f>未按权责发生制确认收入审核表!E12</f>
        <v>0</v>
      </c>
      <c r="F12" s="2072">
        <f>未按权责发生制确认收入审核表!F12</f>
        <v>0</v>
      </c>
      <c r="G12" s="2072">
        <f>未按权责发生制确认收入审核表!G12</f>
        <v>0</v>
      </c>
      <c r="H12" s="2072">
        <f>未按权责发生制确认收入审核表!H12</f>
        <v>0</v>
      </c>
      <c r="I12" s="1809"/>
    </row>
    <row r="13" spans="1:10" ht="14.25" customHeight="1">
      <c r="A13" s="1840">
        <v>8</v>
      </c>
      <c r="B13" s="1809" t="s">
        <v>5198</v>
      </c>
      <c r="C13" s="2072">
        <f>未按权责发生制确认收入审核表!C13</f>
        <v>0</v>
      </c>
      <c r="D13" s="2072">
        <f>未按权责发生制确认收入审核表!D13</f>
        <v>0</v>
      </c>
      <c r="E13" s="2072">
        <f>未按权责发生制确认收入审核表!E13</f>
        <v>0</v>
      </c>
      <c r="F13" s="2072">
        <f>未按权责发生制确认收入审核表!F13</f>
        <v>0</v>
      </c>
      <c r="G13" s="2072">
        <f>未按权责发生制确认收入审核表!G13</f>
        <v>0</v>
      </c>
      <c r="H13" s="2072">
        <f>未按权责发生制确认收入审核表!H13</f>
        <v>0</v>
      </c>
      <c r="I13" s="1809"/>
    </row>
    <row r="14" spans="1:10" ht="14.25" customHeight="1">
      <c r="A14" s="1840">
        <v>9</v>
      </c>
      <c r="B14" s="1809" t="s">
        <v>5199</v>
      </c>
      <c r="C14" s="2072">
        <f>未按权责发生制确认收入审核表!C14</f>
        <v>0</v>
      </c>
      <c r="D14" s="2072">
        <f>未按权责发生制确认收入审核表!D14</f>
        <v>0</v>
      </c>
      <c r="E14" s="2072">
        <f>未按权责发生制确认收入审核表!E14</f>
        <v>0</v>
      </c>
      <c r="F14" s="2072">
        <f>未按权责发生制确认收入审核表!F14</f>
        <v>0</v>
      </c>
      <c r="G14" s="2072">
        <f>未按权责发生制确认收入审核表!G14</f>
        <v>0</v>
      </c>
      <c r="H14" s="2072">
        <f>未按权责发生制确认收入审核表!H14</f>
        <v>0</v>
      </c>
      <c r="I14" s="1809"/>
      <c r="J14" s="1675" t="s">
        <v>6436</v>
      </c>
    </row>
    <row r="15" spans="1:10" ht="14.25" customHeight="1">
      <c r="A15" s="1840">
        <v>10</v>
      </c>
      <c r="B15" s="1809" t="s">
        <v>5200</v>
      </c>
      <c r="C15" s="2072">
        <f>未按权责发生制确认收入审核表!C15</f>
        <v>0</v>
      </c>
      <c r="D15" s="2072">
        <f>未按权责发生制确认收入审核表!D15</f>
        <v>0</v>
      </c>
      <c r="E15" s="2072">
        <f>未按权责发生制确认收入审核表!E15</f>
        <v>0</v>
      </c>
      <c r="F15" s="2072">
        <f>未按权责发生制确认收入审核表!F15</f>
        <v>0</v>
      </c>
      <c r="G15" s="2072">
        <f>未按权责发生制确认收入审核表!G15</f>
        <v>0</v>
      </c>
      <c r="H15" s="2072">
        <f>未按权责发生制确认收入审核表!H15</f>
        <v>0</v>
      </c>
      <c r="I15" s="1809"/>
    </row>
    <row r="16" spans="1:10" ht="14.25" customHeight="1">
      <c r="A16" s="1840">
        <v>11</v>
      </c>
      <c r="B16" s="1809" t="s">
        <v>5201</v>
      </c>
      <c r="C16" s="2072">
        <f>未按权责发生制确认收入审核表!C16</f>
        <v>0</v>
      </c>
      <c r="D16" s="2072">
        <f>未按权责发生制确认收入审核表!D16</f>
        <v>0</v>
      </c>
      <c r="E16" s="2072">
        <f>未按权责发生制确认收入审核表!E16</f>
        <v>0</v>
      </c>
      <c r="F16" s="2072">
        <f>未按权责发生制确认收入审核表!F16</f>
        <v>0</v>
      </c>
      <c r="G16" s="2072">
        <f>未按权责发生制确认收入审核表!G16</f>
        <v>0</v>
      </c>
      <c r="H16" s="2072">
        <f>未按权责发生制确认收入审核表!H16</f>
        <v>0</v>
      </c>
      <c r="I16" s="1809"/>
    </row>
    <row r="17" spans="1:9" ht="14.25" customHeight="1">
      <c r="A17" s="1840">
        <v>12</v>
      </c>
      <c r="B17" s="1809" t="s">
        <v>5202</v>
      </c>
      <c r="C17" s="2072">
        <f>未按权责发生制确认收入审核表!C17</f>
        <v>0</v>
      </c>
      <c r="D17" s="2072">
        <f>未按权责发生制确认收入审核表!D17</f>
        <v>0</v>
      </c>
      <c r="E17" s="2072">
        <f>未按权责发生制确认收入审核表!E17</f>
        <v>0</v>
      </c>
      <c r="F17" s="2072">
        <f>未按权责发生制确认收入审核表!F17</f>
        <v>0</v>
      </c>
      <c r="G17" s="2072">
        <f>未按权责发生制确认收入审核表!G17</f>
        <v>0</v>
      </c>
      <c r="H17" s="2072">
        <f>未按权责发生制确认收入审核表!H17</f>
        <v>0</v>
      </c>
      <c r="I17" s="1809"/>
    </row>
    <row r="18" spans="1:9" ht="14.25" customHeight="1">
      <c r="A18" s="1840">
        <v>13</v>
      </c>
      <c r="B18" s="1809" t="s">
        <v>5203</v>
      </c>
      <c r="C18" s="2072">
        <f>未按权责发生制确认收入审核表!C18</f>
        <v>0</v>
      </c>
      <c r="D18" s="2072">
        <f>未按权责发生制确认收入审核表!D18</f>
        <v>0</v>
      </c>
      <c r="E18" s="2072">
        <f>未按权责发生制确认收入审核表!E18</f>
        <v>0</v>
      </c>
      <c r="F18" s="2072">
        <f>未按权责发生制确认收入审核表!F18</f>
        <v>0</v>
      </c>
      <c r="G18" s="2072">
        <f>未按权责发生制确认收入审核表!G18</f>
        <v>0</v>
      </c>
      <c r="H18" s="2072">
        <f>未按权责发生制确认收入审核表!H18</f>
        <v>0</v>
      </c>
      <c r="I18" s="1809"/>
    </row>
    <row r="19" spans="1:9" ht="114" customHeight="1">
      <c r="A19" s="1840">
        <v>14</v>
      </c>
      <c r="B19" s="1809" t="s">
        <v>5204</v>
      </c>
      <c r="C19" s="2072">
        <f>未按权责发生制确认收入审核表!C19</f>
        <v>0</v>
      </c>
      <c r="D19" s="2072">
        <f>未按权责发生制确认收入审核表!D19</f>
        <v>0</v>
      </c>
      <c r="E19" s="2072">
        <f>未按权责发生制确认收入审核表!E19</f>
        <v>0</v>
      </c>
      <c r="F19" s="2072">
        <f>未按权责发生制确认收入审核表!F19</f>
        <v>0</v>
      </c>
      <c r="G19" s="2072">
        <f>未按权责发生制确认收入审核表!G19</f>
        <v>0</v>
      </c>
      <c r="H19" s="2072">
        <f>未按权责发生制确认收入审核表!H19</f>
        <v>0</v>
      </c>
      <c r="I19" s="1810" t="s">
        <v>5205</v>
      </c>
    </row>
  </sheetData>
  <mergeCells count="8">
    <mergeCell ref="A1:H1"/>
    <mergeCell ref="A2:H2"/>
    <mergeCell ref="A3:A5"/>
    <mergeCell ref="B3:B5"/>
    <mergeCell ref="C3:C4"/>
    <mergeCell ref="D3:E3"/>
    <mergeCell ref="F3:G3"/>
    <mergeCell ref="H3:H4"/>
  </mergeCells>
  <phoneticPr fontId="51" type="noConversion"/>
  <hyperlinks>
    <hyperlink ref="J14" location="未按权责发生制确认收入审核表!A1" display="未按权责发生制确认收入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tabColor rgb="FFFFFF00"/>
  </sheetPr>
  <dimension ref="A1:O15"/>
  <sheetViews>
    <sheetView workbookViewId="0">
      <selection sqref="A1:M1"/>
    </sheetView>
  </sheetViews>
  <sheetFormatPr defaultRowHeight="15.6"/>
  <cols>
    <col min="1" max="1" width="4.3984375" style="1551" customWidth="1"/>
    <col min="2" max="2" width="17.19921875" style="1551" customWidth="1"/>
    <col min="3" max="13" width="10.59765625" style="1551" customWidth="1"/>
    <col min="14" max="14" width="15.09765625" style="1551" customWidth="1"/>
    <col min="15" max="256" width="9" style="1551"/>
    <col min="257" max="257" width="4.3984375" style="1551" customWidth="1"/>
    <col min="258" max="258" width="20.59765625" style="1551" customWidth="1"/>
    <col min="259" max="259" width="4.5" style="1551" customWidth="1"/>
    <col min="260" max="260" width="4.8984375" style="1551" customWidth="1"/>
    <col min="261" max="268" width="7.8984375" style="1551" customWidth="1"/>
    <col min="269" max="269" width="8.59765625" style="1551" customWidth="1"/>
    <col min="270" max="270" width="15.09765625" style="1551" customWidth="1"/>
    <col min="271" max="512" width="9" style="1551"/>
    <col min="513" max="513" width="4.3984375" style="1551" customWidth="1"/>
    <col min="514" max="514" width="20.59765625" style="1551" customWidth="1"/>
    <col min="515" max="515" width="4.5" style="1551" customWidth="1"/>
    <col min="516" max="516" width="4.8984375" style="1551" customWidth="1"/>
    <col min="517" max="524" width="7.8984375" style="1551" customWidth="1"/>
    <col min="525" max="525" width="8.59765625" style="1551" customWidth="1"/>
    <col min="526" max="526" width="15.09765625" style="1551" customWidth="1"/>
    <col min="527" max="768" width="9" style="1551"/>
    <col min="769" max="769" width="4.3984375" style="1551" customWidth="1"/>
    <col min="770" max="770" width="20.59765625" style="1551" customWidth="1"/>
    <col min="771" max="771" width="4.5" style="1551" customWidth="1"/>
    <col min="772" max="772" width="4.8984375" style="1551" customWidth="1"/>
    <col min="773" max="780" width="7.8984375" style="1551" customWidth="1"/>
    <col min="781" max="781" width="8.59765625" style="1551" customWidth="1"/>
    <col min="782" max="782" width="15.09765625" style="1551" customWidth="1"/>
    <col min="783" max="1024" width="9" style="1551"/>
    <col min="1025" max="1025" width="4.3984375" style="1551" customWidth="1"/>
    <col min="1026" max="1026" width="20.59765625" style="1551" customWidth="1"/>
    <col min="1027" max="1027" width="4.5" style="1551" customWidth="1"/>
    <col min="1028" max="1028" width="4.8984375" style="1551" customWidth="1"/>
    <col min="1029" max="1036" width="7.8984375" style="1551" customWidth="1"/>
    <col min="1037" max="1037" width="8.59765625" style="1551" customWidth="1"/>
    <col min="1038" max="1038" width="15.09765625" style="1551" customWidth="1"/>
    <col min="1039" max="1280" width="9" style="1551"/>
    <col min="1281" max="1281" width="4.3984375" style="1551" customWidth="1"/>
    <col min="1282" max="1282" width="20.59765625" style="1551" customWidth="1"/>
    <col min="1283" max="1283" width="4.5" style="1551" customWidth="1"/>
    <col min="1284" max="1284" width="4.8984375" style="1551" customWidth="1"/>
    <col min="1285" max="1292" width="7.8984375" style="1551" customWidth="1"/>
    <col min="1293" max="1293" width="8.59765625" style="1551" customWidth="1"/>
    <col min="1294" max="1294" width="15.09765625" style="1551" customWidth="1"/>
    <col min="1295" max="1536" width="9" style="1551"/>
    <col min="1537" max="1537" width="4.3984375" style="1551" customWidth="1"/>
    <col min="1538" max="1538" width="20.59765625" style="1551" customWidth="1"/>
    <col min="1539" max="1539" width="4.5" style="1551" customWidth="1"/>
    <col min="1540" max="1540" width="4.8984375" style="1551" customWidth="1"/>
    <col min="1541" max="1548" width="7.8984375" style="1551" customWidth="1"/>
    <col min="1549" max="1549" width="8.59765625" style="1551" customWidth="1"/>
    <col min="1550" max="1550" width="15.09765625" style="1551" customWidth="1"/>
    <col min="1551" max="1792" width="9" style="1551"/>
    <col min="1793" max="1793" width="4.3984375" style="1551" customWidth="1"/>
    <col min="1794" max="1794" width="20.59765625" style="1551" customWidth="1"/>
    <col min="1795" max="1795" width="4.5" style="1551" customWidth="1"/>
    <col min="1796" max="1796" width="4.8984375" style="1551" customWidth="1"/>
    <col min="1797" max="1804" width="7.8984375" style="1551" customWidth="1"/>
    <col min="1805" max="1805" width="8.59765625" style="1551" customWidth="1"/>
    <col min="1806" max="1806" width="15.09765625" style="1551" customWidth="1"/>
    <col min="1807" max="2048" width="9" style="1551"/>
    <col min="2049" max="2049" width="4.3984375" style="1551" customWidth="1"/>
    <col min="2050" max="2050" width="20.59765625" style="1551" customWidth="1"/>
    <col min="2051" max="2051" width="4.5" style="1551" customWidth="1"/>
    <col min="2052" max="2052" width="4.8984375" style="1551" customWidth="1"/>
    <col min="2053" max="2060" width="7.8984375" style="1551" customWidth="1"/>
    <col min="2061" max="2061" width="8.59765625" style="1551" customWidth="1"/>
    <col min="2062" max="2062" width="15.09765625" style="1551" customWidth="1"/>
    <col min="2063" max="2304" width="9" style="1551"/>
    <col min="2305" max="2305" width="4.3984375" style="1551" customWidth="1"/>
    <col min="2306" max="2306" width="20.59765625" style="1551" customWidth="1"/>
    <col min="2307" max="2307" width="4.5" style="1551" customWidth="1"/>
    <col min="2308" max="2308" width="4.8984375" style="1551" customWidth="1"/>
    <col min="2309" max="2316" width="7.8984375" style="1551" customWidth="1"/>
    <col min="2317" max="2317" width="8.59765625" style="1551" customWidth="1"/>
    <col min="2318" max="2318" width="15.09765625" style="1551" customWidth="1"/>
    <col min="2319" max="2560" width="9" style="1551"/>
    <col min="2561" max="2561" width="4.3984375" style="1551" customWidth="1"/>
    <col min="2562" max="2562" width="20.59765625" style="1551" customWidth="1"/>
    <col min="2563" max="2563" width="4.5" style="1551" customWidth="1"/>
    <col min="2564" max="2564" width="4.8984375" style="1551" customWidth="1"/>
    <col min="2565" max="2572" width="7.8984375" style="1551" customWidth="1"/>
    <col min="2573" max="2573" width="8.59765625" style="1551" customWidth="1"/>
    <col min="2574" max="2574" width="15.09765625" style="1551" customWidth="1"/>
    <col min="2575" max="2816" width="9" style="1551"/>
    <col min="2817" max="2817" width="4.3984375" style="1551" customWidth="1"/>
    <col min="2818" max="2818" width="20.59765625" style="1551" customWidth="1"/>
    <col min="2819" max="2819" width="4.5" style="1551" customWidth="1"/>
    <col min="2820" max="2820" width="4.8984375" style="1551" customWidth="1"/>
    <col min="2821" max="2828" width="7.8984375" style="1551" customWidth="1"/>
    <col min="2829" max="2829" width="8.59765625" style="1551" customWidth="1"/>
    <col min="2830" max="2830" width="15.09765625" style="1551" customWidth="1"/>
    <col min="2831" max="3072" width="9" style="1551"/>
    <col min="3073" max="3073" width="4.3984375" style="1551" customWidth="1"/>
    <col min="3074" max="3074" width="20.59765625" style="1551" customWidth="1"/>
    <col min="3075" max="3075" width="4.5" style="1551" customWidth="1"/>
    <col min="3076" max="3076" width="4.8984375" style="1551" customWidth="1"/>
    <col min="3077" max="3084" width="7.8984375" style="1551" customWidth="1"/>
    <col min="3085" max="3085" width="8.59765625" style="1551" customWidth="1"/>
    <col min="3086" max="3086" width="15.09765625" style="1551" customWidth="1"/>
    <col min="3087" max="3328" width="9" style="1551"/>
    <col min="3329" max="3329" width="4.3984375" style="1551" customWidth="1"/>
    <col min="3330" max="3330" width="20.59765625" style="1551" customWidth="1"/>
    <col min="3331" max="3331" width="4.5" style="1551" customWidth="1"/>
    <col min="3332" max="3332" width="4.8984375" style="1551" customWidth="1"/>
    <col min="3333" max="3340" width="7.8984375" style="1551" customWidth="1"/>
    <col min="3341" max="3341" width="8.59765625" style="1551" customWidth="1"/>
    <col min="3342" max="3342" width="15.09765625" style="1551" customWidth="1"/>
    <col min="3343" max="3584" width="9" style="1551"/>
    <col min="3585" max="3585" width="4.3984375" style="1551" customWidth="1"/>
    <col min="3586" max="3586" width="20.59765625" style="1551" customWidth="1"/>
    <col min="3587" max="3587" width="4.5" style="1551" customWidth="1"/>
    <col min="3588" max="3588" width="4.8984375" style="1551" customWidth="1"/>
    <col min="3589" max="3596" width="7.8984375" style="1551" customWidth="1"/>
    <col min="3597" max="3597" width="8.59765625" style="1551" customWidth="1"/>
    <col min="3598" max="3598" width="15.09765625" style="1551" customWidth="1"/>
    <col min="3599" max="3840" width="9" style="1551"/>
    <col min="3841" max="3841" width="4.3984375" style="1551" customWidth="1"/>
    <col min="3842" max="3842" width="20.59765625" style="1551" customWidth="1"/>
    <col min="3843" max="3843" width="4.5" style="1551" customWidth="1"/>
    <col min="3844" max="3844" width="4.8984375" style="1551" customWidth="1"/>
    <col min="3845" max="3852" width="7.8984375" style="1551" customWidth="1"/>
    <col min="3853" max="3853" width="8.59765625" style="1551" customWidth="1"/>
    <col min="3854" max="3854" width="15.09765625" style="1551" customWidth="1"/>
    <col min="3855" max="4096" width="9" style="1551"/>
    <col min="4097" max="4097" width="4.3984375" style="1551" customWidth="1"/>
    <col min="4098" max="4098" width="20.59765625" style="1551" customWidth="1"/>
    <col min="4099" max="4099" width="4.5" style="1551" customWidth="1"/>
    <col min="4100" max="4100" width="4.8984375" style="1551" customWidth="1"/>
    <col min="4101" max="4108" width="7.8984375" style="1551" customWidth="1"/>
    <col min="4109" max="4109" width="8.59765625" style="1551" customWidth="1"/>
    <col min="4110" max="4110" width="15.09765625" style="1551" customWidth="1"/>
    <col min="4111" max="4352" width="9" style="1551"/>
    <col min="4353" max="4353" width="4.3984375" style="1551" customWidth="1"/>
    <col min="4354" max="4354" width="20.59765625" style="1551" customWidth="1"/>
    <col min="4355" max="4355" width="4.5" style="1551" customWidth="1"/>
    <col min="4356" max="4356" width="4.8984375" style="1551" customWidth="1"/>
    <col min="4357" max="4364" width="7.8984375" style="1551" customWidth="1"/>
    <col min="4365" max="4365" width="8.59765625" style="1551" customWidth="1"/>
    <col min="4366" max="4366" width="15.09765625" style="1551" customWidth="1"/>
    <col min="4367" max="4608" width="9" style="1551"/>
    <col min="4609" max="4609" width="4.3984375" style="1551" customWidth="1"/>
    <col min="4610" max="4610" width="20.59765625" style="1551" customWidth="1"/>
    <col min="4611" max="4611" width="4.5" style="1551" customWidth="1"/>
    <col min="4612" max="4612" width="4.8984375" style="1551" customWidth="1"/>
    <col min="4613" max="4620" width="7.8984375" style="1551" customWidth="1"/>
    <col min="4621" max="4621" width="8.59765625" style="1551" customWidth="1"/>
    <col min="4622" max="4622" width="15.09765625" style="1551" customWidth="1"/>
    <col min="4623" max="4864" width="9" style="1551"/>
    <col min="4865" max="4865" width="4.3984375" style="1551" customWidth="1"/>
    <col min="4866" max="4866" width="20.59765625" style="1551" customWidth="1"/>
    <col min="4867" max="4867" width="4.5" style="1551" customWidth="1"/>
    <col min="4868" max="4868" width="4.8984375" style="1551" customWidth="1"/>
    <col min="4869" max="4876" width="7.8984375" style="1551" customWidth="1"/>
    <col min="4877" max="4877" width="8.59765625" style="1551" customWidth="1"/>
    <col min="4878" max="4878" width="15.09765625" style="1551" customWidth="1"/>
    <col min="4879" max="5120" width="9" style="1551"/>
    <col min="5121" max="5121" width="4.3984375" style="1551" customWidth="1"/>
    <col min="5122" max="5122" width="20.59765625" style="1551" customWidth="1"/>
    <col min="5123" max="5123" width="4.5" style="1551" customWidth="1"/>
    <col min="5124" max="5124" width="4.8984375" style="1551" customWidth="1"/>
    <col min="5125" max="5132" width="7.8984375" style="1551" customWidth="1"/>
    <col min="5133" max="5133" width="8.59765625" style="1551" customWidth="1"/>
    <col min="5134" max="5134" width="15.09765625" style="1551" customWidth="1"/>
    <col min="5135" max="5376" width="9" style="1551"/>
    <col min="5377" max="5377" width="4.3984375" style="1551" customWidth="1"/>
    <col min="5378" max="5378" width="20.59765625" style="1551" customWidth="1"/>
    <col min="5379" max="5379" width="4.5" style="1551" customWidth="1"/>
    <col min="5380" max="5380" width="4.8984375" style="1551" customWidth="1"/>
    <col min="5381" max="5388" width="7.8984375" style="1551" customWidth="1"/>
    <col min="5389" max="5389" width="8.59765625" style="1551" customWidth="1"/>
    <col min="5390" max="5390" width="15.09765625" style="1551" customWidth="1"/>
    <col min="5391" max="5632" width="9" style="1551"/>
    <col min="5633" max="5633" width="4.3984375" style="1551" customWidth="1"/>
    <col min="5634" max="5634" width="20.59765625" style="1551" customWidth="1"/>
    <col min="5635" max="5635" width="4.5" style="1551" customWidth="1"/>
    <col min="5636" max="5636" width="4.8984375" style="1551" customWidth="1"/>
    <col min="5637" max="5644" width="7.8984375" style="1551" customWidth="1"/>
    <col min="5645" max="5645" width="8.59765625" style="1551" customWidth="1"/>
    <col min="5646" max="5646" width="15.09765625" style="1551" customWidth="1"/>
    <col min="5647" max="5888" width="9" style="1551"/>
    <col min="5889" max="5889" width="4.3984375" style="1551" customWidth="1"/>
    <col min="5890" max="5890" width="20.59765625" style="1551" customWidth="1"/>
    <col min="5891" max="5891" width="4.5" style="1551" customWidth="1"/>
    <col min="5892" max="5892" width="4.8984375" style="1551" customWidth="1"/>
    <col min="5893" max="5900" width="7.8984375" style="1551" customWidth="1"/>
    <col min="5901" max="5901" width="8.59765625" style="1551" customWidth="1"/>
    <col min="5902" max="5902" width="15.09765625" style="1551" customWidth="1"/>
    <col min="5903" max="6144" width="9" style="1551"/>
    <col min="6145" max="6145" width="4.3984375" style="1551" customWidth="1"/>
    <col min="6146" max="6146" width="20.59765625" style="1551" customWidth="1"/>
    <col min="6147" max="6147" width="4.5" style="1551" customWidth="1"/>
    <col min="6148" max="6148" width="4.8984375" style="1551" customWidth="1"/>
    <col min="6149" max="6156" width="7.8984375" style="1551" customWidth="1"/>
    <col min="6157" max="6157" width="8.59765625" style="1551" customWidth="1"/>
    <col min="6158" max="6158" width="15.09765625" style="1551" customWidth="1"/>
    <col min="6159" max="6400" width="9" style="1551"/>
    <col min="6401" max="6401" width="4.3984375" style="1551" customWidth="1"/>
    <col min="6402" max="6402" width="20.59765625" style="1551" customWidth="1"/>
    <col min="6403" max="6403" width="4.5" style="1551" customWidth="1"/>
    <col min="6404" max="6404" width="4.8984375" style="1551" customWidth="1"/>
    <col min="6405" max="6412" width="7.8984375" style="1551" customWidth="1"/>
    <col min="6413" max="6413" width="8.59765625" style="1551" customWidth="1"/>
    <col min="6414" max="6414" width="15.09765625" style="1551" customWidth="1"/>
    <col min="6415" max="6656" width="9" style="1551"/>
    <col min="6657" max="6657" width="4.3984375" style="1551" customWidth="1"/>
    <col min="6658" max="6658" width="20.59765625" style="1551" customWidth="1"/>
    <col min="6659" max="6659" width="4.5" style="1551" customWidth="1"/>
    <col min="6660" max="6660" width="4.8984375" style="1551" customWidth="1"/>
    <col min="6661" max="6668" width="7.8984375" style="1551" customWidth="1"/>
    <col min="6669" max="6669" width="8.59765625" style="1551" customWidth="1"/>
    <col min="6670" max="6670" width="15.09765625" style="1551" customWidth="1"/>
    <col min="6671" max="6912" width="9" style="1551"/>
    <col min="6913" max="6913" width="4.3984375" style="1551" customWidth="1"/>
    <col min="6914" max="6914" width="20.59765625" style="1551" customWidth="1"/>
    <col min="6915" max="6915" width="4.5" style="1551" customWidth="1"/>
    <col min="6916" max="6916" width="4.8984375" style="1551" customWidth="1"/>
    <col min="6917" max="6924" width="7.8984375" style="1551" customWidth="1"/>
    <col min="6925" max="6925" width="8.59765625" style="1551" customWidth="1"/>
    <col min="6926" max="6926" width="15.09765625" style="1551" customWidth="1"/>
    <col min="6927" max="7168" width="9" style="1551"/>
    <col min="7169" max="7169" width="4.3984375" style="1551" customWidth="1"/>
    <col min="7170" max="7170" width="20.59765625" style="1551" customWidth="1"/>
    <col min="7171" max="7171" width="4.5" style="1551" customWidth="1"/>
    <col min="7172" max="7172" width="4.8984375" style="1551" customWidth="1"/>
    <col min="7173" max="7180" width="7.8984375" style="1551" customWidth="1"/>
    <col min="7181" max="7181" width="8.59765625" style="1551" customWidth="1"/>
    <col min="7182" max="7182" width="15.09765625" style="1551" customWidth="1"/>
    <col min="7183" max="7424" width="9" style="1551"/>
    <col min="7425" max="7425" width="4.3984375" style="1551" customWidth="1"/>
    <col min="7426" max="7426" width="20.59765625" style="1551" customWidth="1"/>
    <col min="7427" max="7427" width="4.5" style="1551" customWidth="1"/>
    <col min="7428" max="7428" width="4.8984375" style="1551" customWidth="1"/>
    <col min="7429" max="7436" width="7.8984375" style="1551" customWidth="1"/>
    <col min="7437" max="7437" width="8.59765625" style="1551" customWidth="1"/>
    <col min="7438" max="7438" width="15.09765625" style="1551" customWidth="1"/>
    <col min="7439" max="7680" width="9" style="1551"/>
    <col min="7681" max="7681" width="4.3984375" style="1551" customWidth="1"/>
    <col min="7682" max="7682" width="20.59765625" style="1551" customWidth="1"/>
    <col min="7683" max="7683" width="4.5" style="1551" customWidth="1"/>
    <col min="7684" max="7684" width="4.8984375" style="1551" customWidth="1"/>
    <col min="7685" max="7692" width="7.8984375" style="1551" customWidth="1"/>
    <col min="7693" max="7693" width="8.59765625" style="1551" customWidth="1"/>
    <col min="7694" max="7694" width="15.09765625" style="1551" customWidth="1"/>
    <col min="7695" max="7936" width="9" style="1551"/>
    <col min="7937" max="7937" width="4.3984375" style="1551" customWidth="1"/>
    <col min="7938" max="7938" width="20.59765625" style="1551" customWidth="1"/>
    <col min="7939" max="7939" width="4.5" style="1551" customWidth="1"/>
    <col min="7940" max="7940" width="4.8984375" style="1551" customWidth="1"/>
    <col min="7941" max="7948" width="7.8984375" style="1551" customWidth="1"/>
    <col min="7949" max="7949" width="8.59765625" style="1551" customWidth="1"/>
    <col min="7950" max="7950" width="15.09765625" style="1551" customWidth="1"/>
    <col min="7951" max="8192" width="9" style="1551"/>
    <col min="8193" max="8193" width="4.3984375" style="1551" customWidth="1"/>
    <col min="8194" max="8194" width="20.59765625" style="1551" customWidth="1"/>
    <col min="8195" max="8195" width="4.5" style="1551" customWidth="1"/>
    <col min="8196" max="8196" width="4.8984375" style="1551" customWidth="1"/>
    <col min="8197" max="8204" width="7.8984375" style="1551" customWidth="1"/>
    <col min="8205" max="8205" width="8.59765625" style="1551" customWidth="1"/>
    <col min="8206" max="8206" width="15.09765625" style="1551" customWidth="1"/>
    <col min="8207" max="8448" width="9" style="1551"/>
    <col min="8449" max="8449" width="4.3984375" style="1551" customWidth="1"/>
    <col min="8450" max="8450" width="20.59765625" style="1551" customWidth="1"/>
    <col min="8451" max="8451" width="4.5" style="1551" customWidth="1"/>
    <col min="8452" max="8452" width="4.8984375" style="1551" customWidth="1"/>
    <col min="8453" max="8460" width="7.8984375" style="1551" customWidth="1"/>
    <col min="8461" max="8461" width="8.59765625" style="1551" customWidth="1"/>
    <col min="8462" max="8462" width="15.09765625" style="1551" customWidth="1"/>
    <col min="8463" max="8704" width="9" style="1551"/>
    <col min="8705" max="8705" width="4.3984375" style="1551" customWidth="1"/>
    <col min="8706" max="8706" width="20.59765625" style="1551" customWidth="1"/>
    <col min="8707" max="8707" width="4.5" style="1551" customWidth="1"/>
    <col min="8708" max="8708" width="4.8984375" style="1551" customWidth="1"/>
    <col min="8709" max="8716" width="7.8984375" style="1551" customWidth="1"/>
    <col min="8717" max="8717" width="8.59765625" style="1551" customWidth="1"/>
    <col min="8718" max="8718" width="15.09765625" style="1551" customWidth="1"/>
    <col min="8719" max="8960" width="9" style="1551"/>
    <col min="8961" max="8961" width="4.3984375" style="1551" customWidth="1"/>
    <col min="8962" max="8962" width="20.59765625" style="1551" customWidth="1"/>
    <col min="8963" max="8963" width="4.5" style="1551" customWidth="1"/>
    <col min="8964" max="8964" width="4.8984375" style="1551" customWidth="1"/>
    <col min="8965" max="8972" width="7.8984375" style="1551" customWidth="1"/>
    <col min="8973" max="8973" width="8.59765625" style="1551" customWidth="1"/>
    <col min="8974" max="8974" width="15.09765625" style="1551" customWidth="1"/>
    <col min="8975" max="9216" width="9" style="1551"/>
    <col min="9217" max="9217" width="4.3984375" style="1551" customWidth="1"/>
    <col min="9218" max="9218" width="20.59765625" style="1551" customWidth="1"/>
    <col min="9219" max="9219" width="4.5" style="1551" customWidth="1"/>
    <col min="9220" max="9220" width="4.8984375" style="1551" customWidth="1"/>
    <col min="9221" max="9228" width="7.8984375" style="1551" customWidth="1"/>
    <col min="9229" max="9229" width="8.59765625" style="1551" customWidth="1"/>
    <col min="9230" max="9230" width="15.09765625" style="1551" customWidth="1"/>
    <col min="9231" max="9472" width="9" style="1551"/>
    <col min="9473" max="9473" width="4.3984375" style="1551" customWidth="1"/>
    <col min="9474" max="9474" width="20.59765625" style="1551" customWidth="1"/>
    <col min="9475" max="9475" width="4.5" style="1551" customWidth="1"/>
    <col min="9476" max="9476" width="4.8984375" style="1551" customWidth="1"/>
    <col min="9477" max="9484" width="7.8984375" style="1551" customWidth="1"/>
    <col min="9485" max="9485" width="8.59765625" style="1551" customWidth="1"/>
    <col min="9486" max="9486" width="15.09765625" style="1551" customWidth="1"/>
    <col min="9487" max="9728" width="9" style="1551"/>
    <col min="9729" max="9729" width="4.3984375" style="1551" customWidth="1"/>
    <col min="9730" max="9730" width="20.59765625" style="1551" customWidth="1"/>
    <col min="9731" max="9731" width="4.5" style="1551" customWidth="1"/>
    <col min="9732" max="9732" width="4.8984375" style="1551" customWidth="1"/>
    <col min="9733" max="9740" width="7.8984375" style="1551" customWidth="1"/>
    <col min="9741" max="9741" width="8.59765625" style="1551" customWidth="1"/>
    <col min="9742" max="9742" width="15.09765625" style="1551" customWidth="1"/>
    <col min="9743" max="9984" width="9" style="1551"/>
    <col min="9985" max="9985" width="4.3984375" style="1551" customWidth="1"/>
    <col min="9986" max="9986" width="20.59765625" style="1551" customWidth="1"/>
    <col min="9987" max="9987" width="4.5" style="1551" customWidth="1"/>
    <col min="9988" max="9988" width="4.8984375" style="1551" customWidth="1"/>
    <col min="9989" max="9996" width="7.8984375" style="1551" customWidth="1"/>
    <col min="9997" max="9997" width="8.59765625" style="1551" customWidth="1"/>
    <col min="9998" max="9998" width="15.09765625" style="1551" customWidth="1"/>
    <col min="9999" max="10240" width="9" style="1551"/>
    <col min="10241" max="10241" width="4.3984375" style="1551" customWidth="1"/>
    <col min="10242" max="10242" width="20.59765625" style="1551" customWidth="1"/>
    <col min="10243" max="10243" width="4.5" style="1551" customWidth="1"/>
    <col min="10244" max="10244" width="4.8984375" style="1551" customWidth="1"/>
    <col min="10245" max="10252" width="7.8984375" style="1551" customWidth="1"/>
    <col min="10253" max="10253" width="8.59765625" style="1551" customWidth="1"/>
    <col min="10254" max="10254" width="15.09765625" style="1551" customWidth="1"/>
    <col min="10255" max="10496" width="9" style="1551"/>
    <col min="10497" max="10497" width="4.3984375" style="1551" customWidth="1"/>
    <col min="10498" max="10498" width="20.59765625" style="1551" customWidth="1"/>
    <col min="10499" max="10499" width="4.5" style="1551" customWidth="1"/>
    <col min="10500" max="10500" width="4.8984375" style="1551" customWidth="1"/>
    <col min="10501" max="10508" width="7.8984375" style="1551" customWidth="1"/>
    <col min="10509" max="10509" width="8.59765625" style="1551" customWidth="1"/>
    <col min="10510" max="10510" width="15.09765625" style="1551" customWidth="1"/>
    <col min="10511" max="10752" width="9" style="1551"/>
    <col min="10753" max="10753" width="4.3984375" style="1551" customWidth="1"/>
    <col min="10754" max="10754" width="20.59765625" style="1551" customWidth="1"/>
    <col min="10755" max="10755" width="4.5" style="1551" customWidth="1"/>
    <col min="10756" max="10756" width="4.8984375" style="1551" customWidth="1"/>
    <col min="10757" max="10764" width="7.8984375" style="1551" customWidth="1"/>
    <col min="10765" max="10765" width="8.59765625" style="1551" customWidth="1"/>
    <col min="10766" max="10766" width="15.09765625" style="1551" customWidth="1"/>
    <col min="10767" max="11008" width="9" style="1551"/>
    <col min="11009" max="11009" width="4.3984375" style="1551" customWidth="1"/>
    <col min="11010" max="11010" width="20.59765625" style="1551" customWidth="1"/>
    <col min="11011" max="11011" width="4.5" style="1551" customWidth="1"/>
    <col min="11012" max="11012" width="4.8984375" style="1551" customWidth="1"/>
    <col min="11013" max="11020" width="7.8984375" style="1551" customWidth="1"/>
    <col min="11021" max="11021" width="8.59765625" style="1551" customWidth="1"/>
    <col min="11022" max="11022" width="15.09765625" style="1551" customWidth="1"/>
    <col min="11023" max="11264" width="9" style="1551"/>
    <col min="11265" max="11265" width="4.3984375" style="1551" customWidth="1"/>
    <col min="11266" max="11266" width="20.59765625" style="1551" customWidth="1"/>
    <col min="11267" max="11267" width="4.5" style="1551" customWidth="1"/>
    <col min="11268" max="11268" width="4.8984375" style="1551" customWidth="1"/>
    <col min="11269" max="11276" width="7.8984375" style="1551" customWidth="1"/>
    <col min="11277" max="11277" width="8.59765625" style="1551" customWidth="1"/>
    <col min="11278" max="11278" width="15.09765625" style="1551" customWidth="1"/>
    <col min="11279" max="11520" width="9" style="1551"/>
    <col min="11521" max="11521" width="4.3984375" style="1551" customWidth="1"/>
    <col min="11522" max="11522" width="20.59765625" style="1551" customWidth="1"/>
    <col min="11523" max="11523" width="4.5" style="1551" customWidth="1"/>
    <col min="11524" max="11524" width="4.8984375" style="1551" customWidth="1"/>
    <col min="11525" max="11532" width="7.8984375" style="1551" customWidth="1"/>
    <col min="11533" max="11533" width="8.59765625" style="1551" customWidth="1"/>
    <col min="11534" max="11534" width="15.09765625" style="1551" customWidth="1"/>
    <col min="11535" max="11776" width="9" style="1551"/>
    <col min="11777" max="11777" width="4.3984375" style="1551" customWidth="1"/>
    <col min="11778" max="11778" width="20.59765625" style="1551" customWidth="1"/>
    <col min="11779" max="11779" width="4.5" style="1551" customWidth="1"/>
    <col min="11780" max="11780" width="4.8984375" style="1551" customWidth="1"/>
    <col min="11781" max="11788" width="7.8984375" style="1551" customWidth="1"/>
    <col min="11789" max="11789" width="8.59765625" style="1551" customWidth="1"/>
    <col min="11790" max="11790" width="15.09765625" style="1551" customWidth="1"/>
    <col min="11791" max="12032" width="9" style="1551"/>
    <col min="12033" max="12033" width="4.3984375" style="1551" customWidth="1"/>
    <col min="12034" max="12034" width="20.59765625" style="1551" customWidth="1"/>
    <col min="12035" max="12035" width="4.5" style="1551" customWidth="1"/>
    <col min="12036" max="12036" width="4.8984375" style="1551" customWidth="1"/>
    <col min="12037" max="12044" width="7.8984375" style="1551" customWidth="1"/>
    <col min="12045" max="12045" width="8.59765625" style="1551" customWidth="1"/>
    <col min="12046" max="12046" width="15.09765625" style="1551" customWidth="1"/>
    <col min="12047" max="12288" width="9" style="1551"/>
    <col min="12289" max="12289" width="4.3984375" style="1551" customWidth="1"/>
    <col min="12290" max="12290" width="20.59765625" style="1551" customWidth="1"/>
    <col min="12291" max="12291" width="4.5" style="1551" customWidth="1"/>
    <col min="12292" max="12292" width="4.8984375" style="1551" customWidth="1"/>
    <col min="12293" max="12300" width="7.8984375" style="1551" customWidth="1"/>
    <col min="12301" max="12301" width="8.59765625" style="1551" customWidth="1"/>
    <col min="12302" max="12302" width="15.09765625" style="1551" customWidth="1"/>
    <col min="12303" max="12544" width="9" style="1551"/>
    <col min="12545" max="12545" width="4.3984375" style="1551" customWidth="1"/>
    <col min="12546" max="12546" width="20.59765625" style="1551" customWidth="1"/>
    <col min="12547" max="12547" width="4.5" style="1551" customWidth="1"/>
    <col min="12548" max="12548" width="4.8984375" style="1551" customWidth="1"/>
    <col min="12549" max="12556" width="7.8984375" style="1551" customWidth="1"/>
    <col min="12557" max="12557" width="8.59765625" style="1551" customWidth="1"/>
    <col min="12558" max="12558" width="15.09765625" style="1551" customWidth="1"/>
    <col min="12559" max="12800" width="9" style="1551"/>
    <col min="12801" max="12801" width="4.3984375" style="1551" customWidth="1"/>
    <col min="12802" max="12802" width="20.59765625" style="1551" customWidth="1"/>
    <col min="12803" max="12803" width="4.5" style="1551" customWidth="1"/>
    <col min="12804" max="12804" width="4.8984375" style="1551" customWidth="1"/>
    <col min="12805" max="12812" width="7.8984375" style="1551" customWidth="1"/>
    <col min="12813" max="12813" width="8.59765625" style="1551" customWidth="1"/>
    <col min="12814" max="12814" width="15.09765625" style="1551" customWidth="1"/>
    <col min="12815" max="13056" width="9" style="1551"/>
    <col min="13057" max="13057" width="4.3984375" style="1551" customWidth="1"/>
    <col min="13058" max="13058" width="20.59765625" style="1551" customWidth="1"/>
    <col min="13059" max="13059" width="4.5" style="1551" customWidth="1"/>
    <col min="13060" max="13060" width="4.8984375" style="1551" customWidth="1"/>
    <col min="13061" max="13068" width="7.8984375" style="1551" customWidth="1"/>
    <col min="13069" max="13069" width="8.59765625" style="1551" customWidth="1"/>
    <col min="13070" max="13070" width="15.09765625" style="1551" customWidth="1"/>
    <col min="13071" max="13312" width="9" style="1551"/>
    <col min="13313" max="13313" width="4.3984375" style="1551" customWidth="1"/>
    <col min="13314" max="13314" width="20.59765625" style="1551" customWidth="1"/>
    <col min="13315" max="13315" width="4.5" style="1551" customWidth="1"/>
    <col min="13316" max="13316" width="4.8984375" style="1551" customWidth="1"/>
    <col min="13317" max="13324" width="7.8984375" style="1551" customWidth="1"/>
    <col min="13325" max="13325" width="8.59765625" style="1551" customWidth="1"/>
    <col min="13326" max="13326" width="15.09765625" style="1551" customWidth="1"/>
    <col min="13327" max="13568" width="9" style="1551"/>
    <col min="13569" max="13569" width="4.3984375" style="1551" customWidth="1"/>
    <col min="13570" max="13570" width="20.59765625" style="1551" customWidth="1"/>
    <col min="13571" max="13571" width="4.5" style="1551" customWidth="1"/>
    <col min="13572" max="13572" width="4.8984375" style="1551" customWidth="1"/>
    <col min="13573" max="13580" width="7.8984375" style="1551" customWidth="1"/>
    <col min="13581" max="13581" width="8.59765625" style="1551" customWidth="1"/>
    <col min="13582" max="13582" width="15.09765625" style="1551" customWidth="1"/>
    <col min="13583" max="13824" width="9" style="1551"/>
    <col min="13825" max="13825" width="4.3984375" style="1551" customWidth="1"/>
    <col min="13826" max="13826" width="20.59765625" style="1551" customWidth="1"/>
    <col min="13827" max="13827" width="4.5" style="1551" customWidth="1"/>
    <col min="13828" max="13828" width="4.8984375" style="1551" customWidth="1"/>
    <col min="13829" max="13836" width="7.8984375" style="1551" customWidth="1"/>
    <col min="13837" max="13837" width="8.59765625" style="1551" customWidth="1"/>
    <col min="13838" max="13838" width="15.09765625" style="1551" customWidth="1"/>
    <col min="13839" max="14080" width="9" style="1551"/>
    <col min="14081" max="14081" width="4.3984375" style="1551" customWidth="1"/>
    <col min="14082" max="14082" width="20.59765625" style="1551" customWidth="1"/>
    <col min="14083" max="14083" width="4.5" style="1551" customWidth="1"/>
    <col min="14084" max="14084" width="4.8984375" style="1551" customWidth="1"/>
    <col min="14085" max="14092" width="7.8984375" style="1551" customWidth="1"/>
    <col min="14093" max="14093" width="8.59765625" style="1551" customWidth="1"/>
    <col min="14094" max="14094" width="15.09765625" style="1551" customWidth="1"/>
    <col min="14095" max="14336" width="9" style="1551"/>
    <col min="14337" max="14337" width="4.3984375" style="1551" customWidth="1"/>
    <col min="14338" max="14338" width="20.59765625" style="1551" customWidth="1"/>
    <col min="14339" max="14339" width="4.5" style="1551" customWidth="1"/>
    <col min="14340" max="14340" width="4.8984375" style="1551" customWidth="1"/>
    <col min="14341" max="14348" width="7.8984375" style="1551" customWidth="1"/>
    <col min="14349" max="14349" width="8.59765625" style="1551" customWidth="1"/>
    <col min="14350" max="14350" width="15.09765625" style="1551" customWidth="1"/>
    <col min="14351" max="14592" width="9" style="1551"/>
    <col min="14593" max="14593" width="4.3984375" style="1551" customWidth="1"/>
    <col min="14594" max="14594" width="20.59765625" style="1551" customWidth="1"/>
    <col min="14595" max="14595" width="4.5" style="1551" customWidth="1"/>
    <col min="14596" max="14596" width="4.8984375" style="1551" customWidth="1"/>
    <col min="14597" max="14604" width="7.8984375" style="1551" customWidth="1"/>
    <col min="14605" max="14605" width="8.59765625" style="1551" customWidth="1"/>
    <col min="14606" max="14606" width="15.09765625" style="1551" customWidth="1"/>
    <col min="14607" max="14848" width="9" style="1551"/>
    <col min="14849" max="14849" width="4.3984375" style="1551" customWidth="1"/>
    <col min="14850" max="14850" width="20.59765625" style="1551" customWidth="1"/>
    <col min="14851" max="14851" width="4.5" style="1551" customWidth="1"/>
    <col min="14852" max="14852" width="4.8984375" style="1551" customWidth="1"/>
    <col min="14853" max="14860" width="7.8984375" style="1551" customWidth="1"/>
    <col min="14861" max="14861" width="8.59765625" style="1551" customWidth="1"/>
    <col min="14862" max="14862" width="15.09765625" style="1551" customWidth="1"/>
    <col min="14863" max="15104" width="9" style="1551"/>
    <col min="15105" max="15105" width="4.3984375" style="1551" customWidth="1"/>
    <col min="15106" max="15106" width="20.59765625" style="1551" customWidth="1"/>
    <col min="15107" max="15107" width="4.5" style="1551" customWidth="1"/>
    <col min="15108" max="15108" width="4.8984375" style="1551" customWidth="1"/>
    <col min="15109" max="15116" width="7.8984375" style="1551" customWidth="1"/>
    <col min="15117" max="15117" width="8.59765625" style="1551" customWidth="1"/>
    <col min="15118" max="15118" width="15.09765625" style="1551" customWidth="1"/>
    <col min="15119" max="15360" width="9" style="1551"/>
    <col min="15361" max="15361" width="4.3984375" style="1551" customWidth="1"/>
    <col min="15362" max="15362" width="20.59765625" style="1551" customWidth="1"/>
    <col min="15363" max="15363" width="4.5" style="1551" customWidth="1"/>
    <col min="15364" max="15364" width="4.8984375" style="1551" customWidth="1"/>
    <col min="15365" max="15372" width="7.8984375" style="1551" customWidth="1"/>
    <col min="15373" max="15373" width="8.59765625" style="1551" customWidth="1"/>
    <col min="15374" max="15374" width="15.09765625" style="1551" customWidth="1"/>
    <col min="15375" max="15616" width="9" style="1551"/>
    <col min="15617" max="15617" width="4.3984375" style="1551" customWidth="1"/>
    <col min="15618" max="15618" width="20.59765625" style="1551" customWidth="1"/>
    <col min="15619" max="15619" width="4.5" style="1551" customWidth="1"/>
    <col min="15620" max="15620" width="4.8984375" style="1551" customWidth="1"/>
    <col min="15621" max="15628" width="7.8984375" style="1551" customWidth="1"/>
    <col min="15629" max="15629" width="8.59765625" style="1551" customWidth="1"/>
    <col min="15630" max="15630" width="15.09765625" style="1551" customWidth="1"/>
    <col min="15631" max="15872" width="9" style="1551"/>
    <col min="15873" max="15873" width="4.3984375" style="1551" customWidth="1"/>
    <col min="15874" max="15874" width="20.59765625" style="1551" customWidth="1"/>
    <col min="15875" max="15875" width="4.5" style="1551" customWidth="1"/>
    <col min="15876" max="15876" width="4.8984375" style="1551" customWidth="1"/>
    <col min="15877" max="15884" width="7.8984375" style="1551" customWidth="1"/>
    <col min="15885" max="15885" width="8.59765625" style="1551" customWidth="1"/>
    <col min="15886" max="15886" width="15.09765625" style="1551" customWidth="1"/>
    <col min="15887" max="16128" width="9" style="1551"/>
    <col min="16129" max="16129" width="4.3984375" style="1551" customWidth="1"/>
    <col min="16130" max="16130" width="20.59765625" style="1551" customWidth="1"/>
    <col min="16131" max="16131" width="4.5" style="1551" customWidth="1"/>
    <col min="16132" max="16132" width="4.8984375" style="1551" customWidth="1"/>
    <col min="16133" max="16140" width="7.8984375" style="1551" customWidth="1"/>
    <col min="16141" max="16141" width="8.59765625" style="1551" customWidth="1"/>
    <col min="16142" max="16142" width="15.09765625" style="1551" customWidth="1"/>
    <col min="16143" max="16384" width="9" style="1551"/>
  </cols>
  <sheetData>
    <row r="1" spans="1:15" ht="20.100000000000001" customHeight="1">
      <c r="A1" s="3400" t="s">
        <v>5206</v>
      </c>
      <c r="B1" s="3400"/>
      <c r="C1" s="3400"/>
      <c r="D1" s="3400"/>
      <c r="E1" s="3400"/>
      <c r="F1" s="3400"/>
      <c r="G1" s="3400"/>
      <c r="H1" s="3400"/>
      <c r="I1" s="3400"/>
      <c r="J1" s="3400"/>
      <c r="K1" s="3400"/>
      <c r="L1" s="3400"/>
      <c r="M1" s="3400"/>
      <c r="N1" s="1802"/>
    </row>
    <row r="2" spans="1:15" ht="25.5" customHeight="1">
      <c r="A2" s="3401" t="s">
        <v>5207</v>
      </c>
      <c r="B2" s="3401"/>
      <c r="C2" s="3401"/>
      <c r="D2" s="3401"/>
      <c r="E2" s="3401"/>
      <c r="F2" s="3401"/>
      <c r="G2" s="3401"/>
      <c r="H2" s="3401"/>
      <c r="I2" s="3401"/>
      <c r="J2" s="3401"/>
      <c r="K2" s="3401"/>
      <c r="L2" s="3401"/>
      <c r="M2" s="3401"/>
      <c r="N2" s="1833"/>
    </row>
    <row r="3" spans="1:15" ht="14.25" customHeight="1">
      <c r="A3" s="3407" t="s">
        <v>1853</v>
      </c>
      <c r="B3" s="3405" t="s">
        <v>5079</v>
      </c>
      <c r="C3" s="3410" t="s">
        <v>5208</v>
      </c>
      <c r="D3" s="3411"/>
      <c r="E3" s="3412"/>
      <c r="F3" s="3410" t="s">
        <v>5209</v>
      </c>
      <c r="G3" s="3411"/>
      <c r="H3" s="3411"/>
      <c r="I3" s="3411"/>
      <c r="J3" s="3411"/>
      <c r="K3" s="3411"/>
      <c r="L3" s="3412"/>
      <c r="M3" s="3407" t="s">
        <v>5150</v>
      </c>
      <c r="N3" s="3407" t="s">
        <v>5151</v>
      </c>
    </row>
    <row r="4" spans="1:15" ht="39.75" customHeight="1">
      <c r="A4" s="3407"/>
      <c r="B4" s="3409"/>
      <c r="C4" s="1843" t="s">
        <v>1850</v>
      </c>
      <c r="D4" s="1843" t="s">
        <v>1851</v>
      </c>
      <c r="E4" s="1843" t="s">
        <v>5150</v>
      </c>
      <c r="F4" s="1843" t="s">
        <v>5210</v>
      </c>
      <c r="G4" s="1843" t="s">
        <v>5211</v>
      </c>
      <c r="H4" s="1843" t="s">
        <v>5212</v>
      </c>
      <c r="I4" s="1843" t="s">
        <v>5213</v>
      </c>
      <c r="J4" s="1843" t="s">
        <v>5214</v>
      </c>
      <c r="K4" s="1843" t="s">
        <v>5215</v>
      </c>
      <c r="L4" s="1843" t="s">
        <v>5150</v>
      </c>
      <c r="M4" s="3407"/>
      <c r="N4" s="3407"/>
    </row>
    <row r="5" spans="1:15" ht="14.25" customHeight="1">
      <c r="A5" s="3407"/>
      <c r="B5" s="3409"/>
      <c r="C5" s="1841">
        <v>1</v>
      </c>
      <c r="D5" s="1841">
        <v>2</v>
      </c>
      <c r="E5" s="1841" t="s">
        <v>5216</v>
      </c>
      <c r="F5" s="1841">
        <v>4</v>
      </c>
      <c r="G5" s="1841">
        <v>5</v>
      </c>
      <c r="H5" s="1841">
        <v>6</v>
      </c>
      <c r="I5" s="1841">
        <v>7</v>
      </c>
      <c r="J5" s="1843" t="s">
        <v>5217</v>
      </c>
      <c r="K5" s="1843" t="s">
        <v>5218</v>
      </c>
      <c r="L5" s="1843" t="s">
        <v>5219</v>
      </c>
      <c r="M5" s="1841" t="s">
        <v>5220</v>
      </c>
      <c r="N5" s="1968"/>
    </row>
    <row r="6" spans="1:15" ht="14.25" customHeight="1">
      <c r="A6" s="1840">
        <v>1</v>
      </c>
      <c r="B6" s="1817" t="s">
        <v>5221</v>
      </c>
      <c r="C6" s="2072">
        <f>投资收益审核表!C6</f>
        <v>0</v>
      </c>
      <c r="D6" s="2072">
        <f>投资收益审核表!D6</f>
        <v>0</v>
      </c>
      <c r="E6" s="2072">
        <f>投资收益审核表!E6</f>
        <v>0</v>
      </c>
      <c r="F6" s="2072">
        <f>投资收益审核表!F6</f>
        <v>0</v>
      </c>
      <c r="G6" s="2072">
        <f>投资收益审核表!G6</f>
        <v>0</v>
      </c>
      <c r="H6" s="2072">
        <f>投资收益审核表!H6</f>
        <v>0</v>
      </c>
      <c r="I6" s="2072">
        <f>投资收益审核表!I6</f>
        <v>0</v>
      </c>
      <c r="J6" s="2072">
        <f>投资收益审核表!J6</f>
        <v>0</v>
      </c>
      <c r="K6" s="2072">
        <f>投资收益审核表!K6</f>
        <v>0</v>
      </c>
      <c r="L6" s="2072">
        <f>投资收益审核表!L6</f>
        <v>0</v>
      </c>
      <c r="M6" s="2072">
        <f>投资收益审核表!M6</f>
        <v>0</v>
      </c>
      <c r="N6" s="1968"/>
    </row>
    <row r="7" spans="1:15" ht="14.25" customHeight="1">
      <c r="A7" s="1840">
        <v>2</v>
      </c>
      <c r="B7" s="1818" t="s">
        <v>5222</v>
      </c>
      <c r="C7" s="2072">
        <f>投资收益审核表!C7</f>
        <v>0</v>
      </c>
      <c r="D7" s="2072">
        <f>投资收益审核表!D7</f>
        <v>0</v>
      </c>
      <c r="E7" s="2072">
        <f>投资收益审核表!E7</f>
        <v>0</v>
      </c>
      <c r="F7" s="2072">
        <f>投资收益审核表!F7</f>
        <v>0</v>
      </c>
      <c r="G7" s="2072">
        <f>投资收益审核表!G7</f>
        <v>0</v>
      </c>
      <c r="H7" s="2072">
        <f>投资收益审核表!H7</f>
        <v>0</v>
      </c>
      <c r="I7" s="2072">
        <f>投资收益审核表!I7</f>
        <v>0</v>
      </c>
      <c r="J7" s="2072">
        <f>投资收益审核表!J7</f>
        <v>0</v>
      </c>
      <c r="K7" s="2072">
        <f>投资收益审核表!K7</f>
        <v>0</v>
      </c>
      <c r="L7" s="2072">
        <f>投资收益审核表!L7</f>
        <v>0</v>
      </c>
      <c r="M7" s="2072">
        <f>投资收益审核表!M7</f>
        <v>0</v>
      </c>
      <c r="N7" s="1968"/>
    </row>
    <row r="8" spans="1:15" ht="14.25" customHeight="1">
      <c r="A8" s="1840">
        <v>3</v>
      </c>
      <c r="B8" s="1819" t="s">
        <v>5223</v>
      </c>
      <c r="C8" s="2072">
        <f>投资收益审核表!C8</f>
        <v>0</v>
      </c>
      <c r="D8" s="2072">
        <f>投资收益审核表!D8</f>
        <v>0</v>
      </c>
      <c r="E8" s="2072">
        <f>投资收益审核表!E8</f>
        <v>0</v>
      </c>
      <c r="F8" s="2072">
        <f>投资收益审核表!F8</f>
        <v>0</v>
      </c>
      <c r="G8" s="2072">
        <f>投资收益审核表!G8</f>
        <v>0</v>
      </c>
      <c r="H8" s="2072">
        <f>投资收益审核表!H8</f>
        <v>0</v>
      </c>
      <c r="I8" s="2072">
        <f>投资收益审核表!I8</f>
        <v>0</v>
      </c>
      <c r="J8" s="2072">
        <f>投资收益审核表!J8</f>
        <v>0</v>
      </c>
      <c r="K8" s="2072">
        <f>投资收益审核表!K8</f>
        <v>0</v>
      </c>
      <c r="L8" s="2072">
        <f>投资收益审核表!L8</f>
        <v>0</v>
      </c>
      <c r="M8" s="2072">
        <f>投资收益审核表!M8</f>
        <v>0</v>
      </c>
      <c r="N8" s="1968"/>
    </row>
    <row r="9" spans="1:15" ht="14.25" customHeight="1">
      <c r="A9" s="1840">
        <v>4</v>
      </c>
      <c r="B9" s="1818" t="s">
        <v>5224</v>
      </c>
      <c r="C9" s="2072">
        <f>投资收益审核表!C9</f>
        <v>0</v>
      </c>
      <c r="D9" s="2072">
        <f>投资收益审核表!D9</f>
        <v>0</v>
      </c>
      <c r="E9" s="2072">
        <f>投资收益审核表!E9</f>
        <v>0</v>
      </c>
      <c r="F9" s="2072">
        <f>投资收益审核表!F9</f>
        <v>0</v>
      </c>
      <c r="G9" s="2072">
        <f>投资收益审核表!G9</f>
        <v>0</v>
      </c>
      <c r="H9" s="2072">
        <f>投资收益审核表!H9</f>
        <v>0</v>
      </c>
      <c r="I9" s="2072">
        <f>投资收益审核表!I9</f>
        <v>0</v>
      </c>
      <c r="J9" s="2072">
        <f>投资收益审核表!J9</f>
        <v>0</v>
      </c>
      <c r="K9" s="2072">
        <f>投资收益审核表!K9</f>
        <v>0</v>
      </c>
      <c r="L9" s="2072">
        <f>投资收益审核表!L9</f>
        <v>0</v>
      </c>
      <c r="M9" s="2072">
        <f>投资收益审核表!M9</f>
        <v>0</v>
      </c>
      <c r="N9" s="1968"/>
    </row>
    <row r="10" spans="1:15" ht="14.25" customHeight="1">
      <c r="A10" s="1840">
        <v>5</v>
      </c>
      <c r="B10" s="1818" t="s">
        <v>5225</v>
      </c>
      <c r="C10" s="2072">
        <f>投资收益审核表!C10</f>
        <v>0</v>
      </c>
      <c r="D10" s="2072">
        <f>投资收益审核表!D10</f>
        <v>0</v>
      </c>
      <c r="E10" s="2072">
        <f>投资收益审核表!E10</f>
        <v>0</v>
      </c>
      <c r="F10" s="2072">
        <f>投资收益审核表!F10</f>
        <v>0</v>
      </c>
      <c r="G10" s="2072">
        <f>投资收益审核表!G10</f>
        <v>0</v>
      </c>
      <c r="H10" s="2072">
        <f>投资收益审核表!H10</f>
        <v>0</v>
      </c>
      <c r="I10" s="2072">
        <f>投资收益审核表!I10</f>
        <v>0</v>
      </c>
      <c r="J10" s="2072">
        <f>投资收益审核表!J10</f>
        <v>0</v>
      </c>
      <c r="K10" s="2072">
        <f>投资收益审核表!K10</f>
        <v>0</v>
      </c>
      <c r="L10" s="2072">
        <f>投资收益审核表!L10</f>
        <v>0</v>
      </c>
      <c r="M10" s="2072">
        <f>投资收益审核表!M10</f>
        <v>0</v>
      </c>
      <c r="N10" s="1968"/>
    </row>
    <row r="11" spans="1:15" ht="14.25" customHeight="1">
      <c r="A11" s="1840">
        <v>6</v>
      </c>
      <c r="B11" s="1819" t="s">
        <v>5226</v>
      </c>
      <c r="C11" s="2072">
        <f>投资收益审核表!C11</f>
        <v>0</v>
      </c>
      <c r="D11" s="2072">
        <f>投资收益审核表!D11</f>
        <v>0</v>
      </c>
      <c r="E11" s="2072">
        <f>投资收益审核表!E11</f>
        <v>0</v>
      </c>
      <c r="F11" s="2072">
        <f>投资收益审核表!F11</f>
        <v>0</v>
      </c>
      <c r="G11" s="2072">
        <f>投资收益审核表!G11</f>
        <v>0</v>
      </c>
      <c r="H11" s="2072">
        <f>投资收益审核表!H11</f>
        <v>0</v>
      </c>
      <c r="I11" s="2072">
        <f>投资收益审核表!I11</f>
        <v>0</v>
      </c>
      <c r="J11" s="2072">
        <f>投资收益审核表!J11</f>
        <v>0</v>
      </c>
      <c r="K11" s="2072">
        <f>投资收益审核表!K11</f>
        <v>0</v>
      </c>
      <c r="L11" s="2072">
        <f>投资收益审核表!L11</f>
        <v>0</v>
      </c>
      <c r="M11" s="2072">
        <f>投资收益审核表!M11</f>
        <v>0</v>
      </c>
      <c r="N11" s="1968"/>
    </row>
    <row r="12" spans="1:15" ht="14.25" customHeight="1">
      <c r="A12" s="1840">
        <v>7</v>
      </c>
      <c r="B12" s="1819" t="s">
        <v>5227</v>
      </c>
      <c r="C12" s="2072">
        <f>投资收益审核表!C12</f>
        <v>0</v>
      </c>
      <c r="D12" s="2072">
        <f>投资收益审核表!D12</f>
        <v>0</v>
      </c>
      <c r="E12" s="2072">
        <f>投资收益审核表!E12</f>
        <v>0</v>
      </c>
      <c r="F12" s="2072">
        <f>投资收益审核表!F12</f>
        <v>0</v>
      </c>
      <c r="G12" s="2072">
        <f>投资收益审核表!G12</f>
        <v>0</v>
      </c>
      <c r="H12" s="2072">
        <f>投资收益审核表!H12</f>
        <v>0</v>
      </c>
      <c r="I12" s="2072">
        <f>投资收益审核表!I12</f>
        <v>0</v>
      </c>
      <c r="J12" s="2072">
        <f>投资收益审核表!J12</f>
        <v>0</v>
      </c>
      <c r="K12" s="2072">
        <f>投资收益审核表!K12</f>
        <v>0</v>
      </c>
      <c r="L12" s="2072">
        <f>投资收益审核表!L12</f>
        <v>0</v>
      </c>
      <c r="M12" s="2072">
        <f>投资收益审核表!M12</f>
        <v>0</v>
      </c>
      <c r="N12" s="1968"/>
    </row>
    <row r="13" spans="1:15" ht="14.25" customHeight="1">
      <c r="A13" s="1840">
        <v>8</v>
      </c>
      <c r="B13" s="1819" t="s">
        <v>5228</v>
      </c>
      <c r="C13" s="2072">
        <f>投资收益审核表!C13</f>
        <v>0</v>
      </c>
      <c r="D13" s="2072">
        <f>投资收益审核表!D13</f>
        <v>0</v>
      </c>
      <c r="E13" s="2072">
        <f>投资收益审核表!E13</f>
        <v>0</v>
      </c>
      <c r="F13" s="2072">
        <f>投资收益审核表!F13</f>
        <v>0</v>
      </c>
      <c r="G13" s="2072">
        <f>投资收益审核表!G13</f>
        <v>0</v>
      </c>
      <c r="H13" s="2072">
        <f>投资收益审核表!H13</f>
        <v>0</v>
      </c>
      <c r="I13" s="2072">
        <f>投资收益审核表!I13</f>
        <v>0</v>
      </c>
      <c r="J13" s="2072">
        <f>投资收益审核表!J13</f>
        <v>0</v>
      </c>
      <c r="K13" s="2072">
        <f>投资收益审核表!K13</f>
        <v>0</v>
      </c>
      <c r="L13" s="2072">
        <f>投资收益审核表!L13</f>
        <v>0</v>
      </c>
      <c r="M13" s="2072">
        <f>投资收益审核表!M13</f>
        <v>0</v>
      </c>
      <c r="N13" s="1968"/>
      <c r="O13" s="1675" t="s">
        <v>6438</v>
      </c>
    </row>
    <row r="14" spans="1:15" ht="14.25" customHeight="1">
      <c r="A14" s="1840">
        <v>9</v>
      </c>
      <c r="B14" s="1818" t="s">
        <v>5229</v>
      </c>
      <c r="C14" s="2072">
        <f>投资收益审核表!C14</f>
        <v>0</v>
      </c>
      <c r="D14" s="2072">
        <f>投资收益审核表!D14</f>
        <v>0</v>
      </c>
      <c r="E14" s="2072">
        <f>投资收益审核表!E14</f>
        <v>0</v>
      </c>
      <c r="F14" s="2072">
        <f>投资收益审核表!F14</f>
        <v>0</v>
      </c>
      <c r="G14" s="2072">
        <f>投资收益审核表!G14</f>
        <v>0</v>
      </c>
      <c r="H14" s="2072">
        <f>投资收益审核表!H14</f>
        <v>0</v>
      </c>
      <c r="I14" s="2072">
        <f>投资收益审核表!I14</f>
        <v>0</v>
      </c>
      <c r="J14" s="2072">
        <f>投资收益审核表!J14</f>
        <v>0</v>
      </c>
      <c r="K14" s="2072">
        <f>投资收益审核表!K14</f>
        <v>0</v>
      </c>
      <c r="L14" s="2072">
        <f>投资收益审核表!L14</f>
        <v>0</v>
      </c>
      <c r="M14" s="2072">
        <f>投资收益审核表!M14</f>
        <v>0</v>
      </c>
      <c r="N14" s="1968"/>
    </row>
    <row r="15" spans="1:15" ht="129" customHeight="1">
      <c r="A15" s="1840">
        <v>10</v>
      </c>
      <c r="B15" s="1820" t="s">
        <v>5230</v>
      </c>
      <c r="C15" s="2072">
        <f>投资收益审核表!C15</f>
        <v>0</v>
      </c>
      <c r="D15" s="2072">
        <f>投资收益审核表!D15</f>
        <v>0</v>
      </c>
      <c r="E15" s="2072">
        <f>投资收益审核表!E15</f>
        <v>0</v>
      </c>
      <c r="F15" s="2072">
        <f>投资收益审核表!F15</f>
        <v>0</v>
      </c>
      <c r="G15" s="2072">
        <f>投资收益审核表!G15</f>
        <v>0</v>
      </c>
      <c r="H15" s="2072">
        <f>投资收益审核表!H15</f>
        <v>0</v>
      </c>
      <c r="I15" s="2072">
        <f>投资收益审核表!I15</f>
        <v>0</v>
      </c>
      <c r="J15" s="2072">
        <f>投资收益审核表!J15</f>
        <v>0</v>
      </c>
      <c r="K15" s="2072">
        <f>投资收益审核表!K15</f>
        <v>0</v>
      </c>
      <c r="L15" s="2072">
        <f>投资收益审核表!L15</f>
        <v>0</v>
      </c>
      <c r="M15" s="2072">
        <f>投资收益审核表!M15</f>
        <v>0</v>
      </c>
      <c r="N15" s="1819" t="s">
        <v>5231</v>
      </c>
    </row>
  </sheetData>
  <mergeCells count="8">
    <mergeCell ref="N3:N4"/>
    <mergeCell ref="A1:M1"/>
    <mergeCell ref="A2:M2"/>
    <mergeCell ref="A3:A5"/>
    <mergeCell ref="B3:B5"/>
    <mergeCell ref="C3:E3"/>
    <mergeCell ref="F3:L3"/>
    <mergeCell ref="M3:M4"/>
  </mergeCells>
  <phoneticPr fontId="51" type="noConversion"/>
  <hyperlinks>
    <hyperlink ref="O13" location="投资收益审核表!A1" display="投资收益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tabColor rgb="FFFFFF00"/>
  </sheetPr>
  <dimension ref="A1:R13"/>
  <sheetViews>
    <sheetView workbookViewId="0">
      <selection activeCell="A2" sqref="A2:P2"/>
    </sheetView>
  </sheetViews>
  <sheetFormatPr defaultRowHeight="15.6"/>
  <cols>
    <col min="1" max="1" width="4.3984375" style="1559" customWidth="1"/>
    <col min="2" max="2" width="8" style="1559" customWidth="1"/>
    <col min="3" max="3" width="4.8984375" style="1559" customWidth="1"/>
    <col min="4" max="16" width="8.69921875" style="1559" customWidth="1"/>
    <col min="17" max="17" width="5.3984375" style="1558" customWidth="1"/>
    <col min="18" max="18" width="35.19921875" style="1558" customWidth="1"/>
    <col min="19" max="256" width="9" style="1558"/>
    <col min="257" max="257" width="4.3984375" style="1558" customWidth="1"/>
    <col min="258" max="258" width="19" style="1558" customWidth="1"/>
    <col min="259" max="259" width="6.5" style="1558" customWidth="1"/>
    <col min="260" max="260" width="6" style="1558" customWidth="1"/>
    <col min="261" max="261" width="6.8984375" style="1558" customWidth="1"/>
    <col min="262" max="266" width="7.69921875" style="1558" customWidth="1"/>
    <col min="267" max="267" width="6.69921875" style="1558" customWidth="1"/>
    <col min="268" max="268" width="5.09765625" style="1558" customWidth="1"/>
    <col min="269" max="269" width="7.69921875" style="1558" customWidth="1"/>
    <col min="270" max="270" width="4.3984375" style="1558" customWidth="1"/>
    <col min="271" max="272" width="6.59765625" style="1558" customWidth="1"/>
    <col min="273" max="273" width="14" style="1558" customWidth="1"/>
    <col min="274" max="274" width="35.19921875" style="1558" customWidth="1"/>
    <col min="275" max="512" width="9" style="1558"/>
    <col min="513" max="513" width="4.3984375" style="1558" customWidth="1"/>
    <col min="514" max="514" width="19" style="1558" customWidth="1"/>
    <col min="515" max="515" width="6.5" style="1558" customWidth="1"/>
    <col min="516" max="516" width="6" style="1558" customWidth="1"/>
    <col min="517" max="517" width="6.8984375" style="1558" customWidth="1"/>
    <col min="518" max="522" width="7.69921875" style="1558" customWidth="1"/>
    <col min="523" max="523" width="6.69921875" style="1558" customWidth="1"/>
    <col min="524" max="524" width="5.09765625" style="1558" customWidth="1"/>
    <col min="525" max="525" width="7.69921875" style="1558" customWidth="1"/>
    <col min="526" max="526" width="4.3984375" style="1558" customWidth="1"/>
    <col min="527" max="528" width="6.59765625" style="1558" customWidth="1"/>
    <col min="529" max="529" width="14" style="1558" customWidth="1"/>
    <col min="530" max="530" width="35.19921875" style="1558" customWidth="1"/>
    <col min="531" max="768" width="9" style="1558"/>
    <col min="769" max="769" width="4.3984375" style="1558" customWidth="1"/>
    <col min="770" max="770" width="19" style="1558" customWidth="1"/>
    <col min="771" max="771" width="6.5" style="1558" customWidth="1"/>
    <col min="772" max="772" width="6" style="1558" customWidth="1"/>
    <col min="773" max="773" width="6.8984375" style="1558" customWidth="1"/>
    <col min="774" max="778" width="7.69921875" style="1558" customWidth="1"/>
    <col min="779" max="779" width="6.69921875" style="1558" customWidth="1"/>
    <col min="780" max="780" width="5.09765625" style="1558" customWidth="1"/>
    <col min="781" max="781" width="7.69921875" style="1558" customWidth="1"/>
    <col min="782" max="782" width="4.3984375" style="1558" customWidth="1"/>
    <col min="783" max="784" width="6.59765625" style="1558" customWidth="1"/>
    <col min="785" max="785" width="14" style="1558" customWidth="1"/>
    <col min="786" max="786" width="35.19921875" style="1558" customWidth="1"/>
    <col min="787" max="1024" width="9" style="1558"/>
    <col min="1025" max="1025" width="4.3984375" style="1558" customWidth="1"/>
    <col min="1026" max="1026" width="19" style="1558" customWidth="1"/>
    <col min="1027" max="1027" width="6.5" style="1558" customWidth="1"/>
    <col min="1028" max="1028" width="6" style="1558" customWidth="1"/>
    <col min="1029" max="1029" width="6.8984375" style="1558" customWidth="1"/>
    <col min="1030" max="1034" width="7.69921875" style="1558" customWidth="1"/>
    <col min="1035" max="1035" width="6.69921875" style="1558" customWidth="1"/>
    <col min="1036" max="1036" width="5.09765625" style="1558" customWidth="1"/>
    <col min="1037" max="1037" width="7.69921875" style="1558" customWidth="1"/>
    <col min="1038" max="1038" width="4.3984375" style="1558" customWidth="1"/>
    <col min="1039" max="1040" width="6.59765625" style="1558" customWidth="1"/>
    <col min="1041" max="1041" width="14" style="1558" customWidth="1"/>
    <col min="1042" max="1042" width="35.19921875" style="1558" customWidth="1"/>
    <col min="1043" max="1280" width="9" style="1558"/>
    <col min="1281" max="1281" width="4.3984375" style="1558" customWidth="1"/>
    <col min="1282" max="1282" width="19" style="1558" customWidth="1"/>
    <col min="1283" max="1283" width="6.5" style="1558" customWidth="1"/>
    <col min="1284" max="1284" width="6" style="1558" customWidth="1"/>
    <col min="1285" max="1285" width="6.8984375" style="1558" customWidth="1"/>
    <col min="1286" max="1290" width="7.69921875" style="1558" customWidth="1"/>
    <col min="1291" max="1291" width="6.69921875" style="1558" customWidth="1"/>
    <col min="1292" max="1292" width="5.09765625" style="1558" customWidth="1"/>
    <col min="1293" max="1293" width="7.69921875" style="1558" customWidth="1"/>
    <col min="1294" max="1294" width="4.3984375" style="1558" customWidth="1"/>
    <col min="1295" max="1296" width="6.59765625" style="1558" customWidth="1"/>
    <col min="1297" max="1297" width="14" style="1558" customWidth="1"/>
    <col min="1298" max="1298" width="35.19921875" style="1558" customWidth="1"/>
    <col min="1299" max="1536" width="9" style="1558"/>
    <col min="1537" max="1537" width="4.3984375" style="1558" customWidth="1"/>
    <col min="1538" max="1538" width="19" style="1558" customWidth="1"/>
    <col min="1539" max="1539" width="6.5" style="1558" customWidth="1"/>
    <col min="1540" max="1540" width="6" style="1558" customWidth="1"/>
    <col min="1541" max="1541" width="6.8984375" style="1558" customWidth="1"/>
    <col min="1542" max="1546" width="7.69921875" style="1558" customWidth="1"/>
    <col min="1547" max="1547" width="6.69921875" style="1558" customWidth="1"/>
    <col min="1548" max="1548" width="5.09765625" style="1558" customWidth="1"/>
    <col min="1549" max="1549" width="7.69921875" style="1558" customWidth="1"/>
    <col min="1550" max="1550" width="4.3984375" style="1558" customWidth="1"/>
    <col min="1551" max="1552" width="6.59765625" style="1558" customWidth="1"/>
    <col min="1553" max="1553" width="14" style="1558" customWidth="1"/>
    <col min="1554" max="1554" width="35.19921875" style="1558" customWidth="1"/>
    <col min="1555" max="1792" width="9" style="1558"/>
    <col min="1793" max="1793" width="4.3984375" style="1558" customWidth="1"/>
    <col min="1794" max="1794" width="19" style="1558" customWidth="1"/>
    <col min="1795" max="1795" width="6.5" style="1558" customWidth="1"/>
    <col min="1796" max="1796" width="6" style="1558" customWidth="1"/>
    <col min="1797" max="1797" width="6.8984375" style="1558" customWidth="1"/>
    <col min="1798" max="1802" width="7.69921875" style="1558" customWidth="1"/>
    <col min="1803" max="1803" width="6.69921875" style="1558" customWidth="1"/>
    <col min="1804" max="1804" width="5.09765625" style="1558" customWidth="1"/>
    <col min="1805" max="1805" width="7.69921875" style="1558" customWidth="1"/>
    <col min="1806" max="1806" width="4.3984375" style="1558" customWidth="1"/>
    <col min="1807" max="1808" width="6.59765625" style="1558" customWidth="1"/>
    <col min="1809" max="1809" width="14" style="1558" customWidth="1"/>
    <col min="1810" max="1810" width="35.19921875" style="1558" customWidth="1"/>
    <col min="1811" max="2048" width="9" style="1558"/>
    <col min="2049" max="2049" width="4.3984375" style="1558" customWidth="1"/>
    <col min="2050" max="2050" width="19" style="1558" customWidth="1"/>
    <col min="2051" max="2051" width="6.5" style="1558" customWidth="1"/>
    <col min="2052" max="2052" width="6" style="1558" customWidth="1"/>
    <col min="2053" max="2053" width="6.8984375" style="1558" customWidth="1"/>
    <col min="2054" max="2058" width="7.69921875" style="1558" customWidth="1"/>
    <col min="2059" max="2059" width="6.69921875" style="1558" customWidth="1"/>
    <col min="2060" max="2060" width="5.09765625" style="1558" customWidth="1"/>
    <col min="2061" max="2061" width="7.69921875" style="1558" customWidth="1"/>
    <col min="2062" max="2062" width="4.3984375" style="1558" customWidth="1"/>
    <col min="2063" max="2064" width="6.59765625" style="1558" customWidth="1"/>
    <col min="2065" max="2065" width="14" style="1558" customWidth="1"/>
    <col min="2066" max="2066" width="35.19921875" style="1558" customWidth="1"/>
    <col min="2067" max="2304" width="9" style="1558"/>
    <col min="2305" max="2305" width="4.3984375" style="1558" customWidth="1"/>
    <col min="2306" max="2306" width="19" style="1558" customWidth="1"/>
    <col min="2307" max="2307" width="6.5" style="1558" customWidth="1"/>
    <col min="2308" max="2308" width="6" style="1558" customWidth="1"/>
    <col min="2309" max="2309" width="6.8984375" style="1558" customWidth="1"/>
    <col min="2310" max="2314" width="7.69921875" style="1558" customWidth="1"/>
    <col min="2315" max="2315" width="6.69921875" style="1558" customWidth="1"/>
    <col min="2316" max="2316" width="5.09765625" style="1558" customWidth="1"/>
    <col min="2317" max="2317" width="7.69921875" style="1558" customWidth="1"/>
    <col min="2318" max="2318" width="4.3984375" style="1558" customWidth="1"/>
    <col min="2319" max="2320" width="6.59765625" style="1558" customWidth="1"/>
    <col min="2321" max="2321" width="14" style="1558" customWidth="1"/>
    <col min="2322" max="2322" width="35.19921875" style="1558" customWidth="1"/>
    <col min="2323" max="2560" width="9" style="1558"/>
    <col min="2561" max="2561" width="4.3984375" style="1558" customWidth="1"/>
    <col min="2562" max="2562" width="19" style="1558" customWidth="1"/>
    <col min="2563" max="2563" width="6.5" style="1558" customWidth="1"/>
    <col min="2564" max="2564" width="6" style="1558" customWidth="1"/>
    <col min="2565" max="2565" width="6.8984375" style="1558" customWidth="1"/>
    <col min="2566" max="2570" width="7.69921875" style="1558" customWidth="1"/>
    <col min="2571" max="2571" width="6.69921875" style="1558" customWidth="1"/>
    <col min="2572" max="2572" width="5.09765625" style="1558" customWidth="1"/>
    <col min="2573" max="2573" width="7.69921875" style="1558" customWidth="1"/>
    <col min="2574" max="2574" width="4.3984375" style="1558" customWidth="1"/>
    <col min="2575" max="2576" width="6.59765625" style="1558" customWidth="1"/>
    <col min="2577" max="2577" width="14" style="1558" customWidth="1"/>
    <col min="2578" max="2578" width="35.19921875" style="1558" customWidth="1"/>
    <col min="2579" max="2816" width="9" style="1558"/>
    <col min="2817" max="2817" width="4.3984375" style="1558" customWidth="1"/>
    <col min="2818" max="2818" width="19" style="1558" customWidth="1"/>
    <col min="2819" max="2819" width="6.5" style="1558" customWidth="1"/>
    <col min="2820" max="2820" width="6" style="1558" customWidth="1"/>
    <col min="2821" max="2821" width="6.8984375" style="1558" customWidth="1"/>
    <col min="2822" max="2826" width="7.69921875" style="1558" customWidth="1"/>
    <col min="2827" max="2827" width="6.69921875" style="1558" customWidth="1"/>
    <col min="2828" max="2828" width="5.09765625" style="1558" customWidth="1"/>
    <col min="2829" max="2829" width="7.69921875" style="1558" customWidth="1"/>
    <col min="2830" max="2830" width="4.3984375" style="1558" customWidth="1"/>
    <col min="2831" max="2832" width="6.59765625" style="1558" customWidth="1"/>
    <col min="2833" max="2833" width="14" style="1558" customWidth="1"/>
    <col min="2834" max="2834" width="35.19921875" style="1558" customWidth="1"/>
    <col min="2835" max="3072" width="9" style="1558"/>
    <col min="3073" max="3073" width="4.3984375" style="1558" customWidth="1"/>
    <col min="3074" max="3074" width="19" style="1558" customWidth="1"/>
    <col min="3075" max="3075" width="6.5" style="1558" customWidth="1"/>
    <col min="3076" max="3076" width="6" style="1558" customWidth="1"/>
    <col min="3077" max="3077" width="6.8984375" style="1558" customWidth="1"/>
    <col min="3078" max="3082" width="7.69921875" style="1558" customWidth="1"/>
    <col min="3083" max="3083" width="6.69921875" style="1558" customWidth="1"/>
    <col min="3084" max="3084" width="5.09765625" style="1558" customWidth="1"/>
    <col min="3085" max="3085" width="7.69921875" style="1558" customWidth="1"/>
    <col min="3086" max="3086" width="4.3984375" style="1558" customWidth="1"/>
    <col min="3087" max="3088" width="6.59765625" style="1558" customWidth="1"/>
    <col min="3089" max="3089" width="14" style="1558" customWidth="1"/>
    <col min="3090" max="3090" width="35.19921875" style="1558" customWidth="1"/>
    <col min="3091" max="3328" width="9" style="1558"/>
    <col min="3329" max="3329" width="4.3984375" style="1558" customWidth="1"/>
    <col min="3330" max="3330" width="19" style="1558" customWidth="1"/>
    <col min="3331" max="3331" width="6.5" style="1558" customWidth="1"/>
    <col min="3332" max="3332" width="6" style="1558" customWidth="1"/>
    <col min="3333" max="3333" width="6.8984375" style="1558" customWidth="1"/>
    <col min="3334" max="3338" width="7.69921875" style="1558" customWidth="1"/>
    <col min="3339" max="3339" width="6.69921875" style="1558" customWidth="1"/>
    <col min="3340" max="3340" width="5.09765625" style="1558" customWidth="1"/>
    <col min="3341" max="3341" width="7.69921875" style="1558" customWidth="1"/>
    <col min="3342" max="3342" width="4.3984375" style="1558" customWidth="1"/>
    <col min="3343" max="3344" width="6.59765625" style="1558" customWidth="1"/>
    <col min="3345" max="3345" width="14" style="1558" customWidth="1"/>
    <col min="3346" max="3346" width="35.19921875" style="1558" customWidth="1"/>
    <col min="3347" max="3584" width="9" style="1558"/>
    <col min="3585" max="3585" width="4.3984375" style="1558" customWidth="1"/>
    <col min="3586" max="3586" width="19" style="1558" customWidth="1"/>
    <col min="3587" max="3587" width="6.5" style="1558" customWidth="1"/>
    <col min="3588" max="3588" width="6" style="1558" customWidth="1"/>
    <col min="3589" max="3589" width="6.8984375" style="1558" customWidth="1"/>
    <col min="3590" max="3594" width="7.69921875" style="1558" customWidth="1"/>
    <col min="3595" max="3595" width="6.69921875" style="1558" customWidth="1"/>
    <col min="3596" max="3596" width="5.09765625" style="1558" customWidth="1"/>
    <col min="3597" max="3597" width="7.69921875" style="1558" customWidth="1"/>
    <col min="3598" max="3598" width="4.3984375" style="1558" customWidth="1"/>
    <col min="3599" max="3600" width="6.59765625" style="1558" customWidth="1"/>
    <col min="3601" max="3601" width="14" style="1558" customWidth="1"/>
    <col min="3602" max="3602" width="35.19921875" style="1558" customWidth="1"/>
    <col min="3603" max="3840" width="9" style="1558"/>
    <col min="3841" max="3841" width="4.3984375" style="1558" customWidth="1"/>
    <col min="3842" max="3842" width="19" style="1558" customWidth="1"/>
    <col min="3843" max="3843" width="6.5" style="1558" customWidth="1"/>
    <col min="3844" max="3844" width="6" style="1558" customWidth="1"/>
    <col min="3845" max="3845" width="6.8984375" style="1558" customWidth="1"/>
    <col min="3846" max="3850" width="7.69921875" style="1558" customWidth="1"/>
    <col min="3851" max="3851" width="6.69921875" style="1558" customWidth="1"/>
    <col min="3852" max="3852" width="5.09765625" style="1558" customWidth="1"/>
    <col min="3853" max="3853" width="7.69921875" style="1558" customWidth="1"/>
    <col min="3854" max="3854" width="4.3984375" style="1558" customWidth="1"/>
    <col min="3855" max="3856" width="6.59765625" style="1558" customWidth="1"/>
    <col min="3857" max="3857" width="14" style="1558" customWidth="1"/>
    <col min="3858" max="3858" width="35.19921875" style="1558" customWidth="1"/>
    <col min="3859" max="4096" width="9" style="1558"/>
    <col min="4097" max="4097" width="4.3984375" style="1558" customWidth="1"/>
    <col min="4098" max="4098" width="19" style="1558" customWidth="1"/>
    <col min="4099" max="4099" width="6.5" style="1558" customWidth="1"/>
    <col min="4100" max="4100" width="6" style="1558" customWidth="1"/>
    <col min="4101" max="4101" width="6.8984375" style="1558" customWidth="1"/>
    <col min="4102" max="4106" width="7.69921875" style="1558" customWidth="1"/>
    <col min="4107" max="4107" width="6.69921875" style="1558" customWidth="1"/>
    <col min="4108" max="4108" width="5.09765625" style="1558" customWidth="1"/>
    <col min="4109" max="4109" width="7.69921875" style="1558" customWidth="1"/>
    <col min="4110" max="4110" width="4.3984375" style="1558" customWidth="1"/>
    <col min="4111" max="4112" width="6.59765625" style="1558" customWidth="1"/>
    <col min="4113" max="4113" width="14" style="1558" customWidth="1"/>
    <col min="4114" max="4114" width="35.19921875" style="1558" customWidth="1"/>
    <col min="4115" max="4352" width="9" style="1558"/>
    <col min="4353" max="4353" width="4.3984375" style="1558" customWidth="1"/>
    <col min="4354" max="4354" width="19" style="1558" customWidth="1"/>
    <col min="4355" max="4355" width="6.5" style="1558" customWidth="1"/>
    <col min="4356" max="4356" width="6" style="1558" customWidth="1"/>
    <col min="4357" max="4357" width="6.8984375" style="1558" customWidth="1"/>
    <col min="4358" max="4362" width="7.69921875" style="1558" customWidth="1"/>
    <col min="4363" max="4363" width="6.69921875" style="1558" customWidth="1"/>
    <col min="4364" max="4364" width="5.09765625" style="1558" customWidth="1"/>
    <col min="4365" max="4365" width="7.69921875" style="1558" customWidth="1"/>
    <col min="4366" max="4366" width="4.3984375" style="1558" customWidth="1"/>
    <col min="4367" max="4368" width="6.59765625" style="1558" customWidth="1"/>
    <col min="4369" max="4369" width="14" style="1558" customWidth="1"/>
    <col min="4370" max="4370" width="35.19921875" style="1558" customWidth="1"/>
    <col min="4371" max="4608" width="9" style="1558"/>
    <col min="4609" max="4609" width="4.3984375" style="1558" customWidth="1"/>
    <col min="4610" max="4610" width="19" style="1558" customWidth="1"/>
    <col min="4611" max="4611" width="6.5" style="1558" customWidth="1"/>
    <col min="4612" max="4612" width="6" style="1558" customWidth="1"/>
    <col min="4613" max="4613" width="6.8984375" style="1558" customWidth="1"/>
    <col min="4614" max="4618" width="7.69921875" style="1558" customWidth="1"/>
    <col min="4619" max="4619" width="6.69921875" style="1558" customWidth="1"/>
    <col min="4620" max="4620" width="5.09765625" style="1558" customWidth="1"/>
    <col min="4621" max="4621" width="7.69921875" style="1558" customWidth="1"/>
    <col min="4622" max="4622" width="4.3984375" style="1558" customWidth="1"/>
    <col min="4623" max="4624" width="6.59765625" style="1558" customWidth="1"/>
    <col min="4625" max="4625" width="14" style="1558" customWidth="1"/>
    <col min="4626" max="4626" width="35.19921875" style="1558" customWidth="1"/>
    <col min="4627" max="4864" width="9" style="1558"/>
    <col min="4865" max="4865" width="4.3984375" style="1558" customWidth="1"/>
    <col min="4866" max="4866" width="19" style="1558" customWidth="1"/>
    <col min="4867" max="4867" width="6.5" style="1558" customWidth="1"/>
    <col min="4868" max="4868" width="6" style="1558" customWidth="1"/>
    <col min="4869" max="4869" width="6.8984375" style="1558" customWidth="1"/>
    <col min="4870" max="4874" width="7.69921875" style="1558" customWidth="1"/>
    <col min="4875" max="4875" width="6.69921875" style="1558" customWidth="1"/>
    <col min="4876" max="4876" width="5.09765625" style="1558" customWidth="1"/>
    <col min="4877" max="4877" width="7.69921875" style="1558" customWidth="1"/>
    <col min="4878" max="4878" width="4.3984375" style="1558" customWidth="1"/>
    <col min="4879" max="4880" width="6.59765625" style="1558" customWidth="1"/>
    <col min="4881" max="4881" width="14" style="1558" customWidth="1"/>
    <col min="4882" max="4882" width="35.19921875" style="1558" customWidth="1"/>
    <col min="4883" max="5120" width="9" style="1558"/>
    <col min="5121" max="5121" width="4.3984375" style="1558" customWidth="1"/>
    <col min="5122" max="5122" width="19" style="1558" customWidth="1"/>
    <col min="5123" max="5123" width="6.5" style="1558" customWidth="1"/>
    <col min="5124" max="5124" width="6" style="1558" customWidth="1"/>
    <col min="5125" max="5125" width="6.8984375" style="1558" customWidth="1"/>
    <col min="5126" max="5130" width="7.69921875" style="1558" customWidth="1"/>
    <col min="5131" max="5131" width="6.69921875" style="1558" customWidth="1"/>
    <col min="5132" max="5132" width="5.09765625" style="1558" customWidth="1"/>
    <col min="5133" max="5133" width="7.69921875" style="1558" customWidth="1"/>
    <col min="5134" max="5134" width="4.3984375" style="1558" customWidth="1"/>
    <col min="5135" max="5136" width="6.59765625" style="1558" customWidth="1"/>
    <col min="5137" max="5137" width="14" style="1558" customWidth="1"/>
    <col min="5138" max="5138" width="35.19921875" style="1558" customWidth="1"/>
    <col min="5139" max="5376" width="9" style="1558"/>
    <col min="5377" max="5377" width="4.3984375" style="1558" customWidth="1"/>
    <col min="5378" max="5378" width="19" style="1558" customWidth="1"/>
    <col min="5379" max="5379" width="6.5" style="1558" customWidth="1"/>
    <col min="5380" max="5380" width="6" style="1558" customWidth="1"/>
    <col min="5381" max="5381" width="6.8984375" style="1558" customWidth="1"/>
    <col min="5382" max="5386" width="7.69921875" style="1558" customWidth="1"/>
    <col min="5387" max="5387" width="6.69921875" style="1558" customWidth="1"/>
    <col min="5388" max="5388" width="5.09765625" style="1558" customWidth="1"/>
    <col min="5389" max="5389" width="7.69921875" style="1558" customWidth="1"/>
    <col min="5390" max="5390" width="4.3984375" style="1558" customWidth="1"/>
    <col min="5391" max="5392" width="6.59765625" style="1558" customWidth="1"/>
    <col min="5393" max="5393" width="14" style="1558" customWidth="1"/>
    <col min="5394" max="5394" width="35.19921875" style="1558" customWidth="1"/>
    <col min="5395" max="5632" width="9" style="1558"/>
    <col min="5633" max="5633" width="4.3984375" style="1558" customWidth="1"/>
    <col min="5634" max="5634" width="19" style="1558" customWidth="1"/>
    <col min="5635" max="5635" width="6.5" style="1558" customWidth="1"/>
    <col min="5636" max="5636" width="6" style="1558" customWidth="1"/>
    <col min="5637" max="5637" width="6.8984375" style="1558" customWidth="1"/>
    <col min="5638" max="5642" width="7.69921875" style="1558" customWidth="1"/>
    <col min="5643" max="5643" width="6.69921875" style="1558" customWidth="1"/>
    <col min="5644" max="5644" width="5.09765625" style="1558" customWidth="1"/>
    <col min="5645" max="5645" width="7.69921875" style="1558" customWidth="1"/>
    <col min="5646" max="5646" width="4.3984375" style="1558" customWidth="1"/>
    <col min="5647" max="5648" width="6.59765625" style="1558" customWidth="1"/>
    <col min="5649" max="5649" width="14" style="1558" customWidth="1"/>
    <col min="5650" max="5650" width="35.19921875" style="1558" customWidth="1"/>
    <col min="5651" max="5888" width="9" style="1558"/>
    <col min="5889" max="5889" width="4.3984375" style="1558" customWidth="1"/>
    <col min="5890" max="5890" width="19" style="1558" customWidth="1"/>
    <col min="5891" max="5891" width="6.5" style="1558" customWidth="1"/>
    <col min="5892" max="5892" width="6" style="1558" customWidth="1"/>
    <col min="5893" max="5893" width="6.8984375" style="1558" customWidth="1"/>
    <col min="5894" max="5898" width="7.69921875" style="1558" customWidth="1"/>
    <col min="5899" max="5899" width="6.69921875" style="1558" customWidth="1"/>
    <col min="5900" max="5900" width="5.09765625" style="1558" customWidth="1"/>
    <col min="5901" max="5901" width="7.69921875" style="1558" customWidth="1"/>
    <col min="5902" max="5902" width="4.3984375" style="1558" customWidth="1"/>
    <col min="5903" max="5904" width="6.59765625" style="1558" customWidth="1"/>
    <col min="5905" max="5905" width="14" style="1558" customWidth="1"/>
    <col min="5906" max="5906" width="35.19921875" style="1558" customWidth="1"/>
    <col min="5907" max="6144" width="9" style="1558"/>
    <col min="6145" max="6145" width="4.3984375" style="1558" customWidth="1"/>
    <col min="6146" max="6146" width="19" style="1558" customWidth="1"/>
    <col min="6147" max="6147" width="6.5" style="1558" customWidth="1"/>
    <col min="6148" max="6148" width="6" style="1558" customWidth="1"/>
    <col min="6149" max="6149" width="6.8984375" style="1558" customWidth="1"/>
    <col min="6150" max="6154" width="7.69921875" style="1558" customWidth="1"/>
    <col min="6155" max="6155" width="6.69921875" style="1558" customWidth="1"/>
    <col min="6156" max="6156" width="5.09765625" style="1558" customWidth="1"/>
    <col min="6157" max="6157" width="7.69921875" style="1558" customWidth="1"/>
    <col min="6158" max="6158" width="4.3984375" style="1558" customWidth="1"/>
    <col min="6159" max="6160" width="6.59765625" style="1558" customWidth="1"/>
    <col min="6161" max="6161" width="14" style="1558" customWidth="1"/>
    <col min="6162" max="6162" width="35.19921875" style="1558" customWidth="1"/>
    <col min="6163" max="6400" width="9" style="1558"/>
    <col min="6401" max="6401" width="4.3984375" style="1558" customWidth="1"/>
    <col min="6402" max="6402" width="19" style="1558" customWidth="1"/>
    <col min="6403" max="6403" width="6.5" style="1558" customWidth="1"/>
    <col min="6404" max="6404" width="6" style="1558" customWidth="1"/>
    <col min="6405" max="6405" width="6.8984375" style="1558" customWidth="1"/>
    <col min="6406" max="6410" width="7.69921875" style="1558" customWidth="1"/>
    <col min="6411" max="6411" width="6.69921875" style="1558" customWidth="1"/>
    <col min="6412" max="6412" width="5.09765625" style="1558" customWidth="1"/>
    <col min="6413" max="6413" width="7.69921875" style="1558" customWidth="1"/>
    <col min="6414" max="6414" width="4.3984375" style="1558" customWidth="1"/>
    <col min="6415" max="6416" width="6.59765625" style="1558" customWidth="1"/>
    <col min="6417" max="6417" width="14" style="1558" customWidth="1"/>
    <col min="6418" max="6418" width="35.19921875" style="1558" customWidth="1"/>
    <col min="6419" max="6656" width="9" style="1558"/>
    <col min="6657" max="6657" width="4.3984375" style="1558" customWidth="1"/>
    <col min="6658" max="6658" width="19" style="1558" customWidth="1"/>
    <col min="6659" max="6659" width="6.5" style="1558" customWidth="1"/>
    <col min="6660" max="6660" width="6" style="1558" customWidth="1"/>
    <col min="6661" max="6661" width="6.8984375" style="1558" customWidth="1"/>
    <col min="6662" max="6666" width="7.69921875" style="1558" customWidth="1"/>
    <col min="6667" max="6667" width="6.69921875" style="1558" customWidth="1"/>
    <col min="6668" max="6668" width="5.09765625" style="1558" customWidth="1"/>
    <col min="6669" max="6669" width="7.69921875" style="1558" customWidth="1"/>
    <col min="6670" max="6670" width="4.3984375" style="1558" customWidth="1"/>
    <col min="6671" max="6672" width="6.59765625" style="1558" customWidth="1"/>
    <col min="6673" max="6673" width="14" style="1558" customWidth="1"/>
    <col min="6674" max="6674" width="35.19921875" style="1558" customWidth="1"/>
    <col min="6675" max="6912" width="9" style="1558"/>
    <col min="6913" max="6913" width="4.3984375" style="1558" customWidth="1"/>
    <col min="6914" max="6914" width="19" style="1558" customWidth="1"/>
    <col min="6915" max="6915" width="6.5" style="1558" customWidth="1"/>
    <col min="6916" max="6916" width="6" style="1558" customWidth="1"/>
    <col min="6917" max="6917" width="6.8984375" style="1558" customWidth="1"/>
    <col min="6918" max="6922" width="7.69921875" style="1558" customWidth="1"/>
    <col min="6923" max="6923" width="6.69921875" style="1558" customWidth="1"/>
    <col min="6924" max="6924" width="5.09765625" style="1558" customWidth="1"/>
    <col min="6925" max="6925" width="7.69921875" style="1558" customWidth="1"/>
    <col min="6926" max="6926" width="4.3984375" style="1558" customWidth="1"/>
    <col min="6927" max="6928" width="6.59765625" style="1558" customWidth="1"/>
    <col min="6929" max="6929" width="14" style="1558" customWidth="1"/>
    <col min="6930" max="6930" width="35.19921875" style="1558" customWidth="1"/>
    <col min="6931" max="7168" width="9" style="1558"/>
    <col min="7169" max="7169" width="4.3984375" style="1558" customWidth="1"/>
    <col min="7170" max="7170" width="19" style="1558" customWidth="1"/>
    <col min="7171" max="7171" width="6.5" style="1558" customWidth="1"/>
    <col min="7172" max="7172" width="6" style="1558" customWidth="1"/>
    <col min="7173" max="7173" width="6.8984375" style="1558" customWidth="1"/>
    <col min="7174" max="7178" width="7.69921875" style="1558" customWidth="1"/>
    <col min="7179" max="7179" width="6.69921875" style="1558" customWidth="1"/>
    <col min="7180" max="7180" width="5.09765625" style="1558" customWidth="1"/>
    <col min="7181" max="7181" width="7.69921875" style="1558" customWidth="1"/>
    <col min="7182" max="7182" width="4.3984375" style="1558" customWidth="1"/>
    <col min="7183" max="7184" width="6.59765625" style="1558" customWidth="1"/>
    <col min="7185" max="7185" width="14" style="1558" customWidth="1"/>
    <col min="7186" max="7186" width="35.19921875" style="1558" customWidth="1"/>
    <col min="7187" max="7424" width="9" style="1558"/>
    <col min="7425" max="7425" width="4.3984375" style="1558" customWidth="1"/>
    <col min="7426" max="7426" width="19" style="1558" customWidth="1"/>
    <col min="7427" max="7427" width="6.5" style="1558" customWidth="1"/>
    <col min="7428" max="7428" width="6" style="1558" customWidth="1"/>
    <col min="7429" max="7429" width="6.8984375" style="1558" customWidth="1"/>
    <col min="7430" max="7434" width="7.69921875" style="1558" customWidth="1"/>
    <col min="7435" max="7435" width="6.69921875" style="1558" customWidth="1"/>
    <col min="7436" max="7436" width="5.09765625" style="1558" customWidth="1"/>
    <col min="7437" max="7437" width="7.69921875" style="1558" customWidth="1"/>
    <col min="7438" max="7438" width="4.3984375" style="1558" customWidth="1"/>
    <col min="7439" max="7440" width="6.59765625" style="1558" customWidth="1"/>
    <col min="7441" max="7441" width="14" style="1558" customWidth="1"/>
    <col min="7442" max="7442" width="35.19921875" style="1558" customWidth="1"/>
    <col min="7443" max="7680" width="9" style="1558"/>
    <col min="7681" max="7681" width="4.3984375" style="1558" customWidth="1"/>
    <col min="7682" max="7682" width="19" style="1558" customWidth="1"/>
    <col min="7683" max="7683" width="6.5" style="1558" customWidth="1"/>
    <col min="7684" max="7684" width="6" style="1558" customWidth="1"/>
    <col min="7685" max="7685" width="6.8984375" style="1558" customWidth="1"/>
    <col min="7686" max="7690" width="7.69921875" style="1558" customWidth="1"/>
    <col min="7691" max="7691" width="6.69921875" style="1558" customWidth="1"/>
    <col min="7692" max="7692" width="5.09765625" style="1558" customWidth="1"/>
    <col min="7693" max="7693" width="7.69921875" style="1558" customWidth="1"/>
    <col min="7694" max="7694" width="4.3984375" style="1558" customWidth="1"/>
    <col min="7695" max="7696" width="6.59765625" style="1558" customWidth="1"/>
    <col min="7697" max="7697" width="14" style="1558" customWidth="1"/>
    <col min="7698" max="7698" width="35.19921875" style="1558" customWidth="1"/>
    <col min="7699" max="7936" width="9" style="1558"/>
    <col min="7937" max="7937" width="4.3984375" style="1558" customWidth="1"/>
    <col min="7938" max="7938" width="19" style="1558" customWidth="1"/>
    <col min="7939" max="7939" width="6.5" style="1558" customWidth="1"/>
    <col min="7940" max="7940" width="6" style="1558" customWidth="1"/>
    <col min="7941" max="7941" width="6.8984375" style="1558" customWidth="1"/>
    <col min="7942" max="7946" width="7.69921875" style="1558" customWidth="1"/>
    <col min="7947" max="7947" width="6.69921875" style="1558" customWidth="1"/>
    <col min="7948" max="7948" width="5.09765625" style="1558" customWidth="1"/>
    <col min="7949" max="7949" width="7.69921875" style="1558" customWidth="1"/>
    <col min="7950" max="7950" width="4.3984375" style="1558" customWidth="1"/>
    <col min="7951" max="7952" width="6.59765625" style="1558" customWidth="1"/>
    <col min="7953" max="7953" width="14" style="1558" customWidth="1"/>
    <col min="7954" max="7954" width="35.19921875" style="1558" customWidth="1"/>
    <col min="7955" max="8192" width="9" style="1558"/>
    <col min="8193" max="8193" width="4.3984375" style="1558" customWidth="1"/>
    <col min="8194" max="8194" width="19" style="1558" customWidth="1"/>
    <col min="8195" max="8195" width="6.5" style="1558" customWidth="1"/>
    <col min="8196" max="8196" width="6" style="1558" customWidth="1"/>
    <col min="8197" max="8197" width="6.8984375" style="1558" customWidth="1"/>
    <col min="8198" max="8202" width="7.69921875" style="1558" customWidth="1"/>
    <col min="8203" max="8203" width="6.69921875" style="1558" customWidth="1"/>
    <col min="8204" max="8204" width="5.09765625" style="1558" customWidth="1"/>
    <col min="8205" max="8205" width="7.69921875" style="1558" customWidth="1"/>
    <col min="8206" max="8206" width="4.3984375" style="1558" customWidth="1"/>
    <col min="8207" max="8208" width="6.59765625" style="1558" customWidth="1"/>
    <col min="8209" max="8209" width="14" style="1558" customWidth="1"/>
    <col min="8210" max="8210" width="35.19921875" style="1558" customWidth="1"/>
    <col min="8211" max="8448" width="9" style="1558"/>
    <col min="8449" max="8449" width="4.3984375" style="1558" customWidth="1"/>
    <col min="8450" max="8450" width="19" style="1558" customWidth="1"/>
    <col min="8451" max="8451" width="6.5" style="1558" customWidth="1"/>
    <col min="8452" max="8452" width="6" style="1558" customWidth="1"/>
    <col min="8453" max="8453" width="6.8984375" style="1558" customWidth="1"/>
    <col min="8454" max="8458" width="7.69921875" style="1558" customWidth="1"/>
    <col min="8459" max="8459" width="6.69921875" style="1558" customWidth="1"/>
    <col min="8460" max="8460" width="5.09765625" style="1558" customWidth="1"/>
    <col min="8461" max="8461" width="7.69921875" style="1558" customWidth="1"/>
    <col min="8462" max="8462" width="4.3984375" style="1558" customWidth="1"/>
    <col min="8463" max="8464" width="6.59765625" style="1558" customWidth="1"/>
    <col min="8465" max="8465" width="14" style="1558" customWidth="1"/>
    <col min="8466" max="8466" width="35.19921875" style="1558" customWidth="1"/>
    <col min="8467" max="8704" width="9" style="1558"/>
    <col min="8705" max="8705" width="4.3984375" style="1558" customWidth="1"/>
    <col min="8706" max="8706" width="19" style="1558" customWidth="1"/>
    <col min="8707" max="8707" width="6.5" style="1558" customWidth="1"/>
    <col min="8708" max="8708" width="6" style="1558" customWidth="1"/>
    <col min="8709" max="8709" width="6.8984375" style="1558" customWidth="1"/>
    <col min="8710" max="8714" width="7.69921875" style="1558" customWidth="1"/>
    <col min="8715" max="8715" width="6.69921875" style="1558" customWidth="1"/>
    <col min="8716" max="8716" width="5.09765625" style="1558" customWidth="1"/>
    <col min="8717" max="8717" width="7.69921875" style="1558" customWidth="1"/>
    <col min="8718" max="8718" width="4.3984375" style="1558" customWidth="1"/>
    <col min="8719" max="8720" width="6.59765625" style="1558" customWidth="1"/>
    <col min="8721" max="8721" width="14" style="1558" customWidth="1"/>
    <col min="8722" max="8722" width="35.19921875" style="1558" customWidth="1"/>
    <col min="8723" max="8960" width="9" style="1558"/>
    <col min="8961" max="8961" width="4.3984375" style="1558" customWidth="1"/>
    <col min="8962" max="8962" width="19" style="1558" customWidth="1"/>
    <col min="8963" max="8963" width="6.5" style="1558" customWidth="1"/>
    <col min="8964" max="8964" width="6" style="1558" customWidth="1"/>
    <col min="8965" max="8965" width="6.8984375" style="1558" customWidth="1"/>
    <col min="8966" max="8970" width="7.69921875" style="1558" customWidth="1"/>
    <col min="8971" max="8971" width="6.69921875" style="1558" customWidth="1"/>
    <col min="8972" max="8972" width="5.09765625" style="1558" customWidth="1"/>
    <col min="8973" max="8973" width="7.69921875" style="1558" customWidth="1"/>
    <col min="8974" max="8974" width="4.3984375" style="1558" customWidth="1"/>
    <col min="8975" max="8976" width="6.59765625" style="1558" customWidth="1"/>
    <col min="8977" max="8977" width="14" style="1558" customWidth="1"/>
    <col min="8978" max="8978" width="35.19921875" style="1558" customWidth="1"/>
    <col min="8979" max="9216" width="9" style="1558"/>
    <col min="9217" max="9217" width="4.3984375" style="1558" customWidth="1"/>
    <col min="9218" max="9218" width="19" style="1558" customWidth="1"/>
    <col min="9219" max="9219" width="6.5" style="1558" customWidth="1"/>
    <col min="9220" max="9220" width="6" style="1558" customWidth="1"/>
    <col min="9221" max="9221" width="6.8984375" style="1558" customWidth="1"/>
    <col min="9222" max="9226" width="7.69921875" style="1558" customWidth="1"/>
    <col min="9227" max="9227" width="6.69921875" style="1558" customWidth="1"/>
    <col min="9228" max="9228" width="5.09765625" style="1558" customWidth="1"/>
    <col min="9229" max="9229" width="7.69921875" style="1558" customWidth="1"/>
    <col min="9230" max="9230" width="4.3984375" style="1558" customWidth="1"/>
    <col min="9231" max="9232" width="6.59765625" style="1558" customWidth="1"/>
    <col min="9233" max="9233" width="14" style="1558" customWidth="1"/>
    <col min="9234" max="9234" width="35.19921875" style="1558" customWidth="1"/>
    <col min="9235" max="9472" width="9" style="1558"/>
    <col min="9473" max="9473" width="4.3984375" style="1558" customWidth="1"/>
    <col min="9474" max="9474" width="19" style="1558" customWidth="1"/>
    <col min="9475" max="9475" width="6.5" style="1558" customWidth="1"/>
    <col min="9476" max="9476" width="6" style="1558" customWidth="1"/>
    <col min="9477" max="9477" width="6.8984375" style="1558" customWidth="1"/>
    <col min="9478" max="9482" width="7.69921875" style="1558" customWidth="1"/>
    <col min="9483" max="9483" width="6.69921875" style="1558" customWidth="1"/>
    <col min="9484" max="9484" width="5.09765625" style="1558" customWidth="1"/>
    <col min="9485" max="9485" width="7.69921875" style="1558" customWidth="1"/>
    <col min="9486" max="9486" width="4.3984375" style="1558" customWidth="1"/>
    <col min="9487" max="9488" width="6.59765625" style="1558" customWidth="1"/>
    <col min="9489" max="9489" width="14" style="1558" customWidth="1"/>
    <col min="9490" max="9490" width="35.19921875" style="1558" customWidth="1"/>
    <col min="9491" max="9728" width="9" style="1558"/>
    <col min="9729" max="9729" width="4.3984375" style="1558" customWidth="1"/>
    <col min="9730" max="9730" width="19" style="1558" customWidth="1"/>
    <col min="9731" max="9731" width="6.5" style="1558" customWidth="1"/>
    <col min="9732" max="9732" width="6" style="1558" customWidth="1"/>
    <col min="9733" max="9733" width="6.8984375" style="1558" customWidth="1"/>
    <col min="9734" max="9738" width="7.69921875" style="1558" customWidth="1"/>
    <col min="9739" max="9739" width="6.69921875" style="1558" customWidth="1"/>
    <col min="9740" max="9740" width="5.09765625" style="1558" customWidth="1"/>
    <col min="9741" max="9741" width="7.69921875" style="1558" customWidth="1"/>
    <col min="9742" max="9742" width="4.3984375" style="1558" customWidth="1"/>
    <col min="9743" max="9744" width="6.59765625" style="1558" customWidth="1"/>
    <col min="9745" max="9745" width="14" style="1558" customWidth="1"/>
    <col min="9746" max="9746" width="35.19921875" style="1558" customWidth="1"/>
    <col min="9747" max="9984" width="9" style="1558"/>
    <col min="9985" max="9985" width="4.3984375" style="1558" customWidth="1"/>
    <col min="9986" max="9986" width="19" style="1558" customWidth="1"/>
    <col min="9987" max="9987" width="6.5" style="1558" customWidth="1"/>
    <col min="9988" max="9988" width="6" style="1558" customWidth="1"/>
    <col min="9989" max="9989" width="6.8984375" style="1558" customWidth="1"/>
    <col min="9990" max="9994" width="7.69921875" style="1558" customWidth="1"/>
    <col min="9995" max="9995" width="6.69921875" style="1558" customWidth="1"/>
    <col min="9996" max="9996" width="5.09765625" style="1558" customWidth="1"/>
    <col min="9997" max="9997" width="7.69921875" style="1558" customWidth="1"/>
    <col min="9998" max="9998" width="4.3984375" style="1558" customWidth="1"/>
    <col min="9999" max="10000" width="6.59765625" style="1558" customWidth="1"/>
    <col min="10001" max="10001" width="14" style="1558" customWidth="1"/>
    <col min="10002" max="10002" width="35.19921875" style="1558" customWidth="1"/>
    <col min="10003" max="10240" width="9" style="1558"/>
    <col min="10241" max="10241" width="4.3984375" style="1558" customWidth="1"/>
    <col min="10242" max="10242" width="19" style="1558" customWidth="1"/>
    <col min="10243" max="10243" width="6.5" style="1558" customWidth="1"/>
    <col min="10244" max="10244" width="6" style="1558" customWidth="1"/>
    <col min="10245" max="10245" width="6.8984375" style="1558" customWidth="1"/>
    <col min="10246" max="10250" width="7.69921875" style="1558" customWidth="1"/>
    <col min="10251" max="10251" width="6.69921875" style="1558" customWidth="1"/>
    <col min="10252" max="10252" width="5.09765625" style="1558" customWidth="1"/>
    <col min="10253" max="10253" width="7.69921875" style="1558" customWidth="1"/>
    <col min="10254" max="10254" width="4.3984375" style="1558" customWidth="1"/>
    <col min="10255" max="10256" width="6.59765625" style="1558" customWidth="1"/>
    <col min="10257" max="10257" width="14" style="1558" customWidth="1"/>
    <col min="10258" max="10258" width="35.19921875" style="1558" customWidth="1"/>
    <col min="10259" max="10496" width="9" style="1558"/>
    <col min="10497" max="10497" width="4.3984375" style="1558" customWidth="1"/>
    <col min="10498" max="10498" width="19" style="1558" customWidth="1"/>
    <col min="10499" max="10499" width="6.5" style="1558" customWidth="1"/>
    <col min="10500" max="10500" width="6" style="1558" customWidth="1"/>
    <col min="10501" max="10501" width="6.8984375" style="1558" customWidth="1"/>
    <col min="10502" max="10506" width="7.69921875" style="1558" customWidth="1"/>
    <col min="10507" max="10507" width="6.69921875" style="1558" customWidth="1"/>
    <col min="10508" max="10508" width="5.09765625" style="1558" customWidth="1"/>
    <col min="10509" max="10509" width="7.69921875" style="1558" customWidth="1"/>
    <col min="10510" max="10510" width="4.3984375" style="1558" customWidth="1"/>
    <col min="10511" max="10512" width="6.59765625" style="1558" customWidth="1"/>
    <col min="10513" max="10513" width="14" style="1558" customWidth="1"/>
    <col min="10514" max="10514" width="35.19921875" style="1558" customWidth="1"/>
    <col min="10515" max="10752" width="9" style="1558"/>
    <col min="10753" max="10753" width="4.3984375" style="1558" customWidth="1"/>
    <col min="10754" max="10754" width="19" style="1558" customWidth="1"/>
    <col min="10755" max="10755" width="6.5" style="1558" customWidth="1"/>
    <col min="10756" max="10756" width="6" style="1558" customWidth="1"/>
    <col min="10757" max="10757" width="6.8984375" style="1558" customWidth="1"/>
    <col min="10758" max="10762" width="7.69921875" style="1558" customWidth="1"/>
    <col min="10763" max="10763" width="6.69921875" style="1558" customWidth="1"/>
    <col min="10764" max="10764" width="5.09765625" style="1558" customWidth="1"/>
    <col min="10765" max="10765" width="7.69921875" style="1558" customWidth="1"/>
    <col min="10766" max="10766" width="4.3984375" style="1558" customWidth="1"/>
    <col min="10767" max="10768" width="6.59765625" style="1558" customWidth="1"/>
    <col min="10769" max="10769" width="14" style="1558" customWidth="1"/>
    <col min="10770" max="10770" width="35.19921875" style="1558" customWidth="1"/>
    <col min="10771" max="11008" width="9" style="1558"/>
    <col min="11009" max="11009" width="4.3984375" style="1558" customWidth="1"/>
    <col min="11010" max="11010" width="19" style="1558" customWidth="1"/>
    <col min="11011" max="11011" width="6.5" style="1558" customWidth="1"/>
    <col min="11012" max="11012" width="6" style="1558" customWidth="1"/>
    <col min="11013" max="11013" width="6.8984375" style="1558" customWidth="1"/>
    <col min="11014" max="11018" width="7.69921875" style="1558" customWidth="1"/>
    <col min="11019" max="11019" width="6.69921875" style="1558" customWidth="1"/>
    <col min="11020" max="11020" width="5.09765625" style="1558" customWidth="1"/>
    <col min="11021" max="11021" width="7.69921875" style="1558" customWidth="1"/>
    <col min="11022" max="11022" width="4.3984375" style="1558" customWidth="1"/>
    <col min="11023" max="11024" width="6.59765625" style="1558" customWidth="1"/>
    <col min="11025" max="11025" width="14" style="1558" customWidth="1"/>
    <col min="11026" max="11026" width="35.19921875" style="1558" customWidth="1"/>
    <col min="11027" max="11264" width="9" style="1558"/>
    <col min="11265" max="11265" width="4.3984375" style="1558" customWidth="1"/>
    <col min="11266" max="11266" width="19" style="1558" customWidth="1"/>
    <col min="11267" max="11267" width="6.5" style="1558" customWidth="1"/>
    <col min="11268" max="11268" width="6" style="1558" customWidth="1"/>
    <col min="11269" max="11269" width="6.8984375" style="1558" customWidth="1"/>
    <col min="11270" max="11274" width="7.69921875" style="1558" customWidth="1"/>
    <col min="11275" max="11275" width="6.69921875" style="1558" customWidth="1"/>
    <col min="11276" max="11276" width="5.09765625" style="1558" customWidth="1"/>
    <col min="11277" max="11277" width="7.69921875" style="1558" customWidth="1"/>
    <col min="11278" max="11278" width="4.3984375" style="1558" customWidth="1"/>
    <col min="11279" max="11280" width="6.59765625" style="1558" customWidth="1"/>
    <col min="11281" max="11281" width="14" style="1558" customWidth="1"/>
    <col min="11282" max="11282" width="35.19921875" style="1558" customWidth="1"/>
    <col min="11283" max="11520" width="9" style="1558"/>
    <col min="11521" max="11521" width="4.3984375" style="1558" customWidth="1"/>
    <col min="11522" max="11522" width="19" style="1558" customWidth="1"/>
    <col min="11523" max="11523" width="6.5" style="1558" customWidth="1"/>
    <col min="11524" max="11524" width="6" style="1558" customWidth="1"/>
    <col min="11525" max="11525" width="6.8984375" style="1558" customWidth="1"/>
    <col min="11526" max="11530" width="7.69921875" style="1558" customWidth="1"/>
    <col min="11531" max="11531" width="6.69921875" style="1558" customWidth="1"/>
    <col min="11532" max="11532" width="5.09765625" style="1558" customWidth="1"/>
    <col min="11533" max="11533" width="7.69921875" style="1558" customWidth="1"/>
    <col min="11534" max="11534" width="4.3984375" style="1558" customWidth="1"/>
    <col min="11535" max="11536" width="6.59765625" style="1558" customWidth="1"/>
    <col min="11537" max="11537" width="14" style="1558" customWidth="1"/>
    <col min="11538" max="11538" width="35.19921875" style="1558" customWidth="1"/>
    <col min="11539" max="11776" width="9" style="1558"/>
    <col min="11777" max="11777" width="4.3984375" style="1558" customWidth="1"/>
    <col min="11778" max="11778" width="19" style="1558" customWidth="1"/>
    <col min="11779" max="11779" width="6.5" style="1558" customWidth="1"/>
    <col min="11780" max="11780" width="6" style="1558" customWidth="1"/>
    <col min="11781" max="11781" width="6.8984375" style="1558" customWidth="1"/>
    <col min="11782" max="11786" width="7.69921875" style="1558" customWidth="1"/>
    <col min="11787" max="11787" width="6.69921875" style="1558" customWidth="1"/>
    <col min="11788" max="11788" width="5.09765625" style="1558" customWidth="1"/>
    <col min="11789" max="11789" width="7.69921875" style="1558" customWidth="1"/>
    <col min="11790" max="11790" width="4.3984375" style="1558" customWidth="1"/>
    <col min="11791" max="11792" width="6.59765625" style="1558" customWidth="1"/>
    <col min="11793" max="11793" width="14" style="1558" customWidth="1"/>
    <col min="11794" max="11794" width="35.19921875" style="1558" customWidth="1"/>
    <col min="11795" max="12032" width="9" style="1558"/>
    <col min="12033" max="12033" width="4.3984375" style="1558" customWidth="1"/>
    <col min="12034" max="12034" width="19" style="1558" customWidth="1"/>
    <col min="12035" max="12035" width="6.5" style="1558" customWidth="1"/>
    <col min="12036" max="12036" width="6" style="1558" customWidth="1"/>
    <col min="12037" max="12037" width="6.8984375" style="1558" customWidth="1"/>
    <col min="12038" max="12042" width="7.69921875" style="1558" customWidth="1"/>
    <col min="12043" max="12043" width="6.69921875" style="1558" customWidth="1"/>
    <col min="12044" max="12044" width="5.09765625" style="1558" customWidth="1"/>
    <col min="12045" max="12045" width="7.69921875" style="1558" customWidth="1"/>
    <col min="12046" max="12046" width="4.3984375" style="1558" customWidth="1"/>
    <col min="12047" max="12048" width="6.59765625" style="1558" customWidth="1"/>
    <col min="12049" max="12049" width="14" style="1558" customWidth="1"/>
    <col min="12050" max="12050" width="35.19921875" style="1558" customWidth="1"/>
    <col min="12051" max="12288" width="9" style="1558"/>
    <col min="12289" max="12289" width="4.3984375" style="1558" customWidth="1"/>
    <col min="12290" max="12290" width="19" style="1558" customWidth="1"/>
    <col min="12291" max="12291" width="6.5" style="1558" customWidth="1"/>
    <col min="12292" max="12292" width="6" style="1558" customWidth="1"/>
    <col min="12293" max="12293" width="6.8984375" style="1558" customWidth="1"/>
    <col min="12294" max="12298" width="7.69921875" style="1558" customWidth="1"/>
    <col min="12299" max="12299" width="6.69921875" style="1558" customWidth="1"/>
    <col min="12300" max="12300" width="5.09765625" style="1558" customWidth="1"/>
    <col min="12301" max="12301" width="7.69921875" style="1558" customWidth="1"/>
    <col min="12302" max="12302" width="4.3984375" style="1558" customWidth="1"/>
    <col min="12303" max="12304" width="6.59765625" style="1558" customWidth="1"/>
    <col min="12305" max="12305" width="14" style="1558" customWidth="1"/>
    <col min="12306" max="12306" width="35.19921875" style="1558" customWidth="1"/>
    <col min="12307" max="12544" width="9" style="1558"/>
    <col min="12545" max="12545" width="4.3984375" style="1558" customWidth="1"/>
    <col min="12546" max="12546" width="19" style="1558" customWidth="1"/>
    <col min="12547" max="12547" width="6.5" style="1558" customWidth="1"/>
    <col min="12548" max="12548" width="6" style="1558" customWidth="1"/>
    <col min="12549" max="12549" width="6.8984375" style="1558" customWidth="1"/>
    <col min="12550" max="12554" width="7.69921875" style="1558" customWidth="1"/>
    <col min="12555" max="12555" width="6.69921875" style="1558" customWidth="1"/>
    <col min="12556" max="12556" width="5.09765625" style="1558" customWidth="1"/>
    <col min="12557" max="12557" width="7.69921875" style="1558" customWidth="1"/>
    <col min="12558" max="12558" width="4.3984375" style="1558" customWidth="1"/>
    <col min="12559" max="12560" width="6.59765625" style="1558" customWidth="1"/>
    <col min="12561" max="12561" width="14" style="1558" customWidth="1"/>
    <col min="12562" max="12562" width="35.19921875" style="1558" customWidth="1"/>
    <col min="12563" max="12800" width="9" style="1558"/>
    <col min="12801" max="12801" width="4.3984375" style="1558" customWidth="1"/>
    <col min="12802" max="12802" width="19" style="1558" customWidth="1"/>
    <col min="12803" max="12803" width="6.5" style="1558" customWidth="1"/>
    <col min="12804" max="12804" width="6" style="1558" customWidth="1"/>
    <col min="12805" max="12805" width="6.8984375" style="1558" customWidth="1"/>
    <col min="12806" max="12810" width="7.69921875" style="1558" customWidth="1"/>
    <col min="12811" max="12811" width="6.69921875" style="1558" customWidth="1"/>
    <col min="12812" max="12812" width="5.09765625" style="1558" customWidth="1"/>
    <col min="12813" max="12813" width="7.69921875" style="1558" customWidth="1"/>
    <col min="12814" max="12814" width="4.3984375" style="1558" customWidth="1"/>
    <col min="12815" max="12816" width="6.59765625" style="1558" customWidth="1"/>
    <col min="12817" max="12817" width="14" style="1558" customWidth="1"/>
    <col min="12818" max="12818" width="35.19921875" style="1558" customWidth="1"/>
    <col min="12819" max="13056" width="9" style="1558"/>
    <col min="13057" max="13057" width="4.3984375" style="1558" customWidth="1"/>
    <col min="13058" max="13058" width="19" style="1558" customWidth="1"/>
    <col min="13059" max="13059" width="6.5" style="1558" customWidth="1"/>
    <col min="13060" max="13060" width="6" style="1558" customWidth="1"/>
    <col min="13061" max="13061" width="6.8984375" style="1558" customWidth="1"/>
    <col min="13062" max="13066" width="7.69921875" style="1558" customWidth="1"/>
    <col min="13067" max="13067" width="6.69921875" style="1558" customWidth="1"/>
    <col min="13068" max="13068" width="5.09765625" style="1558" customWidth="1"/>
    <col min="13069" max="13069" width="7.69921875" style="1558" customWidth="1"/>
    <col min="13070" max="13070" width="4.3984375" style="1558" customWidth="1"/>
    <col min="13071" max="13072" width="6.59765625" style="1558" customWidth="1"/>
    <col min="13073" max="13073" width="14" style="1558" customWidth="1"/>
    <col min="13074" max="13074" width="35.19921875" style="1558" customWidth="1"/>
    <col min="13075" max="13312" width="9" style="1558"/>
    <col min="13313" max="13313" width="4.3984375" style="1558" customWidth="1"/>
    <col min="13314" max="13314" width="19" style="1558" customWidth="1"/>
    <col min="13315" max="13315" width="6.5" style="1558" customWidth="1"/>
    <col min="13316" max="13316" width="6" style="1558" customWidth="1"/>
    <col min="13317" max="13317" width="6.8984375" style="1558" customWidth="1"/>
    <col min="13318" max="13322" width="7.69921875" style="1558" customWidth="1"/>
    <col min="13323" max="13323" width="6.69921875" style="1558" customWidth="1"/>
    <col min="13324" max="13324" width="5.09765625" style="1558" customWidth="1"/>
    <col min="13325" max="13325" width="7.69921875" style="1558" customWidth="1"/>
    <col min="13326" max="13326" width="4.3984375" style="1558" customWidth="1"/>
    <col min="13327" max="13328" width="6.59765625" style="1558" customWidth="1"/>
    <col min="13329" max="13329" width="14" style="1558" customWidth="1"/>
    <col min="13330" max="13330" width="35.19921875" style="1558" customWidth="1"/>
    <col min="13331" max="13568" width="9" style="1558"/>
    <col min="13569" max="13569" width="4.3984375" style="1558" customWidth="1"/>
    <col min="13570" max="13570" width="19" style="1558" customWidth="1"/>
    <col min="13571" max="13571" width="6.5" style="1558" customWidth="1"/>
    <col min="13572" max="13572" width="6" style="1558" customWidth="1"/>
    <col min="13573" max="13573" width="6.8984375" style="1558" customWidth="1"/>
    <col min="13574" max="13578" width="7.69921875" style="1558" customWidth="1"/>
    <col min="13579" max="13579" width="6.69921875" style="1558" customWidth="1"/>
    <col min="13580" max="13580" width="5.09765625" style="1558" customWidth="1"/>
    <col min="13581" max="13581" width="7.69921875" style="1558" customWidth="1"/>
    <col min="13582" max="13582" width="4.3984375" style="1558" customWidth="1"/>
    <col min="13583" max="13584" width="6.59765625" style="1558" customWidth="1"/>
    <col min="13585" max="13585" width="14" style="1558" customWidth="1"/>
    <col min="13586" max="13586" width="35.19921875" style="1558" customWidth="1"/>
    <col min="13587" max="13824" width="9" style="1558"/>
    <col min="13825" max="13825" width="4.3984375" style="1558" customWidth="1"/>
    <col min="13826" max="13826" width="19" style="1558" customWidth="1"/>
    <col min="13827" max="13827" width="6.5" style="1558" customWidth="1"/>
    <col min="13828" max="13828" width="6" style="1558" customWidth="1"/>
    <col min="13829" max="13829" width="6.8984375" style="1558" customWidth="1"/>
    <col min="13830" max="13834" width="7.69921875" style="1558" customWidth="1"/>
    <col min="13835" max="13835" width="6.69921875" style="1558" customWidth="1"/>
    <col min="13836" max="13836" width="5.09765625" style="1558" customWidth="1"/>
    <col min="13837" max="13837" width="7.69921875" style="1558" customWidth="1"/>
    <col min="13838" max="13838" width="4.3984375" style="1558" customWidth="1"/>
    <col min="13839" max="13840" width="6.59765625" style="1558" customWidth="1"/>
    <col min="13841" max="13841" width="14" style="1558" customWidth="1"/>
    <col min="13842" max="13842" width="35.19921875" style="1558" customWidth="1"/>
    <col min="13843" max="14080" width="9" style="1558"/>
    <col min="14081" max="14081" width="4.3984375" style="1558" customWidth="1"/>
    <col min="14082" max="14082" width="19" style="1558" customWidth="1"/>
    <col min="14083" max="14083" width="6.5" style="1558" customWidth="1"/>
    <col min="14084" max="14084" width="6" style="1558" customWidth="1"/>
    <col min="14085" max="14085" width="6.8984375" style="1558" customWidth="1"/>
    <col min="14086" max="14090" width="7.69921875" style="1558" customWidth="1"/>
    <col min="14091" max="14091" width="6.69921875" style="1558" customWidth="1"/>
    <col min="14092" max="14092" width="5.09765625" style="1558" customWidth="1"/>
    <col min="14093" max="14093" width="7.69921875" style="1558" customWidth="1"/>
    <col min="14094" max="14094" width="4.3984375" style="1558" customWidth="1"/>
    <col min="14095" max="14096" width="6.59765625" style="1558" customWidth="1"/>
    <col min="14097" max="14097" width="14" style="1558" customWidth="1"/>
    <col min="14098" max="14098" width="35.19921875" style="1558" customWidth="1"/>
    <col min="14099" max="14336" width="9" style="1558"/>
    <col min="14337" max="14337" width="4.3984375" style="1558" customWidth="1"/>
    <col min="14338" max="14338" width="19" style="1558" customWidth="1"/>
    <col min="14339" max="14339" width="6.5" style="1558" customWidth="1"/>
    <col min="14340" max="14340" width="6" style="1558" customWidth="1"/>
    <col min="14341" max="14341" width="6.8984375" style="1558" customWidth="1"/>
    <col min="14342" max="14346" width="7.69921875" style="1558" customWidth="1"/>
    <col min="14347" max="14347" width="6.69921875" style="1558" customWidth="1"/>
    <col min="14348" max="14348" width="5.09765625" style="1558" customWidth="1"/>
    <col min="14349" max="14349" width="7.69921875" style="1558" customWidth="1"/>
    <col min="14350" max="14350" width="4.3984375" style="1558" customWidth="1"/>
    <col min="14351" max="14352" width="6.59765625" style="1558" customWidth="1"/>
    <col min="14353" max="14353" width="14" style="1558" customWidth="1"/>
    <col min="14354" max="14354" width="35.19921875" style="1558" customWidth="1"/>
    <col min="14355" max="14592" width="9" style="1558"/>
    <col min="14593" max="14593" width="4.3984375" style="1558" customWidth="1"/>
    <col min="14594" max="14594" width="19" style="1558" customWidth="1"/>
    <col min="14595" max="14595" width="6.5" style="1558" customWidth="1"/>
    <col min="14596" max="14596" width="6" style="1558" customWidth="1"/>
    <col min="14597" max="14597" width="6.8984375" style="1558" customWidth="1"/>
    <col min="14598" max="14602" width="7.69921875" style="1558" customWidth="1"/>
    <col min="14603" max="14603" width="6.69921875" style="1558" customWidth="1"/>
    <col min="14604" max="14604" width="5.09765625" style="1558" customWidth="1"/>
    <col min="14605" max="14605" width="7.69921875" style="1558" customWidth="1"/>
    <col min="14606" max="14606" width="4.3984375" style="1558" customWidth="1"/>
    <col min="14607" max="14608" width="6.59765625" style="1558" customWidth="1"/>
    <col min="14609" max="14609" width="14" style="1558" customWidth="1"/>
    <col min="14610" max="14610" width="35.19921875" style="1558" customWidth="1"/>
    <col min="14611" max="14848" width="9" style="1558"/>
    <col min="14849" max="14849" width="4.3984375" style="1558" customWidth="1"/>
    <col min="14850" max="14850" width="19" style="1558" customWidth="1"/>
    <col min="14851" max="14851" width="6.5" style="1558" customWidth="1"/>
    <col min="14852" max="14852" width="6" style="1558" customWidth="1"/>
    <col min="14853" max="14853" width="6.8984375" style="1558" customWidth="1"/>
    <col min="14854" max="14858" width="7.69921875" style="1558" customWidth="1"/>
    <col min="14859" max="14859" width="6.69921875" style="1558" customWidth="1"/>
    <col min="14860" max="14860" width="5.09765625" style="1558" customWidth="1"/>
    <col min="14861" max="14861" width="7.69921875" style="1558" customWidth="1"/>
    <col min="14862" max="14862" width="4.3984375" style="1558" customWidth="1"/>
    <col min="14863" max="14864" width="6.59765625" style="1558" customWidth="1"/>
    <col min="14865" max="14865" width="14" style="1558" customWidth="1"/>
    <col min="14866" max="14866" width="35.19921875" style="1558" customWidth="1"/>
    <col min="14867" max="15104" width="9" style="1558"/>
    <col min="15105" max="15105" width="4.3984375" style="1558" customWidth="1"/>
    <col min="15106" max="15106" width="19" style="1558" customWidth="1"/>
    <col min="15107" max="15107" width="6.5" style="1558" customWidth="1"/>
    <col min="15108" max="15108" width="6" style="1558" customWidth="1"/>
    <col min="15109" max="15109" width="6.8984375" style="1558" customWidth="1"/>
    <col min="15110" max="15114" width="7.69921875" style="1558" customWidth="1"/>
    <col min="15115" max="15115" width="6.69921875" style="1558" customWidth="1"/>
    <col min="15116" max="15116" width="5.09765625" style="1558" customWidth="1"/>
    <col min="15117" max="15117" width="7.69921875" style="1558" customWidth="1"/>
    <col min="15118" max="15118" width="4.3984375" style="1558" customWidth="1"/>
    <col min="15119" max="15120" width="6.59765625" style="1558" customWidth="1"/>
    <col min="15121" max="15121" width="14" style="1558" customWidth="1"/>
    <col min="15122" max="15122" width="35.19921875" style="1558" customWidth="1"/>
    <col min="15123" max="15360" width="9" style="1558"/>
    <col min="15361" max="15361" width="4.3984375" style="1558" customWidth="1"/>
    <col min="15362" max="15362" width="19" style="1558" customWidth="1"/>
    <col min="15363" max="15363" width="6.5" style="1558" customWidth="1"/>
    <col min="15364" max="15364" width="6" style="1558" customWidth="1"/>
    <col min="15365" max="15365" width="6.8984375" style="1558" customWidth="1"/>
    <col min="15366" max="15370" width="7.69921875" style="1558" customWidth="1"/>
    <col min="15371" max="15371" width="6.69921875" style="1558" customWidth="1"/>
    <col min="15372" max="15372" width="5.09765625" style="1558" customWidth="1"/>
    <col min="15373" max="15373" width="7.69921875" style="1558" customWidth="1"/>
    <col min="15374" max="15374" width="4.3984375" style="1558" customWidth="1"/>
    <col min="15375" max="15376" width="6.59765625" style="1558" customWidth="1"/>
    <col min="15377" max="15377" width="14" style="1558" customWidth="1"/>
    <col min="15378" max="15378" width="35.19921875" style="1558" customWidth="1"/>
    <col min="15379" max="15616" width="9" style="1558"/>
    <col min="15617" max="15617" width="4.3984375" style="1558" customWidth="1"/>
    <col min="15618" max="15618" width="19" style="1558" customWidth="1"/>
    <col min="15619" max="15619" width="6.5" style="1558" customWidth="1"/>
    <col min="15620" max="15620" width="6" style="1558" customWidth="1"/>
    <col min="15621" max="15621" width="6.8984375" style="1558" customWidth="1"/>
    <col min="15622" max="15626" width="7.69921875" style="1558" customWidth="1"/>
    <col min="15627" max="15627" width="6.69921875" style="1558" customWidth="1"/>
    <col min="15628" max="15628" width="5.09765625" style="1558" customWidth="1"/>
    <col min="15629" max="15629" width="7.69921875" style="1558" customWidth="1"/>
    <col min="15630" max="15630" width="4.3984375" style="1558" customWidth="1"/>
    <col min="15631" max="15632" width="6.59765625" style="1558" customWidth="1"/>
    <col min="15633" max="15633" width="14" style="1558" customWidth="1"/>
    <col min="15634" max="15634" width="35.19921875" style="1558" customWidth="1"/>
    <col min="15635" max="15872" width="9" style="1558"/>
    <col min="15873" max="15873" width="4.3984375" style="1558" customWidth="1"/>
    <col min="15874" max="15874" width="19" style="1558" customWidth="1"/>
    <col min="15875" max="15875" width="6.5" style="1558" customWidth="1"/>
    <col min="15876" max="15876" width="6" style="1558" customWidth="1"/>
    <col min="15877" max="15877" width="6.8984375" style="1558" customWidth="1"/>
    <col min="15878" max="15882" width="7.69921875" style="1558" customWidth="1"/>
    <col min="15883" max="15883" width="6.69921875" style="1558" customWidth="1"/>
    <col min="15884" max="15884" width="5.09765625" style="1558" customWidth="1"/>
    <col min="15885" max="15885" width="7.69921875" style="1558" customWidth="1"/>
    <col min="15886" max="15886" width="4.3984375" style="1558" customWidth="1"/>
    <col min="15887" max="15888" width="6.59765625" style="1558" customWidth="1"/>
    <col min="15889" max="15889" width="14" style="1558" customWidth="1"/>
    <col min="15890" max="15890" width="35.19921875" style="1558" customWidth="1"/>
    <col min="15891" max="16128" width="9" style="1558"/>
    <col min="16129" max="16129" width="4.3984375" style="1558" customWidth="1"/>
    <col min="16130" max="16130" width="19" style="1558" customWidth="1"/>
    <col min="16131" max="16131" width="6.5" style="1558" customWidth="1"/>
    <col min="16132" max="16132" width="6" style="1558" customWidth="1"/>
    <col min="16133" max="16133" width="6.8984375" style="1558" customWidth="1"/>
    <col min="16134" max="16138" width="7.69921875" style="1558" customWidth="1"/>
    <col min="16139" max="16139" width="6.69921875" style="1558" customWidth="1"/>
    <col min="16140" max="16140" width="5.09765625" style="1558" customWidth="1"/>
    <col min="16141" max="16141" width="7.69921875" style="1558" customWidth="1"/>
    <col min="16142" max="16142" width="4.3984375" style="1558" customWidth="1"/>
    <col min="16143" max="16144" width="6.59765625" style="1558" customWidth="1"/>
    <col min="16145" max="16145" width="14" style="1558" customWidth="1"/>
    <col min="16146" max="16146" width="35.19921875" style="1558" customWidth="1"/>
    <col min="16147" max="16384" width="9" style="1558"/>
  </cols>
  <sheetData>
    <row r="1" spans="1:18" ht="20.100000000000001" customHeight="1">
      <c r="A1" s="3400" t="s">
        <v>5232</v>
      </c>
      <c r="B1" s="3400"/>
      <c r="C1" s="3400"/>
      <c r="D1" s="3400"/>
      <c r="E1" s="3400"/>
      <c r="F1" s="3400"/>
      <c r="G1" s="3400"/>
      <c r="H1" s="3400"/>
      <c r="I1" s="3400"/>
      <c r="J1" s="3400"/>
      <c r="K1" s="3400"/>
      <c r="L1" s="3400"/>
      <c r="M1" s="3400"/>
      <c r="N1" s="3400"/>
      <c r="O1" s="3400"/>
      <c r="P1" s="3400"/>
      <c r="Q1" s="1992"/>
    </row>
    <row r="2" spans="1:18" ht="25.5" customHeight="1">
      <c r="A2" s="3401" t="s">
        <v>5233</v>
      </c>
      <c r="B2" s="3401"/>
      <c r="C2" s="3401"/>
      <c r="D2" s="3401"/>
      <c r="E2" s="3401"/>
      <c r="F2" s="3401"/>
      <c r="G2" s="3401"/>
      <c r="H2" s="3401"/>
      <c r="I2" s="3401"/>
      <c r="J2" s="3401"/>
      <c r="K2" s="3401"/>
      <c r="L2" s="3401"/>
      <c r="M2" s="3401"/>
      <c r="N2" s="3401"/>
      <c r="O2" s="3401"/>
      <c r="P2" s="3401"/>
      <c r="Q2" s="1856"/>
    </row>
    <row r="3" spans="1:18" s="1555" customFormat="1" ht="14.25" customHeight="1">
      <c r="A3" s="3418" t="s">
        <v>1853</v>
      </c>
      <c r="B3" s="3418" t="s">
        <v>1854</v>
      </c>
      <c r="C3" s="3414" t="s">
        <v>5234</v>
      </c>
      <c r="D3" s="3414" t="s">
        <v>5235</v>
      </c>
      <c r="E3" s="3419" t="s">
        <v>5236</v>
      </c>
      <c r="F3" s="3419"/>
      <c r="G3" s="3420" t="s">
        <v>5237</v>
      </c>
      <c r="H3" s="3421"/>
      <c r="I3" s="3421"/>
      <c r="J3" s="3421"/>
      <c r="K3" s="3422"/>
      <c r="L3" s="3419" t="s">
        <v>5238</v>
      </c>
      <c r="M3" s="3419"/>
      <c r="N3" s="3419" t="s">
        <v>5239</v>
      </c>
      <c r="O3" s="3419"/>
      <c r="P3" s="3419"/>
      <c r="Q3" s="3414" t="s">
        <v>5151</v>
      </c>
    </row>
    <row r="4" spans="1:18" s="1555" customFormat="1" ht="32.25" customHeight="1">
      <c r="A4" s="3418"/>
      <c r="B4" s="3418"/>
      <c r="C4" s="3415"/>
      <c r="D4" s="3415"/>
      <c r="E4" s="3419"/>
      <c r="F4" s="3419"/>
      <c r="G4" s="3416" t="s">
        <v>5240</v>
      </c>
      <c r="H4" s="3416" t="s">
        <v>5241</v>
      </c>
      <c r="I4" s="3416" t="s">
        <v>5242</v>
      </c>
      <c r="J4" s="3416" t="s">
        <v>5243</v>
      </c>
      <c r="K4" s="3416" t="s">
        <v>5244</v>
      </c>
      <c r="L4" s="3414" t="s">
        <v>5245</v>
      </c>
      <c r="M4" s="3414" t="s">
        <v>5246</v>
      </c>
      <c r="N4" s="3414" t="s">
        <v>5247</v>
      </c>
      <c r="O4" s="3414" t="s">
        <v>5248</v>
      </c>
      <c r="P4" s="3414" t="s">
        <v>5249</v>
      </c>
      <c r="Q4" s="3415"/>
    </row>
    <row r="5" spans="1:18" s="1555" customFormat="1" ht="30.75" customHeight="1">
      <c r="A5" s="3418"/>
      <c r="B5" s="3418"/>
      <c r="C5" s="3415"/>
      <c r="D5" s="3415"/>
      <c r="E5" s="1857" t="s">
        <v>2436</v>
      </c>
      <c r="F5" s="1857" t="s">
        <v>5250</v>
      </c>
      <c r="G5" s="3417"/>
      <c r="H5" s="3417"/>
      <c r="I5" s="3417"/>
      <c r="J5" s="3417"/>
      <c r="K5" s="3417"/>
      <c r="L5" s="3415"/>
      <c r="M5" s="3415"/>
      <c r="N5" s="3415"/>
      <c r="O5" s="3415"/>
      <c r="P5" s="3415"/>
      <c r="Q5" s="3415"/>
    </row>
    <row r="6" spans="1:18" s="1555" customFormat="1" ht="14.25" customHeight="1">
      <c r="A6" s="3418"/>
      <c r="B6" s="3418"/>
      <c r="C6" s="1858">
        <v>1</v>
      </c>
      <c r="D6" s="1858">
        <v>2</v>
      </c>
      <c r="E6" s="1858">
        <v>3</v>
      </c>
      <c r="F6" s="1858">
        <v>4</v>
      </c>
      <c r="G6" s="1858">
        <v>5</v>
      </c>
      <c r="H6" s="1858">
        <v>6</v>
      </c>
      <c r="I6" s="1858">
        <v>7</v>
      </c>
      <c r="J6" s="1858">
        <v>8</v>
      </c>
      <c r="K6" s="1858">
        <v>9</v>
      </c>
      <c r="L6" s="1858">
        <v>10</v>
      </c>
      <c r="M6" s="1858">
        <v>11</v>
      </c>
      <c r="N6" s="1858">
        <v>12</v>
      </c>
      <c r="O6" s="1858">
        <v>13</v>
      </c>
      <c r="P6" s="1858">
        <v>14</v>
      </c>
      <c r="Q6" s="1966"/>
    </row>
    <row r="7" spans="1:18" s="1559" customFormat="1" ht="14.25" customHeight="1">
      <c r="A7" s="1858">
        <v>1</v>
      </c>
      <c r="B7" s="1859" t="s">
        <v>5251</v>
      </c>
      <c r="C7" s="1862">
        <f>专项用途财政性资金审核表!C7</f>
        <v>2011</v>
      </c>
      <c r="D7" s="2080">
        <f>专项用途财政性资金审核表!D7</f>
        <v>0</v>
      </c>
      <c r="E7" s="2080">
        <f>专项用途财政性资金审核表!E7</f>
        <v>0</v>
      </c>
      <c r="F7" s="2080">
        <f>专项用途财政性资金审核表!F7</f>
        <v>0</v>
      </c>
      <c r="G7" s="2080">
        <f>专项用途财政性资金审核表!G7</f>
        <v>0</v>
      </c>
      <c r="H7" s="2080">
        <f>专项用途财政性资金审核表!H7</f>
        <v>0</v>
      </c>
      <c r="I7" s="2080">
        <f>专项用途财政性资金审核表!I7</f>
        <v>0</v>
      </c>
      <c r="J7" s="2080">
        <f>专项用途财政性资金审核表!J7</f>
        <v>0</v>
      </c>
      <c r="K7" s="2080">
        <f>专项用途财政性资金审核表!K7</f>
        <v>0</v>
      </c>
      <c r="L7" s="2080">
        <f>专项用途财政性资金审核表!L7</f>
        <v>0</v>
      </c>
      <c r="M7" s="2080">
        <f>专项用途财政性资金审核表!M7</f>
        <v>0</v>
      </c>
      <c r="N7" s="2080">
        <f>专项用途财政性资金审核表!N7</f>
        <v>0</v>
      </c>
      <c r="O7" s="2080">
        <f>专项用途财政性资金审核表!O7</f>
        <v>0</v>
      </c>
      <c r="P7" s="2080">
        <f>专项用途财政性资金审核表!P7</f>
        <v>0</v>
      </c>
      <c r="Q7" s="1969"/>
    </row>
    <row r="8" spans="1:18" s="1559" customFormat="1" ht="14.25" customHeight="1">
      <c r="A8" s="1858">
        <v>2</v>
      </c>
      <c r="B8" s="1859" t="s">
        <v>1348</v>
      </c>
      <c r="C8" s="1862">
        <f>专项用途财政性资金审核表!C8</f>
        <v>2012</v>
      </c>
      <c r="D8" s="2080">
        <f>专项用途财政性资金审核表!D8</f>
        <v>0</v>
      </c>
      <c r="E8" s="2080">
        <f>专项用途财政性资金审核表!E8</f>
        <v>0</v>
      </c>
      <c r="F8" s="2080">
        <f>专项用途财政性资金审核表!F8</f>
        <v>0</v>
      </c>
      <c r="G8" s="1859" t="s">
        <v>1859</v>
      </c>
      <c r="H8" s="2080">
        <f>专项用途财政性资金审核表!H8</f>
        <v>0</v>
      </c>
      <c r="I8" s="2080">
        <f>专项用途财政性资金审核表!I8</f>
        <v>0</v>
      </c>
      <c r="J8" s="2080">
        <f>专项用途财政性资金审核表!J8</f>
        <v>0</v>
      </c>
      <c r="K8" s="2080">
        <f>专项用途财政性资金审核表!K8</f>
        <v>0</v>
      </c>
      <c r="L8" s="2080">
        <f>专项用途财政性资金审核表!L8</f>
        <v>0</v>
      </c>
      <c r="M8" s="2080">
        <f>专项用途财政性资金审核表!M8</f>
        <v>0</v>
      </c>
      <c r="N8" s="2080">
        <f>专项用途财政性资金审核表!N8</f>
        <v>0</v>
      </c>
      <c r="O8" s="2080">
        <f>专项用途财政性资金审核表!O8</f>
        <v>0</v>
      </c>
      <c r="P8" s="2080">
        <f>专项用途财政性资金审核表!P8</f>
        <v>0</v>
      </c>
      <c r="Q8" s="1969"/>
    </row>
    <row r="9" spans="1:18" ht="14.25" customHeight="1">
      <c r="A9" s="1858">
        <v>3</v>
      </c>
      <c r="B9" s="1859" t="s">
        <v>1349</v>
      </c>
      <c r="C9" s="1862">
        <f>专项用途财政性资金审核表!C9</f>
        <v>2013</v>
      </c>
      <c r="D9" s="2080">
        <f>专项用途财政性资金审核表!D9</f>
        <v>0</v>
      </c>
      <c r="E9" s="2080">
        <f>专项用途财政性资金审核表!E9</f>
        <v>0</v>
      </c>
      <c r="F9" s="2080">
        <f>专项用途财政性资金审核表!F9</f>
        <v>0</v>
      </c>
      <c r="G9" s="1859" t="s">
        <v>1859</v>
      </c>
      <c r="H9" s="1859" t="s">
        <v>1859</v>
      </c>
      <c r="I9" s="2080">
        <f>专项用途财政性资金审核表!I9</f>
        <v>0</v>
      </c>
      <c r="J9" s="2080">
        <f>专项用途财政性资金审核表!J9</f>
        <v>0</v>
      </c>
      <c r="K9" s="2080">
        <f>专项用途财政性资金审核表!K9</f>
        <v>0</v>
      </c>
      <c r="L9" s="2080">
        <f>专项用途财政性资金审核表!L9</f>
        <v>0</v>
      </c>
      <c r="M9" s="2080">
        <f>专项用途财政性资金审核表!M9</f>
        <v>0</v>
      </c>
      <c r="N9" s="2080">
        <f>专项用途财政性资金审核表!N9</f>
        <v>0</v>
      </c>
      <c r="O9" s="2080">
        <f>专项用途财政性资金审核表!O9</f>
        <v>0</v>
      </c>
      <c r="P9" s="2080">
        <f>专项用途财政性资金审核表!P9</f>
        <v>0</v>
      </c>
      <c r="Q9" s="1969"/>
    </row>
    <row r="10" spans="1:18" ht="14.25" customHeight="1">
      <c r="A10" s="1858">
        <v>4</v>
      </c>
      <c r="B10" s="1859" t="s">
        <v>1350</v>
      </c>
      <c r="C10" s="1862">
        <f>专项用途财政性资金审核表!C10</f>
        <v>2014</v>
      </c>
      <c r="D10" s="2080">
        <f>专项用途财政性资金审核表!D10</f>
        <v>0</v>
      </c>
      <c r="E10" s="2080">
        <f>专项用途财政性资金审核表!E10</f>
        <v>0</v>
      </c>
      <c r="F10" s="2080">
        <f>专项用途财政性资金审核表!F10</f>
        <v>0</v>
      </c>
      <c r="G10" s="1859" t="s">
        <v>1859</v>
      </c>
      <c r="H10" s="1859" t="s">
        <v>1859</v>
      </c>
      <c r="I10" s="1859" t="s">
        <v>1859</v>
      </c>
      <c r="J10" s="2080">
        <f>专项用途财政性资金审核表!J10</f>
        <v>0</v>
      </c>
      <c r="K10" s="2080">
        <f>专项用途财政性资金审核表!K10</f>
        <v>0</v>
      </c>
      <c r="L10" s="2080">
        <f>专项用途财政性资金审核表!L10</f>
        <v>0</v>
      </c>
      <c r="M10" s="2080">
        <f>专项用途财政性资金审核表!M10</f>
        <v>0</v>
      </c>
      <c r="N10" s="2080">
        <f>专项用途财政性资金审核表!N10</f>
        <v>0</v>
      </c>
      <c r="O10" s="2080">
        <f>专项用途财政性资金审核表!O10</f>
        <v>0</v>
      </c>
      <c r="P10" s="2080">
        <f>专项用途财政性资金审核表!P10</f>
        <v>0</v>
      </c>
      <c r="Q10" s="1969"/>
    </row>
    <row r="11" spans="1:18" ht="14.25" customHeight="1">
      <c r="A11" s="1858">
        <v>5</v>
      </c>
      <c r="B11" s="1859" t="s">
        <v>1351</v>
      </c>
      <c r="C11" s="1862">
        <f>专项用途财政性资金审核表!C11</f>
        <v>2015</v>
      </c>
      <c r="D11" s="2080">
        <f>专项用途财政性资金审核表!D11</f>
        <v>0</v>
      </c>
      <c r="E11" s="2080">
        <f>专项用途财政性资金审核表!E11</f>
        <v>0</v>
      </c>
      <c r="F11" s="2080">
        <f>专项用途财政性资金审核表!F11</f>
        <v>0</v>
      </c>
      <c r="G11" s="1859" t="s">
        <v>1859</v>
      </c>
      <c r="H11" s="1859" t="s">
        <v>1859</v>
      </c>
      <c r="I11" s="1859" t="s">
        <v>1859</v>
      </c>
      <c r="J11" s="1859" t="s">
        <v>1859</v>
      </c>
      <c r="K11" s="2080">
        <f>专项用途财政性资金审核表!K11</f>
        <v>0</v>
      </c>
      <c r="L11" s="2080">
        <f>专项用途财政性资金审核表!L11</f>
        <v>0</v>
      </c>
      <c r="M11" s="2080">
        <f>专项用途财政性资金审核表!M11</f>
        <v>0</v>
      </c>
      <c r="N11" s="2080">
        <f>专项用途财政性资金审核表!N11</f>
        <v>0</v>
      </c>
      <c r="O11" s="2080">
        <f>专项用途财政性资金审核表!O11</f>
        <v>0</v>
      </c>
      <c r="P11" s="2080">
        <f>专项用途财政性资金审核表!P11</f>
        <v>0</v>
      </c>
      <c r="Q11" s="1969"/>
    </row>
    <row r="12" spans="1:18" ht="14.25" customHeight="1">
      <c r="A12" s="1858">
        <v>6</v>
      </c>
      <c r="B12" s="1859" t="s">
        <v>5252</v>
      </c>
      <c r="C12" s="1862">
        <f>专项用途财政性资金审核表!C12</f>
        <v>2016</v>
      </c>
      <c r="D12" s="2080">
        <f>专项用途财政性资金审核表!D12</f>
        <v>0</v>
      </c>
      <c r="E12" s="2080">
        <f>专项用途财政性资金审核表!E12</f>
        <v>0</v>
      </c>
      <c r="F12" s="2080">
        <f>专项用途财政性资金审核表!F12</f>
        <v>0</v>
      </c>
      <c r="G12" s="1859" t="s">
        <v>1859</v>
      </c>
      <c r="H12" s="1859" t="s">
        <v>1859</v>
      </c>
      <c r="I12" s="1859" t="s">
        <v>1859</v>
      </c>
      <c r="J12" s="1859" t="s">
        <v>1859</v>
      </c>
      <c r="K12" s="1859" t="s">
        <v>1859</v>
      </c>
      <c r="L12" s="2080">
        <f>专项用途财政性资金审核表!L12</f>
        <v>0</v>
      </c>
      <c r="M12" s="2080">
        <f>专项用途财政性资金审核表!M12</f>
        <v>0</v>
      </c>
      <c r="N12" s="2080">
        <f>专项用途财政性资金审核表!N12</f>
        <v>0</v>
      </c>
      <c r="O12" s="2080">
        <f>专项用途财政性资金审核表!O12</f>
        <v>0</v>
      </c>
      <c r="P12" s="2080">
        <f>专项用途财政性资金审核表!P12</f>
        <v>0</v>
      </c>
      <c r="Q12" s="1969"/>
      <c r="R12" s="1675" t="s">
        <v>6440</v>
      </c>
    </row>
    <row r="13" spans="1:18" s="1559" customFormat="1" ht="19.5" customHeight="1">
      <c r="A13" s="1860">
        <v>7</v>
      </c>
      <c r="B13" s="1861" t="s">
        <v>5253</v>
      </c>
      <c r="C13" s="1859" t="s">
        <v>1859</v>
      </c>
      <c r="D13" s="2080">
        <f>专项用途财政性资金审核表!D13</f>
        <v>0</v>
      </c>
      <c r="E13" s="2080">
        <f>专项用途财政性资金审核表!E13</f>
        <v>0</v>
      </c>
      <c r="F13" s="2080">
        <f>专项用途财政性资金审核表!F13</f>
        <v>0</v>
      </c>
      <c r="G13" s="1859" t="s">
        <v>1859</v>
      </c>
      <c r="H13" s="1859" t="s">
        <v>1859</v>
      </c>
      <c r="I13" s="1859" t="s">
        <v>1859</v>
      </c>
      <c r="J13" s="1859" t="s">
        <v>1859</v>
      </c>
      <c r="K13" s="1859" t="s">
        <v>1859</v>
      </c>
      <c r="L13" s="2080">
        <f>专项用途财政性资金审核表!L13</f>
        <v>0</v>
      </c>
      <c r="M13" s="2080">
        <f>专项用途财政性资金审核表!M13</f>
        <v>0</v>
      </c>
      <c r="N13" s="2080">
        <f>专项用途财政性资金审核表!N13</f>
        <v>0</v>
      </c>
      <c r="O13" s="2080">
        <f>专项用途财政性资金审核表!O13</f>
        <v>0</v>
      </c>
      <c r="P13" s="2080">
        <f>专项用途财政性资金审核表!P13</f>
        <v>0</v>
      </c>
      <c r="Q13" s="1861" t="s">
        <v>6101</v>
      </c>
    </row>
  </sheetData>
  <mergeCells count="21">
    <mergeCell ref="A1:P1"/>
    <mergeCell ref="A2:P2"/>
    <mergeCell ref="A3:A6"/>
    <mergeCell ref="B3:B6"/>
    <mergeCell ref="C3:C5"/>
    <mergeCell ref="D3:D5"/>
    <mergeCell ref="E3:F4"/>
    <mergeCell ref="G3:K3"/>
    <mergeCell ref="L3:M3"/>
    <mergeCell ref="N3:P3"/>
    <mergeCell ref="P4:P5"/>
    <mergeCell ref="Q3:Q5"/>
    <mergeCell ref="G4:G5"/>
    <mergeCell ref="H4:H5"/>
    <mergeCell ref="I4:I5"/>
    <mergeCell ref="J4:J5"/>
    <mergeCell ref="K4:K5"/>
    <mergeCell ref="L4:L5"/>
    <mergeCell ref="M4:M5"/>
    <mergeCell ref="N4:N5"/>
    <mergeCell ref="O4:O5"/>
  </mergeCells>
  <phoneticPr fontId="51" type="noConversion"/>
  <hyperlinks>
    <hyperlink ref="R12" location="专项用途财政性资金审核表!A1" display="专项用途财政性资金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1:K18"/>
  <sheetViews>
    <sheetView workbookViewId="0">
      <selection sqref="A1:H1"/>
    </sheetView>
  </sheetViews>
  <sheetFormatPr defaultRowHeight="15.6"/>
  <cols>
    <col min="1" max="1" width="5.19921875" style="1551" customWidth="1"/>
    <col min="2" max="2" width="35.59765625" style="1551" customWidth="1"/>
    <col min="3" max="3" width="12.3984375" style="1551" customWidth="1"/>
    <col min="4" max="4" width="7.5" style="1551" customWidth="1"/>
    <col min="5" max="8" width="12.3984375" style="1551" customWidth="1"/>
    <col min="9" max="9" width="14" style="1551" customWidth="1"/>
    <col min="10" max="10" width="19" style="1551" customWidth="1"/>
    <col min="11" max="256" width="9" style="1551"/>
    <col min="257" max="257" width="5.19921875" style="1551" customWidth="1"/>
    <col min="258" max="258" width="35.59765625" style="1551" customWidth="1"/>
    <col min="259" max="259" width="9.59765625" style="1551" customWidth="1"/>
    <col min="260" max="260" width="9.8984375" style="1551" customWidth="1"/>
    <col min="261" max="261" width="13.09765625" style="1551" customWidth="1"/>
    <col min="262" max="262" width="9" style="1551"/>
    <col min="263" max="263" width="10.09765625" style="1551" customWidth="1"/>
    <col min="264" max="264" width="13.09765625" style="1551" customWidth="1"/>
    <col min="265" max="265" width="14" style="1551" customWidth="1"/>
    <col min="266" max="266" width="19" style="1551" customWidth="1"/>
    <col min="267" max="512" width="9" style="1551"/>
    <col min="513" max="513" width="5.19921875" style="1551" customWidth="1"/>
    <col min="514" max="514" width="35.59765625" style="1551" customWidth="1"/>
    <col min="515" max="515" width="9.59765625" style="1551" customWidth="1"/>
    <col min="516" max="516" width="9.8984375" style="1551" customWidth="1"/>
    <col min="517" max="517" width="13.09765625" style="1551" customWidth="1"/>
    <col min="518" max="518" width="9" style="1551"/>
    <col min="519" max="519" width="10.09765625" style="1551" customWidth="1"/>
    <col min="520" max="520" width="13.09765625" style="1551" customWidth="1"/>
    <col min="521" max="521" width="14" style="1551" customWidth="1"/>
    <col min="522" max="522" width="19" style="1551" customWidth="1"/>
    <col min="523" max="768" width="9" style="1551"/>
    <col min="769" max="769" width="5.19921875" style="1551" customWidth="1"/>
    <col min="770" max="770" width="35.59765625" style="1551" customWidth="1"/>
    <col min="771" max="771" width="9.59765625" style="1551" customWidth="1"/>
    <col min="772" max="772" width="9.8984375" style="1551" customWidth="1"/>
    <col min="773" max="773" width="13.09765625" style="1551" customWidth="1"/>
    <col min="774" max="774" width="9" style="1551"/>
    <col min="775" max="775" width="10.09765625" style="1551" customWidth="1"/>
    <col min="776" max="776" width="13.09765625" style="1551" customWidth="1"/>
    <col min="777" max="777" width="14" style="1551" customWidth="1"/>
    <col min="778" max="778" width="19" style="1551" customWidth="1"/>
    <col min="779" max="1024" width="9" style="1551"/>
    <col min="1025" max="1025" width="5.19921875" style="1551" customWidth="1"/>
    <col min="1026" max="1026" width="35.59765625" style="1551" customWidth="1"/>
    <col min="1027" max="1027" width="9.59765625" style="1551" customWidth="1"/>
    <col min="1028" max="1028" width="9.8984375" style="1551" customWidth="1"/>
    <col min="1029" max="1029" width="13.09765625" style="1551" customWidth="1"/>
    <col min="1030" max="1030" width="9" style="1551"/>
    <col min="1031" max="1031" width="10.09765625" style="1551" customWidth="1"/>
    <col min="1032" max="1032" width="13.09765625" style="1551" customWidth="1"/>
    <col min="1033" max="1033" width="14" style="1551" customWidth="1"/>
    <col min="1034" max="1034" width="19" style="1551" customWidth="1"/>
    <col min="1035" max="1280" width="9" style="1551"/>
    <col min="1281" max="1281" width="5.19921875" style="1551" customWidth="1"/>
    <col min="1282" max="1282" width="35.59765625" style="1551" customWidth="1"/>
    <col min="1283" max="1283" width="9.59765625" style="1551" customWidth="1"/>
    <col min="1284" max="1284" width="9.8984375" style="1551" customWidth="1"/>
    <col min="1285" max="1285" width="13.09765625" style="1551" customWidth="1"/>
    <col min="1286" max="1286" width="9" style="1551"/>
    <col min="1287" max="1287" width="10.09765625" style="1551" customWidth="1"/>
    <col min="1288" max="1288" width="13.09765625" style="1551" customWidth="1"/>
    <col min="1289" max="1289" width="14" style="1551" customWidth="1"/>
    <col min="1290" max="1290" width="19" style="1551" customWidth="1"/>
    <col min="1291" max="1536" width="9" style="1551"/>
    <col min="1537" max="1537" width="5.19921875" style="1551" customWidth="1"/>
    <col min="1538" max="1538" width="35.59765625" style="1551" customWidth="1"/>
    <col min="1539" max="1539" width="9.59765625" style="1551" customWidth="1"/>
    <col min="1540" max="1540" width="9.8984375" style="1551" customWidth="1"/>
    <col min="1541" max="1541" width="13.09765625" style="1551" customWidth="1"/>
    <col min="1542" max="1542" width="9" style="1551"/>
    <col min="1543" max="1543" width="10.09765625" style="1551" customWidth="1"/>
    <col min="1544" max="1544" width="13.09765625" style="1551" customWidth="1"/>
    <col min="1545" max="1545" width="14" style="1551" customWidth="1"/>
    <col min="1546" max="1546" width="19" style="1551" customWidth="1"/>
    <col min="1547" max="1792" width="9" style="1551"/>
    <col min="1793" max="1793" width="5.19921875" style="1551" customWidth="1"/>
    <col min="1794" max="1794" width="35.59765625" style="1551" customWidth="1"/>
    <col min="1795" max="1795" width="9.59765625" style="1551" customWidth="1"/>
    <col min="1796" max="1796" width="9.8984375" style="1551" customWidth="1"/>
    <col min="1797" max="1797" width="13.09765625" style="1551" customWidth="1"/>
    <col min="1798" max="1798" width="9" style="1551"/>
    <col min="1799" max="1799" width="10.09765625" style="1551" customWidth="1"/>
    <col min="1800" max="1800" width="13.09765625" style="1551" customWidth="1"/>
    <col min="1801" max="1801" width="14" style="1551" customWidth="1"/>
    <col min="1802" max="1802" width="19" style="1551" customWidth="1"/>
    <col min="1803" max="2048" width="9" style="1551"/>
    <col min="2049" max="2049" width="5.19921875" style="1551" customWidth="1"/>
    <col min="2050" max="2050" width="35.59765625" style="1551" customWidth="1"/>
    <col min="2051" max="2051" width="9.59765625" style="1551" customWidth="1"/>
    <col min="2052" max="2052" width="9.8984375" style="1551" customWidth="1"/>
    <col min="2053" max="2053" width="13.09765625" style="1551" customWidth="1"/>
    <col min="2054" max="2054" width="9" style="1551"/>
    <col min="2055" max="2055" width="10.09765625" style="1551" customWidth="1"/>
    <col min="2056" max="2056" width="13.09765625" style="1551" customWidth="1"/>
    <col min="2057" max="2057" width="14" style="1551" customWidth="1"/>
    <col min="2058" max="2058" width="19" style="1551" customWidth="1"/>
    <col min="2059" max="2304" width="9" style="1551"/>
    <col min="2305" max="2305" width="5.19921875" style="1551" customWidth="1"/>
    <col min="2306" max="2306" width="35.59765625" style="1551" customWidth="1"/>
    <col min="2307" max="2307" width="9.59765625" style="1551" customWidth="1"/>
    <col min="2308" max="2308" width="9.8984375" style="1551" customWidth="1"/>
    <col min="2309" max="2309" width="13.09765625" style="1551" customWidth="1"/>
    <col min="2310" max="2310" width="9" style="1551"/>
    <col min="2311" max="2311" width="10.09765625" style="1551" customWidth="1"/>
    <col min="2312" max="2312" width="13.09765625" style="1551" customWidth="1"/>
    <col min="2313" max="2313" width="14" style="1551" customWidth="1"/>
    <col min="2314" max="2314" width="19" style="1551" customWidth="1"/>
    <col min="2315" max="2560" width="9" style="1551"/>
    <col min="2561" max="2561" width="5.19921875" style="1551" customWidth="1"/>
    <col min="2562" max="2562" width="35.59765625" style="1551" customWidth="1"/>
    <col min="2563" max="2563" width="9.59765625" style="1551" customWidth="1"/>
    <col min="2564" max="2564" width="9.8984375" style="1551" customWidth="1"/>
    <col min="2565" max="2565" width="13.09765625" style="1551" customWidth="1"/>
    <col min="2566" max="2566" width="9" style="1551"/>
    <col min="2567" max="2567" width="10.09765625" style="1551" customWidth="1"/>
    <col min="2568" max="2568" width="13.09765625" style="1551" customWidth="1"/>
    <col min="2569" max="2569" width="14" style="1551" customWidth="1"/>
    <col min="2570" max="2570" width="19" style="1551" customWidth="1"/>
    <col min="2571" max="2816" width="9" style="1551"/>
    <col min="2817" max="2817" width="5.19921875" style="1551" customWidth="1"/>
    <col min="2818" max="2818" width="35.59765625" style="1551" customWidth="1"/>
    <col min="2819" max="2819" width="9.59765625" style="1551" customWidth="1"/>
    <col min="2820" max="2820" width="9.8984375" style="1551" customWidth="1"/>
    <col min="2821" max="2821" width="13.09765625" style="1551" customWidth="1"/>
    <col min="2822" max="2822" width="9" style="1551"/>
    <col min="2823" max="2823" width="10.09765625" style="1551" customWidth="1"/>
    <col min="2824" max="2824" width="13.09765625" style="1551" customWidth="1"/>
    <col min="2825" max="2825" width="14" style="1551" customWidth="1"/>
    <col min="2826" max="2826" width="19" style="1551" customWidth="1"/>
    <col min="2827" max="3072" width="9" style="1551"/>
    <col min="3073" max="3073" width="5.19921875" style="1551" customWidth="1"/>
    <col min="3074" max="3074" width="35.59765625" style="1551" customWidth="1"/>
    <col min="3075" max="3075" width="9.59765625" style="1551" customWidth="1"/>
    <col min="3076" max="3076" width="9.8984375" style="1551" customWidth="1"/>
    <col min="3077" max="3077" width="13.09765625" style="1551" customWidth="1"/>
    <col min="3078" max="3078" width="9" style="1551"/>
    <col min="3079" max="3079" width="10.09765625" style="1551" customWidth="1"/>
    <col min="3080" max="3080" width="13.09765625" style="1551" customWidth="1"/>
    <col min="3081" max="3081" width="14" style="1551" customWidth="1"/>
    <col min="3082" max="3082" width="19" style="1551" customWidth="1"/>
    <col min="3083" max="3328" width="9" style="1551"/>
    <col min="3329" max="3329" width="5.19921875" style="1551" customWidth="1"/>
    <col min="3330" max="3330" width="35.59765625" style="1551" customWidth="1"/>
    <col min="3331" max="3331" width="9.59765625" style="1551" customWidth="1"/>
    <col min="3332" max="3332" width="9.8984375" style="1551" customWidth="1"/>
    <col min="3333" max="3333" width="13.09765625" style="1551" customWidth="1"/>
    <col min="3334" max="3334" width="9" style="1551"/>
    <col min="3335" max="3335" width="10.09765625" style="1551" customWidth="1"/>
    <col min="3336" max="3336" width="13.09765625" style="1551" customWidth="1"/>
    <col min="3337" max="3337" width="14" style="1551" customWidth="1"/>
    <col min="3338" max="3338" width="19" style="1551" customWidth="1"/>
    <col min="3339" max="3584" width="9" style="1551"/>
    <col min="3585" max="3585" width="5.19921875" style="1551" customWidth="1"/>
    <col min="3586" max="3586" width="35.59765625" style="1551" customWidth="1"/>
    <col min="3587" max="3587" width="9.59765625" style="1551" customWidth="1"/>
    <col min="3588" max="3588" width="9.8984375" style="1551" customWidth="1"/>
    <col min="3589" max="3589" width="13.09765625" style="1551" customWidth="1"/>
    <col min="3590" max="3590" width="9" style="1551"/>
    <col min="3591" max="3591" width="10.09765625" style="1551" customWidth="1"/>
    <col min="3592" max="3592" width="13.09765625" style="1551" customWidth="1"/>
    <col min="3593" max="3593" width="14" style="1551" customWidth="1"/>
    <col min="3594" max="3594" width="19" style="1551" customWidth="1"/>
    <col min="3595" max="3840" width="9" style="1551"/>
    <col min="3841" max="3841" width="5.19921875" style="1551" customWidth="1"/>
    <col min="3842" max="3842" width="35.59765625" style="1551" customWidth="1"/>
    <col min="3843" max="3843" width="9.59765625" style="1551" customWidth="1"/>
    <col min="3844" max="3844" width="9.8984375" style="1551" customWidth="1"/>
    <col min="3845" max="3845" width="13.09765625" style="1551" customWidth="1"/>
    <col min="3846" max="3846" width="9" style="1551"/>
    <col min="3847" max="3847" width="10.09765625" style="1551" customWidth="1"/>
    <col min="3848" max="3848" width="13.09765625" style="1551" customWidth="1"/>
    <col min="3849" max="3849" width="14" style="1551" customWidth="1"/>
    <col min="3850" max="3850" width="19" style="1551" customWidth="1"/>
    <col min="3851" max="4096" width="9" style="1551"/>
    <col min="4097" max="4097" width="5.19921875" style="1551" customWidth="1"/>
    <col min="4098" max="4098" width="35.59765625" style="1551" customWidth="1"/>
    <col min="4099" max="4099" width="9.59765625" style="1551" customWidth="1"/>
    <col min="4100" max="4100" width="9.8984375" style="1551" customWidth="1"/>
    <col min="4101" max="4101" width="13.09765625" style="1551" customWidth="1"/>
    <col min="4102" max="4102" width="9" style="1551"/>
    <col min="4103" max="4103" width="10.09765625" style="1551" customWidth="1"/>
    <col min="4104" max="4104" width="13.09765625" style="1551" customWidth="1"/>
    <col min="4105" max="4105" width="14" style="1551" customWidth="1"/>
    <col min="4106" max="4106" width="19" style="1551" customWidth="1"/>
    <col min="4107" max="4352" width="9" style="1551"/>
    <col min="4353" max="4353" width="5.19921875" style="1551" customWidth="1"/>
    <col min="4354" max="4354" width="35.59765625" style="1551" customWidth="1"/>
    <col min="4355" max="4355" width="9.59765625" style="1551" customWidth="1"/>
    <col min="4356" max="4356" width="9.8984375" style="1551" customWidth="1"/>
    <col min="4357" max="4357" width="13.09765625" style="1551" customWidth="1"/>
    <col min="4358" max="4358" width="9" style="1551"/>
    <col min="4359" max="4359" width="10.09765625" style="1551" customWidth="1"/>
    <col min="4360" max="4360" width="13.09765625" style="1551" customWidth="1"/>
    <col min="4361" max="4361" width="14" style="1551" customWidth="1"/>
    <col min="4362" max="4362" width="19" style="1551" customWidth="1"/>
    <col min="4363" max="4608" width="9" style="1551"/>
    <col min="4609" max="4609" width="5.19921875" style="1551" customWidth="1"/>
    <col min="4610" max="4610" width="35.59765625" style="1551" customWidth="1"/>
    <col min="4611" max="4611" width="9.59765625" style="1551" customWidth="1"/>
    <col min="4612" max="4612" width="9.8984375" style="1551" customWidth="1"/>
    <col min="4613" max="4613" width="13.09765625" style="1551" customWidth="1"/>
    <col min="4614" max="4614" width="9" style="1551"/>
    <col min="4615" max="4615" width="10.09765625" style="1551" customWidth="1"/>
    <col min="4616" max="4616" width="13.09765625" style="1551" customWidth="1"/>
    <col min="4617" max="4617" width="14" style="1551" customWidth="1"/>
    <col min="4618" max="4618" width="19" style="1551" customWidth="1"/>
    <col min="4619" max="4864" width="9" style="1551"/>
    <col min="4865" max="4865" width="5.19921875" style="1551" customWidth="1"/>
    <col min="4866" max="4866" width="35.59765625" style="1551" customWidth="1"/>
    <col min="4867" max="4867" width="9.59765625" style="1551" customWidth="1"/>
    <col min="4868" max="4868" width="9.8984375" style="1551" customWidth="1"/>
    <col min="4869" max="4869" width="13.09765625" style="1551" customWidth="1"/>
    <col min="4870" max="4870" width="9" style="1551"/>
    <col min="4871" max="4871" width="10.09765625" style="1551" customWidth="1"/>
    <col min="4872" max="4872" width="13.09765625" style="1551" customWidth="1"/>
    <col min="4873" max="4873" width="14" style="1551" customWidth="1"/>
    <col min="4874" max="4874" width="19" style="1551" customWidth="1"/>
    <col min="4875" max="5120" width="9" style="1551"/>
    <col min="5121" max="5121" width="5.19921875" style="1551" customWidth="1"/>
    <col min="5122" max="5122" width="35.59765625" style="1551" customWidth="1"/>
    <col min="5123" max="5123" width="9.59765625" style="1551" customWidth="1"/>
    <col min="5124" max="5124" width="9.8984375" style="1551" customWidth="1"/>
    <col min="5125" max="5125" width="13.09765625" style="1551" customWidth="1"/>
    <col min="5126" max="5126" width="9" style="1551"/>
    <col min="5127" max="5127" width="10.09765625" style="1551" customWidth="1"/>
    <col min="5128" max="5128" width="13.09765625" style="1551" customWidth="1"/>
    <col min="5129" max="5129" width="14" style="1551" customWidth="1"/>
    <col min="5130" max="5130" width="19" style="1551" customWidth="1"/>
    <col min="5131" max="5376" width="9" style="1551"/>
    <col min="5377" max="5377" width="5.19921875" style="1551" customWidth="1"/>
    <col min="5378" max="5378" width="35.59765625" style="1551" customWidth="1"/>
    <col min="5379" max="5379" width="9.59765625" style="1551" customWidth="1"/>
    <col min="5380" max="5380" width="9.8984375" style="1551" customWidth="1"/>
    <col min="5381" max="5381" width="13.09765625" style="1551" customWidth="1"/>
    <col min="5382" max="5382" width="9" style="1551"/>
    <col min="5383" max="5383" width="10.09765625" style="1551" customWidth="1"/>
    <col min="5384" max="5384" width="13.09765625" style="1551" customWidth="1"/>
    <col min="5385" max="5385" width="14" style="1551" customWidth="1"/>
    <col min="5386" max="5386" width="19" style="1551" customWidth="1"/>
    <col min="5387" max="5632" width="9" style="1551"/>
    <col min="5633" max="5633" width="5.19921875" style="1551" customWidth="1"/>
    <col min="5634" max="5634" width="35.59765625" style="1551" customWidth="1"/>
    <col min="5635" max="5635" width="9.59765625" style="1551" customWidth="1"/>
    <col min="5636" max="5636" width="9.8984375" style="1551" customWidth="1"/>
    <col min="5637" max="5637" width="13.09765625" style="1551" customWidth="1"/>
    <col min="5638" max="5638" width="9" style="1551"/>
    <col min="5639" max="5639" width="10.09765625" style="1551" customWidth="1"/>
    <col min="5640" max="5640" width="13.09765625" style="1551" customWidth="1"/>
    <col min="5641" max="5641" width="14" style="1551" customWidth="1"/>
    <col min="5642" max="5642" width="19" style="1551" customWidth="1"/>
    <col min="5643" max="5888" width="9" style="1551"/>
    <col min="5889" max="5889" width="5.19921875" style="1551" customWidth="1"/>
    <col min="5890" max="5890" width="35.59765625" style="1551" customWidth="1"/>
    <col min="5891" max="5891" width="9.59765625" style="1551" customWidth="1"/>
    <col min="5892" max="5892" width="9.8984375" style="1551" customWidth="1"/>
    <col min="5893" max="5893" width="13.09765625" style="1551" customWidth="1"/>
    <col min="5894" max="5894" width="9" style="1551"/>
    <col min="5895" max="5895" width="10.09765625" style="1551" customWidth="1"/>
    <col min="5896" max="5896" width="13.09765625" style="1551" customWidth="1"/>
    <col min="5897" max="5897" width="14" style="1551" customWidth="1"/>
    <col min="5898" max="5898" width="19" style="1551" customWidth="1"/>
    <col min="5899" max="6144" width="9" style="1551"/>
    <col min="6145" max="6145" width="5.19921875" style="1551" customWidth="1"/>
    <col min="6146" max="6146" width="35.59765625" style="1551" customWidth="1"/>
    <col min="6147" max="6147" width="9.59765625" style="1551" customWidth="1"/>
    <col min="6148" max="6148" width="9.8984375" style="1551" customWidth="1"/>
    <col min="6149" max="6149" width="13.09765625" style="1551" customWidth="1"/>
    <col min="6150" max="6150" width="9" style="1551"/>
    <col min="6151" max="6151" width="10.09765625" style="1551" customWidth="1"/>
    <col min="6152" max="6152" width="13.09765625" style="1551" customWidth="1"/>
    <col min="6153" max="6153" width="14" style="1551" customWidth="1"/>
    <col min="6154" max="6154" width="19" style="1551" customWidth="1"/>
    <col min="6155" max="6400" width="9" style="1551"/>
    <col min="6401" max="6401" width="5.19921875" style="1551" customWidth="1"/>
    <col min="6402" max="6402" width="35.59765625" style="1551" customWidth="1"/>
    <col min="6403" max="6403" width="9.59765625" style="1551" customWidth="1"/>
    <col min="6404" max="6404" width="9.8984375" style="1551" customWidth="1"/>
    <col min="6405" max="6405" width="13.09765625" style="1551" customWidth="1"/>
    <col min="6406" max="6406" width="9" style="1551"/>
    <col min="6407" max="6407" width="10.09765625" style="1551" customWidth="1"/>
    <col min="6408" max="6408" width="13.09765625" style="1551" customWidth="1"/>
    <col min="6409" max="6409" width="14" style="1551" customWidth="1"/>
    <col min="6410" max="6410" width="19" style="1551" customWidth="1"/>
    <col min="6411" max="6656" width="9" style="1551"/>
    <col min="6657" max="6657" width="5.19921875" style="1551" customWidth="1"/>
    <col min="6658" max="6658" width="35.59765625" style="1551" customWidth="1"/>
    <col min="6659" max="6659" width="9.59765625" style="1551" customWidth="1"/>
    <col min="6660" max="6660" width="9.8984375" style="1551" customWidth="1"/>
    <col min="6661" max="6661" width="13.09765625" style="1551" customWidth="1"/>
    <col min="6662" max="6662" width="9" style="1551"/>
    <col min="6663" max="6663" width="10.09765625" style="1551" customWidth="1"/>
    <col min="6664" max="6664" width="13.09765625" style="1551" customWidth="1"/>
    <col min="6665" max="6665" width="14" style="1551" customWidth="1"/>
    <col min="6666" max="6666" width="19" style="1551" customWidth="1"/>
    <col min="6667" max="6912" width="9" style="1551"/>
    <col min="6913" max="6913" width="5.19921875" style="1551" customWidth="1"/>
    <col min="6914" max="6914" width="35.59765625" style="1551" customWidth="1"/>
    <col min="6915" max="6915" width="9.59765625" style="1551" customWidth="1"/>
    <col min="6916" max="6916" width="9.8984375" style="1551" customWidth="1"/>
    <col min="6917" max="6917" width="13.09765625" style="1551" customWidth="1"/>
    <col min="6918" max="6918" width="9" style="1551"/>
    <col min="6919" max="6919" width="10.09765625" style="1551" customWidth="1"/>
    <col min="6920" max="6920" width="13.09765625" style="1551" customWidth="1"/>
    <col min="6921" max="6921" width="14" style="1551" customWidth="1"/>
    <col min="6922" max="6922" width="19" style="1551" customWidth="1"/>
    <col min="6923" max="7168" width="9" style="1551"/>
    <col min="7169" max="7169" width="5.19921875" style="1551" customWidth="1"/>
    <col min="7170" max="7170" width="35.59765625" style="1551" customWidth="1"/>
    <col min="7171" max="7171" width="9.59765625" style="1551" customWidth="1"/>
    <col min="7172" max="7172" width="9.8984375" style="1551" customWidth="1"/>
    <col min="7173" max="7173" width="13.09765625" style="1551" customWidth="1"/>
    <col min="7174" max="7174" width="9" style="1551"/>
    <col min="7175" max="7175" width="10.09765625" style="1551" customWidth="1"/>
    <col min="7176" max="7176" width="13.09765625" style="1551" customWidth="1"/>
    <col min="7177" max="7177" width="14" style="1551" customWidth="1"/>
    <col min="7178" max="7178" width="19" style="1551" customWidth="1"/>
    <col min="7179" max="7424" width="9" style="1551"/>
    <col min="7425" max="7425" width="5.19921875" style="1551" customWidth="1"/>
    <col min="7426" max="7426" width="35.59765625" style="1551" customWidth="1"/>
    <col min="7427" max="7427" width="9.59765625" style="1551" customWidth="1"/>
    <col min="7428" max="7428" width="9.8984375" style="1551" customWidth="1"/>
    <col min="7429" max="7429" width="13.09765625" style="1551" customWidth="1"/>
    <col min="7430" max="7430" width="9" style="1551"/>
    <col min="7431" max="7431" width="10.09765625" style="1551" customWidth="1"/>
    <col min="7432" max="7432" width="13.09765625" style="1551" customWidth="1"/>
    <col min="7433" max="7433" width="14" style="1551" customWidth="1"/>
    <col min="7434" max="7434" width="19" style="1551" customWidth="1"/>
    <col min="7435" max="7680" width="9" style="1551"/>
    <col min="7681" max="7681" width="5.19921875" style="1551" customWidth="1"/>
    <col min="7682" max="7682" width="35.59765625" style="1551" customWidth="1"/>
    <col min="7683" max="7683" width="9.59765625" style="1551" customWidth="1"/>
    <col min="7684" max="7684" width="9.8984375" style="1551" customWidth="1"/>
    <col min="7685" max="7685" width="13.09765625" style="1551" customWidth="1"/>
    <col min="7686" max="7686" width="9" style="1551"/>
    <col min="7687" max="7687" width="10.09765625" style="1551" customWidth="1"/>
    <col min="7688" max="7688" width="13.09765625" style="1551" customWidth="1"/>
    <col min="7689" max="7689" width="14" style="1551" customWidth="1"/>
    <col min="7690" max="7690" width="19" style="1551" customWidth="1"/>
    <col min="7691" max="7936" width="9" style="1551"/>
    <col min="7937" max="7937" width="5.19921875" style="1551" customWidth="1"/>
    <col min="7938" max="7938" width="35.59765625" style="1551" customWidth="1"/>
    <col min="7939" max="7939" width="9.59765625" style="1551" customWidth="1"/>
    <col min="7940" max="7940" width="9.8984375" style="1551" customWidth="1"/>
    <col min="7941" max="7941" width="13.09765625" style="1551" customWidth="1"/>
    <col min="7942" max="7942" width="9" style="1551"/>
    <col min="7943" max="7943" width="10.09765625" style="1551" customWidth="1"/>
    <col min="7944" max="7944" width="13.09765625" style="1551" customWidth="1"/>
    <col min="7945" max="7945" width="14" style="1551" customWidth="1"/>
    <col min="7946" max="7946" width="19" style="1551" customWidth="1"/>
    <col min="7947" max="8192" width="9" style="1551"/>
    <col min="8193" max="8193" width="5.19921875" style="1551" customWidth="1"/>
    <col min="8194" max="8194" width="35.59765625" style="1551" customWidth="1"/>
    <col min="8195" max="8195" width="9.59765625" style="1551" customWidth="1"/>
    <col min="8196" max="8196" width="9.8984375" style="1551" customWidth="1"/>
    <col min="8197" max="8197" width="13.09765625" style="1551" customWidth="1"/>
    <col min="8198" max="8198" width="9" style="1551"/>
    <col min="8199" max="8199" width="10.09765625" style="1551" customWidth="1"/>
    <col min="8200" max="8200" width="13.09765625" style="1551" customWidth="1"/>
    <col min="8201" max="8201" width="14" style="1551" customWidth="1"/>
    <col min="8202" max="8202" width="19" style="1551" customWidth="1"/>
    <col min="8203" max="8448" width="9" style="1551"/>
    <col min="8449" max="8449" width="5.19921875" style="1551" customWidth="1"/>
    <col min="8450" max="8450" width="35.59765625" style="1551" customWidth="1"/>
    <col min="8451" max="8451" width="9.59765625" style="1551" customWidth="1"/>
    <col min="8452" max="8452" width="9.8984375" style="1551" customWidth="1"/>
    <col min="8453" max="8453" width="13.09765625" style="1551" customWidth="1"/>
    <col min="8454" max="8454" width="9" style="1551"/>
    <col min="8455" max="8455" width="10.09765625" style="1551" customWidth="1"/>
    <col min="8456" max="8456" width="13.09765625" style="1551" customWidth="1"/>
    <col min="8457" max="8457" width="14" style="1551" customWidth="1"/>
    <col min="8458" max="8458" width="19" style="1551" customWidth="1"/>
    <col min="8459" max="8704" width="9" style="1551"/>
    <col min="8705" max="8705" width="5.19921875" style="1551" customWidth="1"/>
    <col min="8706" max="8706" width="35.59765625" style="1551" customWidth="1"/>
    <col min="8707" max="8707" width="9.59765625" style="1551" customWidth="1"/>
    <col min="8708" max="8708" width="9.8984375" style="1551" customWidth="1"/>
    <col min="8709" max="8709" width="13.09765625" style="1551" customWidth="1"/>
    <col min="8710" max="8710" width="9" style="1551"/>
    <col min="8711" max="8711" width="10.09765625" style="1551" customWidth="1"/>
    <col min="8712" max="8712" width="13.09765625" style="1551" customWidth="1"/>
    <col min="8713" max="8713" width="14" style="1551" customWidth="1"/>
    <col min="8714" max="8714" width="19" style="1551" customWidth="1"/>
    <col min="8715" max="8960" width="9" style="1551"/>
    <col min="8961" max="8961" width="5.19921875" style="1551" customWidth="1"/>
    <col min="8962" max="8962" width="35.59765625" style="1551" customWidth="1"/>
    <col min="8963" max="8963" width="9.59765625" style="1551" customWidth="1"/>
    <col min="8964" max="8964" width="9.8984375" style="1551" customWidth="1"/>
    <col min="8965" max="8965" width="13.09765625" style="1551" customWidth="1"/>
    <col min="8966" max="8966" width="9" style="1551"/>
    <col min="8967" max="8967" width="10.09765625" style="1551" customWidth="1"/>
    <col min="8968" max="8968" width="13.09765625" style="1551" customWidth="1"/>
    <col min="8969" max="8969" width="14" style="1551" customWidth="1"/>
    <col min="8970" max="8970" width="19" style="1551" customWidth="1"/>
    <col min="8971" max="9216" width="9" style="1551"/>
    <col min="9217" max="9217" width="5.19921875" style="1551" customWidth="1"/>
    <col min="9218" max="9218" width="35.59765625" style="1551" customWidth="1"/>
    <col min="9219" max="9219" width="9.59765625" style="1551" customWidth="1"/>
    <col min="9220" max="9220" width="9.8984375" style="1551" customWidth="1"/>
    <col min="9221" max="9221" width="13.09765625" style="1551" customWidth="1"/>
    <col min="9222" max="9222" width="9" style="1551"/>
    <col min="9223" max="9223" width="10.09765625" style="1551" customWidth="1"/>
    <col min="9224" max="9224" width="13.09765625" style="1551" customWidth="1"/>
    <col min="9225" max="9225" width="14" style="1551" customWidth="1"/>
    <col min="9226" max="9226" width="19" style="1551" customWidth="1"/>
    <col min="9227" max="9472" width="9" style="1551"/>
    <col min="9473" max="9473" width="5.19921875" style="1551" customWidth="1"/>
    <col min="9474" max="9474" width="35.59765625" style="1551" customWidth="1"/>
    <col min="9475" max="9475" width="9.59765625" style="1551" customWidth="1"/>
    <col min="9476" max="9476" width="9.8984375" style="1551" customWidth="1"/>
    <col min="9477" max="9477" width="13.09765625" style="1551" customWidth="1"/>
    <col min="9478" max="9478" width="9" style="1551"/>
    <col min="9479" max="9479" width="10.09765625" style="1551" customWidth="1"/>
    <col min="9480" max="9480" width="13.09765625" style="1551" customWidth="1"/>
    <col min="9481" max="9481" width="14" style="1551" customWidth="1"/>
    <col min="9482" max="9482" width="19" style="1551" customWidth="1"/>
    <col min="9483" max="9728" width="9" style="1551"/>
    <col min="9729" max="9729" width="5.19921875" style="1551" customWidth="1"/>
    <col min="9730" max="9730" width="35.59765625" style="1551" customWidth="1"/>
    <col min="9731" max="9731" width="9.59765625" style="1551" customWidth="1"/>
    <col min="9732" max="9732" width="9.8984375" style="1551" customWidth="1"/>
    <col min="9733" max="9733" width="13.09765625" style="1551" customWidth="1"/>
    <col min="9734" max="9734" width="9" style="1551"/>
    <col min="9735" max="9735" width="10.09765625" style="1551" customWidth="1"/>
    <col min="9736" max="9736" width="13.09765625" style="1551" customWidth="1"/>
    <col min="9737" max="9737" width="14" style="1551" customWidth="1"/>
    <col min="9738" max="9738" width="19" style="1551" customWidth="1"/>
    <col min="9739" max="9984" width="9" style="1551"/>
    <col min="9985" max="9985" width="5.19921875" style="1551" customWidth="1"/>
    <col min="9986" max="9986" width="35.59765625" style="1551" customWidth="1"/>
    <col min="9987" max="9987" width="9.59765625" style="1551" customWidth="1"/>
    <col min="9988" max="9988" width="9.8984375" style="1551" customWidth="1"/>
    <col min="9989" max="9989" width="13.09765625" style="1551" customWidth="1"/>
    <col min="9990" max="9990" width="9" style="1551"/>
    <col min="9991" max="9991" width="10.09765625" style="1551" customWidth="1"/>
    <col min="9992" max="9992" width="13.09765625" style="1551" customWidth="1"/>
    <col min="9993" max="9993" width="14" style="1551" customWidth="1"/>
    <col min="9994" max="9994" width="19" style="1551" customWidth="1"/>
    <col min="9995" max="10240" width="9" style="1551"/>
    <col min="10241" max="10241" width="5.19921875" style="1551" customWidth="1"/>
    <col min="10242" max="10242" width="35.59765625" style="1551" customWidth="1"/>
    <col min="10243" max="10243" width="9.59765625" style="1551" customWidth="1"/>
    <col min="10244" max="10244" width="9.8984375" style="1551" customWidth="1"/>
    <col min="10245" max="10245" width="13.09765625" style="1551" customWidth="1"/>
    <col min="10246" max="10246" width="9" style="1551"/>
    <col min="10247" max="10247" width="10.09765625" style="1551" customWidth="1"/>
    <col min="10248" max="10248" width="13.09765625" style="1551" customWidth="1"/>
    <col min="10249" max="10249" width="14" style="1551" customWidth="1"/>
    <col min="10250" max="10250" width="19" style="1551" customWidth="1"/>
    <col min="10251" max="10496" width="9" style="1551"/>
    <col min="10497" max="10497" width="5.19921875" style="1551" customWidth="1"/>
    <col min="10498" max="10498" width="35.59765625" style="1551" customWidth="1"/>
    <col min="10499" max="10499" width="9.59765625" style="1551" customWidth="1"/>
    <col min="10500" max="10500" width="9.8984375" style="1551" customWidth="1"/>
    <col min="10501" max="10501" width="13.09765625" style="1551" customWidth="1"/>
    <col min="10502" max="10502" width="9" style="1551"/>
    <col min="10503" max="10503" width="10.09765625" style="1551" customWidth="1"/>
    <col min="10504" max="10504" width="13.09765625" style="1551" customWidth="1"/>
    <col min="10505" max="10505" width="14" style="1551" customWidth="1"/>
    <col min="10506" max="10506" width="19" style="1551" customWidth="1"/>
    <col min="10507" max="10752" width="9" style="1551"/>
    <col min="10753" max="10753" width="5.19921875" style="1551" customWidth="1"/>
    <col min="10754" max="10754" width="35.59765625" style="1551" customWidth="1"/>
    <col min="10755" max="10755" width="9.59765625" style="1551" customWidth="1"/>
    <col min="10756" max="10756" width="9.8984375" style="1551" customWidth="1"/>
    <col min="10757" max="10757" width="13.09765625" style="1551" customWidth="1"/>
    <col min="10758" max="10758" width="9" style="1551"/>
    <col min="10759" max="10759" width="10.09765625" style="1551" customWidth="1"/>
    <col min="10760" max="10760" width="13.09765625" style="1551" customWidth="1"/>
    <col min="10761" max="10761" width="14" style="1551" customWidth="1"/>
    <col min="10762" max="10762" width="19" style="1551" customWidth="1"/>
    <col min="10763" max="11008" width="9" style="1551"/>
    <col min="11009" max="11009" width="5.19921875" style="1551" customWidth="1"/>
    <col min="11010" max="11010" width="35.59765625" style="1551" customWidth="1"/>
    <col min="11011" max="11011" width="9.59765625" style="1551" customWidth="1"/>
    <col min="11012" max="11012" width="9.8984375" style="1551" customWidth="1"/>
    <col min="11013" max="11013" width="13.09765625" style="1551" customWidth="1"/>
    <col min="11014" max="11014" width="9" style="1551"/>
    <col min="11015" max="11015" width="10.09765625" style="1551" customWidth="1"/>
    <col min="11016" max="11016" width="13.09765625" style="1551" customWidth="1"/>
    <col min="11017" max="11017" width="14" style="1551" customWidth="1"/>
    <col min="11018" max="11018" width="19" style="1551" customWidth="1"/>
    <col min="11019" max="11264" width="9" style="1551"/>
    <col min="11265" max="11265" width="5.19921875" style="1551" customWidth="1"/>
    <col min="11266" max="11266" width="35.59765625" style="1551" customWidth="1"/>
    <col min="11267" max="11267" width="9.59765625" style="1551" customWidth="1"/>
    <col min="11268" max="11268" width="9.8984375" style="1551" customWidth="1"/>
    <col min="11269" max="11269" width="13.09765625" style="1551" customWidth="1"/>
    <col min="11270" max="11270" width="9" style="1551"/>
    <col min="11271" max="11271" width="10.09765625" style="1551" customWidth="1"/>
    <col min="11272" max="11272" width="13.09765625" style="1551" customWidth="1"/>
    <col min="11273" max="11273" width="14" style="1551" customWidth="1"/>
    <col min="11274" max="11274" width="19" style="1551" customWidth="1"/>
    <col min="11275" max="11520" width="9" style="1551"/>
    <col min="11521" max="11521" width="5.19921875" style="1551" customWidth="1"/>
    <col min="11522" max="11522" width="35.59765625" style="1551" customWidth="1"/>
    <col min="11523" max="11523" width="9.59765625" style="1551" customWidth="1"/>
    <col min="11524" max="11524" width="9.8984375" style="1551" customWidth="1"/>
    <col min="11525" max="11525" width="13.09765625" style="1551" customWidth="1"/>
    <col min="11526" max="11526" width="9" style="1551"/>
    <col min="11527" max="11527" width="10.09765625" style="1551" customWidth="1"/>
    <col min="11528" max="11528" width="13.09765625" style="1551" customWidth="1"/>
    <col min="11529" max="11529" width="14" style="1551" customWidth="1"/>
    <col min="11530" max="11530" width="19" style="1551" customWidth="1"/>
    <col min="11531" max="11776" width="9" style="1551"/>
    <col min="11777" max="11777" width="5.19921875" style="1551" customWidth="1"/>
    <col min="11778" max="11778" width="35.59765625" style="1551" customWidth="1"/>
    <col min="11779" max="11779" width="9.59765625" style="1551" customWidth="1"/>
    <col min="11780" max="11780" width="9.8984375" style="1551" customWidth="1"/>
    <col min="11781" max="11781" width="13.09765625" style="1551" customWidth="1"/>
    <col min="11782" max="11782" width="9" style="1551"/>
    <col min="11783" max="11783" width="10.09765625" style="1551" customWidth="1"/>
    <col min="11784" max="11784" width="13.09765625" style="1551" customWidth="1"/>
    <col min="11785" max="11785" width="14" style="1551" customWidth="1"/>
    <col min="11786" max="11786" width="19" style="1551" customWidth="1"/>
    <col min="11787" max="12032" width="9" style="1551"/>
    <col min="12033" max="12033" width="5.19921875" style="1551" customWidth="1"/>
    <col min="12034" max="12034" width="35.59765625" style="1551" customWidth="1"/>
    <col min="12035" max="12035" width="9.59765625" style="1551" customWidth="1"/>
    <col min="12036" max="12036" width="9.8984375" style="1551" customWidth="1"/>
    <col min="12037" max="12037" width="13.09765625" style="1551" customWidth="1"/>
    <col min="12038" max="12038" width="9" style="1551"/>
    <col min="12039" max="12039" width="10.09765625" style="1551" customWidth="1"/>
    <col min="12040" max="12040" width="13.09765625" style="1551" customWidth="1"/>
    <col min="12041" max="12041" width="14" style="1551" customWidth="1"/>
    <col min="12042" max="12042" width="19" style="1551" customWidth="1"/>
    <col min="12043" max="12288" width="9" style="1551"/>
    <col min="12289" max="12289" width="5.19921875" style="1551" customWidth="1"/>
    <col min="12290" max="12290" width="35.59765625" style="1551" customWidth="1"/>
    <col min="12291" max="12291" width="9.59765625" style="1551" customWidth="1"/>
    <col min="12292" max="12292" width="9.8984375" style="1551" customWidth="1"/>
    <col min="12293" max="12293" width="13.09765625" style="1551" customWidth="1"/>
    <col min="12294" max="12294" width="9" style="1551"/>
    <col min="12295" max="12295" width="10.09765625" style="1551" customWidth="1"/>
    <col min="12296" max="12296" width="13.09765625" style="1551" customWidth="1"/>
    <col min="12297" max="12297" width="14" style="1551" customWidth="1"/>
    <col min="12298" max="12298" width="19" style="1551" customWidth="1"/>
    <col min="12299" max="12544" width="9" style="1551"/>
    <col min="12545" max="12545" width="5.19921875" style="1551" customWidth="1"/>
    <col min="12546" max="12546" width="35.59765625" style="1551" customWidth="1"/>
    <col min="12547" max="12547" width="9.59765625" style="1551" customWidth="1"/>
    <col min="12548" max="12548" width="9.8984375" style="1551" customWidth="1"/>
    <col min="12549" max="12549" width="13.09765625" style="1551" customWidth="1"/>
    <col min="12550" max="12550" width="9" style="1551"/>
    <col min="12551" max="12551" width="10.09765625" style="1551" customWidth="1"/>
    <col min="12552" max="12552" width="13.09765625" style="1551" customWidth="1"/>
    <col min="12553" max="12553" width="14" style="1551" customWidth="1"/>
    <col min="12554" max="12554" width="19" style="1551" customWidth="1"/>
    <col min="12555" max="12800" width="9" style="1551"/>
    <col min="12801" max="12801" width="5.19921875" style="1551" customWidth="1"/>
    <col min="12802" max="12802" width="35.59765625" style="1551" customWidth="1"/>
    <col min="12803" max="12803" width="9.59765625" style="1551" customWidth="1"/>
    <col min="12804" max="12804" width="9.8984375" style="1551" customWidth="1"/>
    <col min="12805" max="12805" width="13.09765625" style="1551" customWidth="1"/>
    <col min="12806" max="12806" width="9" style="1551"/>
    <col min="12807" max="12807" width="10.09765625" style="1551" customWidth="1"/>
    <col min="12808" max="12808" width="13.09765625" style="1551" customWidth="1"/>
    <col min="12809" max="12809" width="14" style="1551" customWidth="1"/>
    <col min="12810" max="12810" width="19" style="1551" customWidth="1"/>
    <col min="12811" max="13056" width="9" style="1551"/>
    <col min="13057" max="13057" width="5.19921875" style="1551" customWidth="1"/>
    <col min="13058" max="13058" width="35.59765625" style="1551" customWidth="1"/>
    <col min="13059" max="13059" width="9.59765625" style="1551" customWidth="1"/>
    <col min="13060" max="13060" width="9.8984375" style="1551" customWidth="1"/>
    <col min="13061" max="13061" width="13.09765625" style="1551" customWidth="1"/>
    <col min="13062" max="13062" width="9" style="1551"/>
    <col min="13063" max="13063" width="10.09765625" style="1551" customWidth="1"/>
    <col min="13064" max="13064" width="13.09765625" style="1551" customWidth="1"/>
    <col min="13065" max="13065" width="14" style="1551" customWidth="1"/>
    <col min="13066" max="13066" width="19" style="1551" customWidth="1"/>
    <col min="13067" max="13312" width="9" style="1551"/>
    <col min="13313" max="13313" width="5.19921875" style="1551" customWidth="1"/>
    <col min="13314" max="13314" width="35.59765625" style="1551" customWidth="1"/>
    <col min="13315" max="13315" width="9.59765625" style="1551" customWidth="1"/>
    <col min="13316" max="13316" width="9.8984375" style="1551" customWidth="1"/>
    <col min="13317" max="13317" width="13.09765625" style="1551" customWidth="1"/>
    <col min="13318" max="13318" width="9" style="1551"/>
    <col min="13319" max="13319" width="10.09765625" style="1551" customWidth="1"/>
    <col min="13320" max="13320" width="13.09765625" style="1551" customWidth="1"/>
    <col min="13321" max="13321" width="14" style="1551" customWidth="1"/>
    <col min="13322" max="13322" width="19" style="1551" customWidth="1"/>
    <col min="13323" max="13568" width="9" style="1551"/>
    <col min="13569" max="13569" width="5.19921875" style="1551" customWidth="1"/>
    <col min="13570" max="13570" width="35.59765625" style="1551" customWidth="1"/>
    <col min="13571" max="13571" width="9.59765625" style="1551" customWidth="1"/>
    <col min="13572" max="13572" width="9.8984375" style="1551" customWidth="1"/>
    <col min="13573" max="13573" width="13.09765625" style="1551" customWidth="1"/>
    <col min="13574" max="13574" width="9" style="1551"/>
    <col min="13575" max="13575" width="10.09765625" style="1551" customWidth="1"/>
    <col min="13576" max="13576" width="13.09765625" style="1551" customWidth="1"/>
    <col min="13577" max="13577" width="14" style="1551" customWidth="1"/>
    <col min="13578" max="13578" width="19" style="1551" customWidth="1"/>
    <col min="13579" max="13824" width="9" style="1551"/>
    <col min="13825" max="13825" width="5.19921875" style="1551" customWidth="1"/>
    <col min="13826" max="13826" width="35.59765625" style="1551" customWidth="1"/>
    <col min="13827" max="13827" width="9.59765625" style="1551" customWidth="1"/>
    <col min="13828" max="13828" width="9.8984375" style="1551" customWidth="1"/>
    <col min="13829" max="13829" width="13.09765625" style="1551" customWidth="1"/>
    <col min="13830" max="13830" width="9" style="1551"/>
    <col min="13831" max="13831" width="10.09765625" style="1551" customWidth="1"/>
    <col min="13832" max="13832" width="13.09765625" style="1551" customWidth="1"/>
    <col min="13833" max="13833" width="14" style="1551" customWidth="1"/>
    <col min="13834" max="13834" width="19" style="1551" customWidth="1"/>
    <col min="13835" max="14080" width="9" style="1551"/>
    <col min="14081" max="14081" width="5.19921875" style="1551" customWidth="1"/>
    <col min="14082" max="14082" width="35.59765625" style="1551" customWidth="1"/>
    <col min="14083" max="14083" width="9.59765625" style="1551" customWidth="1"/>
    <col min="14084" max="14084" width="9.8984375" style="1551" customWidth="1"/>
    <col min="14085" max="14085" width="13.09765625" style="1551" customWidth="1"/>
    <col min="14086" max="14086" width="9" style="1551"/>
    <col min="14087" max="14087" width="10.09765625" style="1551" customWidth="1"/>
    <col min="14088" max="14088" width="13.09765625" style="1551" customWidth="1"/>
    <col min="14089" max="14089" width="14" style="1551" customWidth="1"/>
    <col min="14090" max="14090" width="19" style="1551" customWidth="1"/>
    <col min="14091" max="14336" width="9" style="1551"/>
    <col min="14337" max="14337" width="5.19921875" style="1551" customWidth="1"/>
    <col min="14338" max="14338" width="35.59765625" style="1551" customWidth="1"/>
    <col min="14339" max="14339" width="9.59765625" style="1551" customWidth="1"/>
    <col min="14340" max="14340" width="9.8984375" style="1551" customWidth="1"/>
    <col min="14341" max="14341" width="13.09765625" style="1551" customWidth="1"/>
    <col min="14342" max="14342" width="9" style="1551"/>
    <col min="14343" max="14343" width="10.09765625" style="1551" customWidth="1"/>
    <col min="14344" max="14344" width="13.09765625" style="1551" customWidth="1"/>
    <col min="14345" max="14345" width="14" style="1551" customWidth="1"/>
    <col min="14346" max="14346" width="19" style="1551" customWidth="1"/>
    <col min="14347" max="14592" width="9" style="1551"/>
    <col min="14593" max="14593" width="5.19921875" style="1551" customWidth="1"/>
    <col min="14594" max="14594" width="35.59765625" style="1551" customWidth="1"/>
    <col min="14595" max="14595" width="9.59765625" style="1551" customWidth="1"/>
    <col min="14596" max="14596" width="9.8984375" style="1551" customWidth="1"/>
    <col min="14597" max="14597" width="13.09765625" style="1551" customWidth="1"/>
    <col min="14598" max="14598" width="9" style="1551"/>
    <col min="14599" max="14599" width="10.09765625" style="1551" customWidth="1"/>
    <col min="14600" max="14600" width="13.09765625" style="1551" customWidth="1"/>
    <col min="14601" max="14601" width="14" style="1551" customWidth="1"/>
    <col min="14602" max="14602" width="19" style="1551" customWidth="1"/>
    <col min="14603" max="14848" width="9" style="1551"/>
    <col min="14849" max="14849" width="5.19921875" style="1551" customWidth="1"/>
    <col min="14850" max="14850" width="35.59765625" style="1551" customWidth="1"/>
    <col min="14851" max="14851" width="9.59765625" style="1551" customWidth="1"/>
    <col min="14852" max="14852" width="9.8984375" style="1551" customWidth="1"/>
    <col min="14853" max="14853" width="13.09765625" style="1551" customWidth="1"/>
    <col min="14854" max="14854" width="9" style="1551"/>
    <col min="14855" max="14855" width="10.09765625" style="1551" customWidth="1"/>
    <col min="14856" max="14856" width="13.09765625" style="1551" customWidth="1"/>
    <col min="14857" max="14857" width="14" style="1551" customWidth="1"/>
    <col min="14858" max="14858" width="19" style="1551" customWidth="1"/>
    <col min="14859" max="15104" width="9" style="1551"/>
    <col min="15105" max="15105" width="5.19921875" style="1551" customWidth="1"/>
    <col min="15106" max="15106" width="35.59765625" style="1551" customWidth="1"/>
    <col min="15107" max="15107" width="9.59765625" style="1551" customWidth="1"/>
    <col min="15108" max="15108" width="9.8984375" style="1551" customWidth="1"/>
    <col min="15109" max="15109" width="13.09765625" style="1551" customWidth="1"/>
    <col min="15110" max="15110" width="9" style="1551"/>
    <col min="15111" max="15111" width="10.09765625" style="1551" customWidth="1"/>
    <col min="15112" max="15112" width="13.09765625" style="1551" customWidth="1"/>
    <col min="15113" max="15113" width="14" style="1551" customWidth="1"/>
    <col min="15114" max="15114" width="19" style="1551" customWidth="1"/>
    <col min="15115" max="15360" width="9" style="1551"/>
    <col min="15361" max="15361" width="5.19921875" style="1551" customWidth="1"/>
    <col min="15362" max="15362" width="35.59765625" style="1551" customWidth="1"/>
    <col min="15363" max="15363" width="9.59765625" style="1551" customWidth="1"/>
    <col min="15364" max="15364" width="9.8984375" style="1551" customWidth="1"/>
    <col min="15365" max="15365" width="13.09765625" style="1551" customWidth="1"/>
    <col min="15366" max="15366" width="9" style="1551"/>
    <col min="15367" max="15367" width="10.09765625" style="1551" customWidth="1"/>
    <col min="15368" max="15368" width="13.09765625" style="1551" customWidth="1"/>
    <col min="15369" max="15369" width="14" style="1551" customWidth="1"/>
    <col min="15370" max="15370" width="19" style="1551" customWidth="1"/>
    <col min="15371" max="15616" width="9" style="1551"/>
    <col min="15617" max="15617" width="5.19921875" style="1551" customWidth="1"/>
    <col min="15618" max="15618" width="35.59765625" style="1551" customWidth="1"/>
    <col min="15619" max="15619" width="9.59765625" style="1551" customWidth="1"/>
    <col min="15620" max="15620" width="9.8984375" style="1551" customWidth="1"/>
    <col min="15621" max="15621" width="13.09765625" style="1551" customWidth="1"/>
    <col min="15622" max="15622" width="9" style="1551"/>
    <col min="15623" max="15623" width="10.09765625" style="1551" customWidth="1"/>
    <col min="15624" max="15624" width="13.09765625" style="1551" customWidth="1"/>
    <col min="15625" max="15625" width="14" style="1551" customWidth="1"/>
    <col min="15626" max="15626" width="19" style="1551" customWidth="1"/>
    <col min="15627" max="15872" width="9" style="1551"/>
    <col min="15873" max="15873" width="5.19921875" style="1551" customWidth="1"/>
    <col min="15874" max="15874" width="35.59765625" style="1551" customWidth="1"/>
    <col min="15875" max="15875" width="9.59765625" style="1551" customWidth="1"/>
    <col min="15876" max="15876" width="9.8984375" style="1551" customWidth="1"/>
    <col min="15877" max="15877" width="13.09765625" style="1551" customWidth="1"/>
    <col min="15878" max="15878" width="9" style="1551"/>
    <col min="15879" max="15879" width="10.09765625" style="1551" customWidth="1"/>
    <col min="15880" max="15880" width="13.09765625" style="1551" customWidth="1"/>
    <col min="15881" max="15881" width="14" style="1551" customWidth="1"/>
    <col min="15882" max="15882" width="19" style="1551" customWidth="1"/>
    <col min="15883" max="16128" width="9" style="1551"/>
    <col min="16129" max="16129" width="5.19921875" style="1551" customWidth="1"/>
    <col min="16130" max="16130" width="35.59765625" style="1551" customWidth="1"/>
    <col min="16131" max="16131" width="9.59765625" style="1551" customWidth="1"/>
    <col min="16132" max="16132" width="9.8984375" style="1551" customWidth="1"/>
    <col min="16133" max="16133" width="13.09765625" style="1551" customWidth="1"/>
    <col min="16134" max="16134" width="9" style="1551"/>
    <col min="16135" max="16135" width="10.09765625" style="1551" customWidth="1"/>
    <col min="16136" max="16136" width="13.09765625" style="1551" customWidth="1"/>
    <col min="16137" max="16137" width="14" style="1551" customWidth="1"/>
    <col min="16138" max="16138" width="19" style="1551" customWidth="1"/>
    <col min="16139" max="16384" width="9" style="1551"/>
  </cols>
  <sheetData>
    <row r="1" spans="1:11" ht="20.100000000000001" customHeight="1">
      <c r="A1" s="3400" t="s">
        <v>5255</v>
      </c>
      <c r="B1" s="3400"/>
      <c r="C1" s="3400"/>
      <c r="D1" s="3400"/>
      <c r="E1" s="3400"/>
      <c r="F1" s="3400"/>
      <c r="G1" s="3400"/>
      <c r="H1" s="3400"/>
      <c r="I1" s="2012"/>
      <c r="J1" s="1544"/>
    </row>
    <row r="2" spans="1:11" ht="25.5" customHeight="1">
      <c r="A2" s="3401" t="s">
        <v>5256</v>
      </c>
      <c r="B2" s="3401"/>
      <c r="C2" s="3401"/>
      <c r="D2" s="3401"/>
      <c r="E2" s="3401"/>
      <c r="F2" s="3401"/>
      <c r="G2" s="3401"/>
      <c r="H2" s="3401"/>
      <c r="I2" s="1833"/>
      <c r="J2" s="1544"/>
    </row>
    <row r="3" spans="1:11" s="1555" customFormat="1" ht="24" customHeight="1">
      <c r="A3" s="3402" t="s">
        <v>1853</v>
      </c>
      <c r="B3" s="3402" t="s">
        <v>5079</v>
      </c>
      <c r="C3" s="1841" t="s">
        <v>1850</v>
      </c>
      <c r="D3" s="1843" t="s">
        <v>5257</v>
      </c>
      <c r="E3" s="1843" t="s">
        <v>5258</v>
      </c>
      <c r="F3" s="1841" t="s">
        <v>1851</v>
      </c>
      <c r="G3" s="1841" t="s">
        <v>5259</v>
      </c>
      <c r="H3" s="1843" t="s">
        <v>1306</v>
      </c>
      <c r="I3" s="1843" t="s">
        <v>5151</v>
      </c>
      <c r="J3" s="1544"/>
      <c r="K3" s="1549"/>
    </row>
    <row r="4" spans="1:11" s="1555" customFormat="1" ht="14.25" customHeight="1">
      <c r="A4" s="3404"/>
      <c r="B4" s="3404"/>
      <c r="C4" s="1840">
        <v>1</v>
      </c>
      <c r="D4" s="1840">
        <v>2</v>
      </c>
      <c r="E4" s="1840">
        <v>3</v>
      </c>
      <c r="F4" s="1840">
        <v>4</v>
      </c>
      <c r="G4" s="1840" t="s">
        <v>5260</v>
      </c>
      <c r="H4" s="1840" t="s">
        <v>5261</v>
      </c>
      <c r="I4" s="1952"/>
      <c r="J4" s="1540"/>
      <c r="K4" s="1549"/>
    </row>
    <row r="5" spans="1:11" ht="14.25" customHeight="1">
      <c r="A5" s="1840">
        <v>1</v>
      </c>
      <c r="B5" s="1818" t="s">
        <v>5262</v>
      </c>
      <c r="C5" s="2072">
        <f>工资福利!C16</f>
        <v>0</v>
      </c>
      <c r="D5" s="1952" t="s">
        <v>1859</v>
      </c>
      <c r="E5" s="1952" t="s">
        <v>1859</v>
      </c>
      <c r="F5" s="2072">
        <f>工资福利!C17</f>
        <v>0</v>
      </c>
      <c r="G5" s="2075">
        <f>C5-F5</f>
        <v>0</v>
      </c>
      <c r="H5" s="1952" t="s">
        <v>1859</v>
      </c>
      <c r="I5" s="1818"/>
      <c r="J5" s="1561"/>
      <c r="K5" s="1544"/>
    </row>
    <row r="6" spans="1:11" ht="14.25" customHeight="1">
      <c r="A6" s="1840">
        <v>2</v>
      </c>
      <c r="B6" s="1818" t="s">
        <v>5263</v>
      </c>
      <c r="C6" s="2072">
        <f>工资福利!C24</f>
        <v>0</v>
      </c>
      <c r="D6" s="1952" t="s">
        <v>1859</v>
      </c>
      <c r="E6" s="1952" t="s">
        <v>1859</v>
      </c>
      <c r="F6" s="2072">
        <f>工资福利!H24</f>
        <v>0</v>
      </c>
      <c r="G6" s="2075">
        <f t="shared" ref="G6:G16" si="0">C6-F6</f>
        <v>0</v>
      </c>
      <c r="H6" s="1952" t="s">
        <v>1859</v>
      </c>
      <c r="I6" s="1818"/>
      <c r="J6" s="1561"/>
      <c r="K6" s="1544"/>
    </row>
    <row r="7" spans="1:11" ht="14.25" customHeight="1">
      <c r="A7" s="1840">
        <v>3</v>
      </c>
      <c r="B7" s="1809" t="s">
        <v>5264</v>
      </c>
      <c r="C7" s="2072">
        <f>工资福利!E16</f>
        <v>0</v>
      </c>
      <c r="D7" s="2234">
        <v>14</v>
      </c>
      <c r="E7" s="1952" t="s">
        <v>1859</v>
      </c>
      <c r="F7" s="2072">
        <f>工资福利!E17</f>
        <v>0</v>
      </c>
      <c r="G7" s="2075">
        <f t="shared" si="0"/>
        <v>0</v>
      </c>
      <c r="H7" s="1952" t="s">
        <v>1859</v>
      </c>
      <c r="I7" s="1818"/>
      <c r="J7" s="1561"/>
      <c r="K7" s="1544"/>
    </row>
    <row r="8" spans="1:11" ht="14.25" customHeight="1">
      <c r="A8" s="1840">
        <v>4</v>
      </c>
      <c r="B8" s="1930" t="s">
        <v>5265</v>
      </c>
      <c r="C8" s="2075">
        <f>C9+C10</f>
        <v>0</v>
      </c>
      <c r="D8" s="1952" t="s">
        <v>1859</v>
      </c>
      <c r="E8" s="2075">
        <f>E9</f>
        <v>0</v>
      </c>
      <c r="F8" s="2075">
        <f>F9+F10</f>
        <v>0</v>
      </c>
      <c r="G8" s="2075">
        <f>G9+G10</f>
        <v>0</v>
      </c>
      <c r="H8" s="2075">
        <f>H9</f>
        <v>0</v>
      </c>
      <c r="I8" s="1818"/>
      <c r="J8" s="1561"/>
      <c r="K8" s="1544"/>
    </row>
    <row r="9" spans="1:11" ht="14.25" customHeight="1">
      <c r="A9" s="1840">
        <v>5</v>
      </c>
      <c r="B9" s="1809" t="s">
        <v>5266</v>
      </c>
      <c r="C9" s="2072">
        <f>工资福利!F16</f>
        <v>0</v>
      </c>
      <c r="D9" s="2234">
        <v>2.5</v>
      </c>
      <c r="E9" s="2072">
        <f>工资福利!F20</f>
        <v>0</v>
      </c>
      <c r="F9" s="2072">
        <f>工资福利!F17</f>
        <v>0</v>
      </c>
      <c r="G9" s="2075">
        <f>C9-F9</f>
        <v>0</v>
      </c>
      <c r="H9" s="2075">
        <f>C9+E9-F9</f>
        <v>0</v>
      </c>
      <c r="I9" s="1818"/>
      <c r="J9" s="1561"/>
      <c r="K9" s="1544"/>
    </row>
    <row r="10" spans="1:11" ht="14.25" customHeight="1">
      <c r="A10" s="1840">
        <v>6</v>
      </c>
      <c r="B10" s="1809" t="s">
        <v>5267</v>
      </c>
      <c r="C10" s="2072">
        <f>工资福利!F25</f>
        <v>0</v>
      </c>
      <c r="D10" s="2234">
        <v>100</v>
      </c>
      <c r="E10" s="1952" t="s">
        <v>1859</v>
      </c>
      <c r="F10" s="2072">
        <f>工资福利!H25</f>
        <v>0</v>
      </c>
      <c r="G10" s="2075">
        <f t="shared" si="0"/>
        <v>0</v>
      </c>
      <c r="H10" s="1952" t="s">
        <v>1859</v>
      </c>
      <c r="I10" s="1818"/>
      <c r="J10" s="1561"/>
      <c r="K10" s="1544"/>
    </row>
    <row r="11" spans="1:11" ht="14.25" customHeight="1">
      <c r="A11" s="1840">
        <v>7</v>
      </c>
      <c r="B11" s="1809" t="s">
        <v>5268</v>
      </c>
      <c r="C11" s="2072">
        <f>工资福利!G14</f>
        <v>0</v>
      </c>
      <c r="D11" s="2234">
        <v>2</v>
      </c>
      <c r="E11" s="1952" t="s">
        <v>1859</v>
      </c>
      <c r="F11" s="2072">
        <f>工资福利!G17</f>
        <v>0</v>
      </c>
      <c r="G11" s="2075">
        <f t="shared" si="0"/>
        <v>0</v>
      </c>
      <c r="H11" s="1952" t="s">
        <v>1859</v>
      </c>
      <c r="I11" s="1818"/>
      <c r="J11" s="1561"/>
      <c r="K11" s="1544"/>
    </row>
    <row r="12" spans="1:11" ht="14.25" customHeight="1">
      <c r="A12" s="1840">
        <v>8</v>
      </c>
      <c r="B12" s="1809" t="s">
        <v>5269</v>
      </c>
      <c r="C12" s="2072">
        <f>社保!D8</f>
        <v>0</v>
      </c>
      <c r="D12" s="1952" t="s">
        <v>1859</v>
      </c>
      <c r="E12" s="1952" t="s">
        <v>1859</v>
      </c>
      <c r="F12" s="2072">
        <f>社保!E8</f>
        <v>0</v>
      </c>
      <c r="G12" s="2075">
        <f t="shared" si="0"/>
        <v>0</v>
      </c>
      <c r="H12" s="1952" t="s">
        <v>1859</v>
      </c>
      <c r="I12" s="1818"/>
      <c r="J12" s="1561"/>
      <c r="K12" s="1544"/>
    </row>
    <row r="13" spans="1:11" ht="14.25" customHeight="1">
      <c r="A13" s="1840">
        <v>9</v>
      </c>
      <c r="B13" s="1809" t="s">
        <v>5270</v>
      </c>
      <c r="C13" s="2072">
        <f>社保!D17</f>
        <v>0</v>
      </c>
      <c r="D13" s="1952" t="s">
        <v>1859</v>
      </c>
      <c r="E13" s="1952" t="s">
        <v>1859</v>
      </c>
      <c r="F13" s="2072">
        <f>社保!E17</f>
        <v>0</v>
      </c>
      <c r="G13" s="2075">
        <f t="shared" si="0"/>
        <v>0</v>
      </c>
      <c r="H13" s="1952" t="s">
        <v>1859</v>
      </c>
      <c r="I13" s="1818"/>
      <c r="J13" s="1561"/>
      <c r="K13" s="1544"/>
    </row>
    <row r="14" spans="1:11" ht="14.25" customHeight="1">
      <c r="A14" s="1840">
        <v>10</v>
      </c>
      <c r="B14" s="1809" t="s">
        <v>5271</v>
      </c>
      <c r="C14" s="2072">
        <f>社保!D15</f>
        <v>0</v>
      </c>
      <c r="D14" s="2234">
        <v>5</v>
      </c>
      <c r="E14" s="1952" t="s">
        <v>1859</v>
      </c>
      <c r="F14" s="2072">
        <f>社保!E15</f>
        <v>0</v>
      </c>
      <c r="G14" s="2075">
        <f t="shared" si="0"/>
        <v>0</v>
      </c>
      <c r="H14" s="1952" t="s">
        <v>1859</v>
      </c>
      <c r="I14" s="1818"/>
      <c r="J14" s="1561"/>
      <c r="K14" s="1544"/>
    </row>
    <row r="15" spans="1:11" ht="14.25" customHeight="1">
      <c r="A15" s="1840">
        <v>11</v>
      </c>
      <c r="B15" s="1817" t="s">
        <v>5272</v>
      </c>
      <c r="C15" s="2072">
        <f>社保!D16</f>
        <v>0</v>
      </c>
      <c r="D15" s="2234">
        <v>5</v>
      </c>
      <c r="E15" s="1952" t="s">
        <v>1859</v>
      </c>
      <c r="F15" s="2072">
        <f>社保!E16</f>
        <v>0</v>
      </c>
      <c r="G15" s="2075">
        <f t="shared" si="0"/>
        <v>0</v>
      </c>
      <c r="H15" s="1952" t="s">
        <v>1859</v>
      </c>
      <c r="I15" s="1818"/>
      <c r="J15" s="1561"/>
      <c r="K15" s="1544"/>
    </row>
    <row r="16" spans="1:11" ht="14.25" customHeight="1">
      <c r="A16" s="1840">
        <v>12</v>
      </c>
      <c r="B16" s="1817" t="s">
        <v>5273</v>
      </c>
      <c r="C16" s="2072">
        <f>社保!D18</f>
        <v>0</v>
      </c>
      <c r="D16" s="1952" t="s">
        <v>1859</v>
      </c>
      <c r="E16" s="2079">
        <v>0</v>
      </c>
      <c r="F16" s="2072">
        <f>社保!E18</f>
        <v>0</v>
      </c>
      <c r="G16" s="2075">
        <f t="shared" si="0"/>
        <v>0</v>
      </c>
      <c r="H16" s="2075">
        <f>C16+E16-F16</f>
        <v>0</v>
      </c>
      <c r="I16" s="1818"/>
      <c r="J16" s="1561"/>
      <c r="K16" s="1544"/>
    </row>
    <row r="17" spans="1:11" ht="172.5" customHeight="1">
      <c r="A17" s="1840">
        <v>13</v>
      </c>
      <c r="B17" s="1817" t="s">
        <v>5274</v>
      </c>
      <c r="C17" s="2075">
        <f>SUM(C5,C7:C8,C11:C16)</f>
        <v>0</v>
      </c>
      <c r="D17" s="1952" t="s">
        <v>1859</v>
      </c>
      <c r="E17" s="2075">
        <f>SUM(E5,E7:E8,E11:E16)</f>
        <v>0</v>
      </c>
      <c r="F17" s="2075">
        <f>SUM(F5,F7:F8,F11:F16)</f>
        <v>0</v>
      </c>
      <c r="G17" s="2075">
        <f>SUM(G5,G7:G8,G11:G16)</f>
        <v>0</v>
      </c>
      <c r="H17" s="2075">
        <f>SUM(H5,H7:H8,H11:H16)</f>
        <v>0</v>
      </c>
      <c r="I17" s="1810" t="s">
        <v>5275</v>
      </c>
      <c r="J17" s="1562"/>
      <c r="K17" s="1544"/>
    </row>
    <row r="18" spans="1:11">
      <c r="A18" s="1998"/>
    </row>
  </sheetData>
  <mergeCells count="4">
    <mergeCell ref="A1:H1"/>
    <mergeCell ref="A2:H2"/>
    <mergeCell ref="A3:A4"/>
    <mergeCell ref="B3:B4"/>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dimension ref="A1:D22"/>
  <sheetViews>
    <sheetView workbookViewId="0">
      <selection sqref="A1:C1"/>
    </sheetView>
  </sheetViews>
  <sheetFormatPr defaultRowHeight="15.6"/>
  <cols>
    <col min="1" max="1" width="5.19921875" style="1551" customWidth="1"/>
    <col min="2" max="2" width="60.8984375" style="1551" customWidth="1"/>
    <col min="3" max="3" width="15.19921875" style="1551" customWidth="1"/>
    <col min="4" max="4" width="14.8984375" style="1551" customWidth="1"/>
    <col min="5" max="256" width="9" style="1551"/>
    <col min="257" max="257" width="5.19921875" style="1551" customWidth="1"/>
    <col min="258" max="258" width="72.69921875" style="1551" customWidth="1"/>
    <col min="259" max="259" width="15.19921875" style="1551" customWidth="1"/>
    <col min="260" max="260" width="14.8984375" style="1551" customWidth="1"/>
    <col min="261" max="512" width="9" style="1551"/>
    <col min="513" max="513" width="5.19921875" style="1551" customWidth="1"/>
    <col min="514" max="514" width="72.69921875" style="1551" customWidth="1"/>
    <col min="515" max="515" width="15.19921875" style="1551" customWidth="1"/>
    <col min="516" max="516" width="14.8984375" style="1551" customWidth="1"/>
    <col min="517" max="768" width="9" style="1551"/>
    <col min="769" max="769" width="5.19921875" style="1551" customWidth="1"/>
    <col min="770" max="770" width="72.69921875" style="1551" customWidth="1"/>
    <col min="771" max="771" width="15.19921875" style="1551" customWidth="1"/>
    <col min="772" max="772" width="14.8984375" style="1551" customWidth="1"/>
    <col min="773" max="1024" width="9" style="1551"/>
    <col min="1025" max="1025" width="5.19921875" style="1551" customWidth="1"/>
    <col min="1026" max="1026" width="72.69921875" style="1551" customWidth="1"/>
    <col min="1027" max="1027" width="15.19921875" style="1551" customWidth="1"/>
    <col min="1028" max="1028" width="14.8984375" style="1551" customWidth="1"/>
    <col min="1029" max="1280" width="9" style="1551"/>
    <col min="1281" max="1281" width="5.19921875" style="1551" customWidth="1"/>
    <col min="1282" max="1282" width="72.69921875" style="1551" customWidth="1"/>
    <col min="1283" max="1283" width="15.19921875" style="1551" customWidth="1"/>
    <col min="1284" max="1284" width="14.8984375" style="1551" customWidth="1"/>
    <col min="1285" max="1536" width="9" style="1551"/>
    <col min="1537" max="1537" width="5.19921875" style="1551" customWidth="1"/>
    <col min="1538" max="1538" width="72.69921875" style="1551" customWidth="1"/>
    <col min="1539" max="1539" width="15.19921875" style="1551" customWidth="1"/>
    <col min="1540" max="1540" width="14.8984375" style="1551" customWidth="1"/>
    <col min="1541" max="1792" width="9" style="1551"/>
    <col min="1793" max="1793" width="5.19921875" style="1551" customWidth="1"/>
    <col min="1794" max="1794" width="72.69921875" style="1551" customWidth="1"/>
    <col min="1795" max="1795" width="15.19921875" style="1551" customWidth="1"/>
    <col min="1796" max="1796" width="14.8984375" style="1551" customWidth="1"/>
    <col min="1797" max="2048" width="9" style="1551"/>
    <col min="2049" max="2049" width="5.19921875" style="1551" customWidth="1"/>
    <col min="2050" max="2050" width="72.69921875" style="1551" customWidth="1"/>
    <col min="2051" max="2051" width="15.19921875" style="1551" customWidth="1"/>
    <col min="2052" max="2052" width="14.8984375" style="1551" customWidth="1"/>
    <col min="2053" max="2304" width="9" style="1551"/>
    <col min="2305" max="2305" width="5.19921875" style="1551" customWidth="1"/>
    <col min="2306" max="2306" width="72.69921875" style="1551" customWidth="1"/>
    <col min="2307" max="2307" width="15.19921875" style="1551" customWidth="1"/>
    <col min="2308" max="2308" width="14.8984375" style="1551" customWidth="1"/>
    <col min="2309" max="2560" width="9" style="1551"/>
    <col min="2561" max="2561" width="5.19921875" style="1551" customWidth="1"/>
    <col min="2562" max="2562" width="72.69921875" style="1551" customWidth="1"/>
    <col min="2563" max="2563" width="15.19921875" style="1551" customWidth="1"/>
    <col min="2564" max="2564" width="14.8984375" style="1551" customWidth="1"/>
    <col min="2565" max="2816" width="9" style="1551"/>
    <col min="2817" max="2817" width="5.19921875" style="1551" customWidth="1"/>
    <col min="2818" max="2818" width="72.69921875" style="1551" customWidth="1"/>
    <col min="2819" max="2819" width="15.19921875" style="1551" customWidth="1"/>
    <col min="2820" max="2820" width="14.8984375" style="1551" customWidth="1"/>
    <col min="2821" max="3072" width="9" style="1551"/>
    <col min="3073" max="3073" width="5.19921875" style="1551" customWidth="1"/>
    <col min="3074" max="3074" width="72.69921875" style="1551" customWidth="1"/>
    <col min="3075" max="3075" width="15.19921875" style="1551" customWidth="1"/>
    <col min="3076" max="3076" width="14.8984375" style="1551" customWidth="1"/>
    <col min="3077" max="3328" width="9" style="1551"/>
    <col min="3329" max="3329" width="5.19921875" style="1551" customWidth="1"/>
    <col min="3330" max="3330" width="72.69921875" style="1551" customWidth="1"/>
    <col min="3331" max="3331" width="15.19921875" style="1551" customWidth="1"/>
    <col min="3332" max="3332" width="14.8984375" style="1551" customWidth="1"/>
    <col min="3333" max="3584" width="9" style="1551"/>
    <col min="3585" max="3585" width="5.19921875" style="1551" customWidth="1"/>
    <col min="3586" max="3586" width="72.69921875" style="1551" customWidth="1"/>
    <col min="3587" max="3587" width="15.19921875" style="1551" customWidth="1"/>
    <col min="3588" max="3588" width="14.8984375" style="1551" customWidth="1"/>
    <col min="3589" max="3840" width="9" style="1551"/>
    <col min="3841" max="3841" width="5.19921875" style="1551" customWidth="1"/>
    <col min="3842" max="3842" width="72.69921875" style="1551" customWidth="1"/>
    <col min="3843" max="3843" width="15.19921875" style="1551" customWidth="1"/>
    <col min="3844" max="3844" width="14.8984375" style="1551" customWidth="1"/>
    <col min="3845" max="4096" width="9" style="1551"/>
    <col min="4097" max="4097" width="5.19921875" style="1551" customWidth="1"/>
    <col min="4098" max="4098" width="72.69921875" style="1551" customWidth="1"/>
    <col min="4099" max="4099" width="15.19921875" style="1551" customWidth="1"/>
    <col min="4100" max="4100" width="14.8984375" style="1551" customWidth="1"/>
    <col min="4101" max="4352" width="9" style="1551"/>
    <col min="4353" max="4353" width="5.19921875" style="1551" customWidth="1"/>
    <col min="4354" max="4354" width="72.69921875" style="1551" customWidth="1"/>
    <col min="4355" max="4355" width="15.19921875" style="1551" customWidth="1"/>
    <col min="4356" max="4356" width="14.8984375" style="1551" customWidth="1"/>
    <col min="4357" max="4608" width="9" style="1551"/>
    <col min="4609" max="4609" width="5.19921875" style="1551" customWidth="1"/>
    <col min="4610" max="4610" width="72.69921875" style="1551" customWidth="1"/>
    <col min="4611" max="4611" width="15.19921875" style="1551" customWidth="1"/>
    <col min="4612" max="4612" width="14.8984375" style="1551" customWidth="1"/>
    <col min="4613" max="4864" width="9" style="1551"/>
    <col min="4865" max="4865" width="5.19921875" style="1551" customWidth="1"/>
    <col min="4866" max="4866" width="72.69921875" style="1551" customWidth="1"/>
    <col min="4867" max="4867" width="15.19921875" style="1551" customWidth="1"/>
    <col min="4868" max="4868" width="14.8984375" style="1551" customWidth="1"/>
    <col min="4869" max="5120" width="9" style="1551"/>
    <col min="5121" max="5121" width="5.19921875" style="1551" customWidth="1"/>
    <col min="5122" max="5122" width="72.69921875" style="1551" customWidth="1"/>
    <col min="5123" max="5123" width="15.19921875" style="1551" customWidth="1"/>
    <col min="5124" max="5124" width="14.8984375" style="1551" customWidth="1"/>
    <col min="5125" max="5376" width="9" style="1551"/>
    <col min="5377" max="5377" width="5.19921875" style="1551" customWidth="1"/>
    <col min="5378" max="5378" width="72.69921875" style="1551" customWidth="1"/>
    <col min="5379" max="5379" width="15.19921875" style="1551" customWidth="1"/>
    <col min="5380" max="5380" width="14.8984375" style="1551" customWidth="1"/>
    <col min="5381" max="5632" width="9" style="1551"/>
    <col min="5633" max="5633" width="5.19921875" style="1551" customWidth="1"/>
    <col min="5634" max="5634" width="72.69921875" style="1551" customWidth="1"/>
    <col min="5635" max="5635" width="15.19921875" style="1551" customWidth="1"/>
    <col min="5636" max="5636" width="14.8984375" style="1551" customWidth="1"/>
    <col min="5637" max="5888" width="9" style="1551"/>
    <col min="5889" max="5889" width="5.19921875" style="1551" customWidth="1"/>
    <col min="5890" max="5890" width="72.69921875" style="1551" customWidth="1"/>
    <col min="5891" max="5891" width="15.19921875" style="1551" customWidth="1"/>
    <col min="5892" max="5892" width="14.8984375" style="1551" customWidth="1"/>
    <col min="5893" max="6144" width="9" style="1551"/>
    <col min="6145" max="6145" width="5.19921875" style="1551" customWidth="1"/>
    <col min="6146" max="6146" width="72.69921875" style="1551" customWidth="1"/>
    <col min="6147" max="6147" width="15.19921875" style="1551" customWidth="1"/>
    <col min="6148" max="6148" width="14.8984375" style="1551" customWidth="1"/>
    <col min="6149" max="6400" width="9" style="1551"/>
    <col min="6401" max="6401" width="5.19921875" style="1551" customWidth="1"/>
    <col min="6402" max="6402" width="72.69921875" style="1551" customWidth="1"/>
    <col min="6403" max="6403" width="15.19921875" style="1551" customWidth="1"/>
    <col min="6404" max="6404" width="14.8984375" style="1551" customWidth="1"/>
    <col min="6405" max="6656" width="9" style="1551"/>
    <col min="6657" max="6657" width="5.19921875" style="1551" customWidth="1"/>
    <col min="6658" max="6658" width="72.69921875" style="1551" customWidth="1"/>
    <col min="6659" max="6659" width="15.19921875" style="1551" customWidth="1"/>
    <col min="6660" max="6660" width="14.8984375" style="1551" customWidth="1"/>
    <col min="6661" max="6912" width="9" style="1551"/>
    <col min="6913" max="6913" width="5.19921875" style="1551" customWidth="1"/>
    <col min="6914" max="6914" width="72.69921875" style="1551" customWidth="1"/>
    <col min="6915" max="6915" width="15.19921875" style="1551" customWidth="1"/>
    <col min="6916" max="6916" width="14.8984375" style="1551" customWidth="1"/>
    <col min="6917" max="7168" width="9" style="1551"/>
    <col min="7169" max="7169" width="5.19921875" style="1551" customWidth="1"/>
    <col min="7170" max="7170" width="72.69921875" style="1551" customWidth="1"/>
    <col min="7171" max="7171" width="15.19921875" style="1551" customWidth="1"/>
    <col min="7172" max="7172" width="14.8984375" style="1551" customWidth="1"/>
    <col min="7173" max="7424" width="9" style="1551"/>
    <col min="7425" max="7425" width="5.19921875" style="1551" customWidth="1"/>
    <col min="7426" max="7426" width="72.69921875" style="1551" customWidth="1"/>
    <col min="7427" max="7427" width="15.19921875" style="1551" customWidth="1"/>
    <col min="7428" max="7428" width="14.8984375" style="1551" customWidth="1"/>
    <col min="7429" max="7680" width="9" style="1551"/>
    <col min="7681" max="7681" width="5.19921875" style="1551" customWidth="1"/>
    <col min="7682" max="7682" width="72.69921875" style="1551" customWidth="1"/>
    <col min="7683" max="7683" width="15.19921875" style="1551" customWidth="1"/>
    <col min="7684" max="7684" width="14.8984375" style="1551" customWidth="1"/>
    <col min="7685" max="7936" width="9" style="1551"/>
    <col min="7937" max="7937" width="5.19921875" style="1551" customWidth="1"/>
    <col min="7938" max="7938" width="72.69921875" style="1551" customWidth="1"/>
    <col min="7939" max="7939" width="15.19921875" style="1551" customWidth="1"/>
    <col min="7940" max="7940" width="14.8984375" style="1551" customWidth="1"/>
    <col min="7941" max="8192" width="9" style="1551"/>
    <col min="8193" max="8193" width="5.19921875" style="1551" customWidth="1"/>
    <col min="8194" max="8194" width="72.69921875" style="1551" customWidth="1"/>
    <col min="8195" max="8195" width="15.19921875" style="1551" customWidth="1"/>
    <col min="8196" max="8196" width="14.8984375" style="1551" customWidth="1"/>
    <col min="8197" max="8448" width="9" style="1551"/>
    <col min="8449" max="8449" width="5.19921875" style="1551" customWidth="1"/>
    <col min="8450" max="8450" width="72.69921875" style="1551" customWidth="1"/>
    <col min="8451" max="8451" width="15.19921875" style="1551" customWidth="1"/>
    <col min="8452" max="8452" width="14.8984375" style="1551" customWidth="1"/>
    <col min="8453" max="8704" width="9" style="1551"/>
    <col min="8705" max="8705" width="5.19921875" style="1551" customWidth="1"/>
    <col min="8706" max="8706" width="72.69921875" style="1551" customWidth="1"/>
    <col min="8707" max="8707" width="15.19921875" style="1551" customWidth="1"/>
    <col min="8708" max="8708" width="14.8984375" style="1551" customWidth="1"/>
    <col min="8709" max="8960" width="9" style="1551"/>
    <col min="8961" max="8961" width="5.19921875" style="1551" customWidth="1"/>
    <col min="8962" max="8962" width="72.69921875" style="1551" customWidth="1"/>
    <col min="8963" max="8963" width="15.19921875" style="1551" customWidth="1"/>
    <col min="8964" max="8964" width="14.8984375" style="1551" customWidth="1"/>
    <col min="8965" max="9216" width="9" style="1551"/>
    <col min="9217" max="9217" width="5.19921875" style="1551" customWidth="1"/>
    <col min="9218" max="9218" width="72.69921875" style="1551" customWidth="1"/>
    <col min="9219" max="9219" width="15.19921875" style="1551" customWidth="1"/>
    <col min="9220" max="9220" width="14.8984375" style="1551" customWidth="1"/>
    <col min="9221" max="9472" width="9" style="1551"/>
    <col min="9473" max="9473" width="5.19921875" style="1551" customWidth="1"/>
    <col min="9474" max="9474" width="72.69921875" style="1551" customWidth="1"/>
    <col min="9475" max="9475" width="15.19921875" style="1551" customWidth="1"/>
    <col min="9476" max="9476" width="14.8984375" style="1551" customWidth="1"/>
    <col min="9477" max="9728" width="9" style="1551"/>
    <col min="9729" max="9729" width="5.19921875" style="1551" customWidth="1"/>
    <col min="9730" max="9730" width="72.69921875" style="1551" customWidth="1"/>
    <col min="9731" max="9731" width="15.19921875" style="1551" customWidth="1"/>
    <col min="9732" max="9732" width="14.8984375" style="1551" customWidth="1"/>
    <col min="9733" max="9984" width="9" style="1551"/>
    <col min="9985" max="9985" width="5.19921875" style="1551" customWidth="1"/>
    <col min="9986" max="9986" width="72.69921875" style="1551" customWidth="1"/>
    <col min="9987" max="9987" width="15.19921875" style="1551" customWidth="1"/>
    <col min="9988" max="9988" width="14.8984375" style="1551" customWidth="1"/>
    <col min="9989" max="10240" width="9" style="1551"/>
    <col min="10241" max="10241" width="5.19921875" style="1551" customWidth="1"/>
    <col min="10242" max="10242" width="72.69921875" style="1551" customWidth="1"/>
    <col min="10243" max="10243" width="15.19921875" style="1551" customWidth="1"/>
    <col min="10244" max="10244" width="14.8984375" style="1551" customWidth="1"/>
    <col min="10245" max="10496" width="9" style="1551"/>
    <col min="10497" max="10497" width="5.19921875" style="1551" customWidth="1"/>
    <col min="10498" max="10498" width="72.69921875" style="1551" customWidth="1"/>
    <col min="10499" max="10499" width="15.19921875" style="1551" customWidth="1"/>
    <col min="10500" max="10500" width="14.8984375" style="1551" customWidth="1"/>
    <col min="10501" max="10752" width="9" style="1551"/>
    <col min="10753" max="10753" width="5.19921875" style="1551" customWidth="1"/>
    <col min="10754" max="10754" width="72.69921875" style="1551" customWidth="1"/>
    <col min="10755" max="10755" width="15.19921875" style="1551" customWidth="1"/>
    <col min="10756" max="10756" width="14.8984375" style="1551" customWidth="1"/>
    <col min="10757" max="11008" width="9" style="1551"/>
    <col min="11009" max="11009" width="5.19921875" style="1551" customWidth="1"/>
    <col min="11010" max="11010" width="72.69921875" style="1551" customWidth="1"/>
    <col min="11011" max="11011" width="15.19921875" style="1551" customWidth="1"/>
    <col min="11012" max="11012" width="14.8984375" style="1551" customWidth="1"/>
    <col min="11013" max="11264" width="9" style="1551"/>
    <col min="11265" max="11265" width="5.19921875" style="1551" customWidth="1"/>
    <col min="11266" max="11266" width="72.69921875" style="1551" customWidth="1"/>
    <col min="11267" max="11267" width="15.19921875" style="1551" customWidth="1"/>
    <col min="11268" max="11268" width="14.8984375" style="1551" customWidth="1"/>
    <col min="11269" max="11520" width="9" style="1551"/>
    <col min="11521" max="11521" width="5.19921875" style="1551" customWidth="1"/>
    <col min="11522" max="11522" width="72.69921875" style="1551" customWidth="1"/>
    <col min="11523" max="11523" width="15.19921875" style="1551" customWidth="1"/>
    <col min="11524" max="11524" width="14.8984375" style="1551" customWidth="1"/>
    <col min="11525" max="11776" width="9" style="1551"/>
    <col min="11777" max="11777" width="5.19921875" style="1551" customWidth="1"/>
    <col min="11778" max="11778" width="72.69921875" style="1551" customWidth="1"/>
    <col min="11779" max="11779" width="15.19921875" style="1551" customWidth="1"/>
    <col min="11780" max="11780" width="14.8984375" style="1551" customWidth="1"/>
    <col min="11781" max="12032" width="9" style="1551"/>
    <col min="12033" max="12033" width="5.19921875" style="1551" customWidth="1"/>
    <col min="12034" max="12034" width="72.69921875" style="1551" customWidth="1"/>
    <col min="12035" max="12035" width="15.19921875" style="1551" customWidth="1"/>
    <col min="12036" max="12036" width="14.8984375" style="1551" customWidth="1"/>
    <col min="12037" max="12288" width="9" style="1551"/>
    <col min="12289" max="12289" width="5.19921875" style="1551" customWidth="1"/>
    <col min="12290" max="12290" width="72.69921875" style="1551" customWidth="1"/>
    <col min="12291" max="12291" width="15.19921875" style="1551" customWidth="1"/>
    <col min="12292" max="12292" width="14.8984375" style="1551" customWidth="1"/>
    <col min="12293" max="12544" width="9" style="1551"/>
    <col min="12545" max="12545" width="5.19921875" style="1551" customWidth="1"/>
    <col min="12546" max="12546" width="72.69921875" style="1551" customWidth="1"/>
    <col min="12547" max="12547" width="15.19921875" style="1551" customWidth="1"/>
    <col min="12548" max="12548" width="14.8984375" style="1551" customWidth="1"/>
    <col min="12549" max="12800" width="9" style="1551"/>
    <col min="12801" max="12801" width="5.19921875" style="1551" customWidth="1"/>
    <col min="12802" max="12802" width="72.69921875" style="1551" customWidth="1"/>
    <col min="12803" max="12803" width="15.19921875" style="1551" customWidth="1"/>
    <col min="12804" max="12804" width="14.8984375" style="1551" customWidth="1"/>
    <col min="12805" max="13056" width="9" style="1551"/>
    <col min="13057" max="13057" width="5.19921875" style="1551" customWidth="1"/>
    <col min="13058" max="13058" width="72.69921875" style="1551" customWidth="1"/>
    <col min="13059" max="13059" width="15.19921875" style="1551" customWidth="1"/>
    <col min="13060" max="13060" width="14.8984375" style="1551" customWidth="1"/>
    <col min="13061" max="13312" width="9" style="1551"/>
    <col min="13313" max="13313" width="5.19921875" style="1551" customWidth="1"/>
    <col min="13314" max="13314" width="72.69921875" style="1551" customWidth="1"/>
    <col min="13315" max="13315" width="15.19921875" style="1551" customWidth="1"/>
    <col min="13316" max="13316" width="14.8984375" style="1551" customWidth="1"/>
    <col min="13317" max="13568" width="9" style="1551"/>
    <col min="13569" max="13569" width="5.19921875" style="1551" customWidth="1"/>
    <col min="13570" max="13570" width="72.69921875" style="1551" customWidth="1"/>
    <col min="13571" max="13571" width="15.19921875" style="1551" customWidth="1"/>
    <col min="13572" max="13572" width="14.8984375" style="1551" customWidth="1"/>
    <col min="13573" max="13824" width="9" style="1551"/>
    <col min="13825" max="13825" width="5.19921875" style="1551" customWidth="1"/>
    <col min="13826" max="13826" width="72.69921875" style="1551" customWidth="1"/>
    <col min="13827" max="13827" width="15.19921875" style="1551" customWidth="1"/>
    <col min="13828" max="13828" width="14.8984375" style="1551" customWidth="1"/>
    <col min="13829" max="14080" width="9" style="1551"/>
    <col min="14081" max="14081" width="5.19921875" style="1551" customWidth="1"/>
    <col min="14082" max="14082" width="72.69921875" style="1551" customWidth="1"/>
    <col min="14083" max="14083" width="15.19921875" style="1551" customWidth="1"/>
    <col min="14084" max="14084" width="14.8984375" style="1551" customWidth="1"/>
    <col min="14085" max="14336" width="9" style="1551"/>
    <col min="14337" max="14337" width="5.19921875" style="1551" customWidth="1"/>
    <col min="14338" max="14338" width="72.69921875" style="1551" customWidth="1"/>
    <col min="14339" max="14339" width="15.19921875" style="1551" customWidth="1"/>
    <col min="14340" max="14340" width="14.8984375" style="1551" customWidth="1"/>
    <col min="14341" max="14592" width="9" style="1551"/>
    <col min="14593" max="14593" width="5.19921875" style="1551" customWidth="1"/>
    <col min="14594" max="14594" width="72.69921875" style="1551" customWidth="1"/>
    <col min="14595" max="14595" width="15.19921875" style="1551" customWidth="1"/>
    <col min="14596" max="14596" width="14.8984375" style="1551" customWidth="1"/>
    <col min="14597" max="14848" width="9" style="1551"/>
    <col min="14849" max="14849" width="5.19921875" style="1551" customWidth="1"/>
    <col min="14850" max="14850" width="72.69921875" style="1551" customWidth="1"/>
    <col min="14851" max="14851" width="15.19921875" style="1551" customWidth="1"/>
    <col min="14852" max="14852" width="14.8984375" style="1551" customWidth="1"/>
    <col min="14853" max="15104" width="9" style="1551"/>
    <col min="15105" max="15105" width="5.19921875" style="1551" customWidth="1"/>
    <col min="15106" max="15106" width="72.69921875" style="1551" customWidth="1"/>
    <col min="15107" max="15107" width="15.19921875" style="1551" customWidth="1"/>
    <col min="15108" max="15108" width="14.8984375" style="1551" customWidth="1"/>
    <col min="15109" max="15360" width="9" style="1551"/>
    <col min="15361" max="15361" width="5.19921875" style="1551" customWidth="1"/>
    <col min="15362" max="15362" width="72.69921875" style="1551" customWidth="1"/>
    <col min="15363" max="15363" width="15.19921875" style="1551" customWidth="1"/>
    <col min="15364" max="15364" width="14.8984375" style="1551" customWidth="1"/>
    <col min="15365" max="15616" width="9" style="1551"/>
    <col min="15617" max="15617" width="5.19921875" style="1551" customWidth="1"/>
    <col min="15618" max="15618" width="72.69921875" style="1551" customWidth="1"/>
    <col min="15619" max="15619" width="15.19921875" style="1551" customWidth="1"/>
    <col min="15620" max="15620" width="14.8984375" style="1551" customWidth="1"/>
    <col min="15621" max="15872" width="9" style="1551"/>
    <col min="15873" max="15873" width="5.19921875" style="1551" customWidth="1"/>
    <col min="15874" max="15874" width="72.69921875" style="1551" customWidth="1"/>
    <col min="15875" max="15875" width="15.19921875" style="1551" customWidth="1"/>
    <col min="15876" max="15876" width="14.8984375" style="1551" customWidth="1"/>
    <col min="15877" max="16128" width="9" style="1551"/>
    <col min="16129" max="16129" width="5.19921875" style="1551" customWidth="1"/>
    <col min="16130" max="16130" width="72.69921875" style="1551" customWidth="1"/>
    <col min="16131" max="16131" width="15.19921875" style="1551" customWidth="1"/>
    <col min="16132" max="16132" width="14.8984375" style="1551" customWidth="1"/>
    <col min="16133" max="16384" width="9" style="1551"/>
  </cols>
  <sheetData>
    <row r="1" spans="1:4" ht="20.100000000000001" customHeight="1">
      <c r="A1" s="3400" t="s">
        <v>5276</v>
      </c>
      <c r="B1" s="3400"/>
      <c r="C1" s="3400"/>
      <c r="D1" s="1802"/>
    </row>
    <row r="2" spans="1:4" ht="25.5" customHeight="1">
      <c r="A2" s="3401" t="s">
        <v>5277</v>
      </c>
      <c r="B2" s="3401"/>
      <c r="C2" s="3401"/>
      <c r="D2" s="1833"/>
    </row>
    <row r="3" spans="1:4" s="1552" customFormat="1" ht="14.25" customHeight="1">
      <c r="A3" s="1840" t="s">
        <v>1853</v>
      </c>
      <c r="B3" s="1840" t="s">
        <v>5278</v>
      </c>
      <c r="C3" s="1840" t="s">
        <v>1864</v>
      </c>
      <c r="D3" s="1840" t="s">
        <v>1858</v>
      </c>
    </row>
    <row r="4" spans="1:4" s="1552" customFormat="1" ht="32.25" customHeight="1">
      <c r="A4" s="1840">
        <v>1</v>
      </c>
      <c r="B4" s="1809" t="s">
        <v>5279</v>
      </c>
      <c r="C4" s="2072">
        <f>广宣!J22</f>
        <v>0</v>
      </c>
      <c r="D4" s="1993" t="s">
        <v>5280</v>
      </c>
    </row>
    <row r="5" spans="1:4" s="1552" customFormat="1" ht="14.25" customHeight="1">
      <c r="A5" s="1840">
        <v>2</v>
      </c>
      <c r="B5" s="1809" t="s">
        <v>5281</v>
      </c>
      <c r="C5" s="2072">
        <f>广宣!J23</f>
        <v>0</v>
      </c>
      <c r="D5" s="1952"/>
    </row>
    <row r="6" spans="1:4" s="1552" customFormat="1" ht="14.25" customHeight="1">
      <c r="A6" s="1840">
        <v>3</v>
      </c>
      <c r="B6" s="1809" t="s">
        <v>5282</v>
      </c>
      <c r="C6" s="2072">
        <f>广宣!J24</f>
        <v>0</v>
      </c>
      <c r="D6" s="1952"/>
    </row>
    <row r="7" spans="1:4" s="1552" customFormat="1" ht="33.75" customHeight="1">
      <c r="A7" s="1840">
        <v>4</v>
      </c>
      <c r="B7" s="1809" t="s">
        <v>5283</v>
      </c>
      <c r="C7" s="2072">
        <f>广宣!J29</f>
        <v>0</v>
      </c>
      <c r="D7" s="1993" t="s">
        <v>5284</v>
      </c>
    </row>
    <row r="8" spans="1:4" s="1552" customFormat="1" ht="23.25" customHeight="1">
      <c r="A8" s="1840">
        <v>5</v>
      </c>
      <c r="B8" s="1809" t="s">
        <v>5285</v>
      </c>
      <c r="C8" s="2226">
        <v>15</v>
      </c>
      <c r="D8" s="1952"/>
    </row>
    <row r="9" spans="1:4" s="1552" customFormat="1" ht="14.25" customHeight="1">
      <c r="A9" s="1840">
        <v>6</v>
      </c>
      <c r="B9" s="1931" t="s">
        <v>5286</v>
      </c>
      <c r="C9" s="2072">
        <f>广宣!J30</f>
        <v>0</v>
      </c>
      <c r="D9" s="1952"/>
    </row>
    <row r="10" spans="1:4" s="1552" customFormat="1" ht="14.25" customHeight="1">
      <c r="A10" s="1840">
        <v>7</v>
      </c>
      <c r="B10" s="1931" t="s">
        <v>5287</v>
      </c>
      <c r="C10" s="2072">
        <f>MAX(C6-C9,0)</f>
        <v>0</v>
      </c>
      <c r="D10" s="1952"/>
    </row>
    <row r="11" spans="1:4" s="1552" customFormat="1" ht="14.25" customHeight="1">
      <c r="A11" s="1840">
        <v>8</v>
      </c>
      <c r="B11" s="1931" t="s">
        <v>5288</v>
      </c>
      <c r="C11" s="2072">
        <f>广宣!J33</f>
        <v>0</v>
      </c>
      <c r="D11" s="1952"/>
    </row>
    <row r="12" spans="1:4" s="1552" customFormat="1" ht="29.25" customHeight="1">
      <c r="A12" s="1840">
        <v>9</v>
      </c>
      <c r="B12" s="1932" t="s">
        <v>5289</v>
      </c>
      <c r="C12" s="2075">
        <f>MAX(0,MIN(C9-C6,C11))</f>
        <v>0</v>
      </c>
      <c r="D12" s="1952"/>
    </row>
    <row r="13" spans="1:4" s="1552" customFormat="1" ht="14.25" customHeight="1">
      <c r="A13" s="1840">
        <v>10</v>
      </c>
      <c r="B13" s="1932" t="s">
        <v>5290</v>
      </c>
      <c r="C13" s="2072">
        <f>广宣!J36</f>
        <v>0</v>
      </c>
      <c r="D13" s="1952"/>
    </row>
    <row r="14" spans="1:4" s="1552" customFormat="1" ht="14.25" customHeight="1">
      <c r="A14" s="1840">
        <v>11</v>
      </c>
      <c r="B14" s="1931" t="s">
        <v>5291</v>
      </c>
      <c r="C14" s="2072">
        <f>广宣!J37</f>
        <v>0</v>
      </c>
      <c r="D14" s="1952"/>
    </row>
    <row r="15" spans="1:4" s="1552" customFormat="1" ht="29.25" customHeight="1">
      <c r="A15" s="1840">
        <v>12</v>
      </c>
      <c r="B15" s="1932" t="s">
        <v>5292</v>
      </c>
      <c r="C15" s="2075">
        <f>C5+C13-C14-C12+MAX(0,C6-C9)</f>
        <v>0</v>
      </c>
      <c r="D15" s="1952"/>
    </row>
    <row r="16" spans="1:4" s="1552" customFormat="1" ht="72" customHeight="1">
      <c r="A16" s="1840">
        <v>13</v>
      </c>
      <c r="B16" s="1931" t="s">
        <v>5293</v>
      </c>
      <c r="C16" s="2075">
        <f>C10+C11-C12</f>
        <v>0</v>
      </c>
      <c r="D16" s="1994" t="s">
        <v>5294</v>
      </c>
    </row>
    <row r="17" spans="1:1">
      <c r="A17" s="1998"/>
    </row>
    <row r="18" spans="1:1">
      <c r="A18" s="1998"/>
    </row>
    <row r="19" spans="1:1">
      <c r="A19" s="1998"/>
    </row>
    <row r="20" spans="1:1">
      <c r="A20" s="1998"/>
    </row>
    <row r="21" spans="1:1">
      <c r="A21" s="1998"/>
    </row>
    <row r="22" spans="1:1">
      <c r="A22" s="1998"/>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1:O25"/>
  <sheetViews>
    <sheetView workbookViewId="0">
      <selection sqref="A1:H1"/>
    </sheetView>
  </sheetViews>
  <sheetFormatPr defaultRowHeight="15.6"/>
  <cols>
    <col min="1" max="1" width="5.19921875" style="1551" customWidth="1"/>
    <col min="2" max="2" width="13.3984375" style="1551" customWidth="1"/>
    <col min="3" max="3" width="13.69921875" style="1551" customWidth="1"/>
    <col min="4" max="4" width="14.09765625" style="1551" customWidth="1"/>
    <col min="5" max="5" width="13.69921875" style="1551" customWidth="1"/>
    <col min="6" max="6" width="13" style="1551" customWidth="1"/>
    <col min="7" max="7" width="13.59765625" style="1551" customWidth="1"/>
    <col min="8" max="8" width="12.69921875" style="1551" customWidth="1"/>
    <col min="9" max="9" width="17.3984375" style="1551" customWidth="1"/>
    <col min="10" max="256" width="9" style="1551"/>
    <col min="257" max="257" width="5.19921875" style="1551" customWidth="1"/>
    <col min="258" max="258" width="13.3984375" style="1551" customWidth="1"/>
    <col min="259" max="259" width="13.69921875" style="1551" customWidth="1"/>
    <col min="260" max="260" width="14.09765625" style="1551" customWidth="1"/>
    <col min="261" max="261" width="13.69921875" style="1551" customWidth="1"/>
    <col min="262" max="262" width="13" style="1551" customWidth="1"/>
    <col min="263" max="263" width="13.59765625" style="1551" customWidth="1"/>
    <col min="264" max="264" width="12.69921875" style="1551" customWidth="1"/>
    <col min="265" max="265" width="17.3984375" style="1551" customWidth="1"/>
    <col min="266" max="512" width="9" style="1551"/>
    <col min="513" max="513" width="5.19921875" style="1551" customWidth="1"/>
    <col min="514" max="514" width="13.3984375" style="1551" customWidth="1"/>
    <col min="515" max="515" width="13.69921875" style="1551" customWidth="1"/>
    <col min="516" max="516" width="14.09765625" style="1551" customWidth="1"/>
    <col min="517" max="517" width="13.69921875" style="1551" customWidth="1"/>
    <col min="518" max="518" width="13" style="1551" customWidth="1"/>
    <col min="519" max="519" width="13.59765625" style="1551" customWidth="1"/>
    <col min="520" max="520" width="12.69921875" style="1551" customWidth="1"/>
    <col min="521" max="521" width="17.3984375" style="1551" customWidth="1"/>
    <col min="522" max="768" width="9" style="1551"/>
    <col min="769" max="769" width="5.19921875" style="1551" customWidth="1"/>
    <col min="770" max="770" width="13.3984375" style="1551" customWidth="1"/>
    <col min="771" max="771" width="13.69921875" style="1551" customWidth="1"/>
    <col min="772" max="772" width="14.09765625" style="1551" customWidth="1"/>
    <col min="773" max="773" width="13.69921875" style="1551" customWidth="1"/>
    <col min="774" max="774" width="13" style="1551" customWidth="1"/>
    <col min="775" max="775" width="13.59765625" style="1551" customWidth="1"/>
    <col min="776" max="776" width="12.69921875" style="1551" customWidth="1"/>
    <col min="777" max="777" width="17.3984375" style="1551" customWidth="1"/>
    <col min="778" max="1024" width="9" style="1551"/>
    <col min="1025" max="1025" width="5.19921875" style="1551" customWidth="1"/>
    <col min="1026" max="1026" width="13.3984375" style="1551" customWidth="1"/>
    <col min="1027" max="1027" width="13.69921875" style="1551" customWidth="1"/>
    <col min="1028" max="1028" width="14.09765625" style="1551" customWidth="1"/>
    <col min="1029" max="1029" width="13.69921875" style="1551" customWidth="1"/>
    <col min="1030" max="1030" width="13" style="1551" customWidth="1"/>
    <col min="1031" max="1031" width="13.59765625" style="1551" customWidth="1"/>
    <col min="1032" max="1032" width="12.69921875" style="1551" customWidth="1"/>
    <col min="1033" max="1033" width="17.3984375" style="1551" customWidth="1"/>
    <col min="1034" max="1280" width="9" style="1551"/>
    <col min="1281" max="1281" width="5.19921875" style="1551" customWidth="1"/>
    <col min="1282" max="1282" width="13.3984375" style="1551" customWidth="1"/>
    <col min="1283" max="1283" width="13.69921875" style="1551" customWidth="1"/>
    <col min="1284" max="1284" width="14.09765625" style="1551" customWidth="1"/>
    <col min="1285" max="1285" width="13.69921875" style="1551" customWidth="1"/>
    <col min="1286" max="1286" width="13" style="1551" customWidth="1"/>
    <col min="1287" max="1287" width="13.59765625" style="1551" customWidth="1"/>
    <col min="1288" max="1288" width="12.69921875" style="1551" customWidth="1"/>
    <col min="1289" max="1289" width="17.3984375" style="1551" customWidth="1"/>
    <col min="1290" max="1536" width="9" style="1551"/>
    <col min="1537" max="1537" width="5.19921875" style="1551" customWidth="1"/>
    <col min="1538" max="1538" width="13.3984375" style="1551" customWidth="1"/>
    <col min="1539" max="1539" width="13.69921875" style="1551" customWidth="1"/>
    <col min="1540" max="1540" width="14.09765625" style="1551" customWidth="1"/>
    <col min="1541" max="1541" width="13.69921875" style="1551" customWidth="1"/>
    <col min="1542" max="1542" width="13" style="1551" customWidth="1"/>
    <col min="1543" max="1543" width="13.59765625" style="1551" customWidth="1"/>
    <col min="1544" max="1544" width="12.69921875" style="1551" customWidth="1"/>
    <col min="1545" max="1545" width="17.3984375" style="1551" customWidth="1"/>
    <col min="1546" max="1792" width="9" style="1551"/>
    <col min="1793" max="1793" width="5.19921875" style="1551" customWidth="1"/>
    <col min="1794" max="1794" width="13.3984375" style="1551" customWidth="1"/>
    <col min="1795" max="1795" width="13.69921875" style="1551" customWidth="1"/>
    <col min="1796" max="1796" width="14.09765625" style="1551" customWidth="1"/>
    <col min="1797" max="1797" width="13.69921875" style="1551" customWidth="1"/>
    <col min="1798" max="1798" width="13" style="1551" customWidth="1"/>
    <col min="1799" max="1799" width="13.59765625" style="1551" customWidth="1"/>
    <col min="1800" max="1800" width="12.69921875" style="1551" customWidth="1"/>
    <col min="1801" max="1801" width="17.3984375" style="1551" customWidth="1"/>
    <col min="1802" max="2048" width="9" style="1551"/>
    <col min="2049" max="2049" width="5.19921875" style="1551" customWidth="1"/>
    <col min="2050" max="2050" width="13.3984375" style="1551" customWidth="1"/>
    <col min="2051" max="2051" width="13.69921875" style="1551" customWidth="1"/>
    <col min="2052" max="2052" width="14.09765625" style="1551" customWidth="1"/>
    <col min="2053" max="2053" width="13.69921875" style="1551" customWidth="1"/>
    <col min="2054" max="2054" width="13" style="1551" customWidth="1"/>
    <col min="2055" max="2055" width="13.59765625" style="1551" customWidth="1"/>
    <col min="2056" max="2056" width="12.69921875" style="1551" customWidth="1"/>
    <col min="2057" max="2057" width="17.3984375" style="1551" customWidth="1"/>
    <col min="2058" max="2304" width="9" style="1551"/>
    <col min="2305" max="2305" width="5.19921875" style="1551" customWidth="1"/>
    <col min="2306" max="2306" width="13.3984375" style="1551" customWidth="1"/>
    <col min="2307" max="2307" width="13.69921875" style="1551" customWidth="1"/>
    <col min="2308" max="2308" width="14.09765625" style="1551" customWidth="1"/>
    <col min="2309" max="2309" width="13.69921875" style="1551" customWidth="1"/>
    <col min="2310" max="2310" width="13" style="1551" customWidth="1"/>
    <col min="2311" max="2311" width="13.59765625" style="1551" customWidth="1"/>
    <col min="2312" max="2312" width="12.69921875" style="1551" customWidth="1"/>
    <col min="2313" max="2313" width="17.3984375" style="1551" customWidth="1"/>
    <col min="2314" max="2560" width="9" style="1551"/>
    <col min="2561" max="2561" width="5.19921875" style="1551" customWidth="1"/>
    <col min="2562" max="2562" width="13.3984375" style="1551" customWidth="1"/>
    <col min="2563" max="2563" width="13.69921875" style="1551" customWidth="1"/>
    <col min="2564" max="2564" width="14.09765625" style="1551" customWidth="1"/>
    <col min="2565" max="2565" width="13.69921875" style="1551" customWidth="1"/>
    <col min="2566" max="2566" width="13" style="1551" customWidth="1"/>
    <col min="2567" max="2567" width="13.59765625" style="1551" customWidth="1"/>
    <col min="2568" max="2568" width="12.69921875" style="1551" customWidth="1"/>
    <col min="2569" max="2569" width="17.3984375" style="1551" customWidth="1"/>
    <col min="2570" max="2816" width="9" style="1551"/>
    <col min="2817" max="2817" width="5.19921875" style="1551" customWidth="1"/>
    <col min="2818" max="2818" width="13.3984375" style="1551" customWidth="1"/>
    <col min="2819" max="2819" width="13.69921875" style="1551" customWidth="1"/>
    <col min="2820" max="2820" width="14.09765625" style="1551" customWidth="1"/>
    <col min="2821" max="2821" width="13.69921875" style="1551" customWidth="1"/>
    <col min="2822" max="2822" width="13" style="1551" customWidth="1"/>
    <col min="2823" max="2823" width="13.59765625" style="1551" customWidth="1"/>
    <col min="2824" max="2824" width="12.69921875" style="1551" customWidth="1"/>
    <col min="2825" max="2825" width="17.3984375" style="1551" customWidth="1"/>
    <col min="2826" max="3072" width="9" style="1551"/>
    <col min="3073" max="3073" width="5.19921875" style="1551" customWidth="1"/>
    <col min="3074" max="3074" width="13.3984375" style="1551" customWidth="1"/>
    <col min="3075" max="3075" width="13.69921875" style="1551" customWidth="1"/>
    <col min="3076" max="3076" width="14.09765625" style="1551" customWidth="1"/>
    <col min="3077" max="3077" width="13.69921875" style="1551" customWidth="1"/>
    <col min="3078" max="3078" width="13" style="1551" customWidth="1"/>
    <col min="3079" max="3079" width="13.59765625" style="1551" customWidth="1"/>
    <col min="3080" max="3080" width="12.69921875" style="1551" customWidth="1"/>
    <col min="3081" max="3081" width="17.3984375" style="1551" customWidth="1"/>
    <col min="3082" max="3328" width="9" style="1551"/>
    <col min="3329" max="3329" width="5.19921875" style="1551" customWidth="1"/>
    <col min="3330" max="3330" width="13.3984375" style="1551" customWidth="1"/>
    <col min="3331" max="3331" width="13.69921875" style="1551" customWidth="1"/>
    <col min="3332" max="3332" width="14.09765625" style="1551" customWidth="1"/>
    <col min="3333" max="3333" width="13.69921875" style="1551" customWidth="1"/>
    <col min="3334" max="3334" width="13" style="1551" customWidth="1"/>
    <col min="3335" max="3335" width="13.59765625" style="1551" customWidth="1"/>
    <col min="3336" max="3336" width="12.69921875" style="1551" customWidth="1"/>
    <col min="3337" max="3337" width="17.3984375" style="1551" customWidth="1"/>
    <col min="3338" max="3584" width="9" style="1551"/>
    <col min="3585" max="3585" width="5.19921875" style="1551" customWidth="1"/>
    <col min="3586" max="3586" width="13.3984375" style="1551" customWidth="1"/>
    <col min="3587" max="3587" width="13.69921875" style="1551" customWidth="1"/>
    <col min="3588" max="3588" width="14.09765625" style="1551" customWidth="1"/>
    <col min="3589" max="3589" width="13.69921875" style="1551" customWidth="1"/>
    <col min="3590" max="3590" width="13" style="1551" customWidth="1"/>
    <col min="3591" max="3591" width="13.59765625" style="1551" customWidth="1"/>
    <col min="3592" max="3592" width="12.69921875" style="1551" customWidth="1"/>
    <col min="3593" max="3593" width="17.3984375" style="1551" customWidth="1"/>
    <col min="3594" max="3840" width="9" style="1551"/>
    <col min="3841" max="3841" width="5.19921875" style="1551" customWidth="1"/>
    <col min="3842" max="3842" width="13.3984375" style="1551" customWidth="1"/>
    <col min="3843" max="3843" width="13.69921875" style="1551" customWidth="1"/>
    <col min="3844" max="3844" width="14.09765625" style="1551" customWidth="1"/>
    <col min="3845" max="3845" width="13.69921875" style="1551" customWidth="1"/>
    <col min="3846" max="3846" width="13" style="1551" customWidth="1"/>
    <col min="3847" max="3847" width="13.59765625" style="1551" customWidth="1"/>
    <col min="3848" max="3848" width="12.69921875" style="1551" customWidth="1"/>
    <col min="3849" max="3849" width="17.3984375" style="1551" customWidth="1"/>
    <col min="3850" max="4096" width="9" style="1551"/>
    <col min="4097" max="4097" width="5.19921875" style="1551" customWidth="1"/>
    <col min="4098" max="4098" width="13.3984375" style="1551" customWidth="1"/>
    <col min="4099" max="4099" width="13.69921875" style="1551" customWidth="1"/>
    <col min="4100" max="4100" width="14.09765625" style="1551" customWidth="1"/>
    <col min="4101" max="4101" width="13.69921875" style="1551" customWidth="1"/>
    <col min="4102" max="4102" width="13" style="1551" customWidth="1"/>
    <col min="4103" max="4103" width="13.59765625" style="1551" customWidth="1"/>
    <col min="4104" max="4104" width="12.69921875" style="1551" customWidth="1"/>
    <col min="4105" max="4105" width="17.3984375" style="1551" customWidth="1"/>
    <col min="4106" max="4352" width="9" style="1551"/>
    <col min="4353" max="4353" width="5.19921875" style="1551" customWidth="1"/>
    <col min="4354" max="4354" width="13.3984375" style="1551" customWidth="1"/>
    <col min="4355" max="4355" width="13.69921875" style="1551" customWidth="1"/>
    <col min="4356" max="4356" width="14.09765625" style="1551" customWidth="1"/>
    <col min="4357" max="4357" width="13.69921875" style="1551" customWidth="1"/>
    <col min="4358" max="4358" width="13" style="1551" customWidth="1"/>
    <col min="4359" max="4359" width="13.59765625" style="1551" customWidth="1"/>
    <col min="4360" max="4360" width="12.69921875" style="1551" customWidth="1"/>
    <col min="4361" max="4361" width="17.3984375" style="1551" customWidth="1"/>
    <col min="4362" max="4608" width="9" style="1551"/>
    <col min="4609" max="4609" width="5.19921875" style="1551" customWidth="1"/>
    <col min="4610" max="4610" width="13.3984375" style="1551" customWidth="1"/>
    <col min="4611" max="4611" width="13.69921875" style="1551" customWidth="1"/>
    <col min="4612" max="4612" width="14.09765625" style="1551" customWidth="1"/>
    <col min="4613" max="4613" width="13.69921875" style="1551" customWidth="1"/>
    <col min="4614" max="4614" width="13" style="1551" customWidth="1"/>
    <col min="4615" max="4615" width="13.59765625" style="1551" customWidth="1"/>
    <col min="4616" max="4616" width="12.69921875" style="1551" customWidth="1"/>
    <col min="4617" max="4617" width="17.3984375" style="1551" customWidth="1"/>
    <col min="4618" max="4864" width="9" style="1551"/>
    <col min="4865" max="4865" width="5.19921875" style="1551" customWidth="1"/>
    <col min="4866" max="4866" width="13.3984375" style="1551" customWidth="1"/>
    <col min="4867" max="4867" width="13.69921875" style="1551" customWidth="1"/>
    <col min="4868" max="4868" width="14.09765625" style="1551" customWidth="1"/>
    <col min="4869" max="4869" width="13.69921875" style="1551" customWidth="1"/>
    <col min="4870" max="4870" width="13" style="1551" customWidth="1"/>
    <col min="4871" max="4871" width="13.59765625" style="1551" customWidth="1"/>
    <col min="4872" max="4872" width="12.69921875" style="1551" customWidth="1"/>
    <col min="4873" max="4873" width="17.3984375" style="1551" customWidth="1"/>
    <col min="4874" max="5120" width="9" style="1551"/>
    <col min="5121" max="5121" width="5.19921875" style="1551" customWidth="1"/>
    <col min="5122" max="5122" width="13.3984375" style="1551" customWidth="1"/>
    <col min="5123" max="5123" width="13.69921875" style="1551" customWidth="1"/>
    <col min="5124" max="5124" width="14.09765625" style="1551" customWidth="1"/>
    <col min="5125" max="5125" width="13.69921875" style="1551" customWidth="1"/>
    <col min="5126" max="5126" width="13" style="1551" customWidth="1"/>
    <col min="5127" max="5127" width="13.59765625" style="1551" customWidth="1"/>
    <col min="5128" max="5128" width="12.69921875" style="1551" customWidth="1"/>
    <col min="5129" max="5129" width="17.3984375" style="1551" customWidth="1"/>
    <col min="5130" max="5376" width="9" style="1551"/>
    <col min="5377" max="5377" width="5.19921875" style="1551" customWidth="1"/>
    <col min="5378" max="5378" width="13.3984375" style="1551" customWidth="1"/>
    <col min="5379" max="5379" width="13.69921875" style="1551" customWidth="1"/>
    <col min="5380" max="5380" width="14.09765625" style="1551" customWidth="1"/>
    <col min="5381" max="5381" width="13.69921875" style="1551" customWidth="1"/>
    <col min="5382" max="5382" width="13" style="1551" customWidth="1"/>
    <col min="5383" max="5383" width="13.59765625" style="1551" customWidth="1"/>
    <col min="5384" max="5384" width="12.69921875" style="1551" customWidth="1"/>
    <col min="5385" max="5385" width="17.3984375" style="1551" customWidth="1"/>
    <col min="5386" max="5632" width="9" style="1551"/>
    <col min="5633" max="5633" width="5.19921875" style="1551" customWidth="1"/>
    <col min="5634" max="5634" width="13.3984375" style="1551" customWidth="1"/>
    <col min="5635" max="5635" width="13.69921875" style="1551" customWidth="1"/>
    <col min="5636" max="5636" width="14.09765625" style="1551" customWidth="1"/>
    <col min="5637" max="5637" width="13.69921875" style="1551" customWidth="1"/>
    <col min="5638" max="5638" width="13" style="1551" customWidth="1"/>
    <col min="5639" max="5639" width="13.59765625" style="1551" customWidth="1"/>
    <col min="5640" max="5640" width="12.69921875" style="1551" customWidth="1"/>
    <col min="5641" max="5641" width="17.3984375" style="1551" customWidth="1"/>
    <col min="5642" max="5888" width="9" style="1551"/>
    <col min="5889" max="5889" width="5.19921875" style="1551" customWidth="1"/>
    <col min="5890" max="5890" width="13.3984375" style="1551" customWidth="1"/>
    <col min="5891" max="5891" width="13.69921875" style="1551" customWidth="1"/>
    <col min="5892" max="5892" width="14.09765625" style="1551" customWidth="1"/>
    <col min="5893" max="5893" width="13.69921875" style="1551" customWidth="1"/>
    <col min="5894" max="5894" width="13" style="1551" customWidth="1"/>
    <col min="5895" max="5895" width="13.59765625" style="1551" customWidth="1"/>
    <col min="5896" max="5896" width="12.69921875" style="1551" customWidth="1"/>
    <col min="5897" max="5897" width="17.3984375" style="1551" customWidth="1"/>
    <col min="5898" max="6144" width="9" style="1551"/>
    <col min="6145" max="6145" width="5.19921875" style="1551" customWidth="1"/>
    <col min="6146" max="6146" width="13.3984375" style="1551" customWidth="1"/>
    <col min="6147" max="6147" width="13.69921875" style="1551" customWidth="1"/>
    <col min="6148" max="6148" width="14.09765625" style="1551" customWidth="1"/>
    <col min="6149" max="6149" width="13.69921875" style="1551" customWidth="1"/>
    <col min="6150" max="6150" width="13" style="1551" customWidth="1"/>
    <col min="6151" max="6151" width="13.59765625" style="1551" customWidth="1"/>
    <col min="6152" max="6152" width="12.69921875" style="1551" customWidth="1"/>
    <col min="6153" max="6153" width="17.3984375" style="1551" customWidth="1"/>
    <col min="6154" max="6400" width="9" style="1551"/>
    <col min="6401" max="6401" width="5.19921875" style="1551" customWidth="1"/>
    <col min="6402" max="6402" width="13.3984375" style="1551" customWidth="1"/>
    <col min="6403" max="6403" width="13.69921875" style="1551" customWidth="1"/>
    <col min="6404" max="6404" width="14.09765625" style="1551" customWidth="1"/>
    <col min="6405" max="6405" width="13.69921875" style="1551" customWidth="1"/>
    <col min="6406" max="6406" width="13" style="1551" customWidth="1"/>
    <col min="6407" max="6407" width="13.59765625" style="1551" customWidth="1"/>
    <col min="6408" max="6408" width="12.69921875" style="1551" customWidth="1"/>
    <col min="6409" max="6409" width="17.3984375" style="1551" customWidth="1"/>
    <col min="6410" max="6656" width="9" style="1551"/>
    <col min="6657" max="6657" width="5.19921875" style="1551" customWidth="1"/>
    <col min="6658" max="6658" width="13.3984375" style="1551" customWidth="1"/>
    <col min="6659" max="6659" width="13.69921875" style="1551" customWidth="1"/>
    <col min="6660" max="6660" width="14.09765625" style="1551" customWidth="1"/>
    <col min="6661" max="6661" width="13.69921875" style="1551" customWidth="1"/>
    <col min="6662" max="6662" width="13" style="1551" customWidth="1"/>
    <col min="6663" max="6663" width="13.59765625" style="1551" customWidth="1"/>
    <col min="6664" max="6664" width="12.69921875" style="1551" customWidth="1"/>
    <col min="6665" max="6665" width="17.3984375" style="1551" customWidth="1"/>
    <col min="6666" max="6912" width="9" style="1551"/>
    <col min="6913" max="6913" width="5.19921875" style="1551" customWidth="1"/>
    <col min="6914" max="6914" width="13.3984375" style="1551" customWidth="1"/>
    <col min="6915" max="6915" width="13.69921875" style="1551" customWidth="1"/>
    <col min="6916" max="6916" width="14.09765625" style="1551" customWidth="1"/>
    <col min="6917" max="6917" width="13.69921875" style="1551" customWidth="1"/>
    <col min="6918" max="6918" width="13" style="1551" customWidth="1"/>
    <col min="6919" max="6919" width="13.59765625" style="1551" customWidth="1"/>
    <col min="6920" max="6920" width="12.69921875" style="1551" customWidth="1"/>
    <col min="6921" max="6921" width="17.3984375" style="1551" customWidth="1"/>
    <col min="6922" max="7168" width="9" style="1551"/>
    <col min="7169" max="7169" width="5.19921875" style="1551" customWidth="1"/>
    <col min="7170" max="7170" width="13.3984375" style="1551" customWidth="1"/>
    <col min="7171" max="7171" width="13.69921875" style="1551" customWidth="1"/>
    <col min="7172" max="7172" width="14.09765625" style="1551" customWidth="1"/>
    <col min="7173" max="7173" width="13.69921875" style="1551" customWidth="1"/>
    <col min="7174" max="7174" width="13" style="1551" customWidth="1"/>
    <col min="7175" max="7175" width="13.59765625" style="1551" customWidth="1"/>
    <col min="7176" max="7176" width="12.69921875" style="1551" customWidth="1"/>
    <col min="7177" max="7177" width="17.3984375" style="1551" customWidth="1"/>
    <col min="7178" max="7424" width="9" style="1551"/>
    <col min="7425" max="7425" width="5.19921875" style="1551" customWidth="1"/>
    <col min="7426" max="7426" width="13.3984375" style="1551" customWidth="1"/>
    <col min="7427" max="7427" width="13.69921875" style="1551" customWidth="1"/>
    <col min="7428" max="7428" width="14.09765625" style="1551" customWidth="1"/>
    <col min="7429" max="7429" width="13.69921875" style="1551" customWidth="1"/>
    <col min="7430" max="7430" width="13" style="1551" customWidth="1"/>
    <col min="7431" max="7431" width="13.59765625" style="1551" customWidth="1"/>
    <col min="7432" max="7432" width="12.69921875" style="1551" customWidth="1"/>
    <col min="7433" max="7433" width="17.3984375" style="1551" customWidth="1"/>
    <col min="7434" max="7680" width="9" style="1551"/>
    <col min="7681" max="7681" width="5.19921875" style="1551" customWidth="1"/>
    <col min="7682" max="7682" width="13.3984375" style="1551" customWidth="1"/>
    <col min="7683" max="7683" width="13.69921875" style="1551" customWidth="1"/>
    <col min="7684" max="7684" width="14.09765625" style="1551" customWidth="1"/>
    <col min="7685" max="7685" width="13.69921875" style="1551" customWidth="1"/>
    <col min="7686" max="7686" width="13" style="1551" customWidth="1"/>
    <col min="7687" max="7687" width="13.59765625" style="1551" customWidth="1"/>
    <col min="7688" max="7688" width="12.69921875" style="1551" customWidth="1"/>
    <col min="7689" max="7689" width="17.3984375" style="1551" customWidth="1"/>
    <col min="7690" max="7936" width="9" style="1551"/>
    <col min="7937" max="7937" width="5.19921875" style="1551" customWidth="1"/>
    <col min="7938" max="7938" width="13.3984375" style="1551" customWidth="1"/>
    <col min="7939" max="7939" width="13.69921875" style="1551" customWidth="1"/>
    <col min="7940" max="7940" width="14.09765625" style="1551" customWidth="1"/>
    <col min="7941" max="7941" width="13.69921875" style="1551" customWidth="1"/>
    <col min="7942" max="7942" width="13" style="1551" customWidth="1"/>
    <col min="7943" max="7943" width="13.59765625" style="1551" customWidth="1"/>
    <col min="7944" max="7944" width="12.69921875" style="1551" customWidth="1"/>
    <col min="7945" max="7945" width="17.3984375" style="1551" customWidth="1"/>
    <col min="7946" max="8192" width="9" style="1551"/>
    <col min="8193" max="8193" width="5.19921875" style="1551" customWidth="1"/>
    <col min="8194" max="8194" width="13.3984375" style="1551" customWidth="1"/>
    <col min="8195" max="8195" width="13.69921875" style="1551" customWidth="1"/>
    <col min="8196" max="8196" width="14.09765625" style="1551" customWidth="1"/>
    <col min="8197" max="8197" width="13.69921875" style="1551" customWidth="1"/>
    <col min="8198" max="8198" width="13" style="1551" customWidth="1"/>
    <col min="8199" max="8199" width="13.59765625" style="1551" customWidth="1"/>
    <col min="8200" max="8200" width="12.69921875" style="1551" customWidth="1"/>
    <col min="8201" max="8201" width="17.3984375" style="1551" customWidth="1"/>
    <col min="8202" max="8448" width="9" style="1551"/>
    <col min="8449" max="8449" width="5.19921875" style="1551" customWidth="1"/>
    <col min="8450" max="8450" width="13.3984375" style="1551" customWidth="1"/>
    <col min="8451" max="8451" width="13.69921875" style="1551" customWidth="1"/>
    <col min="8452" max="8452" width="14.09765625" style="1551" customWidth="1"/>
    <col min="8453" max="8453" width="13.69921875" style="1551" customWidth="1"/>
    <col min="8454" max="8454" width="13" style="1551" customWidth="1"/>
    <col min="8455" max="8455" width="13.59765625" style="1551" customWidth="1"/>
    <col min="8456" max="8456" width="12.69921875" style="1551" customWidth="1"/>
    <col min="8457" max="8457" width="17.3984375" style="1551" customWidth="1"/>
    <col min="8458" max="8704" width="9" style="1551"/>
    <col min="8705" max="8705" width="5.19921875" style="1551" customWidth="1"/>
    <col min="8706" max="8706" width="13.3984375" style="1551" customWidth="1"/>
    <col min="8707" max="8707" width="13.69921875" style="1551" customWidth="1"/>
    <col min="8708" max="8708" width="14.09765625" style="1551" customWidth="1"/>
    <col min="8709" max="8709" width="13.69921875" style="1551" customWidth="1"/>
    <col min="8710" max="8710" width="13" style="1551" customWidth="1"/>
    <col min="8711" max="8711" width="13.59765625" style="1551" customWidth="1"/>
    <col min="8712" max="8712" width="12.69921875" style="1551" customWidth="1"/>
    <col min="8713" max="8713" width="17.3984375" style="1551" customWidth="1"/>
    <col min="8714" max="8960" width="9" style="1551"/>
    <col min="8961" max="8961" width="5.19921875" style="1551" customWidth="1"/>
    <col min="8962" max="8962" width="13.3984375" style="1551" customWidth="1"/>
    <col min="8963" max="8963" width="13.69921875" style="1551" customWidth="1"/>
    <col min="8964" max="8964" width="14.09765625" style="1551" customWidth="1"/>
    <col min="8965" max="8965" width="13.69921875" style="1551" customWidth="1"/>
    <col min="8966" max="8966" width="13" style="1551" customWidth="1"/>
    <col min="8967" max="8967" width="13.59765625" style="1551" customWidth="1"/>
    <col min="8968" max="8968" width="12.69921875" style="1551" customWidth="1"/>
    <col min="8969" max="8969" width="17.3984375" style="1551" customWidth="1"/>
    <col min="8970" max="9216" width="9" style="1551"/>
    <col min="9217" max="9217" width="5.19921875" style="1551" customWidth="1"/>
    <col min="9218" max="9218" width="13.3984375" style="1551" customWidth="1"/>
    <col min="9219" max="9219" width="13.69921875" style="1551" customWidth="1"/>
    <col min="9220" max="9220" width="14.09765625" style="1551" customWidth="1"/>
    <col min="9221" max="9221" width="13.69921875" style="1551" customWidth="1"/>
    <col min="9222" max="9222" width="13" style="1551" customWidth="1"/>
    <col min="9223" max="9223" width="13.59765625" style="1551" customWidth="1"/>
    <col min="9224" max="9224" width="12.69921875" style="1551" customWidth="1"/>
    <col min="9225" max="9225" width="17.3984375" style="1551" customWidth="1"/>
    <col min="9226" max="9472" width="9" style="1551"/>
    <col min="9473" max="9473" width="5.19921875" style="1551" customWidth="1"/>
    <col min="9474" max="9474" width="13.3984375" style="1551" customWidth="1"/>
    <col min="9475" max="9475" width="13.69921875" style="1551" customWidth="1"/>
    <col min="9476" max="9476" width="14.09765625" style="1551" customWidth="1"/>
    <col min="9477" max="9477" width="13.69921875" style="1551" customWidth="1"/>
    <col min="9478" max="9478" width="13" style="1551" customWidth="1"/>
    <col min="9479" max="9479" width="13.59765625" style="1551" customWidth="1"/>
    <col min="9480" max="9480" width="12.69921875" style="1551" customWidth="1"/>
    <col min="9481" max="9481" width="17.3984375" style="1551" customWidth="1"/>
    <col min="9482" max="9728" width="9" style="1551"/>
    <col min="9729" max="9729" width="5.19921875" style="1551" customWidth="1"/>
    <col min="9730" max="9730" width="13.3984375" style="1551" customWidth="1"/>
    <col min="9731" max="9731" width="13.69921875" style="1551" customWidth="1"/>
    <col min="9732" max="9732" width="14.09765625" style="1551" customWidth="1"/>
    <col min="9733" max="9733" width="13.69921875" style="1551" customWidth="1"/>
    <col min="9734" max="9734" width="13" style="1551" customWidth="1"/>
    <col min="9735" max="9735" width="13.59765625" style="1551" customWidth="1"/>
    <col min="9736" max="9736" width="12.69921875" style="1551" customWidth="1"/>
    <col min="9737" max="9737" width="17.3984375" style="1551" customWidth="1"/>
    <col min="9738" max="9984" width="9" style="1551"/>
    <col min="9985" max="9985" width="5.19921875" style="1551" customWidth="1"/>
    <col min="9986" max="9986" width="13.3984375" style="1551" customWidth="1"/>
    <col min="9987" max="9987" width="13.69921875" style="1551" customWidth="1"/>
    <col min="9988" max="9988" width="14.09765625" style="1551" customWidth="1"/>
    <col min="9989" max="9989" width="13.69921875" style="1551" customWidth="1"/>
    <col min="9990" max="9990" width="13" style="1551" customWidth="1"/>
    <col min="9991" max="9991" width="13.59765625" style="1551" customWidth="1"/>
    <col min="9992" max="9992" width="12.69921875" style="1551" customWidth="1"/>
    <col min="9993" max="9993" width="17.3984375" style="1551" customWidth="1"/>
    <col min="9994" max="10240" width="9" style="1551"/>
    <col min="10241" max="10241" width="5.19921875" style="1551" customWidth="1"/>
    <col min="10242" max="10242" width="13.3984375" style="1551" customWidth="1"/>
    <col min="10243" max="10243" width="13.69921875" style="1551" customWidth="1"/>
    <col min="10244" max="10244" width="14.09765625" style="1551" customWidth="1"/>
    <col min="10245" max="10245" width="13.69921875" style="1551" customWidth="1"/>
    <col min="10246" max="10246" width="13" style="1551" customWidth="1"/>
    <col min="10247" max="10247" width="13.59765625" style="1551" customWidth="1"/>
    <col min="10248" max="10248" width="12.69921875" style="1551" customWidth="1"/>
    <col min="10249" max="10249" width="17.3984375" style="1551" customWidth="1"/>
    <col min="10250" max="10496" width="9" style="1551"/>
    <col min="10497" max="10497" width="5.19921875" style="1551" customWidth="1"/>
    <col min="10498" max="10498" width="13.3984375" style="1551" customWidth="1"/>
    <col min="10499" max="10499" width="13.69921875" style="1551" customWidth="1"/>
    <col min="10500" max="10500" width="14.09765625" style="1551" customWidth="1"/>
    <col min="10501" max="10501" width="13.69921875" style="1551" customWidth="1"/>
    <col min="10502" max="10502" width="13" style="1551" customWidth="1"/>
    <col min="10503" max="10503" width="13.59765625" style="1551" customWidth="1"/>
    <col min="10504" max="10504" width="12.69921875" style="1551" customWidth="1"/>
    <col min="10505" max="10505" width="17.3984375" style="1551" customWidth="1"/>
    <col min="10506" max="10752" width="9" style="1551"/>
    <col min="10753" max="10753" width="5.19921875" style="1551" customWidth="1"/>
    <col min="10754" max="10754" width="13.3984375" style="1551" customWidth="1"/>
    <col min="10755" max="10755" width="13.69921875" style="1551" customWidth="1"/>
    <col min="10756" max="10756" width="14.09765625" style="1551" customWidth="1"/>
    <col min="10757" max="10757" width="13.69921875" style="1551" customWidth="1"/>
    <col min="10758" max="10758" width="13" style="1551" customWidth="1"/>
    <col min="10759" max="10759" width="13.59765625" style="1551" customWidth="1"/>
    <col min="10760" max="10760" width="12.69921875" style="1551" customWidth="1"/>
    <col min="10761" max="10761" width="17.3984375" style="1551" customWidth="1"/>
    <col min="10762" max="11008" width="9" style="1551"/>
    <col min="11009" max="11009" width="5.19921875" style="1551" customWidth="1"/>
    <col min="11010" max="11010" width="13.3984375" style="1551" customWidth="1"/>
    <col min="11011" max="11011" width="13.69921875" style="1551" customWidth="1"/>
    <col min="11012" max="11012" width="14.09765625" style="1551" customWidth="1"/>
    <col min="11013" max="11013" width="13.69921875" style="1551" customWidth="1"/>
    <col min="11014" max="11014" width="13" style="1551" customWidth="1"/>
    <col min="11015" max="11015" width="13.59765625" style="1551" customWidth="1"/>
    <col min="11016" max="11016" width="12.69921875" style="1551" customWidth="1"/>
    <col min="11017" max="11017" width="17.3984375" style="1551" customWidth="1"/>
    <col min="11018" max="11264" width="9" style="1551"/>
    <col min="11265" max="11265" width="5.19921875" style="1551" customWidth="1"/>
    <col min="11266" max="11266" width="13.3984375" style="1551" customWidth="1"/>
    <col min="11267" max="11267" width="13.69921875" style="1551" customWidth="1"/>
    <col min="11268" max="11268" width="14.09765625" style="1551" customWidth="1"/>
    <col min="11269" max="11269" width="13.69921875" style="1551" customWidth="1"/>
    <col min="11270" max="11270" width="13" style="1551" customWidth="1"/>
    <col min="11271" max="11271" width="13.59765625" style="1551" customWidth="1"/>
    <col min="11272" max="11272" width="12.69921875" style="1551" customWidth="1"/>
    <col min="11273" max="11273" width="17.3984375" style="1551" customWidth="1"/>
    <col min="11274" max="11520" width="9" style="1551"/>
    <col min="11521" max="11521" width="5.19921875" style="1551" customWidth="1"/>
    <col min="11522" max="11522" width="13.3984375" style="1551" customWidth="1"/>
    <col min="11523" max="11523" width="13.69921875" style="1551" customWidth="1"/>
    <col min="11524" max="11524" width="14.09765625" style="1551" customWidth="1"/>
    <col min="11525" max="11525" width="13.69921875" style="1551" customWidth="1"/>
    <col min="11526" max="11526" width="13" style="1551" customWidth="1"/>
    <col min="11527" max="11527" width="13.59765625" style="1551" customWidth="1"/>
    <col min="11528" max="11528" width="12.69921875" style="1551" customWidth="1"/>
    <col min="11529" max="11529" width="17.3984375" style="1551" customWidth="1"/>
    <col min="11530" max="11776" width="9" style="1551"/>
    <col min="11777" max="11777" width="5.19921875" style="1551" customWidth="1"/>
    <col min="11778" max="11778" width="13.3984375" style="1551" customWidth="1"/>
    <col min="11779" max="11779" width="13.69921875" style="1551" customWidth="1"/>
    <col min="11780" max="11780" width="14.09765625" style="1551" customWidth="1"/>
    <col min="11781" max="11781" width="13.69921875" style="1551" customWidth="1"/>
    <col min="11782" max="11782" width="13" style="1551" customWidth="1"/>
    <col min="11783" max="11783" width="13.59765625" style="1551" customWidth="1"/>
    <col min="11784" max="11784" width="12.69921875" style="1551" customWidth="1"/>
    <col min="11785" max="11785" width="17.3984375" style="1551" customWidth="1"/>
    <col min="11786" max="12032" width="9" style="1551"/>
    <col min="12033" max="12033" width="5.19921875" style="1551" customWidth="1"/>
    <col min="12034" max="12034" width="13.3984375" style="1551" customWidth="1"/>
    <col min="12035" max="12035" width="13.69921875" style="1551" customWidth="1"/>
    <col min="12036" max="12036" width="14.09765625" style="1551" customWidth="1"/>
    <col min="12037" max="12037" width="13.69921875" style="1551" customWidth="1"/>
    <col min="12038" max="12038" width="13" style="1551" customWidth="1"/>
    <col min="12039" max="12039" width="13.59765625" style="1551" customWidth="1"/>
    <col min="12040" max="12040" width="12.69921875" style="1551" customWidth="1"/>
    <col min="12041" max="12041" width="17.3984375" style="1551" customWidth="1"/>
    <col min="12042" max="12288" width="9" style="1551"/>
    <col min="12289" max="12289" width="5.19921875" style="1551" customWidth="1"/>
    <col min="12290" max="12290" width="13.3984375" style="1551" customWidth="1"/>
    <col min="12291" max="12291" width="13.69921875" style="1551" customWidth="1"/>
    <col min="12292" max="12292" width="14.09765625" style="1551" customWidth="1"/>
    <col min="12293" max="12293" width="13.69921875" style="1551" customWidth="1"/>
    <col min="12294" max="12294" width="13" style="1551" customWidth="1"/>
    <col min="12295" max="12295" width="13.59765625" style="1551" customWidth="1"/>
    <col min="12296" max="12296" width="12.69921875" style="1551" customWidth="1"/>
    <col min="12297" max="12297" width="17.3984375" style="1551" customWidth="1"/>
    <col min="12298" max="12544" width="9" style="1551"/>
    <col min="12545" max="12545" width="5.19921875" style="1551" customWidth="1"/>
    <col min="12546" max="12546" width="13.3984375" style="1551" customWidth="1"/>
    <col min="12547" max="12547" width="13.69921875" style="1551" customWidth="1"/>
    <col min="12548" max="12548" width="14.09765625" style="1551" customWidth="1"/>
    <col min="12549" max="12549" width="13.69921875" style="1551" customWidth="1"/>
    <col min="12550" max="12550" width="13" style="1551" customWidth="1"/>
    <col min="12551" max="12551" width="13.59765625" style="1551" customWidth="1"/>
    <col min="12552" max="12552" width="12.69921875" style="1551" customWidth="1"/>
    <col min="12553" max="12553" width="17.3984375" style="1551" customWidth="1"/>
    <col min="12554" max="12800" width="9" style="1551"/>
    <col min="12801" max="12801" width="5.19921875" style="1551" customWidth="1"/>
    <col min="12802" max="12802" width="13.3984375" style="1551" customWidth="1"/>
    <col min="12803" max="12803" width="13.69921875" style="1551" customWidth="1"/>
    <col min="12804" max="12804" width="14.09765625" style="1551" customWidth="1"/>
    <col min="12805" max="12805" width="13.69921875" style="1551" customWidth="1"/>
    <col min="12806" max="12806" width="13" style="1551" customWidth="1"/>
    <col min="12807" max="12807" width="13.59765625" style="1551" customWidth="1"/>
    <col min="12808" max="12808" width="12.69921875" style="1551" customWidth="1"/>
    <col min="12809" max="12809" width="17.3984375" style="1551" customWidth="1"/>
    <col min="12810" max="13056" width="9" style="1551"/>
    <col min="13057" max="13057" width="5.19921875" style="1551" customWidth="1"/>
    <col min="13058" max="13058" width="13.3984375" style="1551" customWidth="1"/>
    <col min="13059" max="13059" width="13.69921875" style="1551" customWidth="1"/>
    <col min="13060" max="13060" width="14.09765625" style="1551" customWidth="1"/>
    <col min="13061" max="13061" width="13.69921875" style="1551" customWidth="1"/>
    <col min="13062" max="13062" width="13" style="1551" customWidth="1"/>
    <col min="13063" max="13063" width="13.59765625" style="1551" customWidth="1"/>
    <col min="13064" max="13064" width="12.69921875" style="1551" customWidth="1"/>
    <col min="13065" max="13065" width="17.3984375" style="1551" customWidth="1"/>
    <col min="13066" max="13312" width="9" style="1551"/>
    <col min="13313" max="13313" width="5.19921875" style="1551" customWidth="1"/>
    <col min="13314" max="13314" width="13.3984375" style="1551" customWidth="1"/>
    <col min="13315" max="13315" width="13.69921875" style="1551" customWidth="1"/>
    <col min="13316" max="13316" width="14.09765625" style="1551" customWidth="1"/>
    <col min="13317" max="13317" width="13.69921875" style="1551" customWidth="1"/>
    <col min="13318" max="13318" width="13" style="1551" customWidth="1"/>
    <col min="13319" max="13319" width="13.59765625" style="1551" customWidth="1"/>
    <col min="13320" max="13320" width="12.69921875" style="1551" customWidth="1"/>
    <col min="13321" max="13321" width="17.3984375" style="1551" customWidth="1"/>
    <col min="13322" max="13568" width="9" style="1551"/>
    <col min="13569" max="13569" width="5.19921875" style="1551" customWidth="1"/>
    <col min="13570" max="13570" width="13.3984375" style="1551" customWidth="1"/>
    <col min="13571" max="13571" width="13.69921875" style="1551" customWidth="1"/>
    <col min="13572" max="13572" width="14.09765625" style="1551" customWidth="1"/>
    <col min="13573" max="13573" width="13.69921875" style="1551" customWidth="1"/>
    <col min="13574" max="13574" width="13" style="1551" customWidth="1"/>
    <col min="13575" max="13575" width="13.59765625" style="1551" customWidth="1"/>
    <col min="13576" max="13576" width="12.69921875" style="1551" customWidth="1"/>
    <col min="13577" max="13577" width="17.3984375" style="1551" customWidth="1"/>
    <col min="13578" max="13824" width="9" style="1551"/>
    <col min="13825" max="13825" width="5.19921875" style="1551" customWidth="1"/>
    <col min="13826" max="13826" width="13.3984375" style="1551" customWidth="1"/>
    <col min="13827" max="13827" width="13.69921875" style="1551" customWidth="1"/>
    <col min="13828" max="13828" width="14.09765625" style="1551" customWidth="1"/>
    <col min="13829" max="13829" width="13.69921875" style="1551" customWidth="1"/>
    <col min="13830" max="13830" width="13" style="1551" customWidth="1"/>
    <col min="13831" max="13831" width="13.59765625" style="1551" customWidth="1"/>
    <col min="13832" max="13832" width="12.69921875" style="1551" customWidth="1"/>
    <col min="13833" max="13833" width="17.3984375" style="1551" customWidth="1"/>
    <col min="13834" max="14080" width="9" style="1551"/>
    <col min="14081" max="14081" width="5.19921875" style="1551" customWidth="1"/>
    <col min="14082" max="14082" width="13.3984375" style="1551" customWidth="1"/>
    <col min="14083" max="14083" width="13.69921875" style="1551" customWidth="1"/>
    <col min="14084" max="14084" width="14.09765625" style="1551" customWidth="1"/>
    <col min="14085" max="14085" width="13.69921875" style="1551" customWidth="1"/>
    <col min="14086" max="14086" width="13" style="1551" customWidth="1"/>
    <col min="14087" max="14087" width="13.59765625" style="1551" customWidth="1"/>
    <col min="14088" max="14088" width="12.69921875" style="1551" customWidth="1"/>
    <col min="14089" max="14089" width="17.3984375" style="1551" customWidth="1"/>
    <col min="14090" max="14336" width="9" style="1551"/>
    <col min="14337" max="14337" width="5.19921875" style="1551" customWidth="1"/>
    <col min="14338" max="14338" width="13.3984375" style="1551" customWidth="1"/>
    <col min="14339" max="14339" width="13.69921875" style="1551" customWidth="1"/>
    <col min="14340" max="14340" width="14.09765625" style="1551" customWidth="1"/>
    <col min="14341" max="14341" width="13.69921875" style="1551" customWidth="1"/>
    <col min="14342" max="14342" width="13" style="1551" customWidth="1"/>
    <col min="14343" max="14343" width="13.59765625" style="1551" customWidth="1"/>
    <col min="14344" max="14344" width="12.69921875" style="1551" customWidth="1"/>
    <col min="14345" max="14345" width="17.3984375" style="1551" customWidth="1"/>
    <col min="14346" max="14592" width="9" style="1551"/>
    <col min="14593" max="14593" width="5.19921875" style="1551" customWidth="1"/>
    <col min="14594" max="14594" width="13.3984375" style="1551" customWidth="1"/>
    <col min="14595" max="14595" width="13.69921875" style="1551" customWidth="1"/>
    <col min="14596" max="14596" width="14.09765625" style="1551" customWidth="1"/>
    <col min="14597" max="14597" width="13.69921875" style="1551" customWidth="1"/>
    <col min="14598" max="14598" width="13" style="1551" customWidth="1"/>
    <col min="14599" max="14599" width="13.59765625" style="1551" customWidth="1"/>
    <col min="14600" max="14600" width="12.69921875" style="1551" customWidth="1"/>
    <col min="14601" max="14601" width="17.3984375" style="1551" customWidth="1"/>
    <col min="14602" max="14848" width="9" style="1551"/>
    <col min="14849" max="14849" width="5.19921875" style="1551" customWidth="1"/>
    <col min="14850" max="14850" width="13.3984375" style="1551" customWidth="1"/>
    <col min="14851" max="14851" width="13.69921875" style="1551" customWidth="1"/>
    <col min="14852" max="14852" width="14.09765625" style="1551" customWidth="1"/>
    <col min="14853" max="14853" width="13.69921875" style="1551" customWidth="1"/>
    <col min="14854" max="14854" width="13" style="1551" customWidth="1"/>
    <col min="14855" max="14855" width="13.59765625" style="1551" customWidth="1"/>
    <col min="14856" max="14856" width="12.69921875" style="1551" customWidth="1"/>
    <col min="14857" max="14857" width="17.3984375" style="1551" customWidth="1"/>
    <col min="14858" max="15104" width="9" style="1551"/>
    <col min="15105" max="15105" width="5.19921875" style="1551" customWidth="1"/>
    <col min="15106" max="15106" width="13.3984375" style="1551" customWidth="1"/>
    <col min="15107" max="15107" width="13.69921875" style="1551" customWidth="1"/>
    <col min="15108" max="15108" width="14.09765625" style="1551" customWidth="1"/>
    <col min="15109" max="15109" width="13.69921875" style="1551" customWidth="1"/>
    <col min="15110" max="15110" width="13" style="1551" customWidth="1"/>
    <col min="15111" max="15111" width="13.59765625" style="1551" customWidth="1"/>
    <col min="15112" max="15112" width="12.69921875" style="1551" customWidth="1"/>
    <col min="15113" max="15113" width="17.3984375" style="1551" customWidth="1"/>
    <col min="15114" max="15360" width="9" style="1551"/>
    <col min="15361" max="15361" width="5.19921875" style="1551" customWidth="1"/>
    <col min="15362" max="15362" width="13.3984375" style="1551" customWidth="1"/>
    <col min="15363" max="15363" width="13.69921875" style="1551" customWidth="1"/>
    <col min="15364" max="15364" width="14.09765625" style="1551" customWidth="1"/>
    <col min="15365" max="15365" width="13.69921875" style="1551" customWidth="1"/>
    <col min="15366" max="15366" width="13" style="1551" customWidth="1"/>
    <col min="15367" max="15367" width="13.59765625" style="1551" customWidth="1"/>
    <col min="15368" max="15368" width="12.69921875" style="1551" customWidth="1"/>
    <col min="15369" max="15369" width="17.3984375" style="1551" customWidth="1"/>
    <col min="15370" max="15616" width="9" style="1551"/>
    <col min="15617" max="15617" width="5.19921875" style="1551" customWidth="1"/>
    <col min="15618" max="15618" width="13.3984375" style="1551" customWidth="1"/>
    <col min="15619" max="15619" width="13.69921875" style="1551" customWidth="1"/>
    <col min="15620" max="15620" width="14.09765625" style="1551" customWidth="1"/>
    <col min="15621" max="15621" width="13.69921875" style="1551" customWidth="1"/>
    <col min="15622" max="15622" width="13" style="1551" customWidth="1"/>
    <col min="15623" max="15623" width="13.59765625" style="1551" customWidth="1"/>
    <col min="15624" max="15624" width="12.69921875" style="1551" customWidth="1"/>
    <col min="15625" max="15625" width="17.3984375" style="1551" customWidth="1"/>
    <col min="15626" max="15872" width="9" style="1551"/>
    <col min="15873" max="15873" width="5.19921875" style="1551" customWidth="1"/>
    <col min="15874" max="15874" width="13.3984375" style="1551" customWidth="1"/>
    <col min="15875" max="15875" width="13.69921875" style="1551" customWidth="1"/>
    <col min="15876" max="15876" width="14.09765625" style="1551" customWidth="1"/>
    <col min="15877" max="15877" width="13.69921875" style="1551" customWidth="1"/>
    <col min="15878" max="15878" width="13" style="1551" customWidth="1"/>
    <col min="15879" max="15879" width="13.59765625" style="1551" customWidth="1"/>
    <col min="15880" max="15880" width="12.69921875" style="1551" customWidth="1"/>
    <col min="15881" max="15881" width="17.3984375" style="1551" customWidth="1"/>
    <col min="15882" max="16128" width="9" style="1551"/>
    <col min="16129" max="16129" width="5.19921875" style="1551" customWidth="1"/>
    <col min="16130" max="16130" width="13.3984375" style="1551" customWidth="1"/>
    <col min="16131" max="16131" width="13.69921875" style="1551" customWidth="1"/>
    <col min="16132" max="16132" width="14.09765625" style="1551" customWidth="1"/>
    <col min="16133" max="16133" width="13.69921875" style="1551" customWidth="1"/>
    <col min="16134" max="16134" width="13" style="1551" customWidth="1"/>
    <col min="16135" max="16135" width="13.59765625" style="1551" customWidth="1"/>
    <col min="16136" max="16136" width="12.69921875" style="1551" customWidth="1"/>
    <col min="16137" max="16137" width="17.3984375" style="1551" customWidth="1"/>
    <col min="16138" max="16384" width="9" style="1551"/>
  </cols>
  <sheetData>
    <row r="1" spans="1:15" ht="20.100000000000001" customHeight="1">
      <c r="A1" s="3400" t="s">
        <v>5295</v>
      </c>
      <c r="B1" s="3400"/>
      <c r="C1" s="3400"/>
      <c r="D1" s="3400"/>
      <c r="E1" s="3400"/>
      <c r="F1" s="3400"/>
      <c r="G1" s="3400"/>
      <c r="H1" s="3400"/>
      <c r="I1" s="1802"/>
    </row>
    <row r="2" spans="1:15" ht="19.5" customHeight="1">
      <c r="A2" s="3401" t="s">
        <v>5296</v>
      </c>
      <c r="B2" s="3401"/>
      <c r="C2" s="3401"/>
      <c r="D2" s="3401"/>
      <c r="E2" s="3401"/>
      <c r="F2" s="3401"/>
      <c r="G2" s="3401"/>
      <c r="H2" s="3401"/>
      <c r="I2" s="1833"/>
    </row>
    <row r="3" spans="1:15" s="1552" customFormat="1" ht="14.25" customHeight="1">
      <c r="A3" s="3402" t="s">
        <v>1853</v>
      </c>
      <c r="B3" s="3402" t="s">
        <v>5297</v>
      </c>
      <c r="C3" s="3399" t="s">
        <v>5298</v>
      </c>
      <c r="D3" s="3399"/>
      <c r="E3" s="3399"/>
      <c r="F3" s="3399"/>
      <c r="G3" s="1840" t="s">
        <v>5299</v>
      </c>
      <c r="H3" s="3405" t="s">
        <v>5259</v>
      </c>
      <c r="I3" s="3405" t="s">
        <v>1855</v>
      </c>
    </row>
    <row r="4" spans="1:15" s="1552" customFormat="1" ht="30.75" customHeight="1">
      <c r="A4" s="3403"/>
      <c r="B4" s="3403"/>
      <c r="C4" s="1840" t="s">
        <v>1850</v>
      </c>
      <c r="D4" s="1844" t="s">
        <v>5300</v>
      </c>
      <c r="E4" s="1840" t="s">
        <v>5301</v>
      </c>
      <c r="F4" s="1844" t="s">
        <v>5259</v>
      </c>
      <c r="G4" s="1840" t="s">
        <v>1850</v>
      </c>
      <c r="H4" s="3406"/>
      <c r="I4" s="3406" t="s">
        <v>1855</v>
      </c>
    </row>
    <row r="5" spans="1:15" s="1552" customFormat="1" ht="14.25" customHeight="1">
      <c r="A5" s="3404"/>
      <c r="B5" s="1840">
        <v>1</v>
      </c>
      <c r="C5" s="1840">
        <v>2</v>
      </c>
      <c r="D5" s="1844">
        <v>3</v>
      </c>
      <c r="E5" s="1840">
        <v>4</v>
      </c>
      <c r="F5" s="1840" t="s">
        <v>5302</v>
      </c>
      <c r="G5" s="1840">
        <v>6</v>
      </c>
      <c r="H5" s="1840" t="s">
        <v>5303</v>
      </c>
      <c r="I5" s="1809"/>
    </row>
    <row r="6" spans="1:15" s="1552" customFormat="1" ht="14.25" customHeight="1">
      <c r="A6" s="1840">
        <v>1</v>
      </c>
      <c r="B6" s="1929" t="str">
        <f>捐赠!B7&amp;""</f>
        <v/>
      </c>
      <c r="C6" s="2075">
        <f>捐赠!D7+捐赠!J7</f>
        <v>0</v>
      </c>
      <c r="D6" s="1952" t="s">
        <v>1859</v>
      </c>
      <c r="E6" s="1952" t="s">
        <v>1859</v>
      </c>
      <c r="F6" s="1952" t="s">
        <v>1859</v>
      </c>
      <c r="G6" s="2072">
        <f>捐赠!C7</f>
        <v>0</v>
      </c>
      <c r="H6" s="1952" t="s">
        <v>1859</v>
      </c>
      <c r="I6" s="1809"/>
    </row>
    <row r="7" spans="1:15" s="1552" customFormat="1" ht="14.25" customHeight="1">
      <c r="A7" s="1840">
        <v>2</v>
      </c>
      <c r="B7" s="1929" t="str">
        <f>捐赠!B8&amp;""</f>
        <v/>
      </c>
      <c r="C7" s="2075">
        <f>捐赠!D8+捐赠!J8</f>
        <v>0</v>
      </c>
      <c r="D7" s="1952" t="s">
        <v>1859</v>
      </c>
      <c r="E7" s="1952" t="s">
        <v>1859</v>
      </c>
      <c r="F7" s="1952" t="s">
        <v>1859</v>
      </c>
      <c r="G7" s="2072">
        <f>捐赠!C8</f>
        <v>0</v>
      </c>
      <c r="H7" s="1952" t="s">
        <v>1859</v>
      </c>
      <c r="I7" s="1809"/>
    </row>
    <row r="8" spans="1:15" s="1552" customFormat="1" ht="14.25" customHeight="1">
      <c r="A8" s="1840">
        <v>3</v>
      </c>
      <c r="B8" s="1929" t="str">
        <f>捐赠!B9&amp;""</f>
        <v/>
      </c>
      <c r="C8" s="2075">
        <f>捐赠!D9+捐赠!J9</f>
        <v>0</v>
      </c>
      <c r="D8" s="1952" t="s">
        <v>1859</v>
      </c>
      <c r="E8" s="1952" t="s">
        <v>1859</v>
      </c>
      <c r="F8" s="1952" t="s">
        <v>1859</v>
      </c>
      <c r="G8" s="2072">
        <f>捐赠!C9</f>
        <v>0</v>
      </c>
      <c r="H8" s="1952" t="s">
        <v>1859</v>
      </c>
      <c r="I8" s="1809"/>
    </row>
    <row r="9" spans="1:15" s="1552" customFormat="1" ht="14.25" customHeight="1">
      <c r="A9" s="1840">
        <v>4</v>
      </c>
      <c r="B9" s="1929" t="str">
        <f>捐赠!B10&amp;""</f>
        <v/>
      </c>
      <c r="C9" s="2075">
        <f>捐赠!D10+捐赠!J10</f>
        <v>0</v>
      </c>
      <c r="D9" s="1952" t="s">
        <v>1859</v>
      </c>
      <c r="E9" s="1952" t="s">
        <v>1859</v>
      </c>
      <c r="F9" s="1952" t="s">
        <v>1859</v>
      </c>
      <c r="G9" s="2072">
        <f>捐赠!C10</f>
        <v>0</v>
      </c>
      <c r="H9" s="1952" t="s">
        <v>1859</v>
      </c>
      <c r="I9" s="1809"/>
    </row>
    <row r="10" spans="1:15" s="1552" customFormat="1" ht="14.25" customHeight="1">
      <c r="A10" s="1840">
        <v>5</v>
      </c>
      <c r="B10" s="1929" t="str">
        <f>捐赠!B11&amp;""</f>
        <v/>
      </c>
      <c r="C10" s="2075">
        <f>捐赠!D11+捐赠!J11</f>
        <v>0</v>
      </c>
      <c r="D10" s="1952" t="s">
        <v>1859</v>
      </c>
      <c r="E10" s="1952" t="s">
        <v>1859</v>
      </c>
      <c r="F10" s="1952" t="s">
        <v>1859</v>
      </c>
      <c r="G10" s="2072">
        <f>捐赠!C11</f>
        <v>0</v>
      </c>
      <c r="H10" s="1952" t="s">
        <v>1859</v>
      </c>
      <c r="I10" s="1809"/>
    </row>
    <row r="11" spans="1:15" s="1552" customFormat="1" ht="14.25" customHeight="1">
      <c r="A11" s="1840">
        <v>6</v>
      </c>
      <c r="B11" s="1929" t="str">
        <f>捐赠!B12&amp;""</f>
        <v/>
      </c>
      <c r="C11" s="2075">
        <f>捐赠!D12+捐赠!J12</f>
        <v>0</v>
      </c>
      <c r="D11" s="1952" t="s">
        <v>1859</v>
      </c>
      <c r="E11" s="1952" t="s">
        <v>1859</v>
      </c>
      <c r="F11" s="1952" t="s">
        <v>1859</v>
      </c>
      <c r="G11" s="2072">
        <f>捐赠!C12</f>
        <v>0</v>
      </c>
      <c r="H11" s="1952" t="s">
        <v>1859</v>
      </c>
      <c r="I11" s="1809"/>
    </row>
    <row r="12" spans="1:15" s="1552" customFormat="1" ht="14.25" customHeight="1">
      <c r="A12" s="1840">
        <v>7</v>
      </c>
      <c r="B12" s="1929" t="str">
        <f>捐赠!B13&amp;""</f>
        <v/>
      </c>
      <c r="C12" s="2075">
        <f>捐赠!D13+捐赠!J13</f>
        <v>0</v>
      </c>
      <c r="D12" s="1952" t="s">
        <v>1859</v>
      </c>
      <c r="E12" s="1952" t="s">
        <v>1859</v>
      </c>
      <c r="F12" s="1952" t="s">
        <v>1859</v>
      </c>
      <c r="G12" s="2072">
        <f>捐赠!C13</f>
        <v>0</v>
      </c>
      <c r="H12" s="1952" t="s">
        <v>1859</v>
      </c>
      <c r="I12" s="1809"/>
    </row>
    <row r="13" spans="1:15" s="1552" customFormat="1" ht="14.25" customHeight="1">
      <c r="A13" s="1840">
        <v>8</v>
      </c>
      <c r="B13" s="1929" t="str">
        <f>捐赠!B14&amp;""</f>
        <v/>
      </c>
      <c r="C13" s="2075">
        <f>捐赠!D14+捐赠!J14</f>
        <v>0</v>
      </c>
      <c r="D13" s="1952" t="s">
        <v>1859</v>
      </c>
      <c r="E13" s="1952" t="s">
        <v>1859</v>
      </c>
      <c r="F13" s="1952" t="s">
        <v>1859</v>
      </c>
      <c r="G13" s="2072">
        <f>捐赠!C14</f>
        <v>0</v>
      </c>
      <c r="H13" s="1952" t="s">
        <v>1859</v>
      </c>
      <c r="I13" s="1809"/>
    </row>
    <row r="14" spans="1:15" s="1552" customFormat="1" ht="14.25" customHeight="1">
      <c r="A14" s="1840">
        <v>9</v>
      </c>
      <c r="B14" s="1553"/>
      <c r="C14" s="2076"/>
      <c r="D14" s="1952" t="s">
        <v>1859</v>
      </c>
      <c r="E14" s="1952" t="s">
        <v>1859</v>
      </c>
      <c r="F14" s="1952" t="s">
        <v>1859</v>
      </c>
      <c r="G14" s="2076"/>
      <c r="H14" s="1952" t="s">
        <v>1859</v>
      </c>
      <c r="I14" s="1809"/>
    </row>
    <row r="15" spans="1:15" s="1552" customFormat="1" ht="14.25" customHeight="1">
      <c r="A15" s="1840">
        <v>10</v>
      </c>
      <c r="B15" s="1553"/>
      <c r="C15" s="2076"/>
      <c r="D15" s="1952" t="s">
        <v>1859</v>
      </c>
      <c r="E15" s="1952" t="s">
        <v>1859</v>
      </c>
      <c r="F15" s="1952" t="s">
        <v>1859</v>
      </c>
      <c r="G15" s="2076"/>
      <c r="H15" s="1952" t="s">
        <v>1859</v>
      </c>
      <c r="I15" s="1809"/>
      <c r="J15" s="1541"/>
      <c r="K15" s="1541"/>
      <c r="L15" s="1551"/>
      <c r="M15" s="1551"/>
      <c r="N15" s="1551"/>
      <c r="O15" s="1551"/>
    </row>
    <row r="16" spans="1:15" ht="14.25" customHeight="1">
      <c r="A16" s="1840">
        <v>11</v>
      </c>
      <c r="B16" s="1553"/>
      <c r="C16" s="2076"/>
      <c r="D16" s="1952" t="s">
        <v>1859</v>
      </c>
      <c r="E16" s="1952" t="s">
        <v>1859</v>
      </c>
      <c r="F16" s="1952" t="s">
        <v>1859</v>
      </c>
      <c r="G16" s="2076"/>
      <c r="H16" s="1952" t="s">
        <v>1859</v>
      </c>
      <c r="I16" s="1968"/>
    </row>
    <row r="17" spans="1:10" ht="14.25" customHeight="1">
      <c r="A17" s="1840">
        <v>12</v>
      </c>
      <c r="B17" s="1553"/>
      <c r="C17" s="2076"/>
      <c r="D17" s="1952" t="s">
        <v>1859</v>
      </c>
      <c r="E17" s="1952" t="s">
        <v>1859</v>
      </c>
      <c r="F17" s="1952" t="s">
        <v>1859</v>
      </c>
      <c r="G17" s="2076"/>
      <c r="H17" s="1952" t="s">
        <v>1859</v>
      </c>
      <c r="I17" s="1968"/>
    </row>
    <row r="18" spans="1:10" ht="14.25" customHeight="1">
      <c r="A18" s="1840">
        <v>13</v>
      </c>
      <c r="B18" s="1553"/>
      <c r="C18" s="2076"/>
      <c r="D18" s="1952" t="s">
        <v>1859</v>
      </c>
      <c r="E18" s="1952" t="s">
        <v>1859</v>
      </c>
      <c r="F18" s="1952" t="s">
        <v>1859</v>
      </c>
      <c r="G18" s="2076"/>
      <c r="H18" s="1952" t="s">
        <v>1859</v>
      </c>
      <c r="I18" s="1968"/>
    </row>
    <row r="19" spans="1:10" ht="14.25" customHeight="1">
      <c r="A19" s="1840">
        <v>14</v>
      </c>
      <c r="B19" s="1553"/>
      <c r="C19" s="2076"/>
      <c r="D19" s="1952" t="s">
        <v>1859</v>
      </c>
      <c r="E19" s="1952" t="s">
        <v>1859</v>
      </c>
      <c r="F19" s="1952" t="s">
        <v>1859</v>
      </c>
      <c r="G19" s="2076"/>
      <c r="H19" s="1952" t="s">
        <v>1859</v>
      </c>
      <c r="I19" s="1968"/>
    </row>
    <row r="20" spans="1:10" ht="14.25" customHeight="1">
      <c r="A20" s="1840">
        <v>15</v>
      </c>
      <c r="B20" s="1553"/>
      <c r="C20" s="2076"/>
      <c r="D20" s="1952" t="s">
        <v>1859</v>
      </c>
      <c r="E20" s="1952" t="s">
        <v>1859</v>
      </c>
      <c r="F20" s="1952" t="s">
        <v>1859</v>
      </c>
      <c r="G20" s="2076"/>
      <c r="H20" s="1952" t="s">
        <v>1859</v>
      </c>
      <c r="I20" s="1968"/>
    </row>
    <row r="21" spans="1:10" ht="14.25" customHeight="1">
      <c r="A21" s="1840">
        <v>16</v>
      </c>
      <c r="B21" s="1553"/>
      <c r="C21" s="2076"/>
      <c r="D21" s="1952" t="s">
        <v>1859</v>
      </c>
      <c r="E21" s="1952" t="s">
        <v>1859</v>
      </c>
      <c r="F21" s="1952" t="s">
        <v>1859</v>
      </c>
      <c r="G21" s="2076"/>
      <c r="H21" s="1952" t="s">
        <v>1859</v>
      </c>
      <c r="I21" s="1968"/>
    </row>
    <row r="22" spans="1:10" ht="14.25" customHeight="1">
      <c r="A22" s="1840">
        <v>17</v>
      </c>
      <c r="B22" s="1553"/>
      <c r="C22" s="2076"/>
      <c r="D22" s="1952" t="s">
        <v>1859</v>
      </c>
      <c r="E22" s="1952" t="s">
        <v>1859</v>
      </c>
      <c r="F22" s="1952" t="s">
        <v>5304</v>
      </c>
      <c r="G22" s="2076"/>
      <c r="H22" s="1952" t="s">
        <v>1859</v>
      </c>
      <c r="I22" s="1968"/>
    </row>
    <row r="23" spans="1:10" ht="14.25" customHeight="1">
      <c r="A23" s="1840">
        <v>18</v>
      </c>
      <c r="B23" s="1553"/>
      <c r="C23" s="2076"/>
      <c r="D23" s="1952" t="s">
        <v>1859</v>
      </c>
      <c r="E23" s="1952" t="s">
        <v>1859</v>
      </c>
      <c r="F23" s="1952" t="s">
        <v>1859</v>
      </c>
      <c r="G23" s="2076"/>
      <c r="H23" s="1952" t="s">
        <v>1859</v>
      </c>
      <c r="I23" s="1968"/>
    </row>
    <row r="24" spans="1:10" ht="14.25" customHeight="1">
      <c r="A24" s="1840">
        <v>19</v>
      </c>
      <c r="B24" s="2004"/>
      <c r="C24" s="2076"/>
      <c r="D24" s="1952" t="s">
        <v>1859</v>
      </c>
      <c r="E24" s="1952" t="s">
        <v>1859</v>
      </c>
      <c r="F24" s="1952" t="s">
        <v>1859</v>
      </c>
      <c r="G24" s="2076"/>
      <c r="H24" s="1952" t="s">
        <v>1859</v>
      </c>
      <c r="I24" s="1968"/>
    </row>
    <row r="25" spans="1:10" s="1552" customFormat="1" ht="31.5" customHeight="1">
      <c r="A25" s="1841">
        <v>20</v>
      </c>
      <c r="B25" s="1843" t="s">
        <v>5305</v>
      </c>
      <c r="C25" s="2078">
        <f>SUM(C6:C24)</f>
        <v>0</v>
      </c>
      <c r="D25" s="2078">
        <f>MAX(0,ROUND('A100000中华人民共和国企业所得税年度纳税申报表（A类）'!D16*0.12,2))</f>
        <v>0</v>
      </c>
      <c r="E25" s="2078">
        <f>MIN(N(D25),N(C25))</f>
        <v>0</v>
      </c>
      <c r="F25" s="2078">
        <f>C25-E25</f>
        <v>0</v>
      </c>
      <c r="G25" s="2078">
        <f>SUM(G6:G24)</f>
        <v>0</v>
      </c>
      <c r="H25" s="2078">
        <f>F25+G25</f>
        <v>0</v>
      </c>
      <c r="I25" s="1810" t="s">
        <v>5306</v>
      </c>
      <c r="J25" s="1556"/>
    </row>
  </sheetData>
  <mergeCells count="7">
    <mergeCell ref="I3:I4"/>
    <mergeCell ref="A1:H1"/>
    <mergeCell ref="A2:H2"/>
    <mergeCell ref="A3:A5"/>
    <mergeCell ref="B3:B4"/>
    <mergeCell ref="C3:F3"/>
    <mergeCell ref="H3:H4"/>
  </mergeCells>
  <phoneticPr fontId="51" type="noConversion"/>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N32"/>
  <sheetViews>
    <sheetView topLeftCell="A4" workbookViewId="0">
      <selection activeCell="I7" sqref="I7"/>
    </sheetView>
  </sheetViews>
  <sheetFormatPr defaultRowHeight="15.6"/>
  <cols>
    <col min="1" max="1" width="5.19921875" style="1551" customWidth="1"/>
    <col min="2" max="2" width="26" style="1551" customWidth="1"/>
    <col min="3" max="11" width="11.09765625" style="1551" customWidth="1"/>
    <col min="12" max="12" width="6.3984375" style="1551" customWidth="1"/>
    <col min="13" max="13" width="18.3984375" style="1552" customWidth="1"/>
    <col min="14" max="14" width="48.09765625" style="1551" customWidth="1"/>
    <col min="15" max="256" width="9" style="1551"/>
    <col min="257" max="257" width="5.19921875" style="1551" customWidth="1"/>
    <col min="258" max="258" width="30.8984375" style="1551" customWidth="1"/>
    <col min="259" max="259" width="6.3984375" style="1551" customWidth="1"/>
    <col min="260" max="260" width="6.5" style="1551" customWidth="1"/>
    <col min="261" max="261" width="6.09765625" style="1551" customWidth="1"/>
    <col min="262" max="262" width="6" style="1551" customWidth="1"/>
    <col min="263" max="264" width="7" style="1551" customWidth="1"/>
    <col min="265" max="265" width="8.69921875" style="1551" customWidth="1"/>
    <col min="266" max="266" width="6.5" style="1551" customWidth="1"/>
    <col min="267" max="267" width="6.8984375" style="1551" customWidth="1"/>
    <col min="268" max="268" width="6.3984375" style="1551" customWidth="1"/>
    <col min="269" max="269" width="18.3984375" style="1551" customWidth="1"/>
    <col min="270" max="270" width="48.09765625" style="1551" customWidth="1"/>
    <col min="271" max="512" width="9" style="1551"/>
    <col min="513" max="513" width="5.19921875" style="1551" customWidth="1"/>
    <col min="514" max="514" width="30.8984375" style="1551" customWidth="1"/>
    <col min="515" max="515" width="6.3984375" style="1551" customWidth="1"/>
    <col min="516" max="516" width="6.5" style="1551" customWidth="1"/>
    <col min="517" max="517" width="6.09765625" style="1551" customWidth="1"/>
    <col min="518" max="518" width="6" style="1551" customWidth="1"/>
    <col min="519" max="520" width="7" style="1551" customWidth="1"/>
    <col min="521" max="521" width="8.69921875" style="1551" customWidth="1"/>
    <col min="522" max="522" width="6.5" style="1551" customWidth="1"/>
    <col min="523" max="523" width="6.8984375" style="1551" customWidth="1"/>
    <col min="524" max="524" width="6.3984375" style="1551" customWidth="1"/>
    <col min="525" max="525" width="18.3984375" style="1551" customWidth="1"/>
    <col min="526" max="526" width="48.09765625" style="1551" customWidth="1"/>
    <col min="527" max="768" width="9" style="1551"/>
    <col min="769" max="769" width="5.19921875" style="1551" customWidth="1"/>
    <col min="770" max="770" width="30.8984375" style="1551" customWidth="1"/>
    <col min="771" max="771" width="6.3984375" style="1551" customWidth="1"/>
    <col min="772" max="772" width="6.5" style="1551" customWidth="1"/>
    <col min="773" max="773" width="6.09765625" style="1551" customWidth="1"/>
    <col min="774" max="774" width="6" style="1551" customWidth="1"/>
    <col min="775" max="776" width="7" style="1551" customWidth="1"/>
    <col min="777" max="777" width="8.69921875" style="1551" customWidth="1"/>
    <col min="778" max="778" width="6.5" style="1551" customWidth="1"/>
    <col min="779" max="779" width="6.8984375" style="1551" customWidth="1"/>
    <col min="780" max="780" width="6.3984375" style="1551" customWidth="1"/>
    <col min="781" max="781" width="18.3984375" style="1551" customWidth="1"/>
    <col min="782" max="782" width="48.09765625" style="1551" customWidth="1"/>
    <col min="783" max="1024" width="9" style="1551"/>
    <col min="1025" max="1025" width="5.19921875" style="1551" customWidth="1"/>
    <col min="1026" max="1026" width="30.8984375" style="1551" customWidth="1"/>
    <col min="1027" max="1027" width="6.3984375" style="1551" customWidth="1"/>
    <col min="1028" max="1028" width="6.5" style="1551" customWidth="1"/>
    <col min="1029" max="1029" width="6.09765625" style="1551" customWidth="1"/>
    <col min="1030" max="1030" width="6" style="1551" customWidth="1"/>
    <col min="1031" max="1032" width="7" style="1551" customWidth="1"/>
    <col min="1033" max="1033" width="8.69921875" style="1551" customWidth="1"/>
    <col min="1034" max="1034" width="6.5" style="1551" customWidth="1"/>
    <col min="1035" max="1035" width="6.8984375" style="1551" customWidth="1"/>
    <col min="1036" max="1036" width="6.3984375" style="1551" customWidth="1"/>
    <col min="1037" max="1037" width="18.3984375" style="1551" customWidth="1"/>
    <col min="1038" max="1038" width="48.09765625" style="1551" customWidth="1"/>
    <col min="1039" max="1280" width="9" style="1551"/>
    <col min="1281" max="1281" width="5.19921875" style="1551" customWidth="1"/>
    <col min="1282" max="1282" width="30.8984375" style="1551" customWidth="1"/>
    <col min="1283" max="1283" width="6.3984375" style="1551" customWidth="1"/>
    <col min="1284" max="1284" width="6.5" style="1551" customWidth="1"/>
    <col min="1285" max="1285" width="6.09765625" style="1551" customWidth="1"/>
    <col min="1286" max="1286" width="6" style="1551" customWidth="1"/>
    <col min="1287" max="1288" width="7" style="1551" customWidth="1"/>
    <col min="1289" max="1289" width="8.69921875" style="1551" customWidth="1"/>
    <col min="1290" max="1290" width="6.5" style="1551" customWidth="1"/>
    <col min="1291" max="1291" width="6.8984375" style="1551" customWidth="1"/>
    <col min="1292" max="1292" width="6.3984375" style="1551" customWidth="1"/>
    <col min="1293" max="1293" width="18.3984375" style="1551" customWidth="1"/>
    <col min="1294" max="1294" width="48.09765625" style="1551" customWidth="1"/>
    <col min="1295" max="1536" width="9" style="1551"/>
    <col min="1537" max="1537" width="5.19921875" style="1551" customWidth="1"/>
    <col min="1538" max="1538" width="30.8984375" style="1551" customWidth="1"/>
    <col min="1539" max="1539" width="6.3984375" style="1551" customWidth="1"/>
    <col min="1540" max="1540" width="6.5" style="1551" customWidth="1"/>
    <col min="1541" max="1541" width="6.09765625" style="1551" customWidth="1"/>
    <col min="1542" max="1542" width="6" style="1551" customWidth="1"/>
    <col min="1543" max="1544" width="7" style="1551" customWidth="1"/>
    <col min="1545" max="1545" width="8.69921875" style="1551" customWidth="1"/>
    <col min="1546" max="1546" width="6.5" style="1551" customWidth="1"/>
    <col min="1547" max="1547" width="6.8984375" style="1551" customWidth="1"/>
    <col min="1548" max="1548" width="6.3984375" style="1551" customWidth="1"/>
    <col min="1549" max="1549" width="18.3984375" style="1551" customWidth="1"/>
    <col min="1550" max="1550" width="48.09765625" style="1551" customWidth="1"/>
    <col min="1551" max="1792" width="9" style="1551"/>
    <col min="1793" max="1793" width="5.19921875" style="1551" customWidth="1"/>
    <col min="1794" max="1794" width="30.8984375" style="1551" customWidth="1"/>
    <col min="1795" max="1795" width="6.3984375" style="1551" customWidth="1"/>
    <col min="1796" max="1796" width="6.5" style="1551" customWidth="1"/>
    <col min="1797" max="1797" width="6.09765625" style="1551" customWidth="1"/>
    <col min="1798" max="1798" width="6" style="1551" customWidth="1"/>
    <col min="1799" max="1800" width="7" style="1551" customWidth="1"/>
    <col min="1801" max="1801" width="8.69921875" style="1551" customWidth="1"/>
    <col min="1802" max="1802" width="6.5" style="1551" customWidth="1"/>
    <col min="1803" max="1803" width="6.8984375" style="1551" customWidth="1"/>
    <col min="1804" max="1804" width="6.3984375" style="1551" customWidth="1"/>
    <col min="1805" max="1805" width="18.3984375" style="1551" customWidth="1"/>
    <col min="1806" max="1806" width="48.09765625" style="1551" customWidth="1"/>
    <col min="1807" max="2048" width="9" style="1551"/>
    <col min="2049" max="2049" width="5.19921875" style="1551" customWidth="1"/>
    <col min="2050" max="2050" width="30.8984375" style="1551" customWidth="1"/>
    <col min="2051" max="2051" width="6.3984375" style="1551" customWidth="1"/>
    <col min="2052" max="2052" width="6.5" style="1551" customWidth="1"/>
    <col min="2053" max="2053" width="6.09765625" style="1551" customWidth="1"/>
    <col min="2054" max="2054" width="6" style="1551" customWidth="1"/>
    <col min="2055" max="2056" width="7" style="1551" customWidth="1"/>
    <col min="2057" max="2057" width="8.69921875" style="1551" customWidth="1"/>
    <col min="2058" max="2058" width="6.5" style="1551" customWidth="1"/>
    <col min="2059" max="2059" width="6.8984375" style="1551" customWidth="1"/>
    <col min="2060" max="2060" width="6.3984375" style="1551" customWidth="1"/>
    <col min="2061" max="2061" width="18.3984375" style="1551" customWidth="1"/>
    <col min="2062" max="2062" width="48.09765625" style="1551" customWidth="1"/>
    <col min="2063" max="2304" width="9" style="1551"/>
    <col min="2305" max="2305" width="5.19921875" style="1551" customWidth="1"/>
    <col min="2306" max="2306" width="30.8984375" style="1551" customWidth="1"/>
    <col min="2307" max="2307" width="6.3984375" style="1551" customWidth="1"/>
    <col min="2308" max="2308" width="6.5" style="1551" customWidth="1"/>
    <col min="2309" max="2309" width="6.09765625" style="1551" customWidth="1"/>
    <col min="2310" max="2310" width="6" style="1551" customWidth="1"/>
    <col min="2311" max="2312" width="7" style="1551" customWidth="1"/>
    <col min="2313" max="2313" width="8.69921875" style="1551" customWidth="1"/>
    <col min="2314" max="2314" width="6.5" style="1551" customWidth="1"/>
    <col min="2315" max="2315" width="6.8984375" style="1551" customWidth="1"/>
    <col min="2316" max="2316" width="6.3984375" style="1551" customWidth="1"/>
    <col min="2317" max="2317" width="18.3984375" style="1551" customWidth="1"/>
    <col min="2318" max="2318" width="48.09765625" style="1551" customWidth="1"/>
    <col min="2319" max="2560" width="9" style="1551"/>
    <col min="2561" max="2561" width="5.19921875" style="1551" customWidth="1"/>
    <col min="2562" max="2562" width="30.8984375" style="1551" customWidth="1"/>
    <col min="2563" max="2563" width="6.3984375" style="1551" customWidth="1"/>
    <col min="2564" max="2564" width="6.5" style="1551" customWidth="1"/>
    <col min="2565" max="2565" width="6.09765625" style="1551" customWidth="1"/>
    <col min="2566" max="2566" width="6" style="1551" customWidth="1"/>
    <col min="2567" max="2568" width="7" style="1551" customWidth="1"/>
    <col min="2569" max="2569" width="8.69921875" style="1551" customWidth="1"/>
    <col min="2570" max="2570" width="6.5" style="1551" customWidth="1"/>
    <col min="2571" max="2571" width="6.8984375" style="1551" customWidth="1"/>
    <col min="2572" max="2572" width="6.3984375" style="1551" customWidth="1"/>
    <col min="2573" max="2573" width="18.3984375" style="1551" customWidth="1"/>
    <col min="2574" max="2574" width="48.09765625" style="1551" customWidth="1"/>
    <col min="2575" max="2816" width="9" style="1551"/>
    <col min="2817" max="2817" width="5.19921875" style="1551" customWidth="1"/>
    <col min="2818" max="2818" width="30.8984375" style="1551" customWidth="1"/>
    <col min="2819" max="2819" width="6.3984375" style="1551" customWidth="1"/>
    <col min="2820" max="2820" width="6.5" style="1551" customWidth="1"/>
    <col min="2821" max="2821" width="6.09765625" style="1551" customWidth="1"/>
    <col min="2822" max="2822" width="6" style="1551" customWidth="1"/>
    <col min="2823" max="2824" width="7" style="1551" customWidth="1"/>
    <col min="2825" max="2825" width="8.69921875" style="1551" customWidth="1"/>
    <col min="2826" max="2826" width="6.5" style="1551" customWidth="1"/>
    <col min="2827" max="2827" width="6.8984375" style="1551" customWidth="1"/>
    <col min="2828" max="2828" width="6.3984375" style="1551" customWidth="1"/>
    <col min="2829" max="2829" width="18.3984375" style="1551" customWidth="1"/>
    <col min="2830" max="2830" width="48.09765625" style="1551" customWidth="1"/>
    <col min="2831" max="3072" width="9" style="1551"/>
    <col min="3073" max="3073" width="5.19921875" style="1551" customWidth="1"/>
    <col min="3074" max="3074" width="30.8984375" style="1551" customWidth="1"/>
    <col min="3075" max="3075" width="6.3984375" style="1551" customWidth="1"/>
    <col min="3076" max="3076" width="6.5" style="1551" customWidth="1"/>
    <col min="3077" max="3077" width="6.09765625" style="1551" customWidth="1"/>
    <col min="3078" max="3078" width="6" style="1551" customWidth="1"/>
    <col min="3079" max="3080" width="7" style="1551" customWidth="1"/>
    <col min="3081" max="3081" width="8.69921875" style="1551" customWidth="1"/>
    <col min="3082" max="3082" width="6.5" style="1551" customWidth="1"/>
    <col min="3083" max="3083" width="6.8984375" style="1551" customWidth="1"/>
    <col min="3084" max="3084" width="6.3984375" style="1551" customWidth="1"/>
    <col min="3085" max="3085" width="18.3984375" style="1551" customWidth="1"/>
    <col min="3086" max="3086" width="48.09765625" style="1551" customWidth="1"/>
    <col min="3087" max="3328" width="9" style="1551"/>
    <col min="3329" max="3329" width="5.19921875" style="1551" customWidth="1"/>
    <col min="3330" max="3330" width="30.8984375" style="1551" customWidth="1"/>
    <col min="3331" max="3331" width="6.3984375" style="1551" customWidth="1"/>
    <col min="3332" max="3332" width="6.5" style="1551" customWidth="1"/>
    <col min="3333" max="3333" width="6.09765625" style="1551" customWidth="1"/>
    <col min="3334" max="3334" width="6" style="1551" customWidth="1"/>
    <col min="3335" max="3336" width="7" style="1551" customWidth="1"/>
    <col min="3337" max="3337" width="8.69921875" style="1551" customWidth="1"/>
    <col min="3338" max="3338" width="6.5" style="1551" customWidth="1"/>
    <col min="3339" max="3339" width="6.8984375" style="1551" customWidth="1"/>
    <col min="3340" max="3340" width="6.3984375" style="1551" customWidth="1"/>
    <col min="3341" max="3341" width="18.3984375" style="1551" customWidth="1"/>
    <col min="3342" max="3342" width="48.09765625" style="1551" customWidth="1"/>
    <col min="3343" max="3584" width="9" style="1551"/>
    <col min="3585" max="3585" width="5.19921875" style="1551" customWidth="1"/>
    <col min="3586" max="3586" width="30.8984375" style="1551" customWidth="1"/>
    <col min="3587" max="3587" width="6.3984375" style="1551" customWidth="1"/>
    <col min="3588" max="3588" width="6.5" style="1551" customWidth="1"/>
    <col min="3589" max="3589" width="6.09765625" style="1551" customWidth="1"/>
    <col min="3590" max="3590" width="6" style="1551" customWidth="1"/>
    <col min="3591" max="3592" width="7" style="1551" customWidth="1"/>
    <col min="3593" max="3593" width="8.69921875" style="1551" customWidth="1"/>
    <col min="3594" max="3594" width="6.5" style="1551" customWidth="1"/>
    <col min="3595" max="3595" width="6.8984375" style="1551" customWidth="1"/>
    <col min="3596" max="3596" width="6.3984375" style="1551" customWidth="1"/>
    <col min="3597" max="3597" width="18.3984375" style="1551" customWidth="1"/>
    <col min="3598" max="3598" width="48.09765625" style="1551" customWidth="1"/>
    <col min="3599" max="3840" width="9" style="1551"/>
    <col min="3841" max="3841" width="5.19921875" style="1551" customWidth="1"/>
    <col min="3842" max="3842" width="30.8984375" style="1551" customWidth="1"/>
    <col min="3843" max="3843" width="6.3984375" style="1551" customWidth="1"/>
    <col min="3844" max="3844" width="6.5" style="1551" customWidth="1"/>
    <col min="3845" max="3845" width="6.09765625" style="1551" customWidth="1"/>
    <col min="3846" max="3846" width="6" style="1551" customWidth="1"/>
    <col min="3847" max="3848" width="7" style="1551" customWidth="1"/>
    <col min="3849" max="3849" width="8.69921875" style="1551" customWidth="1"/>
    <col min="3850" max="3850" width="6.5" style="1551" customWidth="1"/>
    <col min="3851" max="3851" width="6.8984375" style="1551" customWidth="1"/>
    <col min="3852" max="3852" width="6.3984375" style="1551" customWidth="1"/>
    <col min="3853" max="3853" width="18.3984375" style="1551" customWidth="1"/>
    <col min="3854" max="3854" width="48.09765625" style="1551" customWidth="1"/>
    <col min="3855" max="4096" width="9" style="1551"/>
    <col min="4097" max="4097" width="5.19921875" style="1551" customWidth="1"/>
    <col min="4098" max="4098" width="30.8984375" style="1551" customWidth="1"/>
    <col min="4099" max="4099" width="6.3984375" style="1551" customWidth="1"/>
    <col min="4100" max="4100" width="6.5" style="1551" customWidth="1"/>
    <col min="4101" max="4101" width="6.09765625" style="1551" customWidth="1"/>
    <col min="4102" max="4102" width="6" style="1551" customWidth="1"/>
    <col min="4103" max="4104" width="7" style="1551" customWidth="1"/>
    <col min="4105" max="4105" width="8.69921875" style="1551" customWidth="1"/>
    <col min="4106" max="4106" width="6.5" style="1551" customWidth="1"/>
    <col min="4107" max="4107" width="6.8984375" style="1551" customWidth="1"/>
    <col min="4108" max="4108" width="6.3984375" style="1551" customWidth="1"/>
    <col min="4109" max="4109" width="18.3984375" style="1551" customWidth="1"/>
    <col min="4110" max="4110" width="48.09765625" style="1551" customWidth="1"/>
    <col min="4111" max="4352" width="9" style="1551"/>
    <col min="4353" max="4353" width="5.19921875" style="1551" customWidth="1"/>
    <col min="4354" max="4354" width="30.8984375" style="1551" customWidth="1"/>
    <col min="4355" max="4355" width="6.3984375" style="1551" customWidth="1"/>
    <col min="4356" max="4356" width="6.5" style="1551" customWidth="1"/>
    <col min="4357" max="4357" width="6.09765625" style="1551" customWidth="1"/>
    <col min="4358" max="4358" width="6" style="1551" customWidth="1"/>
    <col min="4359" max="4360" width="7" style="1551" customWidth="1"/>
    <col min="4361" max="4361" width="8.69921875" style="1551" customWidth="1"/>
    <col min="4362" max="4362" width="6.5" style="1551" customWidth="1"/>
    <col min="4363" max="4363" width="6.8984375" style="1551" customWidth="1"/>
    <col min="4364" max="4364" width="6.3984375" style="1551" customWidth="1"/>
    <col min="4365" max="4365" width="18.3984375" style="1551" customWidth="1"/>
    <col min="4366" max="4366" width="48.09765625" style="1551" customWidth="1"/>
    <col min="4367" max="4608" width="9" style="1551"/>
    <col min="4609" max="4609" width="5.19921875" style="1551" customWidth="1"/>
    <col min="4610" max="4610" width="30.8984375" style="1551" customWidth="1"/>
    <col min="4611" max="4611" width="6.3984375" style="1551" customWidth="1"/>
    <col min="4612" max="4612" width="6.5" style="1551" customWidth="1"/>
    <col min="4613" max="4613" width="6.09765625" style="1551" customWidth="1"/>
    <col min="4614" max="4614" width="6" style="1551" customWidth="1"/>
    <col min="4615" max="4616" width="7" style="1551" customWidth="1"/>
    <col min="4617" max="4617" width="8.69921875" style="1551" customWidth="1"/>
    <col min="4618" max="4618" width="6.5" style="1551" customWidth="1"/>
    <col min="4619" max="4619" width="6.8984375" style="1551" customWidth="1"/>
    <col min="4620" max="4620" width="6.3984375" style="1551" customWidth="1"/>
    <col min="4621" max="4621" width="18.3984375" style="1551" customWidth="1"/>
    <col min="4622" max="4622" width="48.09765625" style="1551" customWidth="1"/>
    <col min="4623" max="4864" width="9" style="1551"/>
    <col min="4865" max="4865" width="5.19921875" style="1551" customWidth="1"/>
    <col min="4866" max="4866" width="30.8984375" style="1551" customWidth="1"/>
    <col min="4867" max="4867" width="6.3984375" style="1551" customWidth="1"/>
    <col min="4868" max="4868" width="6.5" style="1551" customWidth="1"/>
    <col min="4869" max="4869" width="6.09765625" style="1551" customWidth="1"/>
    <col min="4870" max="4870" width="6" style="1551" customWidth="1"/>
    <col min="4871" max="4872" width="7" style="1551" customWidth="1"/>
    <col min="4873" max="4873" width="8.69921875" style="1551" customWidth="1"/>
    <col min="4874" max="4874" width="6.5" style="1551" customWidth="1"/>
    <col min="4875" max="4875" width="6.8984375" style="1551" customWidth="1"/>
    <col min="4876" max="4876" width="6.3984375" style="1551" customWidth="1"/>
    <col min="4877" max="4877" width="18.3984375" style="1551" customWidth="1"/>
    <col min="4878" max="4878" width="48.09765625" style="1551" customWidth="1"/>
    <col min="4879" max="5120" width="9" style="1551"/>
    <col min="5121" max="5121" width="5.19921875" style="1551" customWidth="1"/>
    <col min="5122" max="5122" width="30.8984375" style="1551" customWidth="1"/>
    <col min="5123" max="5123" width="6.3984375" style="1551" customWidth="1"/>
    <col min="5124" max="5124" width="6.5" style="1551" customWidth="1"/>
    <col min="5125" max="5125" width="6.09765625" style="1551" customWidth="1"/>
    <col min="5126" max="5126" width="6" style="1551" customWidth="1"/>
    <col min="5127" max="5128" width="7" style="1551" customWidth="1"/>
    <col min="5129" max="5129" width="8.69921875" style="1551" customWidth="1"/>
    <col min="5130" max="5130" width="6.5" style="1551" customWidth="1"/>
    <col min="5131" max="5131" width="6.8984375" style="1551" customWidth="1"/>
    <col min="5132" max="5132" width="6.3984375" style="1551" customWidth="1"/>
    <col min="5133" max="5133" width="18.3984375" style="1551" customWidth="1"/>
    <col min="5134" max="5134" width="48.09765625" style="1551" customWidth="1"/>
    <col min="5135" max="5376" width="9" style="1551"/>
    <col min="5377" max="5377" width="5.19921875" style="1551" customWidth="1"/>
    <col min="5378" max="5378" width="30.8984375" style="1551" customWidth="1"/>
    <col min="5379" max="5379" width="6.3984375" style="1551" customWidth="1"/>
    <col min="5380" max="5380" width="6.5" style="1551" customWidth="1"/>
    <col min="5381" max="5381" width="6.09765625" style="1551" customWidth="1"/>
    <col min="5382" max="5382" width="6" style="1551" customWidth="1"/>
    <col min="5383" max="5384" width="7" style="1551" customWidth="1"/>
    <col min="5385" max="5385" width="8.69921875" style="1551" customWidth="1"/>
    <col min="5386" max="5386" width="6.5" style="1551" customWidth="1"/>
    <col min="5387" max="5387" width="6.8984375" style="1551" customWidth="1"/>
    <col min="5388" max="5388" width="6.3984375" style="1551" customWidth="1"/>
    <col min="5389" max="5389" width="18.3984375" style="1551" customWidth="1"/>
    <col min="5390" max="5390" width="48.09765625" style="1551" customWidth="1"/>
    <col min="5391" max="5632" width="9" style="1551"/>
    <col min="5633" max="5633" width="5.19921875" style="1551" customWidth="1"/>
    <col min="5634" max="5634" width="30.8984375" style="1551" customWidth="1"/>
    <col min="5635" max="5635" width="6.3984375" style="1551" customWidth="1"/>
    <col min="5636" max="5636" width="6.5" style="1551" customWidth="1"/>
    <col min="5637" max="5637" width="6.09765625" style="1551" customWidth="1"/>
    <col min="5638" max="5638" width="6" style="1551" customWidth="1"/>
    <col min="5639" max="5640" width="7" style="1551" customWidth="1"/>
    <col min="5641" max="5641" width="8.69921875" style="1551" customWidth="1"/>
    <col min="5642" max="5642" width="6.5" style="1551" customWidth="1"/>
    <col min="5643" max="5643" width="6.8984375" style="1551" customWidth="1"/>
    <col min="5644" max="5644" width="6.3984375" style="1551" customWidth="1"/>
    <col min="5645" max="5645" width="18.3984375" style="1551" customWidth="1"/>
    <col min="5646" max="5646" width="48.09765625" style="1551" customWidth="1"/>
    <col min="5647" max="5888" width="9" style="1551"/>
    <col min="5889" max="5889" width="5.19921875" style="1551" customWidth="1"/>
    <col min="5890" max="5890" width="30.8984375" style="1551" customWidth="1"/>
    <col min="5891" max="5891" width="6.3984375" style="1551" customWidth="1"/>
    <col min="5892" max="5892" width="6.5" style="1551" customWidth="1"/>
    <col min="5893" max="5893" width="6.09765625" style="1551" customWidth="1"/>
    <col min="5894" max="5894" width="6" style="1551" customWidth="1"/>
    <col min="5895" max="5896" width="7" style="1551" customWidth="1"/>
    <col min="5897" max="5897" width="8.69921875" style="1551" customWidth="1"/>
    <col min="5898" max="5898" width="6.5" style="1551" customWidth="1"/>
    <col min="5899" max="5899" width="6.8984375" style="1551" customWidth="1"/>
    <col min="5900" max="5900" width="6.3984375" style="1551" customWidth="1"/>
    <col min="5901" max="5901" width="18.3984375" style="1551" customWidth="1"/>
    <col min="5902" max="5902" width="48.09765625" style="1551" customWidth="1"/>
    <col min="5903" max="6144" width="9" style="1551"/>
    <col min="6145" max="6145" width="5.19921875" style="1551" customWidth="1"/>
    <col min="6146" max="6146" width="30.8984375" style="1551" customWidth="1"/>
    <col min="6147" max="6147" width="6.3984375" style="1551" customWidth="1"/>
    <col min="6148" max="6148" width="6.5" style="1551" customWidth="1"/>
    <col min="6149" max="6149" width="6.09765625" style="1551" customWidth="1"/>
    <col min="6150" max="6150" width="6" style="1551" customWidth="1"/>
    <col min="6151" max="6152" width="7" style="1551" customWidth="1"/>
    <col min="6153" max="6153" width="8.69921875" style="1551" customWidth="1"/>
    <col min="6154" max="6154" width="6.5" style="1551" customWidth="1"/>
    <col min="6155" max="6155" width="6.8984375" style="1551" customWidth="1"/>
    <col min="6156" max="6156" width="6.3984375" style="1551" customWidth="1"/>
    <col min="6157" max="6157" width="18.3984375" style="1551" customWidth="1"/>
    <col min="6158" max="6158" width="48.09765625" style="1551" customWidth="1"/>
    <col min="6159" max="6400" width="9" style="1551"/>
    <col min="6401" max="6401" width="5.19921875" style="1551" customWidth="1"/>
    <col min="6402" max="6402" width="30.8984375" style="1551" customWidth="1"/>
    <col min="6403" max="6403" width="6.3984375" style="1551" customWidth="1"/>
    <col min="6404" max="6404" width="6.5" style="1551" customWidth="1"/>
    <col min="6405" max="6405" width="6.09765625" style="1551" customWidth="1"/>
    <col min="6406" max="6406" width="6" style="1551" customWidth="1"/>
    <col min="6407" max="6408" width="7" style="1551" customWidth="1"/>
    <col min="6409" max="6409" width="8.69921875" style="1551" customWidth="1"/>
    <col min="6410" max="6410" width="6.5" style="1551" customWidth="1"/>
    <col min="6411" max="6411" width="6.8984375" style="1551" customWidth="1"/>
    <col min="6412" max="6412" width="6.3984375" style="1551" customWidth="1"/>
    <col min="6413" max="6413" width="18.3984375" style="1551" customWidth="1"/>
    <col min="6414" max="6414" width="48.09765625" style="1551" customWidth="1"/>
    <col min="6415" max="6656" width="9" style="1551"/>
    <col min="6657" max="6657" width="5.19921875" style="1551" customWidth="1"/>
    <col min="6658" max="6658" width="30.8984375" style="1551" customWidth="1"/>
    <col min="6659" max="6659" width="6.3984375" style="1551" customWidth="1"/>
    <col min="6660" max="6660" width="6.5" style="1551" customWidth="1"/>
    <col min="6661" max="6661" width="6.09765625" style="1551" customWidth="1"/>
    <col min="6662" max="6662" width="6" style="1551" customWidth="1"/>
    <col min="6663" max="6664" width="7" style="1551" customWidth="1"/>
    <col min="6665" max="6665" width="8.69921875" style="1551" customWidth="1"/>
    <col min="6666" max="6666" width="6.5" style="1551" customWidth="1"/>
    <col min="6667" max="6667" width="6.8984375" style="1551" customWidth="1"/>
    <col min="6668" max="6668" width="6.3984375" style="1551" customWidth="1"/>
    <col min="6669" max="6669" width="18.3984375" style="1551" customWidth="1"/>
    <col min="6670" max="6670" width="48.09765625" style="1551" customWidth="1"/>
    <col min="6671" max="6912" width="9" style="1551"/>
    <col min="6913" max="6913" width="5.19921875" style="1551" customWidth="1"/>
    <col min="6914" max="6914" width="30.8984375" style="1551" customWidth="1"/>
    <col min="6915" max="6915" width="6.3984375" style="1551" customWidth="1"/>
    <col min="6916" max="6916" width="6.5" style="1551" customWidth="1"/>
    <col min="6917" max="6917" width="6.09765625" style="1551" customWidth="1"/>
    <col min="6918" max="6918" width="6" style="1551" customWidth="1"/>
    <col min="6919" max="6920" width="7" style="1551" customWidth="1"/>
    <col min="6921" max="6921" width="8.69921875" style="1551" customWidth="1"/>
    <col min="6922" max="6922" width="6.5" style="1551" customWidth="1"/>
    <col min="6923" max="6923" width="6.8984375" style="1551" customWidth="1"/>
    <col min="6924" max="6924" width="6.3984375" style="1551" customWidth="1"/>
    <col min="6925" max="6925" width="18.3984375" style="1551" customWidth="1"/>
    <col min="6926" max="6926" width="48.09765625" style="1551" customWidth="1"/>
    <col min="6927" max="7168" width="9" style="1551"/>
    <col min="7169" max="7169" width="5.19921875" style="1551" customWidth="1"/>
    <col min="7170" max="7170" width="30.8984375" style="1551" customWidth="1"/>
    <col min="7171" max="7171" width="6.3984375" style="1551" customWidth="1"/>
    <col min="7172" max="7172" width="6.5" style="1551" customWidth="1"/>
    <col min="7173" max="7173" width="6.09765625" style="1551" customWidth="1"/>
    <col min="7174" max="7174" width="6" style="1551" customWidth="1"/>
    <col min="7175" max="7176" width="7" style="1551" customWidth="1"/>
    <col min="7177" max="7177" width="8.69921875" style="1551" customWidth="1"/>
    <col min="7178" max="7178" width="6.5" style="1551" customWidth="1"/>
    <col min="7179" max="7179" width="6.8984375" style="1551" customWidth="1"/>
    <col min="7180" max="7180" width="6.3984375" style="1551" customWidth="1"/>
    <col min="7181" max="7181" width="18.3984375" style="1551" customWidth="1"/>
    <col min="7182" max="7182" width="48.09765625" style="1551" customWidth="1"/>
    <col min="7183" max="7424" width="9" style="1551"/>
    <col min="7425" max="7425" width="5.19921875" style="1551" customWidth="1"/>
    <col min="7426" max="7426" width="30.8984375" style="1551" customWidth="1"/>
    <col min="7427" max="7427" width="6.3984375" style="1551" customWidth="1"/>
    <col min="7428" max="7428" width="6.5" style="1551" customWidth="1"/>
    <col min="7429" max="7429" width="6.09765625" style="1551" customWidth="1"/>
    <col min="7430" max="7430" width="6" style="1551" customWidth="1"/>
    <col min="7431" max="7432" width="7" style="1551" customWidth="1"/>
    <col min="7433" max="7433" width="8.69921875" style="1551" customWidth="1"/>
    <col min="7434" max="7434" width="6.5" style="1551" customWidth="1"/>
    <col min="7435" max="7435" width="6.8984375" style="1551" customWidth="1"/>
    <col min="7436" max="7436" width="6.3984375" style="1551" customWidth="1"/>
    <col min="7437" max="7437" width="18.3984375" style="1551" customWidth="1"/>
    <col min="7438" max="7438" width="48.09765625" style="1551" customWidth="1"/>
    <col min="7439" max="7680" width="9" style="1551"/>
    <col min="7681" max="7681" width="5.19921875" style="1551" customWidth="1"/>
    <col min="7682" max="7682" width="30.8984375" style="1551" customWidth="1"/>
    <col min="7683" max="7683" width="6.3984375" style="1551" customWidth="1"/>
    <col min="7684" max="7684" width="6.5" style="1551" customWidth="1"/>
    <col min="7685" max="7685" width="6.09765625" style="1551" customWidth="1"/>
    <col min="7686" max="7686" width="6" style="1551" customWidth="1"/>
    <col min="7687" max="7688" width="7" style="1551" customWidth="1"/>
    <col min="7689" max="7689" width="8.69921875" style="1551" customWidth="1"/>
    <col min="7690" max="7690" width="6.5" style="1551" customWidth="1"/>
    <col min="7691" max="7691" width="6.8984375" style="1551" customWidth="1"/>
    <col min="7692" max="7692" width="6.3984375" style="1551" customWidth="1"/>
    <col min="7693" max="7693" width="18.3984375" style="1551" customWidth="1"/>
    <col min="7694" max="7694" width="48.09765625" style="1551" customWidth="1"/>
    <col min="7695" max="7936" width="9" style="1551"/>
    <col min="7937" max="7937" width="5.19921875" style="1551" customWidth="1"/>
    <col min="7938" max="7938" width="30.8984375" style="1551" customWidth="1"/>
    <col min="7939" max="7939" width="6.3984375" style="1551" customWidth="1"/>
    <col min="7940" max="7940" width="6.5" style="1551" customWidth="1"/>
    <col min="7941" max="7941" width="6.09765625" style="1551" customWidth="1"/>
    <col min="7942" max="7942" width="6" style="1551" customWidth="1"/>
    <col min="7943" max="7944" width="7" style="1551" customWidth="1"/>
    <col min="7945" max="7945" width="8.69921875" style="1551" customWidth="1"/>
    <col min="7946" max="7946" width="6.5" style="1551" customWidth="1"/>
    <col min="7947" max="7947" width="6.8984375" style="1551" customWidth="1"/>
    <col min="7948" max="7948" width="6.3984375" style="1551" customWidth="1"/>
    <col min="7949" max="7949" width="18.3984375" style="1551" customWidth="1"/>
    <col min="7950" max="7950" width="48.09765625" style="1551" customWidth="1"/>
    <col min="7951" max="8192" width="9" style="1551"/>
    <col min="8193" max="8193" width="5.19921875" style="1551" customWidth="1"/>
    <col min="8194" max="8194" width="30.8984375" style="1551" customWidth="1"/>
    <col min="8195" max="8195" width="6.3984375" style="1551" customWidth="1"/>
    <col min="8196" max="8196" width="6.5" style="1551" customWidth="1"/>
    <col min="8197" max="8197" width="6.09765625" style="1551" customWidth="1"/>
    <col min="8198" max="8198" width="6" style="1551" customWidth="1"/>
    <col min="8199" max="8200" width="7" style="1551" customWidth="1"/>
    <col min="8201" max="8201" width="8.69921875" style="1551" customWidth="1"/>
    <col min="8202" max="8202" width="6.5" style="1551" customWidth="1"/>
    <col min="8203" max="8203" width="6.8984375" style="1551" customWidth="1"/>
    <col min="8204" max="8204" width="6.3984375" style="1551" customWidth="1"/>
    <col min="8205" max="8205" width="18.3984375" style="1551" customWidth="1"/>
    <col min="8206" max="8206" width="48.09765625" style="1551" customWidth="1"/>
    <col min="8207" max="8448" width="9" style="1551"/>
    <col min="8449" max="8449" width="5.19921875" style="1551" customWidth="1"/>
    <col min="8450" max="8450" width="30.8984375" style="1551" customWidth="1"/>
    <col min="8451" max="8451" width="6.3984375" style="1551" customWidth="1"/>
    <col min="8452" max="8452" width="6.5" style="1551" customWidth="1"/>
    <col min="8453" max="8453" width="6.09765625" style="1551" customWidth="1"/>
    <col min="8454" max="8454" width="6" style="1551" customWidth="1"/>
    <col min="8455" max="8456" width="7" style="1551" customWidth="1"/>
    <col min="8457" max="8457" width="8.69921875" style="1551" customWidth="1"/>
    <col min="8458" max="8458" width="6.5" style="1551" customWidth="1"/>
    <col min="8459" max="8459" width="6.8984375" style="1551" customWidth="1"/>
    <col min="8460" max="8460" width="6.3984375" style="1551" customWidth="1"/>
    <col min="8461" max="8461" width="18.3984375" style="1551" customWidth="1"/>
    <col min="8462" max="8462" width="48.09765625" style="1551" customWidth="1"/>
    <col min="8463" max="8704" width="9" style="1551"/>
    <col min="8705" max="8705" width="5.19921875" style="1551" customWidth="1"/>
    <col min="8706" max="8706" width="30.8984375" style="1551" customWidth="1"/>
    <col min="8707" max="8707" width="6.3984375" style="1551" customWidth="1"/>
    <col min="8708" max="8708" width="6.5" style="1551" customWidth="1"/>
    <col min="8709" max="8709" width="6.09765625" style="1551" customWidth="1"/>
    <col min="8710" max="8710" width="6" style="1551" customWidth="1"/>
    <col min="8711" max="8712" width="7" style="1551" customWidth="1"/>
    <col min="8713" max="8713" width="8.69921875" style="1551" customWidth="1"/>
    <col min="8714" max="8714" width="6.5" style="1551" customWidth="1"/>
    <col min="8715" max="8715" width="6.8984375" style="1551" customWidth="1"/>
    <col min="8716" max="8716" width="6.3984375" style="1551" customWidth="1"/>
    <col min="8717" max="8717" width="18.3984375" style="1551" customWidth="1"/>
    <col min="8718" max="8718" width="48.09765625" style="1551" customWidth="1"/>
    <col min="8719" max="8960" width="9" style="1551"/>
    <col min="8961" max="8961" width="5.19921875" style="1551" customWidth="1"/>
    <col min="8962" max="8962" width="30.8984375" style="1551" customWidth="1"/>
    <col min="8963" max="8963" width="6.3984375" style="1551" customWidth="1"/>
    <col min="8964" max="8964" width="6.5" style="1551" customWidth="1"/>
    <col min="8965" max="8965" width="6.09765625" style="1551" customWidth="1"/>
    <col min="8966" max="8966" width="6" style="1551" customWidth="1"/>
    <col min="8967" max="8968" width="7" style="1551" customWidth="1"/>
    <col min="8969" max="8969" width="8.69921875" style="1551" customWidth="1"/>
    <col min="8970" max="8970" width="6.5" style="1551" customWidth="1"/>
    <col min="8971" max="8971" width="6.8984375" style="1551" customWidth="1"/>
    <col min="8972" max="8972" width="6.3984375" style="1551" customWidth="1"/>
    <col min="8973" max="8973" width="18.3984375" style="1551" customWidth="1"/>
    <col min="8974" max="8974" width="48.09765625" style="1551" customWidth="1"/>
    <col min="8975" max="9216" width="9" style="1551"/>
    <col min="9217" max="9217" width="5.19921875" style="1551" customWidth="1"/>
    <col min="9218" max="9218" width="30.8984375" style="1551" customWidth="1"/>
    <col min="9219" max="9219" width="6.3984375" style="1551" customWidth="1"/>
    <col min="9220" max="9220" width="6.5" style="1551" customWidth="1"/>
    <col min="9221" max="9221" width="6.09765625" style="1551" customWidth="1"/>
    <col min="9222" max="9222" width="6" style="1551" customWidth="1"/>
    <col min="9223" max="9224" width="7" style="1551" customWidth="1"/>
    <col min="9225" max="9225" width="8.69921875" style="1551" customWidth="1"/>
    <col min="9226" max="9226" width="6.5" style="1551" customWidth="1"/>
    <col min="9227" max="9227" width="6.8984375" style="1551" customWidth="1"/>
    <col min="9228" max="9228" width="6.3984375" style="1551" customWidth="1"/>
    <col min="9229" max="9229" width="18.3984375" style="1551" customWidth="1"/>
    <col min="9230" max="9230" width="48.09765625" style="1551" customWidth="1"/>
    <col min="9231" max="9472" width="9" style="1551"/>
    <col min="9473" max="9473" width="5.19921875" style="1551" customWidth="1"/>
    <col min="9474" max="9474" width="30.8984375" style="1551" customWidth="1"/>
    <col min="9475" max="9475" width="6.3984375" style="1551" customWidth="1"/>
    <col min="9476" max="9476" width="6.5" style="1551" customWidth="1"/>
    <col min="9477" max="9477" width="6.09765625" style="1551" customWidth="1"/>
    <col min="9478" max="9478" width="6" style="1551" customWidth="1"/>
    <col min="9479" max="9480" width="7" style="1551" customWidth="1"/>
    <col min="9481" max="9481" width="8.69921875" style="1551" customWidth="1"/>
    <col min="9482" max="9482" width="6.5" style="1551" customWidth="1"/>
    <col min="9483" max="9483" width="6.8984375" style="1551" customWidth="1"/>
    <col min="9484" max="9484" width="6.3984375" style="1551" customWidth="1"/>
    <col min="9485" max="9485" width="18.3984375" style="1551" customWidth="1"/>
    <col min="9486" max="9486" width="48.09765625" style="1551" customWidth="1"/>
    <col min="9487" max="9728" width="9" style="1551"/>
    <col min="9729" max="9729" width="5.19921875" style="1551" customWidth="1"/>
    <col min="9730" max="9730" width="30.8984375" style="1551" customWidth="1"/>
    <col min="9731" max="9731" width="6.3984375" style="1551" customWidth="1"/>
    <col min="9732" max="9732" width="6.5" style="1551" customWidth="1"/>
    <col min="9733" max="9733" width="6.09765625" style="1551" customWidth="1"/>
    <col min="9734" max="9734" width="6" style="1551" customWidth="1"/>
    <col min="9735" max="9736" width="7" style="1551" customWidth="1"/>
    <col min="9737" max="9737" width="8.69921875" style="1551" customWidth="1"/>
    <col min="9738" max="9738" width="6.5" style="1551" customWidth="1"/>
    <col min="9739" max="9739" width="6.8984375" style="1551" customWidth="1"/>
    <col min="9740" max="9740" width="6.3984375" style="1551" customWidth="1"/>
    <col min="9741" max="9741" width="18.3984375" style="1551" customWidth="1"/>
    <col min="9742" max="9742" width="48.09765625" style="1551" customWidth="1"/>
    <col min="9743" max="9984" width="9" style="1551"/>
    <col min="9985" max="9985" width="5.19921875" style="1551" customWidth="1"/>
    <col min="9986" max="9986" width="30.8984375" style="1551" customWidth="1"/>
    <col min="9987" max="9987" width="6.3984375" style="1551" customWidth="1"/>
    <col min="9988" max="9988" width="6.5" style="1551" customWidth="1"/>
    <col min="9989" max="9989" width="6.09765625" style="1551" customWidth="1"/>
    <col min="9990" max="9990" width="6" style="1551" customWidth="1"/>
    <col min="9991" max="9992" width="7" style="1551" customWidth="1"/>
    <col min="9993" max="9993" width="8.69921875" style="1551" customWidth="1"/>
    <col min="9994" max="9994" width="6.5" style="1551" customWidth="1"/>
    <col min="9995" max="9995" width="6.8984375" style="1551" customWidth="1"/>
    <col min="9996" max="9996" width="6.3984375" style="1551" customWidth="1"/>
    <col min="9997" max="9997" width="18.3984375" style="1551" customWidth="1"/>
    <col min="9998" max="9998" width="48.09765625" style="1551" customWidth="1"/>
    <col min="9999" max="10240" width="9" style="1551"/>
    <col min="10241" max="10241" width="5.19921875" style="1551" customWidth="1"/>
    <col min="10242" max="10242" width="30.8984375" style="1551" customWidth="1"/>
    <col min="10243" max="10243" width="6.3984375" style="1551" customWidth="1"/>
    <col min="10244" max="10244" width="6.5" style="1551" customWidth="1"/>
    <col min="10245" max="10245" width="6.09765625" style="1551" customWidth="1"/>
    <col min="10246" max="10246" width="6" style="1551" customWidth="1"/>
    <col min="10247" max="10248" width="7" style="1551" customWidth="1"/>
    <col min="10249" max="10249" width="8.69921875" style="1551" customWidth="1"/>
    <col min="10250" max="10250" width="6.5" style="1551" customWidth="1"/>
    <col min="10251" max="10251" width="6.8984375" style="1551" customWidth="1"/>
    <col min="10252" max="10252" width="6.3984375" style="1551" customWidth="1"/>
    <col min="10253" max="10253" width="18.3984375" style="1551" customWidth="1"/>
    <col min="10254" max="10254" width="48.09765625" style="1551" customWidth="1"/>
    <col min="10255" max="10496" width="9" style="1551"/>
    <col min="10497" max="10497" width="5.19921875" style="1551" customWidth="1"/>
    <col min="10498" max="10498" width="30.8984375" style="1551" customWidth="1"/>
    <col min="10499" max="10499" width="6.3984375" style="1551" customWidth="1"/>
    <col min="10500" max="10500" width="6.5" style="1551" customWidth="1"/>
    <col min="10501" max="10501" width="6.09765625" style="1551" customWidth="1"/>
    <col min="10502" max="10502" width="6" style="1551" customWidth="1"/>
    <col min="10503" max="10504" width="7" style="1551" customWidth="1"/>
    <col min="10505" max="10505" width="8.69921875" style="1551" customWidth="1"/>
    <col min="10506" max="10506" width="6.5" style="1551" customWidth="1"/>
    <col min="10507" max="10507" width="6.8984375" style="1551" customWidth="1"/>
    <col min="10508" max="10508" width="6.3984375" style="1551" customWidth="1"/>
    <col min="10509" max="10509" width="18.3984375" style="1551" customWidth="1"/>
    <col min="10510" max="10510" width="48.09765625" style="1551" customWidth="1"/>
    <col min="10511" max="10752" width="9" style="1551"/>
    <col min="10753" max="10753" width="5.19921875" style="1551" customWidth="1"/>
    <col min="10754" max="10754" width="30.8984375" style="1551" customWidth="1"/>
    <col min="10755" max="10755" width="6.3984375" style="1551" customWidth="1"/>
    <col min="10756" max="10756" width="6.5" style="1551" customWidth="1"/>
    <col min="10757" max="10757" width="6.09765625" style="1551" customWidth="1"/>
    <col min="10758" max="10758" width="6" style="1551" customWidth="1"/>
    <col min="10759" max="10760" width="7" style="1551" customWidth="1"/>
    <col min="10761" max="10761" width="8.69921875" style="1551" customWidth="1"/>
    <col min="10762" max="10762" width="6.5" style="1551" customWidth="1"/>
    <col min="10763" max="10763" width="6.8984375" style="1551" customWidth="1"/>
    <col min="10764" max="10764" width="6.3984375" style="1551" customWidth="1"/>
    <col min="10765" max="10765" width="18.3984375" style="1551" customWidth="1"/>
    <col min="10766" max="10766" width="48.09765625" style="1551" customWidth="1"/>
    <col min="10767" max="11008" width="9" style="1551"/>
    <col min="11009" max="11009" width="5.19921875" style="1551" customWidth="1"/>
    <col min="11010" max="11010" width="30.8984375" style="1551" customWidth="1"/>
    <col min="11011" max="11011" width="6.3984375" style="1551" customWidth="1"/>
    <col min="11012" max="11012" width="6.5" style="1551" customWidth="1"/>
    <col min="11013" max="11013" width="6.09765625" style="1551" customWidth="1"/>
    <col min="11014" max="11014" width="6" style="1551" customWidth="1"/>
    <col min="11015" max="11016" width="7" style="1551" customWidth="1"/>
    <col min="11017" max="11017" width="8.69921875" style="1551" customWidth="1"/>
    <col min="11018" max="11018" width="6.5" style="1551" customWidth="1"/>
    <col min="11019" max="11019" width="6.8984375" style="1551" customWidth="1"/>
    <col min="11020" max="11020" width="6.3984375" style="1551" customWidth="1"/>
    <col min="11021" max="11021" width="18.3984375" style="1551" customWidth="1"/>
    <col min="11022" max="11022" width="48.09765625" style="1551" customWidth="1"/>
    <col min="11023" max="11264" width="9" style="1551"/>
    <col min="11265" max="11265" width="5.19921875" style="1551" customWidth="1"/>
    <col min="11266" max="11266" width="30.8984375" style="1551" customWidth="1"/>
    <col min="11267" max="11267" width="6.3984375" style="1551" customWidth="1"/>
    <col min="11268" max="11268" width="6.5" style="1551" customWidth="1"/>
    <col min="11269" max="11269" width="6.09765625" style="1551" customWidth="1"/>
    <col min="11270" max="11270" width="6" style="1551" customWidth="1"/>
    <col min="11271" max="11272" width="7" style="1551" customWidth="1"/>
    <col min="11273" max="11273" width="8.69921875" style="1551" customWidth="1"/>
    <col min="11274" max="11274" width="6.5" style="1551" customWidth="1"/>
    <col min="11275" max="11275" width="6.8984375" style="1551" customWidth="1"/>
    <col min="11276" max="11276" width="6.3984375" style="1551" customWidth="1"/>
    <col min="11277" max="11277" width="18.3984375" style="1551" customWidth="1"/>
    <col min="11278" max="11278" width="48.09765625" style="1551" customWidth="1"/>
    <col min="11279" max="11520" width="9" style="1551"/>
    <col min="11521" max="11521" width="5.19921875" style="1551" customWidth="1"/>
    <col min="11522" max="11522" width="30.8984375" style="1551" customWidth="1"/>
    <col min="11523" max="11523" width="6.3984375" style="1551" customWidth="1"/>
    <col min="11524" max="11524" width="6.5" style="1551" customWidth="1"/>
    <col min="11525" max="11525" width="6.09765625" style="1551" customWidth="1"/>
    <col min="11526" max="11526" width="6" style="1551" customWidth="1"/>
    <col min="11527" max="11528" width="7" style="1551" customWidth="1"/>
    <col min="11529" max="11529" width="8.69921875" style="1551" customWidth="1"/>
    <col min="11530" max="11530" width="6.5" style="1551" customWidth="1"/>
    <col min="11531" max="11531" width="6.8984375" style="1551" customWidth="1"/>
    <col min="11532" max="11532" width="6.3984375" style="1551" customWidth="1"/>
    <col min="11533" max="11533" width="18.3984375" style="1551" customWidth="1"/>
    <col min="11534" max="11534" width="48.09765625" style="1551" customWidth="1"/>
    <col min="11535" max="11776" width="9" style="1551"/>
    <col min="11777" max="11777" width="5.19921875" style="1551" customWidth="1"/>
    <col min="11778" max="11778" width="30.8984375" style="1551" customWidth="1"/>
    <col min="11779" max="11779" width="6.3984375" style="1551" customWidth="1"/>
    <col min="11780" max="11780" width="6.5" style="1551" customWidth="1"/>
    <col min="11781" max="11781" width="6.09765625" style="1551" customWidth="1"/>
    <col min="11782" max="11782" width="6" style="1551" customWidth="1"/>
    <col min="11783" max="11784" width="7" style="1551" customWidth="1"/>
    <col min="11785" max="11785" width="8.69921875" style="1551" customWidth="1"/>
    <col min="11786" max="11786" width="6.5" style="1551" customWidth="1"/>
    <col min="11787" max="11787" width="6.8984375" style="1551" customWidth="1"/>
    <col min="11788" max="11788" width="6.3984375" style="1551" customWidth="1"/>
    <col min="11789" max="11789" width="18.3984375" style="1551" customWidth="1"/>
    <col min="11790" max="11790" width="48.09765625" style="1551" customWidth="1"/>
    <col min="11791" max="12032" width="9" style="1551"/>
    <col min="12033" max="12033" width="5.19921875" style="1551" customWidth="1"/>
    <col min="12034" max="12034" width="30.8984375" style="1551" customWidth="1"/>
    <col min="12035" max="12035" width="6.3984375" style="1551" customWidth="1"/>
    <col min="12036" max="12036" width="6.5" style="1551" customWidth="1"/>
    <col min="12037" max="12037" width="6.09765625" style="1551" customWidth="1"/>
    <col min="12038" max="12038" width="6" style="1551" customWidth="1"/>
    <col min="12039" max="12040" width="7" style="1551" customWidth="1"/>
    <col min="12041" max="12041" width="8.69921875" style="1551" customWidth="1"/>
    <col min="12042" max="12042" width="6.5" style="1551" customWidth="1"/>
    <col min="12043" max="12043" width="6.8984375" style="1551" customWidth="1"/>
    <col min="12044" max="12044" width="6.3984375" style="1551" customWidth="1"/>
    <col min="12045" max="12045" width="18.3984375" style="1551" customWidth="1"/>
    <col min="12046" max="12046" width="48.09765625" style="1551" customWidth="1"/>
    <col min="12047" max="12288" width="9" style="1551"/>
    <col min="12289" max="12289" width="5.19921875" style="1551" customWidth="1"/>
    <col min="12290" max="12290" width="30.8984375" style="1551" customWidth="1"/>
    <col min="12291" max="12291" width="6.3984375" style="1551" customWidth="1"/>
    <col min="12292" max="12292" width="6.5" style="1551" customWidth="1"/>
    <col min="12293" max="12293" width="6.09765625" style="1551" customWidth="1"/>
    <col min="12294" max="12294" width="6" style="1551" customWidth="1"/>
    <col min="12295" max="12296" width="7" style="1551" customWidth="1"/>
    <col min="12297" max="12297" width="8.69921875" style="1551" customWidth="1"/>
    <col min="12298" max="12298" width="6.5" style="1551" customWidth="1"/>
    <col min="12299" max="12299" width="6.8984375" style="1551" customWidth="1"/>
    <col min="12300" max="12300" width="6.3984375" style="1551" customWidth="1"/>
    <col min="12301" max="12301" width="18.3984375" style="1551" customWidth="1"/>
    <col min="12302" max="12302" width="48.09765625" style="1551" customWidth="1"/>
    <col min="12303" max="12544" width="9" style="1551"/>
    <col min="12545" max="12545" width="5.19921875" style="1551" customWidth="1"/>
    <col min="12546" max="12546" width="30.8984375" style="1551" customWidth="1"/>
    <col min="12547" max="12547" width="6.3984375" style="1551" customWidth="1"/>
    <col min="12548" max="12548" width="6.5" style="1551" customWidth="1"/>
    <col min="12549" max="12549" width="6.09765625" style="1551" customWidth="1"/>
    <col min="12550" max="12550" width="6" style="1551" customWidth="1"/>
    <col min="12551" max="12552" width="7" style="1551" customWidth="1"/>
    <col min="12553" max="12553" width="8.69921875" style="1551" customWidth="1"/>
    <col min="12554" max="12554" width="6.5" style="1551" customWidth="1"/>
    <col min="12555" max="12555" width="6.8984375" style="1551" customWidth="1"/>
    <col min="12556" max="12556" width="6.3984375" style="1551" customWidth="1"/>
    <col min="12557" max="12557" width="18.3984375" style="1551" customWidth="1"/>
    <col min="12558" max="12558" width="48.09765625" style="1551" customWidth="1"/>
    <col min="12559" max="12800" width="9" style="1551"/>
    <col min="12801" max="12801" width="5.19921875" style="1551" customWidth="1"/>
    <col min="12802" max="12802" width="30.8984375" style="1551" customWidth="1"/>
    <col min="12803" max="12803" width="6.3984375" style="1551" customWidth="1"/>
    <col min="12804" max="12804" width="6.5" style="1551" customWidth="1"/>
    <col min="12805" max="12805" width="6.09765625" style="1551" customWidth="1"/>
    <col min="12806" max="12806" width="6" style="1551" customWidth="1"/>
    <col min="12807" max="12808" width="7" style="1551" customWidth="1"/>
    <col min="12809" max="12809" width="8.69921875" style="1551" customWidth="1"/>
    <col min="12810" max="12810" width="6.5" style="1551" customWidth="1"/>
    <col min="12811" max="12811" width="6.8984375" style="1551" customWidth="1"/>
    <col min="12812" max="12812" width="6.3984375" style="1551" customWidth="1"/>
    <col min="12813" max="12813" width="18.3984375" style="1551" customWidth="1"/>
    <col min="12814" max="12814" width="48.09765625" style="1551" customWidth="1"/>
    <col min="12815" max="13056" width="9" style="1551"/>
    <col min="13057" max="13057" width="5.19921875" style="1551" customWidth="1"/>
    <col min="13058" max="13058" width="30.8984375" style="1551" customWidth="1"/>
    <col min="13059" max="13059" width="6.3984375" style="1551" customWidth="1"/>
    <col min="13060" max="13060" width="6.5" style="1551" customWidth="1"/>
    <col min="13061" max="13061" width="6.09765625" style="1551" customWidth="1"/>
    <col min="13062" max="13062" width="6" style="1551" customWidth="1"/>
    <col min="13063" max="13064" width="7" style="1551" customWidth="1"/>
    <col min="13065" max="13065" width="8.69921875" style="1551" customWidth="1"/>
    <col min="13066" max="13066" width="6.5" style="1551" customWidth="1"/>
    <col min="13067" max="13067" width="6.8984375" style="1551" customWidth="1"/>
    <col min="13068" max="13068" width="6.3984375" style="1551" customWidth="1"/>
    <col min="13069" max="13069" width="18.3984375" style="1551" customWidth="1"/>
    <col min="13070" max="13070" width="48.09765625" style="1551" customWidth="1"/>
    <col min="13071" max="13312" width="9" style="1551"/>
    <col min="13313" max="13313" width="5.19921875" style="1551" customWidth="1"/>
    <col min="13314" max="13314" width="30.8984375" style="1551" customWidth="1"/>
    <col min="13315" max="13315" width="6.3984375" style="1551" customWidth="1"/>
    <col min="13316" max="13316" width="6.5" style="1551" customWidth="1"/>
    <col min="13317" max="13317" width="6.09765625" style="1551" customWidth="1"/>
    <col min="13318" max="13318" width="6" style="1551" customWidth="1"/>
    <col min="13319" max="13320" width="7" style="1551" customWidth="1"/>
    <col min="13321" max="13321" width="8.69921875" style="1551" customWidth="1"/>
    <col min="13322" max="13322" width="6.5" style="1551" customWidth="1"/>
    <col min="13323" max="13323" width="6.8984375" style="1551" customWidth="1"/>
    <col min="13324" max="13324" width="6.3984375" style="1551" customWidth="1"/>
    <col min="13325" max="13325" width="18.3984375" style="1551" customWidth="1"/>
    <col min="13326" max="13326" width="48.09765625" style="1551" customWidth="1"/>
    <col min="13327" max="13568" width="9" style="1551"/>
    <col min="13569" max="13569" width="5.19921875" style="1551" customWidth="1"/>
    <col min="13570" max="13570" width="30.8984375" style="1551" customWidth="1"/>
    <col min="13571" max="13571" width="6.3984375" style="1551" customWidth="1"/>
    <col min="13572" max="13572" width="6.5" style="1551" customWidth="1"/>
    <col min="13573" max="13573" width="6.09765625" style="1551" customWidth="1"/>
    <col min="13574" max="13574" width="6" style="1551" customWidth="1"/>
    <col min="13575" max="13576" width="7" style="1551" customWidth="1"/>
    <col min="13577" max="13577" width="8.69921875" style="1551" customWidth="1"/>
    <col min="13578" max="13578" width="6.5" style="1551" customWidth="1"/>
    <col min="13579" max="13579" width="6.8984375" style="1551" customWidth="1"/>
    <col min="13580" max="13580" width="6.3984375" style="1551" customWidth="1"/>
    <col min="13581" max="13581" width="18.3984375" style="1551" customWidth="1"/>
    <col min="13582" max="13582" width="48.09765625" style="1551" customWidth="1"/>
    <col min="13583" max="13824" width="9" style="1551"/>
    <col min="13825" max="13825" width="5.19921875" style="1551" customWidth="1"/>
    <col min="13826" max="13826" width="30.8984375" style="1551" customWidth="1"/>
    <col min="13827" max="13827" width="6.3984375" style="1551" customWidth="1"/>
    <col min="13828" max="13828" width="6.5" style="1551" customWidth="1"/>
    <col min="13829" max="13829" width="6.09765625" style="1551" customWidth="1"/>
    <col min="13830" max="13830" width="6" style="1551" customWidth="1"/>
    <col min="13831" max="13832" width="7" style="1551" customWidth="1"/>
    <col min="13833" max="13833" width="8.69921875" style="1551" customWidth="1"/>
    <col min="13834" max="13834" width="6.5" style="1551" customWidth="1"/>
    <col min="13835" max="13835" width="6.8984375" style="1551" customWidth="1"/>
    <col min="13836" max="13836" width="6.3984375" style="1551" customWidth="1"/>
    <col min="13837" max="13837" width="18.3984375" style="1551" customWidth="1"/>
    <col min="13838" max="13838" width="48.09765625" style="1551" customWidth="1"/>
    <col min="13839" max="14080" width="9" style="1551"/>
    <col min="14081" max="14081" width="5.19921875" style="1551" customWidth="1"/>
    <col min="14082" max="14082" width="30.8984375" style="1551" customWidth="1"/>
    <col min="14083" max="14083" width="6.3984375" style="1551" customWidth="1"/>
    <col min="14084" max="14084" width="6.5" style="1551" customWidth="1"/>
    <col min="14085" max="14085" width="6.09765625" style="1551" customWidth="1"/>
    <col min="14086" max="14086" width="6" style="1551" customWidth="1"/>
    <col min="14087" max="14088" width="7" style="1551" customWidth="1"/>
    <col min="14089" max="14089" width="8.69921875" style="1551" customWidth="1"/>
    <col min="14090" max="14090" width="6.5" style="1551" customWidth="1"/>
    <col min="14091" max="14091" width="6.8984375" style="1551" customWidth="1"/>
    <col min="14092" max="14092" width="6.3984375" style="1551" customWidth="1"/>
    <col min="14093" max="14093" width="18.3984375" style="1551" customWidth="1"/>
    <col min="14094" max="14094" width="48.09765625" style="1551" customWidth="1"/>
    <col min="14095" max="14336" width="9" style="1551"/>
    <col min="14337" max="14337" width="5.19921875" style="1551" customWidth="1"/>
    <col min="14338" max="14338" width="30.8984375" style="1551" customWidth="1"/>
    <col min="14339" max="14339" width="6.3984375" style="1551" customWidth="1"/>
    <col min="14340" max="14340" width="6.5" style="1551" customWidth="1"/>
    <col min="14341" max="14341" width="6.09765625" style="1551" customWidth="1"/>
    <col min="14342" max="14342" width="6" style="1551" customWidth="1"/>
    <col min="14343" max="14344" width="7" style="1551" customWidth="1"/>
    <col min="14345" max="14345" width="8.69921875" style="1551" customWidth="1"/>
    <col min="14346" max="14346" width="6.5" style="1551" customWidth="1"/>
    <col min="14347" max="14347" width="6.8984375" style="1551" customWidth="1"/>
    <col min="14348" max="14348" width="6.3984375" style="1551" customWidth="1"/>
    <col min="14349" max="14349" width="18.3984375" style="1551" customWidth="1"/>
    <col min="14350" max="14350" width="48.09765625" style="1551" customWidth="1"/>
    <col min="14351" max="14592" width="9" style="1551"/>
    <col min="14593" max="14593" width="5.19921875" style="1551" customWidth="1"/>
    <col min="14594" max="14594" width="30.8984375" style="1551" customWidth="1"/>
    <col min="14595" max="14595" width="6.3984375" style="1551" customWidth="1"/>
    <col min="14596" max="14596" width="6.5" style="1551" customWidth="1"/>
    <col min="14597" max="14597" width="6.09765625" style="1551" customWidth="1"/>
    <col min="14598" max="14598" width="6" style="1551" customWidth="1"/>
    <col min="14599" max="14600" width="7" style="1551" customWidth="1"/>
    <col min="14601" max="14601" width="8.69921875" style="1551" customWidth="1"/>
    <col min="14602" max="14602" width="6.5" style="1551" customWidth="1"/>
    <col min="14603" max="14603" width="6.8984375" style="1551" customWidth="1"/>
    <col min="14604" max="14604" width="6.3984375" style="1551" customWidth="1"/>
    <col min="14605" max="14605" width="18.3984375" style="1551" customWidth="1"/>
    <col min="14606" max="14606" width="48.09765625" style="1551" customWidth="1"/>
    <col min="14607" max="14848" width="9" style="1551"/>
    <col min="14849" max="14849" width="5.19921875" style="1551" customWidth="1"/>
    <col min="14850" max="14850" width="30.8984375" style="1551" customWidth="1"/>
    <col min="14851" max="14851" width="6.3984375" style="1551" customWidth="1"/>
    <col min="14852" max="14852" width="6.5" style="1551" customWidth="1"/>
    <col min="14853" max="14853" width="6.09765625" style="1551" customWidth="1"/>
    <col min="14854" max="14854" width="6" style="1551" customWidth="1"/>
    <col min="14855" max="14856" width="7" style="1551" customWidth="1"/>
    <col min="14857" max="14857" width="8.69921875" style="1551" customWidth="1"/>
    <col min="14858" max="14858" width="6.5" style="1551" customWidth="1"/>
    <col min="14859" max="14859" width="6.8984375" style="1551" customWidth="1"/>
    <col min="14860" max="14860" width="6.3984375" style="1551" customWidth="1"/>
    <col min="14861" max="14861" width="18.3984375" style="1551" customWidth="1"/>
    <col min="14862" max="14862" width="48.09765625" style="1551" customWidth="1"/>
    <col min="14863" max="15104" width="9" style="1551"/>
    <col min="15105" max="15105" width="5.19921875" style="1551" customWidth="1"/>
    <col min="15106" max="15106" width="30.8984375" style="1551" customWidth="1"/>
    <col min="15107" max="15107" width="6.3984375" style="1551" customWidth="1"/>
    <col min="15108" max="15108" width="6.5" style="1551" customWidth="1"/>
    <col min="15109" max="15109" width="6.09765625" style="1551" customWidth="1"/>
    <col min="15110" max="15110" width="6" style="1551" customWidth="1"/>
    <col min="15111" max="15112" width="7" style="1551" customWidth="1"/>
    <col min="15113" max="15113" width="8.69921875" style="1551" customWidth="1"/>
    <col min="15114" max="15114" width="6.5" style="1551" customWidth="1"/>
    <col min="15115" max="15115" width="6.8984375" style="1551" customWidth="1"/>
    <col min="15116" max="15116" width="6.3984375" style="1551" customWidth="1"/>
    <col min="15117" max="15117" width="18.3984375" style="1551" customWidth="1"/>
    <col min="15118" max="15118" width="48.09765625" style="1551" customWidth="1"/>
    <col min="15119" max="15360" width="9" style="1551"/>
    <col min="15361" max="15361" width="5.19921875" style="1551" customWidth="1"/>
    <col min="15362" max="15362" width="30.8984375" style="1551" customWidth="1"/>
    <col min="15363" max="15363" width="6.3984375" style="1551" customWidth="1"/>
    <col min="15364" max="15364" width="6.5" style="1551" customWidth="1"/>
    <col min="15365" max="15365" width="6.09765625" style="1551" customWidth="1"/>
    <col min="15366" max="15366" width="6" style="1551" customWidth="1"/>
    <col min="15367" max="15368" width="7" style="1551" customWidth="1"/>
    <col min="15369" max="15369" width="8.69921875" style="1551" customWidth="1"/>
    <col min="15370" max="15370" width="6.5" style="1551" customWidth="1"/>
    <col min="15371" max="15371" width="6.8984375" style="1551" customWidth="1"/>
    <col min="15372" max="15372" width="6.3984375" style="1551" customWidth="1"/>
    <col min="15373" max="15373" width="18.3984375" style="1551" customWidth="1"/>
    <col min="15374" max="15374" width="48.09765625" style="1551" customWidth="1"/>
    <col min="15375" max="15616" width="9" style="1551"/>
    <col min="15617" max="15617" width="5.19921875" style="1551" customWidth="1"/>
    <col min="15618" max="15618" width="30.8984375" style="1551" customWidth="1"/>
    <col min="15619" max="15619" width="6.3984375" style="1551" customWidth="1"/>
    <col min="15620" max="15620" width="6.5" style="1551" customWidth="1"/>
    <col min="15621" max="15621" width="6.09765625" style="1551" customWidth="1"/>
    <col min="15622" max="15622" width="6" style="1551" customWidth="1"/>
    <col min="15623" max="15624" width="7" style="1551" customWidth="1"/>
    <col min="15625" max="15625" width="8.69921875" style="1551" customWidth="1"/>
    <col min="15626" max="15626" width="6.5" style="1551" customWidth="1"/>
    <col min="15627" max="15627" width="6.8984375" style="1551" customWidth="1"/>
    <col min="15628" max="15628" width="6.3984375" style="1551" customWidth="1"/>
    <col min="15629" max="15629" width="18.3984375" style="1551" customWidth="1"/>
    <col min="15630" max="15630" width="48.09765625" style="1551" customWidth="1"/>
    <col min="15631" max="15872" width="9" style="1551"/>
    <col min="15873" max="15873" width="5.19921875" style="1551" customWidth="1"/>
    <col min="15874" max="15874" width="30.8984375" style="1551" customWidth="1"/>
    <col min="15875" max="15875" width="6.3984375" style="1551" customWidth="1"/>
    <col min="15876" max="15876" width="6.5" style="1551" customWidth="1"/>
    <col min="15877" max="15877" width="6.09765625" style="1551" customWidth="1"/>
    <col min="15878" max="15878" width="6" style="1551" customWidth="1"/>
    <col min="15879" max="15880" width="7" style="1551" customWidth="1"/>
    <col min="15881" max="15881" width="8.69921875" style="1551" customWidth="1"/>
    <col min="15882" max="15882" width="6.5" style="1551" customWidth="1"/>
    <col min="15883" max="15883" width="6.8984375" style="1551" customWidth="1"/>
    <col min="15884" max="15884" width="6.3984375" style="1551" customWidth="1"/>
    <col min="15885" max="15885" width="18.3984375" style="1551" customWidth="1"/>
    <col min="15886" max="15886" width="48.09765625" style="1551" customWidth="1"/>
    <col min="15887" max="16128" width="9" style="1551"/>
    <col min="16129" max="16129" width="5.19921875" style="1551" customWidth="1"/>
    <col min="16130" max="16130" width="30.8984375" style="1551" customWidth="1"/>
    <col min="16131" max="16131" width="6.3984375" style="1551" customWidth="1"/>
    <col min="16132" max="16132" width="6.5" style="1551" customWidth="1"/>
    <col min="16133" max="16133" width="6.09765625" style="1551" customWidth="1"/>
    <col min="16134" max="16134" width="6" style="1551" customWidth="1"/>
    <col min="16135" max="16136" width="7" style="1551" customWidth="1"/>
    <col min="16137" max="16137" width="8.69921875" style="1551" customWidth="1"/>
    <col min="16138" max="16138" width="6.5" style="1551" customWidth="1"/>
    <col min="16139" max="16139" width="6.8984375" style="1551" customWidth="1"/>
    <col min="16140" max="16140" width="6.3984375" style="1551" customWidth="1"/>
    <col min="16141" max="16141" width="18.3984375" style="1551" customWidth="1"/>
    <col min="16142" max="16142" width="48.09765625" style="1551" customWidth="1"/>
    <col min="16143" max="16384" width="9" style="1551"/>
  </cols>
  <sheetData>
    <row r="1" spans="1:14" ht="20.100000000000001" customHeight="1">
      <c r="A1" s="3463" t="s">
        <v>5307</v>
      </c>
      <c r="B1" s="3463"/>
      <c r="C1" s="3463"/>
      <c r="D1" s="3463"/>
      <c r="E1" s="3463"/>
      <c r="F1" s="3463"/>
      <c r="G1" s="3463"/>
      <c r="H1" s="3463"/>
      <c r="I1" s="3463"/>
      <c r="J1" s="3463"/>
      <c r="K1" s="3463"/>
      <c r="L1" s="3463"/>
      <c r="M1" s="1803"/>
    </row>
    <row r="2" spans="1:14" s="1563" customFormat="1" ht="25.5" customHeight="1">
      <c r="A2" s="3401" t="s">
        <v>5308</v>
      </c>
      <c r="B2" s="3401"/>
      <c r="C2" s="3401"/>
      <c r="D2" s="3401"/>
      <c r="E2" s="3401"/>
      <c r="F2" s="3401"/>
      <c r="G2" s="3401"/>
      <c r="H2" s="3401"/>
      <c r="I2" s="3401"/>
      <c r="J2" s="3401"/>
      <c r="K2" s="3401"/>
      <c r="L2" s="3401"/>
      <c r="M2" s="1845"/>
    </row>
    <row r="3" spans="1:14" s="1552" customFormat="1" ht="12.75" customHeight="1">
      <c r="A3" s="3402" t="s">
        <v>1853</v>
      </c>
      <c r="B3" s="3402" t="s">
        <v>5309</v>
      </c>
      <c r="C3" s="3399" t="s">
        <v>1850</v>
      </c>
      <c r="D3" s="3399"/>
      <c r="E3" s="3399"/>
      <c r="F3" s="3399" t="s">
        <v>1851</v>
      </c>
      <c r="G3" s="3399"/>
      <c r="H3" s="3399"/>
      <c r="I3" s="3399"/>
      <c r="J3" s="3399"/>
      <c r="K3" s="3407" t="s">
        <v>5310</v>
      </c>
      <c r="L3" s="3407"/>
      <c r="M3" s="3399" t="s">
        <v>1863</v>
      </c>
    </row>
    <row r="4" spans="1:14" s="1552" customFormat="1" ht="90.75" customHeight="1">
      <c r="A4" s="3403"/>
      <c r="B4" s="3403"/>
      <c r="C4" s="1843" t="s">
        <v>5311</v>
      </c>
      <c r="D4" s="1843" t="s">
        <v>5312</v>
      </c>
      <c r="E4" s="2187" t="s">
        <v>5313</v>
      </c>
      <c r="F4" s="1843" t="s">
        <v>5314</v>
      </c>
      <c r="G4" s="1843" t="s">
        <v>5315</v>
      </c>
      <c r="H4" s="1843" t="s">
        <v>5316</v>
      </c>
      <c r="I4" s="2282" t="s">
        <v>5317</v>
      </c>
      <c r="J4" s="1843" t="s">
        <v>5313</v>
      </c>
      <c r="K4" s="1843" t="s">
        <v>2353</v>
      </c>
      <c r="L4" s="1843" t="s">
        <v>1308</v>
      </c>
      <c r="M4" s="3943"/>
    </row>
    <row r="5" spans="1:14" s="1552" customFormat="1" ht="12.75" customHeight="1">
      <c r="A5" s="3404"/>
      <c r="B5" s="3404"/>
      <c r="C5" s="1840">
        <v>1</v>
      </c>
      <c r="D5" s="1840">
        <v>2</v>
      </c>
      <c r="E5" s="1840">
        <v>3</v>
      </c>
      <c r="F5" s="1840">
        <v>4</v>
      </c>
      <c r="G5" s="1840">
        <v>5</v>
      </c>
      <c r="H5" s="1840">
        <v>6</v>
      </c>
      <c r="I5" s="1840">
        <v>7</v>
      </c>
      <c r="J5" s="1840">
        <v>8</v>
      </c>
      <c r="K5" s="1840" t="s">
        <v>5318</v>
      </c>
      <c r="L5" s="1840">
        <v>10</v>
      </c>
      <c r="M5" s="3943"/>
    </row>
    <row r="6" spans="1:14" s="1552" customFormat="1" ht="48" customHeight="1">
      <c r="A6" s="1840">
        <v>1</v>
      </c>
      <c r="B6" s="1809" t="s">
        <v>5319</v>
      </c>
      <c r="C6" s="2075">
        <f>SUM(C7:C11)</f>
        <v>0</v>
      </c>
      <c r="D6" s="2075">
        <f t="shared" ref="D6:K6" si="0">SUM(D7:D11)</f>
        <v>0</v>
      </c>
      <c r="E6" s="2075">
        <f t="shared" si="0"/>
        <v>0</v>
      </c>
      <c r="F6" s="2075">
        <f t="shared" si="0"/>
        <v>0</v>
      </c>
      <c r="G6" s="2075">
        <f t="shared" ca="1" si="0"/>
        <v>0</v>
      </c>
      <c r="H6" s="2075">
        <f t="shared" si="0"/>
        <v>0</v>
      </c>
      <c r="I6" s="2465"/>
      <c r="J6" s="2075">
        <f t="shared" ca="1" si="0"/>
        <v>0</v>
      </c>
      <c r="K6" s="2075">
        <f t="shared" ca="1" si="0"/>
        <v>0</v>
      </c>
      <c r="L6" s="2027"/>
      <c r="M6" s="1810" t="s">
        <v>5320</v>
      </c>
      <c r="N6" s="1556"/>
    </row>
    <row r="7" spans="1:14" s="1552" customFormat="1" ht="25.5" customHeight="1">
      <c r="A7" s="1840">
        <v>2</v>
      </c>
      <c r="B7" s="1809" t="s">
        <v>5321</v>
      </c>
      <c r="C7" s="2072">
        <f>固资折旧!F8</f>
        <v>0</v>
      </c>
      <c r="D7" s="2072">
        <f>固资折旧!D18</f>
        <v>0</v>
      </c>
      <c r="E7" s="2072">
        <f>固资折旧!F18</f>
        <v>0</v>
      </c>
      <c r="F7" s="2072">
        <f>固资折旧!G8</f>
        <v>0</v>
      </c>
      <c r="G7" s="2230">
        <f ca="1">固资折旧!G18-固资折旧!A18</f>
        <v>0</v>
      </c>
      <c r="H7" s="2072">
        <f>固资折旧!A18</f>
        <v>0</v>
      </c>
      <c r="I7" s="2465"/>
      <c r="J7" s="2072">
        <f ca="1">固资折旧!A8</f>
        <v>0</v>
      </c>
      <c r="K7" s="2075">
        <f ca="1">D7-G7-H7</f>
        <v>0</v>
      </c>
      <c r="L7" s="2027"/>
      <c r="M7" s="1810" t="s">
        <v>5322</v>
      </c>
    </row>
    <row r="8" spans="1:14" s="1552" customFormat="1" ht="25.5" customHeight="1">
      <c r="A8" s="1841">
        <v>3</v>
      </c>
      <c r="B8" s="1813" t="s">
        <v>5323</v>
      </c>
      <c r="C8" s="2189">
        <f>固资折旧!F9</f>
        <v>0</v>
      </c>
      <c r="D8" s="2073">
        <f>固资折旧!D19</f>
        <v>0</v>
      </c>
      <c r="E8" s="2073">
        <f>固资折旧!F19</f>
        <v>0</v>
      </c>
      <c r="F8" s="2072">
        <f>固资折旧!G9</f>
        <v>0</v>
      </c>
      <c r="G8" s="2230">
        <f ca="1">固资折旧!G19-固资折旧!A19</f>
        <v>0</v>
      </c>
      <c r="H8" s="2072">
        <f>固资折旧!A19</f>
        <v>0</v>
      </c>
      <c r="I8" s="2082"/>
      <c r="J8" s="2072">
        <f ca="1">固资折旧!A9</f>
        <v>0</v>
      </c>
      <c r="K8" s="2075">
        <f t="shared" ref="K8:K11" ca="1" si="1">D8-G8-H8</f>
        <v>0</v>
      </c>
      <c r="L8" s="2028"/>
      <c r="M8" s="1810" t="s">
        <v>5324</v>
      </c>
    </row>
    <row r="9" spans="1:14" s="1552" customFormat="1" ht="29.25" customHeight="1">
      <c r="A9" s="1840">
        <v>4</v>
      </c>
      <c r="B9" s="1810" t="s">
        <v>5325</v>
      </c>
      <c r="C9" s="2189">
        <f>固资折旧!F10</f>
        <v>0</v>
      </c>
      <c r="D9" s="2072">
        <f>固资折旧!D20</f>
        <v>0</v>
      </c>
      <c r="E9" s="2072">
        <f>固资折旧!F20</f>
        <v>0</v>
      </c>
      <c r="F9" s="2072">
        <f>固资折旧!G10</f>
        <v>0</v>
      </c>
      <c r="G9" s="2230">
        <f ca="1">固资折旧!G20-固资折旧!A20</f>
        <v>0</v>
      </c>
      <c r="H9" s="2072">
        <f>固资折旧!A20</f>
        <v>0</v>
      </c>
      <c r="I9" s="2465"/>
      <c r="J9" s="2072">
        <f ca="1">固资折旧!A10</f>
        <v>0</v>
      </c>
      <c r="K9" s="2075">
        <f t="shared" ca="1" si="1"/>
        <v>0</v>
      </c>
      <c r="L9" s="2027"/>
      <c r="M9" s="1810" t="s">
        <v>5326</v>
      </c>
    </row>
    <row r="10" spans="1:14" s="1552" customFormat="1" ht="24">
      <c r="A10" s="1840">
        <v>5</v>
      </c>
      <c r="B10" s="1810" t="s">
        <v>5327</v>
      </c>
      <c r="C10" s="2189">
        <f>固资折旧!F11</f>
        <v>0</v>
      </c>
      <c r="D10" s="2072">
        <f>固资折旧!D21</f>
        <v>0</v>
      </c>
      <c r="E10" s="2072">
        <f>固资折旧!F21</f>
        <v>0</v>
      </c>
      <c r="F10" s="2072">
        <f>固资折旧!G11</f>
        <v>0</v>
      </c>
      <c r="G10" s="2230">
        <f ca="1">固资折旧!G21-固资折旧!A21</f>
        <v>0</v>
      </c>
      <c r="H10" s="2072">
        <f>固资折旧!A21</f>
        <v>0</v>
      </c>
      <c r="I10" s="2465"/>
      <c r="J10" s="2072">
        <f ca="1">固资折旧!A11</f>
        <v>0</v>
      </c>
      <c r="K10" s="2075">
        <f t="shared" ca="1" si="1"/>
        <v>0</v>
      </c>
      <c r="L10" s="2027"/>
      <c r="M10" s="1810" t="s">
        <v>5328</v>
      </c>
    </row>
    <row r="11" spans="1:14" s="1552" customFormat="1" ht="16.5" customHeight="1">
      <c r="A11" s="1840">
        <v>6</v>
      </c>
      <c r="B11" s="1809" t="s">
        <v>5329</v>
      </c>
      <c r="C11" s="2189">
        <f>固资折旧!F12</f>
        <v>0</v>
      </c>
      <c r="D11" s="2072">
        <f>固资折旧!D22</f>
        <v>0</v>
      </c>
      <c r="E11" s="2072">
        <f>固资折旧!F22</f>
        <v>0</v>
      </c>
      <c r="F11" s="2072">
        <f>固资折旧!G12</f>
        <v>0</v>
      </c>
      <c r="G11" s="2188">
        <f ca="1">固资折旧!G22-固资折旧!A22</f>
        <v>0</v>
      </c>
      <c r="H11" s="2072">
        <f>固资折旧!A22</f>
        <v>0</v>
      </c>
      <c r="I11" s="2465"/>
      <c r="J11" s="2072">
        <f ca="1">固资折旧!A12</f>
        <v>0</v>
      </c>
      <c r="K11" s="2075">
        <f t="shared" ca="1" si="1"/>
        <v>0</v>
      </c>
      <c r="L11" s="2027"/>
      <c r="M11" s="1810" t="s">
        <v>5330</v>
      </c>
    </row>
    <row r="12" spans="1:14" s="1552" customFormat="1" ht="13.8">
      <c r="A12" s="1840">
        <v>7</v>
      </c>
      <c r="B12" s="1809" t="s">
        <v>267</v>
      </c>
      <c r="C12" s="2076"/>
      <c r="D12" s="2076"/>
      <c r="E12" s="2076"/>
      <c r="F12" s="2076"/>
      <c r="G12" s="2076"/>
      <c r="H12" s="2076"/>
      <c r="I12" s="2076"/>
      <c r="J12" s="2077"/>
      <c r="K12" s="2077"/>
      <c r="L12" s="2027"/>
      <c r="M12" s="1810"/>
    </row>
    <row r="13" spans="1:14" s="1552" customFormat="1" ht="12.75" customHeight="1">
      <c r="A13" s="1840">
        <v>8</v>
      </c>
      <c r="B13" s="1809" t="s">
        <v>5331</v>
      </c>
      <c r="C13" s="2075">
        <f>C14+C15</f>
        <v>0</v>
      </c>
      <c r="D13" s="2075">
        <f t="shared" ref="D13:K13" si="2">D14+D15</f>
        <v>0</v>
      </c>
      <c r="E13" s="2075">
        <f t="shared" si="2"/>
        <v>0</v>
      </c>
      <c r="F13" s="2075">
        <f t="shared" si="2"/>
        <v>0</v>
      </c>
      <c r="G13" s="2075">
        <f t="shared" si="2"/>
        <v>0</v>
      </c>
      <c r="H13" s="2075">
        <f t="shared" si="2"/>
        <v>0</v>
      </c>
      <c r="I13" s="1952" t="s">
        <v>509</v>
      </c>
      <c r="J13" s="2075">
        <f t="shared" si="2"/>
        <v>0</v>
      </c>
      <c r="K13" s="2075">
        <f t="shared" si="2"/>
        <v>0</v>
      </c>
      <c r="L13" s="2027"/>
      <c r="M13" s="1810"/>
      <c r="N13" s="1675" t="s">
        <v>561</v>
      </c>
    </row>
    <row r="14" spans="1:14" s="1552" customFormat="1" ht="12.75" customHeight="1">
      <c r="A14" s="1840">
        <v>9</v>
      </c>
      <c r="B14" s="1809" t="s">
        <v>5332</v>
      </c>
      <c r="C14" s="2072">
        <f>固资折旧!F14</f>
        <v>0</v>
      </c>
      <c r="D14" s="2072">
        <f>固资折旧!D24</f>
        <v>0</v>
      </c>
      <c r="E14" s="2072">
        <f>固资折旧!F24</f>
        <v>0</v>
      </c>
      <c r="F14" s="2072">
        <f>固资折旧!G14</f>
        <v>0</v>
      </c>
      <c r="G14" s="2072">
        <f>固资折旧!G24</f>
        <v>0</v>
      </c>
      <c r="H14" s="2072">
        <f>固资折旧!A24</f>
        <v>0</v>
      </c>
      <c r="I14" s="1952" t="s">
        <v>509</v>
      </c>
      <c r="J14" s="2072">
        <f>固资折旧!A14</f>
        <v>0</v>
      </c>
      <c r="K14" s="2075">
        <f t="shared" ref="K14:K15" si="3">D14-G14-H14</f>
        <v>0</v>
      </c>
      <c r="L14" s="2027"/>
      <c r="M14" s="1810"/>
    </row>
    <row r="15" spans="1:14" s="1552" customFormat="1" ht="12.75" customHeight="1">
      <c r="A15" s="1840">
        <v>10</v>
      </c>
      <c r="B15" s="1809" t="s">
        <v>5333</v>
      </c>
      <c r="C15" s="2072">
        <f>固资折旧!F15</f>
        <v>0</v>
      </c>
      <c r="D15" s="2072">
        <f>固资折旧!D25</f>
        <v>0</v>
      </c>
      <c r="E15" s="2072">
        <f>固资折旧!F25</f>
        <v>0</v>
      </c>
      <c r="F15" s="2072">
        <f>固资折旧!G15</f>
        <v>0</v>
      </c>
      <c r="G15" s="2072">
        <f>固资折旧!G25</f>
        <v>0</v>
      </c>
      <c r="H15" s="2072">
        <f>固资折旧!A25</f>
        <v>0</v>
      </c>
      <c r="I15" s="1952" t="s">
        <v>509</v>
      </c>
      <c r="J15" s="2072">
        <f>固资折旧!A15</f>
        <v>0</v>
      </c>
      <c r="K15" s="2075">
        <f t="shared" si="3"/>
        <v>0</v>
      </c>
      <c r="L15" s="2027"/>
      <c r="M15" s="1810"/>
      <c r="N15" s="1675" t="s">
        <v>6443</v>
      </c>
    </row>
    <row r="16" spans="1:14" s="1552" customFormat="1" ht="12.75" customHeight="1">
      <c r="A16" s="1840">
        <v>11</v>
      </c>
      <c r="B16" s="1809" t="s">
        <v>5334</v>
      </c>
      <c r="C16" s="2075">
        <f>SUM(C17:C23)</f>
        <v>0</v>
      </c>
      <c r="D16" s="2075">
        <f>SUM(D17:D23)</f>
        <v>0</v>
      </c>
      <c r="E16" s="2075">
        <f>SUM(E17:E23)</f>
        <v>0</v>
      </c>
      <c r="F16" s="2075">
        <f>SUM(F17:F23)</f>
        <v>0</v>
      </c>
      <c r="G16" s="2075">
        <f>SUM(G17:G23)</f>
        <v>0</v>
      </c>
      <c r="H16" s="1952" t="s">
        <v>509</v>
      </c>
      <c r="I16" s="1952" t="s">
        <v>509</v>
      </c>
      <c r="J16" s="2075">
        <f>SUM(J17:J23)</f>
        <v>0</v>
      </c>
      <c r="K16" s="2075">
        <f>SUM(K17:K23)</f>
        <v>0</v>
      </c>
      <c r="L16" s="2027"/>
      <c r="M16" s="1810"/>
    </row>
    <row r="17" spans="1:14" s="1552" customFormat="1" ht="12.75" customHeight="1">
      <c r="A17" s="1840">
        <v>12</v>
      </c>
      <c r="B17" s="1810" t="s">
        <v>5335</v>
      </c>
      <c r="C17" s="2072">
        <f>无形长摊!C18</f>
        <v>0</v>
      </c>
      <c r="D17" s="2072">
        <f>无形长摊!I18</f>
        <v>0</v>
      </c>
      <c r="E17" s="2072">
        <f>无形长摊!C18-无形长摊!K18</f>
        <v>0</v>
      </c>
      <c r="F17" s="2072">
        <f>无形长摊!E18</f>
        <v>0</v>
      </c>
      <c r="G17" s="2072">
        <f>无形长摊!M18</f>
        <v>0</v>
      </c>
      <c r="H17" s="1952" t="s">
        <v>509</v>
      </c>
      <c r="I17" s="1952" t="s">
        <v>509</v>
      </c>
      <c r="J17" s="2072">
        <f>无形长摊!N18</f>
        <v>0</v>
      </c>
      <c r="K17" s="2075">
        <f>D17-G17</f>
        <v>0</v>
      </c>
      <c r="L17" s="2027"/>
      <c r="M17" s="1810"/>
      <c r="N17" s="1675" t="s">
        <v>6442</v>
      </c>
    </row>
    <row r="18" spans="1:14" s="1552" customFormat="1" ht="12.75" customHeight="1">
      <c r="A18" s="1840">
        <v>13</v>
      </c>
      <c r="B18" s="1810" t="s">
        <v>5336</v>
      </c>
      <c r="C18" s="2072">
        <f>无形长摊!C19</f>
        <v>0</v>
      </c>
      <c r="D18" s="2072">
        <f>无形长摊!I19</f>
        <v>0</v>
      </c>
      <c r="E18" s="2072">
        <f>无形长摊!C19-无形长摊!K19</f>
        <v>0</v>
      </c>
      <c r="F18" s="2072">
        <f>无形长摊!E19</f>
        <v>0</v>
      </c>
      <c r="G18" s="2072">
        <f>无形长摊!M19</f>
        <v>0</v>
      </c>
      <c r="H18" s="1952" t="s">
        <v>509</v>
      </c>
      <c r="I18" s="1952" t="s">
        <v>509</v>
      </c>
      <c r="J18" s="2072">
        <f>无形长摊!N19</f>
        <v>0</v>
      </c>
      <c r="K18" s="2075">
        <f t="shared" ref="K18:K23" si="4">D18-G18</f>
        <v>0</v>
      </c>
      <c r="L18" s="2027"/>
      <c r="M18" s="1810"/>
    </row>
    <row r="19" spans="1:14" s="1552" customFormat="1" ht="12.75" customHeight="1">
      <c r="A19" s="1840">
        <v>14</v>
      </c>
      <c r="B19" s="1810" t="s">
        <v>5337</v>
      </c>
      <c r="C19" s="2072">
        <f>无形长摊!C20</f>
        <v>0</v>
      </c>
      <c r="D19" s="2072">
        <f>无形长摊!I20</f>
        <v>0</v>
      </c>
      <c r="E19" s="2072">
        <f>无形长摊!C20-无形长摊!K20</f>
        <v>0</v>
      </c>
      <c r="F19" s="2072">
        <f>无形长摊!E20</f>
        <v>0</v>
      </c>
      <c r="G19" s="2072">
        <f>无形长摊!M20</f>
        <v>0</v>
      </c>
      <c r="H19" s="1952" t="s">
        <v>509</v>
      </c>
      <c r="I19" s="1952" t="s">
        <v>509</v>
      </c>
      <c r="J19" s="2072">
        <f>无形长摊!N20</f>
        <v>0</v>
      </c>
      <c r="K19" s="2075">
        <f t="shared" si="4"/>
        <v>0</v>
      </c>
      <c r="L19" s="2027"/>
      <c r="M19" s="1810"/>
    </row>
    <row r="20" spans="1:14" s="1552" customFormat="1" ht="12.75" customHeight="1">
      <c r="A20" s="1840">
        <v>15</v>
      </c>
      <c r="B20" s="1810" t="s">
        <v>5338</v>
      </c>
      <c r="C20" s="2072">
        <f>无形长摊!C21</f>
        <v>0</v>
      </c>
      <c r="D20" s="2072">
        <f>无形长摊!I21</f>
        <v>0</v>
      </c>
      <c r="E20" s="2072">
        <f>无形长摊!C21-无形长摊!K21</f>
        <v>0</v>
      </c>
      <c r="F20" s="2072">
        <f>无形长摊!E21</f>
        <v>0</v>
      </c>
      <c r="G20" s="2072">
        <f>无形长摊!M21</f>
        <v>0</v>
      </c>
      <c r="H20" s="1952" t="s">
        <v>509</v>
      </c>
      <c r="I20" s="1952" t="s">
        <v>509</v>
      </c>
      <c r="J20" s="2072">
        <f>无形长摊!N21</f>
        <v>0</v>
      </c>
      <c r="K20" s="2075">
        <f t="shared" si="4"/>
        <v>0</v>
      </c>
      <c r="L20" s="2027"/>
      <c r="M20" s="1810"/>
    </row>
    <row r="21" spans="1:14" s="1552" customFormat="1" ht="12.75" customHeight="1">
      <c r="A21" s="1840">
        <v>16</v>
      </c>
      <c r="B21" s="1810" t="s">
        <v>5339</v>
      </c>
      <c r="C21" s="2072">
        <f>无形长摊!C22</f>
        <v>0</v>
      </c>
      <c r="D21" s="2072">
        <f>无形长摊!I22</f>
        <v>0</v>
      </c>
      <c r="E21" s="2072">
        <f>无形长摊!C22-无形长摊!K22</f>
        <v>0</v>
      </c>
      <c r="F21" s="2072">
        <f>无形长摊!E22</f>
        <v>0</v>
      </c>
      <c r="G21" s="2072">
        <f>无形长摊!M22</f>
        <v>0</v>
      </c>
      <c r="H21" s="1952" t="s">
        <v>509</v>
      </c>
      <c r="I21" s="1952" t="s">
        <v>509</v>
      </c>
      <c r="J21" s="2072">
        <f>无形长摊!N22</f>
        <v>0</v>
      </c>
      <c r="K21" s="2075">
        <f t="shared" si="4"/>
        <v>0</v>
      </c>
      <c r="L21" s="2027"/>
      <c r="M21" s="1810"/>
    </row>
    <row r="22" spans="1:14" s="1552" customFormat="1" ht="12.75" customHeight="1">
      <c r="A22" s="1840">
        <v>17</v>
      </c>
      <c r="B22" s="1810" t="s">
        <v>5340</v>
      </c>
      <c r="C22" s="2072">
        <f>无形长摊!C23</f>
        <v>0</v>
      </c>
      <c r="D22" s="2072">
        <f>无形长摊!I23</f>
        <v>0</v>
      </c>
      <c r="E22" s="2072">
        <f>无形长摊!C23-无形长摊!K23</f>
        <v>0</v>
      </c>
      <c r="F22" s="2072">
        <f>无形长摊!E23</f>
        <v>0</v>
      </c>
      <c r="G22" s="2072">
        <f>无形长摊!M23</f>
        <v>0</v>
      </c>
      <c r="H22" s="1952" t="s">
        <v>509</v>
      </c>
      <c r="I22" s="1952" t="s">
        <v>509</v>
      </c>
      <c r="J22" s="2072">
        <f>无形长摊!N23</f>
        <v>0</v>
      </c>
      <c r="K22" s="2075">
        <f t="shared" si="4"/>
        <v>0</v>
      </c>
      <c r="L22" s="2027"/>
      <c r="M22" s="1810"/>
    </row>
    <row r="23" spans="1:14" s="1552" customFormat="1" ht="12.75" customHeight="1">
      <c r="A23" s="1840">
        <v>18</v>
      </c>
      <c r="B23" s="1810" t="s">
        <v>5341</v>
      </c>
      <c r="C23" s="2072">
        <f>无形长摊!C24</f>
        <v>0</v>
      </c>
      <c r="D23" s="2072">
        <f>无形长摊!I24</f>
        <v>0</v>
      </c>
      <c r="E23" s="2072">
        <f>无形长摊!C24-无形长摊!K24</f>
        <v>0</v>
      </c>
      <c r="F23" s="2072">
        <f>无形长摊!E24</f>
        <v>0</v>
      </c>
      <c r="G23" s="2072">
        <f>无形长摊!M24</f>
        <v>0</v>
      </c>
      <c r="H23" s="1952" t="s">
        <v>509</v>
      </c>
      <c r="I23" s="1952" t="s">
        <v>509</v>
      </c>
      <c r="J23" s="2072">
        <f>无形长摊!N24</f>
        <v>0</v>
      </c>
      <c r="K23" s="2075">
        <f t="shared" si="4"/>
        <v>0</v>
      </c>
      <c r="L23" s="2027"/>
      <c r="M23" s="1810"/>
    </row>
    <row r="24" spans="1:14" s="1552" customFormat="1" ht="12.75" customHeight="1">
      <c r="A24" s="1840">
        <v>19</v>
      </c>
      <c r="B24" s="1809" t="s">
        <v>5342</v>
      </c>
      <c r="C24" s="2075">
        <f>SUM(C25:C29)</f>
        <v>0</v>
      </c>
      <c r="D24" s="2075">
        <f t="shared" ref="D24:G24" si="5">SUM(D25:D29)</f>
        <v>0</v>
      </c>
      <c r="E24" s="2075">
        <f t="shared" si="5"/>
        <v>0</v>
      </c>
      <c r="F24" s="2075">
        <f t="shared" si="5"/>
        <v>0</v>
      </c>
      <c r="G24" s="2075">
        <f t="shared" si="5"/>
        <v>0</v>
      </c>
      <c r="H24" s="1952" t="s">
        <v>509</v>
      </c>
      <c r="I24" s="1952" t="s">
        <v>509</v>
      </c>
      <c r="J24" s="2075">
        <f t="shared" ref="J24:K24" si="6">SUM(J25:J29)</f>
        <v>0</v>
      </c>
      <c r="K24" s="2075">
        <f t="shared" si="6"/>
        <v>0</v>
      </c>
      <c r="L24" s="2027"/>
      <c r="M24" s="1810"/>
    </row>
    <row r="25" spans="1:14" s="1552" customFormat="1" ht="25.5" customHeight="1">
      <c r="A25" s="1840">
        <v>20</v>
      </c>
      <c r="B25" s="1810" t="s">
        <v>5343</v>
      </c>
      <c r="C25" s="2072">
        <f>无形长摊!C8</f>
        <v>0</v>
      </c>
      <c r="D25" s="2072">
        <f>无形长摊!I8</f>
        <v>0</v>
      </c>
      <c r="E25" s="2188">
        <f>无形长摊!C8-无形长摊!K8</f>
        <v>0</v>
      </c>
      <c r="F25" s="2072">
        <f>无形长摊!E8</f>
        <v>0</v>
      </c>
      <c r="G25" s="2072">
        <f>无形长摊!M8</f>
        <v>0</v>
      </c>
      <c r="H25" s="1952" t="s">
        <v>509</v>
      </c>
      <c r="I25" s="1952" t="s">
        <v>509</v>
      </c>
      <c r="J25" s="2072">
        <f>无形长摊!N8</f>
        <v>0</v>
      </c>
      <c r="K25" s="2075">
        <f>D25-G25</f>
        <v>0</v>
      </c>
      <c r="L25" s="2027"/>
      <c r="M25" s="1810"/>
    </row>
    <row r="26" spans="1:14" s="1552" customFormat="1" ht="12.75" customHeight="1">
      <c r="A26" s="1840">
        <v>21</v>
      </c>
      <c r="B26" s="1810" t="s">
        <v>5344</v>
      </c>
      <c r="C26" s="2072">
        <f>无形长摊!C9</f>
        <v>0</v>
      </c>
      <c r="D26" s="2072">
        <f>无形长摊!I9</f>
        <v>0</v>
      </c>
      <c r="E26" s="2188">
        <f>无形长摊!C9-无形长摊!K9</f>
        <v>0</v>
      </c>
      <c r="F26" s="2072">
        <f>无形长摊!E9</f>
        <v>0</v>
      </c>
      <c r="G26" s="2072">
        <f>无形长摊!M9</f>
        <v>0</v>
      </c>
      <c r="H26" s="1952" t="s">
        <v>509</v>
      </c>
      <c r="I26" s="1952" t="s">
        <v>509</v>
      </c>
      <c r="J26" s="2072">
        <f>无形长摊!N9</f>
        <v>0</v>
      </c>
      <c r="K26" s="2075">
        <f t="shared" ref="K26:K31" si="7">D26-G26</f>
        <v>0</v>
      </c>
      <c r="L26" s="2027"/>
      <c r="M26" s="1810"/>
    </row>
    <row r="27" spans="1:14" s="1552" customFormat="1" ht="12.75" customHeight="1">
      <c r="A27" s="1840">
        <v>22</v>
      </c>
      <c r="B27" s="1810" t="s">
        <v>5345</v>
      </c>
      <c r="C27" s="2072">
        <f>无形长摊!C10</f>
        <v>0</v>
      </c>
      <c r="D27" s="2072">
        <f>无形长摊!I10</f>
        <v>0</v>
      </c>
      <c r="E27" s="2188">
        <f>无形长摊!C10-无形长摊!K10</f>
        <v>0</v>
      </c>
      <c r="F27" s="2072">
        <f>无形长摊!E10</f>
        <v>0</v>
      </c>
      <c r="G27" s="2072">
        <f>无形长摊!M10</f>
        <v>0</v>
      </c>
      <c r="H27" s="1952" t="s">
        <v>509</v>
      </c>
      <c r="I27" s="1952" t="s">
        <v>509</v>
      </c>
      <c r="J27" s="2072">
        <f>无形长摊!N10</f>
        <v>0</v>
      </c>
      <c r="K27" s="2075">
        <f t="shared" si="7"/>
        <v>0</v>
      </c>
      <c r="L27" s="2027"/>
      <c r="M27" s="1810"/>
    </row>
    <row r="28" spans="1:14" s="1552" customFormat="1" ht="12.75" customHeight="1">
      <c r="A28" s="1840">
        <v>23</v>
      </c>
      <c r="B28" s="1810" t="s">
        <v>5346</v>
      </c>
      <c r="C28" s="2072">
        <f>无形长摊!C11</f>
        <v>0</v>
      </c>
      <c r="D28" s="2072">
        <f>无形长摊!I11</f>
        <v>0</v>
      </c>
      <c r="E28" s="2188">
        <f>无形长摊!C11-无形长摊!K11</f>
        <v>0</v>
      </c>
      <c r="F28" s="2072">
        <f>无形长摊!E11</f>
        <v>0</v>
      </c>
      <c r="G28" s="2072">
        <f>无形长摊!M11</f>
        <v>0</v>
      </c>
      <c r="H28" s="1952" t="s">
        <v>509</v>
      </c>
      <c r="I28" s="1952" t="s">
        <v>509</v>
      </c>
      <c r="J28" s="2072">
        <f>无形长摊!N11</f>
        <v>0</v>
      </c>
      <c r="K28" s="2075">
        <f t="shared" si="7"/>
        <v>0</v>
      </c>
      <c r="L28" s="2027"/>
      <c r="M28" s="1810"/>
    </row>
    <row r="29" spans="1:14" s="1552" customFormat="1" ht="12.75" customHeight="1">
      <c r="A29" s="1840">
        <v>24</v>
      </c>
      <c r="B29" s="1810" t="s">
        <v>268</v>
      </c>
      <c r="C29" s="2072">
        <f>无形长摊!C12</f>
        <v>0</v>
      </c>
      <c r="D29" s="2072">
        <f>无形长摊!I12</f>
        <v>0</v>
      </c>
      <c r="E29" s="2188">
        <f>无形长摊!C12-无形长摊!K12</f>
        <v>0</v>
      </c>
      <c r="F29" s="2072">
        <f>无形长摊!E12</f>
        <v>0</v>
      </c>
      <c r="G29" s="2072">
        <f>无形长摊!M12</f>
        <v>0</v>
      </c>
      <c r="H29" s="1952" t="s">
        <v>509</v>
      </c>
      <c r="I29" s="1952" t="s">
        <v>509</v>
      </c>
      <c r="J29" s="2072">
        <f>无形长摊!N12</f>
        <v>0</v>
      </c>
      <c r="K29" s="2075">
        <f t="shared" si="7"/>
        <v>0</v>
      </c>
      <c r="L29" s="2027"/>
      <c r="M29" s="1810"/>
    </row>
    <row r="30" spans="1:14" s="1552" customFormat="1" ht="12.75" customHeight="1">
      <c r="A30" s="1840">
        <v>25</v>
      </c>
      <c r="B30" s="1809" t="s">
        <v>500</v>
      </c>
      <c r="C30" s="2072">
        <f>无形长摊!C26</f>
        <v>0</v>
      </c>
      <c r="D30" s="2072">
        <f>无形长摊!I26</f>
        <v>0</v>
      </c>
      <c r="E30" s="2188">
        <f>无形长摊!C26-无形长摊!K26</f>
        <v>0</v>
      </c>
      <c r="F30" s="2072">
        <f>无形长摊!E26</f>
        <v>0</v>
      </c>
      <c r="G30" s="2072">
        <f>无形长摊!M26</f>
        <v>0</v>
      </c>
      <c r="H30" s="1952" t="s">
        <v>509</v>
      </c>
      <c r="I30" s="1952" t="s">
        <v>509</v>
      </c>
      <c r="J30" s="2072">
        <f>无形长摊!N26</f>
        <v>0</v>
      </c>
      <c r="K30" s="2075">
        <f t="shared" si="7"/>
        <v>0</v>
      </c>
      <c r="L30" s="2027"/>
      <c r="M30" s="1810"/>
    </row>
    <row r="31" spans="1:14" s="1552" customFormat="1" ht="12.75" customHeight="1">
      <c r="A31" s="1840">
        <v>26</v>
      </c>
      <c r="B31" s="1809" t="s">
        <v>501</v>
      </c>
      <c r="C31" s="2072">
        <f>无形长摊!C27</f>
        <v>0</v>
      </c>
      <c r="D31" s="2072">
        <f>无形长摊!I27</f>
        <v>0</v>
      </c>
      <c r="E31" s="2188">
        <f>无形长摊!C27-无形长摊!K27</f>
        <v>0</v>
      </c>
      <c r="F31" s="2072">
        <f>无形长摊!E27</f>
        <v>0</v>
      </c>
      <c r="G31" s="2072">
        <f>无形长摊!M27</f>
        <v>0</v>
      </c>
      <c r="H31" s="1952" t="s">
        <v>509</v>
      </c>
      <c r="I31" s="1952" t="s">
        <v>509</v>
      </c>
      <c r="J31" s="2072">
        <f>无形长摊!N27</f>
        <v>0</v>
      </c>
      <c r="K31" s="2075">
        <f t="shared" si="7"/>
        <v>0</v>
      </c>
      <c r="L31" s="2027"/>
      <c r="M31" s="1810"/>
    </row>
    <row r="32" spans="1:14" s="1552" customFormat="1" ht="117.75" customHeight="1">
      <c r="A32" s="1840">
        <v>27</v>
      </c>
      <c r="B32" s="1809" t="s">
        <v>5347</v>
      </c>
      <c r="C32" s="2075">
        <f>C6+C13+C16+C24+C30+C31</f>
        <v>0</v>
      </c>
      <c r="D32" s="2075">
        <f>D6+D13+D16+D24+D30+D31</f>
        <v>0</v>
      </c>
      <c r="E32" s="2075">
        <f>E6+E13+E16+E24+E30+E31</f>
        <v>0</v>
      </c>
      <c r="F32" s="2075">
        <f>F6+F13+F16+F24+F30+F31</f>
        <v>0</v>
      </c>
      <c r="G32" s="2075">
        <f ca="1">G6+G13+G16+G24+G30+G31</f>
        <v>0</v>
      </c>
      <c r="H32" s="2075">
        <f>H6+H13</f>
        <v>0</v>
      </c>
      <c r="I32" s="2075">
        <f>I6+I1</f>
        <v>0</v>
      </c>
      <c r="J32" s="2075">
        <f ca="1">J6+J13+J16+J24+J30+J31</f>
        <v>0</v>
      </c>
      <c r="K32" s="2075">
        <f ca="1">K6+K13+K16+K24+K30+K31</f>
        <v>0</v>
      </c>
      <c r="L32" s="1952" t="s">
        <v>509</v>
      </c>
      <c r="M32" s="1810" t="s">
        <v>5348</v>
      </c>
    </row>
  </sheetData>
  <mergeCells count="8">
    <mergeCell ref="M3:M5"/>
    <mergeCell ref="A1:L1"/>
    <mergeCell ref="A2:L2"/>
    <mergeCell ref="A3:A5"/>
    <mergeCell ref="B3:B5"/>
    <mergeCell ref="C3:E3"/>
    <mergeCell ref="F3:J3"/>
    <mergeCell ref="K3:L3"/>
  </mergeCells>
  <phoneticPr fontId="51" type="noConversion"/>
  <hyperlinks>
    <hyperlink ref="N13" location="固资折旧!A1" display="固资折旧!A1"/>
    <hyperlink ref="N15" location="折旧测算!A1" display="折旧测算!A1"/>
    <hyperlink ref="N17" location="固定资产加速折旧审核表!A1" display="固定资产加速折旧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rgb="FFFFFF00"/>
  </sheetPr>
  <dimension ref="A1:V34"/>
  <sheetViews>
    <sheetView zoomScale="80" zoomScaleNormal="80" workbookViewId="0">
      <selection activeCell="D4" sqref="D4"/>
    </sheetView>
  </sheetViews>
  <sheetFormatPr defaultRowHeight="15.6"/>
  <cols>
    <col min="1" max="1" width="4.19921875" style="1532" customWidth="1"/>
    <col min="2" max="2" width="9.8984375" style="1532" customWidth="1"/>
    <col min="3" max="3" width="13.5" style="1532" customWidth="1"/>
    <col min="4" max="9" width="9.09765625" style="1532" customWidth="1"/>
    <col min="10" max="10" width="9.09765625" style="1537" customWidth="1"/>
    <col min="11" max="17" width="9.09765625" style="1532" customWidth="1"/>
    <col min="18" max="19" width="9.09765625" style="2000" customWidth="1"/>
    <col min="20" max="21" width="9.09765625" style="1532" customWidth="1"/>
    <col min="22" max="22" width="19.8984375" style="1532" customWidth="1"/>
    <col min="23" max="254" width="9" style="1532"/>
    <col min="255" max="255" width="4.19921875" style="1532" customWidth="1"/>
    <col min="256" max="256" width="29.5" style="1532" customWidth="1"/>
    <col min="257" max="271" width="4.5" style="1532" customWidth="1"/>
    <col min="272" max="272" width="3.8984375" style="1532" customWidth="1"/>
    <col min="273" max="273" width="4" style="1532" customWidth="1"/>
    <col min="274" max="274" width="4.3984375" style="1532" customWidth="1"/>
    <col min="275" max="275" width="4.5" style="1532" customWidth="1"/>
    <col min="276" max="276" width="3.8984375" style="1532" customWidth="1"/>
    <col min="277" max="277" width="16.09765625" style="1532" customWidth="1"/>
    <col min="278" max="278" width="19.8984375" style="1532" customWidth="1"/>
    <col min="279" max="510" width="9" style="1532"/>
    <col min="511" max="511" width="4.19921875" style="1532" customWidth="1"/>
    <col min="512" max="512" width="29.5" style="1532" customWidth="1"/>
    <col min="513" max="527" width="4.5" style="1532" customWidth="1"/>
    <col min="528" max="528" width="3.8984375" style="1532" customWidth="1"/>
    <col min="529" max="529" width="4" style="1532" customWidth="1"/>
    <col min="530" max="530" width="4.3984375" style="1532" customWidth="1"/>
    <col min="531" max="531" width="4.5" style="1532" customWidth="1"/>
    <col min="532" max="532" width="3.8984375" style="1532" customWidth="1"/>
    <col min="533" max="533" width="16.09765625" style="1532" customWidth="1"/>
    <col min="534" max="534" width="19.8984375" style="1532" customWidth="1"/>
    <col min="535" max="766" width="9" style="1532"/>
    <col min="767" max="767" width="4.19921875" style="1532" customWidth="1"/>
    <col min="768" max="768" width="29.5" style="1532" customWidth="1"/>
    <col min="769" max="783" width="4.5" style="1532" customWidth="1"/>
    <col min="784" max="784" width="3.8984375" style="1532" customWidth="1"/>
    <col min="785" max="785" width="4" style="1532" customWidth="1"/>
    <col min="786" max="786" width="4.3984375" style="1532" customWidth="1"/>
    <col min="787" max="787" width="4.5" style="1532" customWidth="1"/>
    <col min="788" max="788" width="3.8984375" style="1532" customWidth="1"/>
    <col min="789" max="789" width="16.09765625" style="1532" customWidth="1"/>
    <col min="790" max="790" width="19.8984375" style="1532" customWidth="1"/>
    <col min="791" max="1022" width="9" style="1532"/>
    <col min="1023" max="1023" width="4.19921875" style="1532" customWidth="1"/>
    <col min="1024" max="1024" width="29.5" style="1532" customWidth="1"/>
    <col min="1025" max="1039" width="4.5" style="1532" customWidth="1"/>
    <col min="1040" max="1040" width="3.8984375" style="1532" customWidth="1"/>
    <col min="1041" max="1041" width="4" style="1532" customWidth="1"/>
    <col min="1042" max="1042" width="4.3984375" style="1532" customWidth="1"/>
    <col min="1043" max="1043" width="4.5" style="1532" customWidth="1"/>
    <col min="1044" max="1044" width="3.8984375" style="1532" customWidth="1"/>
    <col min="1045" max="1045" width="16.09765625" style="1532" customWidth="1"/>
    <col min="1046" max="1046" width="19.8984375" style="1532" customWidth="1"/>
    <col min="1047" max="1278" width="9" style="1532"/>
    <col min="1279" max="1279" width="4.19921875" style="1532" customWidth="1"/>
    <col min="1280" max="1280" width="29.5" style="1532" customWidth="1"/>
    <col min="1281" max="1295" width="4.5" style="1532" customWidth="1"/>
    <col min="1296" max="1296" width="3.8984375" style="1532" customWidth="1"/>
    <col min="1297" max="1297" width="4" style="1532" customWidth="1"/>
    <col min="1298" max="1298" width="4.3984375" style="1532" customWidth="1"/>
    <col min="1299" max="1299" width="4.5" style="1532" customWidth="1"/>
    <col min="1300" max="1300" width="3.8984375" style="1532" customWidth="1"/>
    <col min="1301" max="1301" width="16.09765625" style="1532" customWidth="1"/>
    <col min="1302" max="1302" width="19.8984375" style="1532" customWidth="1"/>
    <col min="1303" max="1534" width="9" style="1532"/>
    <col min="1535" max="1535" width="4.19921875" style="1532" customWidth="1"/>
    <col min="1536" max="1536" width="29.5" style="1532" customWidth="1"/>
    <col min="1537" max="1551" width="4.5" style="1532" customWidth="1"/>
    <col min="1552" max="1552" width="3.8984375" style="1532" customWidth="1"/>
    <col min="1553" max="1553" width="4" style="1532" customWidth="1"/>
    <col min="1554" max="1554" width="4.3984375" style="1532" customWidth="1"/>
    <col min="1555" max="1555" width="4.5" style="1532" customWidth="1"/>
    <col min="1556" max="1556" width="3.8984375" style="1532" customWidth="1"/>
    <col min="1557" max="1557" width="16.09765625" style="1532" customWidth="1"/>
    <col min="1558" max="1558" width="19.8984375" style="1532" customWidth="1"/>
    <col min="1559" max="1790" width="9" style="1532"/>
    <col min="1791" max="1791" width="4.19921875" style="1532" customWidth="1"/>
    <col min="1792" max="1792" width="29.5" style="1532" customWidth="1"/>
    <col min="1793" max="1807" width="4.5" style="1532" customWidth="1"/>
    <col min="1808" max="1808" width="3.8984375" style="1532" customWidth="1"/>
    <col min="1809" max="1809" width="4" style="1532" customWidth="1"/>
    <col min="1810" max="1810" width="4.3984375" style="1532" customWidth="1"/>
    <col min="1811" max="1811" width="4.5" style="1532" customWidth="1"/>
    <col min="1812" max="1812" width="3.8984375" style="1532" customWidth="1"/>
    <col min="1813" max="1813" width="16.09765625" style="1532" customWidth="1"/>
    <col min="1814" max="1814" width="19.8984375" style="1532" customWidth="1"/>
    <col min="1815" max="2046" width="9" style="1532"/>
    <col min="2047" max="2047" width="4.19921875" style="1532" customWidth="1"/>
    <col min="2048" max="2048" width="29.5" style="1532" customWidth="1"/>
    <col min="2049" max="2063" width="4.5" style="1532" customWidth="1"/>
    <col min="2064" max="2064" width="3.8984375" style="1532" customWidth="1"/>
    <col min="2065" max="2065" width="4" style="1532" customWidth="1"/>
    <col min="2066" max="2066" width="4.3984375" style="1532" customWidth="1"/>
    <col min="2067" max="2067" width="4.5" style="1532" customWidth="1"/>
    <col min="2068" max="2068" width="3.8984375" style="1532" customWidth="1"/>
    <col min="2069" max="2069" width="16.09765625" style="1532" customWidth="1"/>
    <col min="2070" max="2070" width="19.8984375" style="1532" customWidth="1"/>
    <col min="2071" max="2302" width="9" style="1532"/>
    <col min="2303" max="2303" width="4.19921875" style="1532" customWidth="1"/>
    <col min="2304" max="2304" width="29.5" style="1532" customWidth="1"/>
    <col min="2305" max="2319" width="4.5" style="1532" customWidth="1"/>
    <col min="2320" max="2320" width="3.8984375" style="1532" customWidth="1"/>
    <col min="2321" max="2321" width="4" style="1532" customWidth="1"/>
    <col min="2322" max="2322" width="4.3984375" style="1532" customWidth="1"/>
    <col min="2323" max="2323" width="4.5" style="1532" customWidth="1"/>
    <col min="2324" max="2324" width="3.8984375" style="1532" customWidth="1"/>
    <col min="2325" max="2325" width="16.09765625" style="1532" customWidth="1"/>
    <col min="2326" max="2326" width="19.8984375" style="1532" customWidth="1"/>
    <col min="2327" max="2558" width="9" style="1532"/>
    <col min="2559" max="2559" width="4.19921875" style="1532" customWidth="1"/>
    <col min="2560" max="2560" width="29.5" style="1532" customWidth="1"/>
    <col min="2561" max="2575" width="4.5" style="1532" customWidth="1"/>
    <col min="2576" max="2576" width="3.8984375" style="1532" customWidth="1"/>
    <col min="2577" max="2577" width="4" style="1532" customWidth="1"/>
    <col min="2578" max="2578" width="4.3984375" style="1532" customWidth="1"/>
    <col min="2579" max="2579" width="4.5" style="1532" customWidth="1"/>
    <col min="2580" max="2580" width="3.8984375" style="1532" customWidth="1"/>
    <col min="2581" max="2581" width="16.09765625" style="1532" customWidth="1"/>
    <col min="2582" max="2582" width="19.8984375" style="1532" customWidth="1"/>
    <col min="2583" max="2814" width="9" style="1532"/>
    <col min="2815" max="2815" width="4.19921875" style="1532" customWidth="1"/>
    <col min="2816" max="2816" width="29.5" style="1532" customWidth="1"/>
    <col min="2817" max="2831" width="4.5" style="1532" customWidth="1"/>
    <col min="2832" max="2832" width="3.8984375" style="1532" customWidth="1"/>
    <col min="2833" max="2833" width="4" style="1532" customWidth="1"/>
    <col min="2834" max="2834" width="4.3984375" style="1532" customWidth="1"/>
    <col min="2835" max="2835" width="4.5" style="1532" customWidth="1"/>
    <col min="2836" max="2836" width="3.8984375" style="1532" customWidth="1"/>
    <col min="2837" max="2837" width="16.09765625" style="1532" customWidth="1"/>
    <col min="2838" max="2838" width="19.8984375" style="1532" customWidth="1"/>
    <col min="2839" max="3070" width="9" style="1532"/>
    <col min="3071" max="3071" width="4.19921875" style="1532" customWidth="1"/>
    <col min="3072" max="3072" width="29.5" style="1532" customWidth="1"/>
    <col min="3073" max="3087" width="4.5" style="1532" customWidth="1"/>
    <col min="3088" max="3088" width="3.8984375" style="1532" customWidth="1"/>
    <col min="3089" max="3089" width="4" style="1532" customWidth="1"/>
    <col min="3090" max="3090" width="4.3984375" style="1532" customWidth="1"/>
    <col min="3091" max="3091" width="4.5" style="1532" customWidth="1"/>
    <col min="3092" max="3092" width="3.8984375" style="1532" customWidth="1"/>
    <col min="3093" max="3093" width="16.09765625" style="1532" customWidth="1"/>
    <col min="3094" max="3094" width="19.8984375" style="1532" customWidth="1"/>
    <col min="3095" max="3326" width="9" style="1532"/>
    <col min="3327" max="3327" width="4.19921875" style="1532" customWidth="1"/>
    <col min="3328" max="3328" width="29.5" style="1532" customWidth="1"/>
    <col min="3329" max="3343" width="4.5" style="1532" customWidth="1"/>
    <col min="3344" max="3344" width="3.8984375" style="1532" customWidth="1"/>
    <col min="3345" max="3345" width="4" style="1532" customWidth="1"/>
    <col min="3346" max="3346" width="4.3984375" style="1532" customWidth="1"/>
    <col min="3347" max="3347" width="4.5" style="1532" customWidth="1"/>
    <col min="3348" max="3348" width="3.8984375" style="1532" customWidth="1"/>
    <col min="3349" max="3349" width="16.09765625" style="1532" customWidth="1"/>
    <col min="3350" max="3350" width="19.8984375" style="1532" customWidth="1"/>
    <col min="3351" max="3582" width="9" style="1532"/>
    <col min="3583" max="3583" width="4.19921875" style="1532" customWidth="1"/>
    <col min="3584" max="3584" width="29.5" style="1532" customWidth="1"/>
    <col min="3585" max="3599" width="4.5" style="1532" customWidth="1"/>
    <col min="3600" max="3600" width="3.8984375" style="1532" customWidth="1"/>
    <col min="3601" max="3601" width="4" style="1532" customWidth="1"/>
    <col min="3602" max="3602" width="4.3984375" style="1532" customWidth="1"/>
    <col min="3603" max="3603" width="4.5" style="1532" customWidth="1"/>
    <col min="3604" max="3604" width="3.8984375" style="1532" customWidth="1"/>
    <col min="3605" max="3605" width="16.09765625" style="1532" customWidth="1"/>
    <col min="3606" max="3606" width="19.8984375" style="1532" customWidth="1"/>
    <col min="3607" max="3838" width="9" style="1532"/>
    <col min="3839" max="3839" width="4.19921875" style="1532" customWidth="1"/>
    <col min="3840" max="3840" width="29.5" style="1532" customWidth="1"/>
    <col min="3841" max="3855" width="4.5" style="1532" customWidth="1"/>
    <col min="3856" max="3856" width="3.8984375" style="1532" customWidth="1"/>
    <col min="3857" max="3857" width="4" style="1532" customWidth="1"/>
    <col min="3858" max="3858" width="4.3984375" style="1532" customWidth="1"/>
    <col min="3859" max="3859" width="4.5" style="1532" customWidth="1"/>
    <col min="3860" max="3860" width="3.8984375" style="1532" customWidth="1"/>
    <col min="3861" max="3861" width="16.09765625" style="1532" customWidth="1"/>
    <col min="3862" max="3862" width="19.8984375" style="1532" customWidth="1"/>
    <col min="3863" max="4094" width="9" style="1532"/>
    <col min="4095" max="4095" width="4.19921875" style="1532" customWidth="1"/>
    <col min="4096" max="4096" width="29.5" style="1532" customWidth="1"/>
    <col min="4097" max="4111" width="4.5" style="1532" customWidth="1"/>
    <col min="4112" max="4112" width="3.8984375" style="1532" customWidth="1"/>
    <col min="4113" max="4113" width="4" style="1532" customWidth="1"/>
    <col min="4114" max="4114" width="4.3984375" style="1532" customWidth="1"/>
    <col min="4115" max="4115" width="4.5" style="1532" customWidth="1"/>
    <col min="4116" max="4116" width="3.8984375" style="1532" customWidth="1"/>
    <col min="4117" max="4117" width="16.09765625" style="1532" customWidth="1"/>
    <col min="4118" max="4118" width="19.8984375" style="1532" customWidth="1"/>
    <col min="4119" max="4350" width="9" style="1532"/>
    <col min="4351" max="4351" width="4.19921875" style="1532" customWidth="1"/>
    <col min="4352" max="4352" width="29.5" style="1532" customWidth="1"/>
    <col min="4353" max="4367" width="4.5" style="1532" customWidth="1"/>
    <col min="4368" max="4368" width="3.8984375" style="1532" customWidth="1"/>
    <col min="4369" max="4369" width="4" style="1532" customWidth="1"/>
    <col min="4370" max="4370" width="4.3984375" style="1532" customWidth="1"/>
    <col min="4371" max="4371" width="4.5" style="1532" customWidth="1"/>
    <col min="4372" max="4372" width="3.8984375" style="1532" customWidth="1"/>
    <col min="4373" max="4373" width="16.09765625" style="1532" customWidth="1"/>
    <col min="4374" max="4374" width="19.8984375" style="1532" customWidth="1"/>
    <col min="4375" max="4606" width="9" style="1532"/>
    <col min="4607" max="4607" width="4.19921875" style="1532" customWidth="1"/>
    <col min="4608" max="4608" width="29.5" style="1532" customWidth="1"/>
    <col min="4609" max="4623" width="4.5" style="1532" customWidth="1"/>
    <col min="4624" max="4624" width="3.8984375" style="1532" customWidth="1"/>
    <col min="4625" max="4625" width="4" style="1532" customWidth="1"/>
    <col min="4626" max="4626" width="4.3984375" style="1532" customWidth="1"/>
    <col min="4627" max="4627" width="4.5" style="1532" customWidth="1"/>
    <col min="4628" max="4628" width="3.8984375" style="1532" customWidth="1"/>
    <col min="4629" max="4629" width="16.09765625" style="1532" customWidth="1"/>
    <col min="4630" max="4630" width="19.8984375" style="1532" customWidth="1"/>
    <col min="4631" max="4862" width="9" style="1532"/>
    <col min="4863" max="4863" width="4.19921875" style="1532" customWidth="1"/>
    <col min="4864" max="4864" width="29.5" style="1532" customWidth="1"/>
    <col min="4865" max="4879" width="4.5" style="1532" customWidth="1"/>
    <col min="4880" max="4880" width="3.8984375" style="1532" customWidth="1"/>
    <col min="4881" max="4881" width="4" style="1532" customWidth="1"/>
    <col min="4882" max="4882" width="4.3984375" style="1532" customWidth="1"/>
    <col min="4883" max="4883" width="4.5" style="1532" customWidth="1"/>
    <col min="4884" max="4884" width="3.8984375" style="1532" customWidth="1"/>
    <col min="4885" max="4885" width="16.09765625" style="1532" customWidth="1"/>
    <col min="4886" max="4886" width="19.8984375" style="1532" customWidth="1"/>
    <col min="4887" max="5118" width="9" style="1532"/>
    <col min="5119" max="5119" width="4.19921875" style="1532" customWidth="1"/>
    <col min="5120" max="5120" width="29.5" style="1532" customWidth="1"/>
    <col min="5121" max="5135" width="4.5" style="1532" customWidth="1"/>
    <col min="5136" max="5136" width="3.8984375" style="1532" customWidth="1"/>
    <col min="5137" max="5137" width="4" style="1532" customWidth="1"/>
    <col min="5138" max="5138" width="4.3984375" style="1532" customWidth="1"/>
    <col min="5139" max="5139" width="4.5" style="1532" customWidth="1"/>
    <col min="5140" max="5140" width="3.8984375" style="1532" customWidth="1"/>
    <col min="5141" max="5141" width="16.09765625" style="1532" customWidth="1"/>
    <col min="5142" max="5142" width="19.8984375" style="1532" customWidth="1"/>
    <col min="5143" max="5374" width="9" style="1532"/>
    <col min="5375" max="5375" width="4.19921875" style="1532" customWidth="1"/>
    <col min="5376" max="5376" width="29.5" style="1532" customWidth="1"/>
    <col min="5377" max="5391" width="4.5" style="1532" customWidth="1"/>
    <col min="5392" max="5392" width="3.8984375" style="1532" customWidth="1"/>
    <col min="5393" max="5393" width="4" style="1532" customWidth="1"/>
    <col min="5394" max="5394" width="4.3984375" style="1532" customWidth="1"/>
    <col min="5395" max="5395" width="4.5" style="1532" customWidth="1"/>
    <col min="5396" max="5396" width="3.8984375" style="1532" customWidth="1"/>
    <col min="5397" max="5397" width="16.09765625" style="1532" customWidth="1"/>
    <col min="5398" max="5398" width="19.8984375" style="1532" customWidth="1"/>
    <col min="5399" max="5630" width="9" style="1532"/>
    <col min="5631" max="5631" width="4.19921875" style="1532" customWidth="1"/>
    <col min="5632" max="5632" width="29.5" style="1532" customWidth="1"/>
    <col min="5633" max="5647" width="4.5" style="1532" customWidth="1"/>
    <col min="5648" max="5648" width="3.8984375" style="1532" customWidth="1"/>
    <col min="5649" max="5649" width="4" style="1532" customWidth="1"/>
    <col min="5650" max="5650" width="4.3984375" style="1532" customWidth="1"/>
    <col min="5651" max="5651" width="4.5" style="1532" customWidth="1"/>
    <col min="5652" max="5652" width="3.8984375" style="1532" customWidth="1"/>
    <col min="5653" max="5653" width="16.09765625" style="1532" customWidth="1"/>
    <col min="5654" max="5654" width="19.8984375" style="1532" customWidth="1"/>
    <col min="5655" max="5886" width="9" style="1532"/>
    <col min="5887" max="5887" width="4.19921875" style="1532" customWidth="1"/>
    <col min="5888" max="5888" width="29.5" style="1532" customWidth="1"/>
    <col min="5889" max="5903" width="4.5" style="1532" customWidth="1"/>
    <col min="5904" max="5904" width="3.8984375" style="1532" customWidth="1"/>
    <col min="5905" max="5905" width="4" style="1532" customWidth="1"/>
    <col min="5906" max="5906" width="4.3984375" style="1532" customWidth="1"/>
    <col min="5907" max="5907" width="4.5" style="1532" customWidth="1"/>
    <col min="5908" max="5908" width="3.8984375" style="1532" customWidth="1"/>
    <col min="5909" max="5909" width="16.09765625" style="1532" customWidth="1"/>
    <col min="5910" max="5910" width="19.8984375" style="1532" customWidth="1"/>
    <col min="5911" max="6142" width="9" style="1532"/>
    <col min="6143" max="6143" width="4.19921875" style="1532" customWidth="1"/>
    <col min="6144" max="6144" width="29.5" style="1532" customWidth="1"/>
    <col min="6145" max="6159" width="4.5" style="1532" customWidth="1"/>
    <col min="6160" max="6160" width="3.8984375" style="1532" customWidth="1"/>
    <col min="6161" max="6161" width="4" style="1532" customWidth="1"/>
    <col min="6162" max="6162" width="4.3984375" style="1532" customWidth="1"/>
    <col min="6163" max="6163" width="4.5" style="1532" customWidth="1"/>
    <col min="6164" max="6164" width="3.8984375" style="1532" customWidth="1"/>
    <col min="6165" max="6165" width="16.09765625" style="1532" customWidth="1"/>
    <col min="6166" max="6166" width="19.8984375" style="1532" customWidth="1"/>
    <col min="6167" max="6398" width="9" style="1532"/>
    <col min="6399" max="6399" width="4.19921875" style="1532" customWidth="1"/>
    <col min="6400" max="6400" width="29.5" style="1532" customWidth="1"/>
    <col min="6401" max="6415" width="4.5" style="1532" customWidth="1"/>
    <col min="6416" max="6416" width="3.8984375" style="1532" customWidth="1"/>
    <col min="6417" max="6417" width="4" style="1532" customWidth="1"/>
    <col min="6418" max="6418" width="4.3984375" style="1532" customWidth="1"/>
    <col min="6419" max="6419" width="4.5" style="1532" customWidth="1"/>
    <col min="6420" max="6420" width="3.8984375" style="1532" customWidth="1"/>
    <col min="6421" max="6421" width="16.09765625" style="1532" customWidth="1"/>
    <col min="6422" max="6422" width="19.8984375" style="1532" customWidth="1"/>
    <col min="6423" max="6654" width="9" style="1532"/>
    <col min="6655" max="6655" width="4.19921875" style="1532" customWidth="1"/>
    <col min="6656" max="6656" width="29.5" style="1532" customWidth="1"/>
    <col min="6657" max="6671" width="4.5" style="1532" customWidth="1"/>
    <col min="6672" max="6672" width="3.8984375" style="1532" customWidth="1"/>
    <col min="6673" max="6673" width="4" style="1532" customWidth="1"/>
    <col min="6674" max="6674" width="4.3984375" style="1532" customWidth="1"/>
    <col min="6675" max="6675" width="4.5" style="1532" customWidth="1"/>
    <col min="6676" max="6676" width="3.8984375" style="1532" customWidth="1"/>
    <col min="6677" max="6677" width="16.09765625" style="1532" customWidth="1"/>
    <col min="6678" max="6678" width="19.8984375" style="1532" customWidth="1"/>
    <col min="6679" max="6910" width="9" style="1532"/>
    <col min="6911" max="6911" width="4.19921875" style="1532" customWidth="1"/>
    <col min="6912" max="6912" width="29.5" style="1532" customWidth="1"/>
    <col min="6913" max="6927" width="4.5" style="1532" customWidth="1"/>
    <col min="6928" max="6928" width="3.8984375" style="1532" customWidth="1"/>
    <col min="6929" max="6929" width="4" style="1532" customWidth="1"/>
    <col min="6930" max="6930" width="4.3984375" style="1532" customWidth="1"/>
    <col min="6931" max="6931" width="4.5" style="1532" customWidth="1"/>
    <col min="6932" max="6932" width="3.8984375" style="1532" customWidth="1"/>
    <col min="6933" max="6933" width="16.09765625" style="1532" customWidth="1"/>
    <col min="6934" max="6934" width="19.8984375" style="1532" customWidth="1"/>
    <col min="6935" max="7166" width="9" style="1532"/>
    <col min="7167" max="7167" width="4.19921875" style="1532" customWidth="1"/>
    <col min="7168" max="7168" width="29.5" style="1532" customWidth="1"/>
    <col min="7169" max="7183" width="4.5" style="1532" customWidth="1"/>
    <col min="7184" max="7184" width="3.8984375" style="1532" customWidth="1"/>
    <col min="7185" max="7185" width="4" style="1532" customWidth="1"/>
    <col min="7186" max="7186" width="4.3984375" style="1532" customWidth="1"/>
    <col min="7187" max="7187" width="4.5" style="1532" customWidth="1"/>
    <col min="7188" max="7188" width="3.8984375" style="1532" customWidth="1"/>
    <col min="7189" max="7189" width="16.09765625" style="1532" customWidth="1"/>
    <col min="7190" max="7190" width="19.8984375" style="1532" customWidth="1"/>
    <col min="7191" max="7422" width="9" style="1532"/>
    <col min="7423" max="7423" width="4.19921875" style="1532" customWidth="1"/>
    <col min="7424" max="7424" width="29.5" style="1532" customWidth="1"/>
    <col min="7425" max="7439" width="4.5" style="1532" customWidth="1"/>
    <col min="7440" max="7440" width="3.8984375" style="1532" customWidth="1"/>
    <col min="7441" max="7441" width="4" style="1532" customWidth="1"/>
    <col min="7442" max="7442" width="4.3984375" style="1532" customWidth="1"/>
    <col min="7443" max="7443" width="4.5" style="1532" customWidth="1"/>
    <col min="7444" max="7444" width="3.8984375" style="1532" customWidth="1"/>
    <col min="7445" max="7445" width="16.09765625" style="1532" customWidth="1"/>
    <col min="7446" max="7446" width="19.8984375" style="1532" customWidth="1"/>
    <col min="7447" max="7678" width="9" style="1532"/>
    <col min="7679" max="7679" width="4.19921875" style="1532" customWidth="1"/>
    <col min="7680" max="7680" width="29.5" style="1532" customWidth="1"/>
    <col min="7681" max="7695" width="4.5" style="1532" customWidth="1"/>
    <col min="7696" max="7696" width="3.8984375" style="1532" customWidth="1"/>
    <col min="7697" max="7697" width="4" style="1532" customWidth="1"/>
    <col min="7698" max="7698" width="4.3984375" style="1532" customWidth="1"/>
    <col min="7699" max="7699" width="4.5" style="1532" customWidth="1"/>
    <col min="7700" max="7700" width="3.8984375" style="1532" customWidth="1"/>
    <col min="7701" max="7701" width="16.09765625" style="1532" customWidth="1"/>
    <col min="7702" max="7702" width="19.8984375" style="1532" customWidth="1"/>
    <col min="7703" max="7934" width="9" style="1532"/>
    <col min="7935" max="7935" width="4.19921875" style="1532" customWidth="1"/>
    <col min="7936" max="7936" width="29.5" style="1532" customWidth="1"/>
    <col min="7937" max="7951" width="4.5" style="1532" customWidth="1"/>
    <col min="7952" max="7952" width="3.8984375" style="1532" customWidth="1"/>
    <col min="7953" max="7953" width="4" style="1532" customWidth="1"/>
    <col min="7954" max="7954" width="4.3984375" style="1532" customWidth="1"/>
    <col min="7955" max="7955" width="4.5" style="1532" customWidth="1"/>
    <col min="7956" max="7956" width="3.8984375" style="1532" customWidth="1"/>
    <col min="7957" max="7957" width="16.09765625" style="1532" customWidth="1"/>
    <col min="7958" max="7958" width="19.8984375" style="1532" customWidth="1"/>
    <col min="7959" max="8190" width="9" style="1532"/>
    <col min="8191" max="8191" width="4.19921875" style="1532" customWidth="1"/>
    <col min="8192" max="8192" width="29.5" style="1532" customWidth="1"/>
    <col min="8193" max="8207" width="4.5" style="1532" customWidth="1"/>
    <col min="8208" max="8208" width="3.8984375" style="1532" customWidth="1"/>
    <col min="8209" max="8209" width="4" style="1532" customWidth="1"/>
    <col min="8210" max="8210" width="4.3984375" style="1532" customWidth="1"/>
    <col min="8211" max="8211" width="4.5" style="1532" customWidth="1"/>
    <col min="8212" max="8212" width="3.8984375" style="1532" customWidth="1"/>
    <col min="8213" max="8213" width="16.09765625" style="1532" customWidth="1"/>
    <col min="8214" max="8214" width="19.8984375" style="1532" customWidth="1"/>
    <col min="8215" max="8446" width="9" style="1532"/>
    <col min="8447" max="8447" width="4.19921875" style="1532" customWidth="1"/>
    <col min="8448" max="8448" width="29.5" style="1532" customWidth="1"/>
    <col min="8449" max="8463" width="4.5" style="1532" customWidth="1"/>
    <col min="8464" max="8464" width="3.8984375" style="1532" customWidth="1"/>
    <col min="8465" max="8465" width="4" style="1532" customWidth="1"/>
    <col min="8466" max="8466" width="4.3984375" style="1532" customWidth="1"/>
    <col min="8467" max="8467" width="4.5" style="1532" customWidth="1"/>
    <col min="8468" max="8468" width="3.8984375" style="1532" customWidth="1"/>
    <col min="8469" max="8469" width="16.09765625" style="1532" customWidth="1"/>
    <col min="8470" max="8470" width="19.8984375" style="1532" customWidth="1"/>
    <col min="8471" max="8702" width="9" style="1532"/>
    <col min="8703" max="8703" width="4.19921875" style="1532" customWidth="1"/>
    <col min="8704" max="8704" width="29.5" style="1532" customWidth="1"/>
    <col min="8705" max="8719" width="4.5" style="1532" customWidth="1"/>
    <col min="8720" max="8720" width="3.8984375" style="1532" customWidth="1"/>
    <col min="8721" max="8721" width="4" style="1532" customWidth="1"/>
    <col min="8722" max="8722" width="4.3984375" style="1532" customWidth="1"/>
    <col min="8723" max="8723" width="4.5" style="1532" customWidth="1"/>
    <col min="8724" max="8724" width="3.8984375" style="1532" customWidth="1"/>
    <col min="8725" max="8725" width="16.09765625" style="1532" customWidth="1"/>
    <col min="8726" max="8726" width="19.8984375" style="1532" customWidth="1"/>
    <col min="8727" max="8958" width="9" style="1532"/>
    <col min="8959" max="8959" width="4.19921875" style="1532" customWidth="1"/>
    <col min="8960" max="8960" width="29.5" style="1532" customWidth="1"/>
    <col min="8961" max="8975" width="4.5" style="1532" customWidth="1"/>
    <col min="8976" max="8976" width="3.8984375" style="1532" customWidth="1"/>
    <col min="8977" max="8977" width="4" style="1532" customWidth="1"/>
    <col min="8978" max="8978" width="4.3984375" style="1532" customWidth="1"/>
    <col min="8979" max="8979" width="4.5" style="1532" customWidth="1"/>
    <col min="8980" max="8980" width="3.8984375" style="1532" customWidth="1"/>
    <col min="8981" max="8981" width="16.09765625" style="1532" customWidth="1"/>
    <col min="8982" max="8982" width="19.8984375" style="1532" customWidth="1"/>
    <col min="8983" max="9214" width="9" style="1532"/>
    <col min="9215" max="9215" width="4.19921875" style="1532" customWidth="1"/>
    <col min="9216" max="9216" width="29.5" style="1532" customWidth="1"/>
    <col min="9217" max="9231" width="4.5" style="1532" customWidth="1"/>
    <col min="9232" max="9232" width="3.8984375" style="1532" customWidth="1"/>
    <col min="9233" max="9233" width="4" style="1532" customWidth="1"/>
    <col min="9234" max="9234" width="4.3984375" style="1532" customWidth="1"/>
    <col min="9235" max="9235" width="4.5" style="1532" customWidth="1"/>
    <col min="9236" max="9236" width="3.8984375" style="1532" customWidth="1"/>
    <col min="9237" max="9237" width="16.09765625" style="1532" customWidth="1"/>
    <col min="9238" max="9238" width="19.8984375" style="1532" customWidth="1"/>
    <col min="9239" max="9470" width="9" style="1532"/>
    <col min="9471" max="9471" width="4.19921875" style="1532" customWidth="1"/>
    <col min="9472" max="9472" width="29.5" style="1532" customWidth="1"/>
    <col min="9473" max="9487" width="4.5" style="1532" customWidth="1"/>
    <col min="9488" max="9488" width="3.8984375" style="1532" customWidth="1"/>
    <col min="9489" max="9489" width="4" style="1532" customWidth="1"/>
    <col min="9490" max="9490" width="4.3984375" style="1532" customWidth="1"/>
    <col min="9491" max="9491" width="4.5" style="1532" customWidth="1"/>
    <col min="9492" max="9492" width="3.8984375" style="1532" customWidth="1"/>
    <col min="9493" max="9493" width="16.09765625" style="1532" customWidth="1"/>
    <col min="9494" max="9494" width="19.8984375" style="1532" customWidth="1"/>
    <col min="9495" max="9726" width="9" style="1532"/>
    <col min="9727" max="9727" width="4.19921875" style="1532" customWidth="1"/>
    <col min="9728" max="9728" width="29.5" style="1532" customWidth="1"/>
    <col min="9729" max="9743" width="4.5" style="1532" customWidth="1"/>
    <col min="9744" max="9744" width="3.8984375" style="1532" customWidth="1"/>
    <col min="9745" max="9745" width="4" style="1532" customWidth="1"/>
    <col min="9746" max="9746" width="4.3984375" style="1532" customWidth="1"/>
    <col min="9747" max="9747" width="4.5" style="1532" customWidth="1"/>
    <col min="9748" max="9748" width="3.8984375" style="1532" customWidth="1"/>
    <col min="9749" max="9749" width="16.09765625" style="1532" customWidth="1"/>
    <col min="9750" max="9750" width="19.8984375" style="1532" customWidth="1"/>
    <col min="9751" max="9982" width="9" style="1532"/>
    <col min="9983" max="9983" width="4.19921875" style="1532" customWidth="1"/>
    <col min="9984" max="9984" width="29.5" style="1532" customWidth="1"/>
    <col min="9985" max="9999" width="4.5" style="1532" customWidth="1"/>
    <col min="10000" max="10000" width="3.8984375" style="1532" customWidth="1"/>
    <col min="10001" max="10001" width="4" style="1532" customWidth="1"/>
    <col min="10002" max="10002" width="4.3984375" style="1532" customWidth="1"/>
    <col min="10003" max="10003" width="4.5" style="1532" customWidth="1"/>
    <col min="10004" max="10004" width="3.8984375" style="1532" customWidth="1"/>
    <col min="10005" max="10005" width="16.09765625" style="1532" customWidth="1"/>
    <col min="10006" max="10006" width="19.8984375" style="1532" customWidth="1"/>
    <col min="10007" max="10238" width="9" style="1532"/>
    <col min="10239" max="10239" width="4.19921875" style="1532" customWidth="1"/>
    <col min="10240" max="10240" width="29.5" style="1532" customWidth="1"/>
    <col min="10241" max="10255" width="4.5" style="1532" customWidth="1"/>
    <col min="10256" max="10256" width="3.8984375" style="1532" customWidth="1"/>
    <col min="10257" max="10257" width="4" style="1532" customWidth="1"/>
    <col min="10258" max="10258" width="4.3984375" style="1532" customWidth="1"/>
    <col min="10259" max="10259" width="4.5" style="1532" customWidth="1"/>
    <col min="10260" max="10260" width="3.8984375" style="1532" customWidth="1"/>
    <col min="10261" max="10261" width="16.09765625" style="1532" customWidth="1"/>
    <col min="10262" max="10262" width="19.8984375" style="1532" customWidth="1"/>
    <col min="10263" max="10494" width="9" style="1532"/>
    <col min="10495" max="10495" width="4.19921875" style="1532" customWidth="1"/>
    <col min="10496" max="10496" width="29.5" style="1532" customWidth="1"/>
    <col min="10497" max="10511" width="4.5" style="1532" customWidth="1"/>
    <col min="10512" max="10512" width="3.8984375" style="1532" customWidth="1"/>
    <col min="10513" max="10513" width="4" style="1532" customWidth="1"/>
    <col min="10514" max="10514" width="4.3984375" style="1532" customWidth="1"/>
    <col min="10515" max="10515" width="4.5" style="1532" customWidth="1"/>
    <col min="10516" max="10516" width="3.8984375" style="1532" customWidth="1"/>
    <col min="10517" max="10517" width="16.09765625" style="1532" customWidth="1"/>
    <col min="10518" max="10518" width="19.8984375" style="1532" customWidth="1"/>
    <col min="10519" max="10750" width="9" style="1532"/>
    <col min="10751" max="10751" width="4.19921875" style="1532" customWidth="1"/>
    <col min="10752" max="10752" width="29.5" style="1532" customWidth="1"/>
    <col min="10753" max="10767" width="4.5" style="1532" customWidth="1"/>
    <col min="10768" max="10768" width="3.8984375" style="1532" customWidth="1"/>
    <col min="10769" max="10769" width="4" style="1532" customWidth="1"/>
    <col min="10770" max="10770" width="4.3984375" style="1532" customWidth="1"/>
    <col min="10771" max="10771" width="4.5" style="1532" customWidth="1"/>
    <col min="10772" max="10772" width="3.8984375" style="1532" customWidth="1"/>
    <col min="10773" max="10773" width="16.09765625" style="1532" customWidth="1"/>
    <col min="10774" max="10774" width="19.8984375" style="1532" customWidth="1"/>
    <col min="10775" max="11006" width="9" style="1532"/>
    <col min="11007" max="11007" width="4.19921875" style="1532" customWidth="1"/>
    <col min="11008" max="11008" width="29.5" style="1532" customWidth="1"/>
    <col min="11009" max="11023" width="4.5" style="1532" customWidth="1"/>
    <col min="11024" max="11024" width="3.8984375" style="1532" customWidth="1"/>
    <col min="11025" max="11025" width="4" style="1532" customWidth="1"/>
    <col min="11026" max="11026" width="4.3984375" style="1532" customWidth="1"/>
    <col min="11027" max="11027" width="4.5" style="1532" customWidth="1"/>
    <col min="11028" max="11028" width="3.8984375" style="1532" customWidth="1"/>
    <col min="11029" max="11029" width="16.09765625" style="1532" customWidth="1"/>
    <col min="11030" max="11030" width="19.8984375" style="1532" customWidth="1"/>
    <col min="11031" max="11262" width="9" style="1532"/>
    <col min="11263" max="11263" width="4.19921875" style="1532" customWidth="1"/>
    <col min="11264" max="11264" width="29.5" style="1532" customWidth="1"/>
    <col min="11265" max="11279" width="4.5" style="1532" customWidth="1"/>
    <col min="11280" max="11280" width="3.8984375" style="1532" customWidth="1"/>
    <col min="11281" max="11281" width="4" style="1532" customWidth="1"/>
    <col min="11282" max="11282" width="4.3984375" style="1532" customWidth="1"/>
    <col min="11283" max="11283" width="4.5" style="1532" customWidth="1"/>
    <col min="11284" max="11284" width="3.8984375" style="1532" customWidth="1"/>
    <col min="11285" max="11285" width="16.09765625" style="1532" customWidth="1"/>
    <col min="11286" max="11286" width="19.8984375" style="1532" customWidth="1"/>
    <col min="11287" max="11518" width="9" style="1532"/>
    <col min="11519" max="11519" width="4.19921875" style="1532" customWidth="1"/>
    <col min="11520" max="11520" width="29.5" style="1532" customWidth="1"/>
    <col min="11521" max="11535" width="4.5" style="1532" customWidth="1"/>
    <col min="11536" max="11536" width="3.8984375" style="1532" customWidth="1"/>
    <col min="11537" max="11537" width="4" style="1532" customWidth="1"/>
    <col min="11538" max="11538" width="4.3984375" style="1532" customWidth="1"/>
    <col min="11539" max="11539" width="4.5" style="1532" customWidth="1"/>
    <col min="11540" max="11540" width="3.8984375" style="1532" customWidth="1"/>
    <col min="11541" max="11541" width="16.09765625" style="1532" customWidth="1"/>
    <col min="11542" max="11542" width="19.8984375" style="1532" customWidth="1"/>
    <col min="11543" max="11774" width="9" style="1532"/>
    <col min="11775" max="11775" width="4.19921875" style="1532" customWidth="1"/>
    <col min="11776" max="11776" width="29.5" style="1532" customWidth="1"/>
    <col min="11777" max="11791" width="4.5" style="1532" customWidth="1"/>
    <col min="11792" max="11792" width="3.8984375" style="1532" customWidth="1"/>
    <col min="11793" max="11793" width="4" style="1532" customWidth="1"/>
    <col min="11794" max="11794" width="4.3984375" style="1532" customWidth="1"/>
    <col min="11795" max="11795" width="4.5" style="1532" customWidth="1"/>
    <col min="11796" max="11796" width="3.8984375" style="1532" customWidth="1"/>
    <col min="11797" max="11797" width="16.09765625" style="1532" customWidth="1"/>
    <col min="11798" max="11798" width="19.8984375" style="1532" customWidth="1"/>
    <col min="11799" max="12030" width="9" style="1532"/>
    <col min="12031" max="12031" width="4.19921875" style="1532" customWidth="1"/>
    <col min="12032" max="12032" width="29.5" style="1532" customWidth="1"/>
    <col min="12033" max="12047" width="4.5" style="1532" customWidth="1"/>
    <col min="12048" max="12048" width="3.8984375" style="1532" customWidth="1"/>
    <col min="12049" max="12049" width="4" style="1532" customWidth="1"/>
    <col min="12050" max="12050" width="4.3984375" style="1532" customWidth="1"/>
    <col min="12051" max="12051" width="4.5" style="1532" customWidth="1"/>
    <col min="12052" max="12052" width="3.8984375" style="1532" customWidth="1"/>
    <col min="12053" max="12053" width="16.09765625" style="1532" customWidth="1"/>
    <col min="12054" max="12054" width="19.8984375" style="1532" customWidth="1"/>
    <col min="12055" max="12286" width="9" style="1532"/>
    <col min="12287" max="12287" width="4.19921875" style="1532" customWidth="1"/>
    <col min="12288" max="12288" width="29.5" style="1532" customWidth="1"/>
    <col min="12289" max="12303" width="4.5" style="1532" customWidth="1"/>
    <col min="12304" max="12304" width="3.8984375" style="1532" customWidth="1"/>
    <col min="12305" max="12305" width="4" style="1532" customWidth="1"/>
    <col min="12306" max="12306" width="4.3984375" style="1532" customWidth="1"/>
    <col min="12307" max="12307" width="4.5" style="1532" customWidth="1"/>
    <col min="12308" max="12308" width="3.8984375" style="1532" customWidth="1"/>
    <col min="12309" max="12309" width="16.09765625" style="1532" customWidth="1"/>
    <col min="12310" max="12310" width="19.8984375" style="1532" customWidth="1"/>
    <col min="12311" max="12542" width="9" style="1532"/>
    <col min="12543" max="12543" width="4.19921875" style="1532" customWidth="1"/>
    <col min="12544" max="12544" width="29.5" style="1532" customWidth="1"/>
    <col min="12545" max="12559" width="4.5" style="1532" customWidth="1"/>
    <col min="12560" max="12560" width="3.8984375" style="1532" customWidth="1"/>
    <col min="12561" max="12561" width="4" style="1532" customWidth="1"/>
    <col min="12562" max="12562" width="4.3984375" style="1532" customWidth="1"/>
    <col min="12563" max="12563" width="4.5" style="1532" customWidth="1"/>
    <col min="12564" max="12564" width="3.8984375" style="1532" customWidth="1"/>
    <col min="12565" max="12565" width="16.09765625" style="1532" customWidth="1"/>
    <col min="12566" max="12566" width="19.8984375" style="1532" customWidth="1"/>
    <col min="12567" max="12798" width="9" style="1532"/>
    <col min="12799" max="12799" width="4.19921875" style="1532" customWidth="1"/>
    <col min="12800" max="12800" width="29.5" style="1532" customWidth="1"/>
    <col min="12801" max="12815" width="4.5" style="1532" customWidth="1"/>
    <col min="12816" max="12816" width="3.8984375" style="1532" customWidth="1"/>
    <col min="12817" max="12817" width="4" style="1532" customWidth="1"/>
    <col min="12818" max="12818" width="4.3984375" style="1532" customWidth="1"/>
    <col min="12819" max="12819" width="4.5" style="1532" customWidth="1"/>
    <col min="12820" max="12820" width="3.8984375" style="1532" customWidth="1"/>
    <col min="12821" max="12821" width="16.09765625" style="1532" customWidth="1"/>
    <col min="12822" max="12822" width="19.8984375" style="1532" customWidth="1"/>
    <col min="12823" max="13054" width="9" style="1532"/>
    <col min="13055" max="13055" width="4.19921875" style="1532" customWidth="1"/>
    <col min="13056" max="13056" width="29.5" style="1532" customWidth="1"/>
    <col min="13057" max="13071" width="4.5" style="1532" customWidth="1"/>
    <col min="13072" max="13072" width="3.8984375" style="1532" customWidth="1"/>
    <col min="13073" max="13073" width="4" style="1532" customWidth="1"/>
    <col min="13074" max="13074" width="4.3984375" style="1532" customWidth="1"/>
    <col min="13075" max="13075" width="4.5" style="1532" customWidth="1"/>
    <col min="13076" max="13076" width="3.8984375" style="1532" customWidth="1"/>
    <col min="13077" max="13077" width="16.09765625" style="1532" customWidth="1"/>
    <col min="13078" max="13078" width="19.8984375" style="1532" customWidth="1"/>
    <col min="13079" max="13310" width="9" style="1532"/>
    <col min="13311" max="13311" width="4.19921875" style="1532" customWidth="1"/>
    <col min="13312" max="13312" width="29.5" style="1532" customWidth="1"/>
    <col min="13313" max="13327" width="4.5" style="1532" customWidth="1"/>
    <col min="13328" max="13328" width="3.8984375" style="1532" customWidth="1"/>
    <col min="13329" max="13329" width="4" style="1532" customWidth="1"/>
    <col min="13330" max="13330" width="4.3984375" style="1532" customWidth="1"/>
    <col min="13331" max="13331" width="4.5" style="1532" customWidth="1"/>
    <col min="13332" max="13332" width="3.8984375" style="1532" customWidth="1"/>
    <col min="13333" max="13333" width="16.09765625" style="1532" customWidth="1"/>
    <col min="13334" max="13334" width="19.8984375" style="1532" customWidth="1"/>
    <col min="13335" max="13566" width="9" style="1532"/>
    <col min="13567" max="13567" width="4.19921875" style="1532" customWidth="1"/>
    <col min="13568" max="13568" width="29.5" style="1532" customWidth="1"/>
    <col min="13569" max="13583" width="4.5" style="1532" customWidth="1"/>
    <col min="13584" max="13584" width="3.8984375" style="1532" customWidth="1"/>
    <col min="13585" max="13585" width="4" style="1532" customWidth="1"/>
    <col min="13586" max="13586" width="4.3984375" style="1532" customWidth="1"/>
    <col min="13587" max="13587" width="4.5" style="1532" customWidth="1"/>
    <col min="13588" max="13588" width="3.8984375" style="1532" customWidth="1"/>
    <col min="13589" max="13589" width="16.09765625" style="1532" customWidth="1"/>
    <col min="13590" max="13590" width="19.8984375" style="1532" customWidth="1"/>
    <col min="13591" max="13822" width="9" style="1532"/>
    <col min="13823" max="13823" width="4.19921875" style="1532" customWidth="1"/>
    <col min="13824" max="13824" width="29.5" style="1532" customWidth="1"/>
    <col min="13825" max="13839" width="4.5" style="1532" customWidth="1"/>
    <col min="13840" max="13840" width="3.8984375" style="1532" customWidth="1"/>
    <col min="13841" max="13841" width="4" style="1532" customWidth="1"/>
    <col min="13842" max="13842" width="4.3984375" style="1532" customWidth="1"/>
    <col min="13843" max="13843" width="4.5" style="1532" customWidth="1"/>
    <col min="13844" max="13844" width="3.8984375" style="1532" customWidth="1"/>
    <col min="13845" max="13845" width="16.09765625" style="1532" customWidth="1"/>
    <col min="13846" max="13846" width="19.8984375" style="1532" customWidth="1"/>
    <col min="13847" max="14078" width="9" style="1532"/>
    <col min="14079" max="14079" width="4.19921875" style="1532" customWidth="1"/>
    <col min="14080" max="14080" width="29.5" style="1532" customWidth="1"/>
    <col min="14081" max="14095" width="4.5" style="1532" customWidth="1"/>
    <col min="14096" max="14096" width="3.8984375" style="1532" customWidth="1"/>
    <col min="14097" max="14097" width="4" style="1532" customWidth="1"/>
    <col min="14098" max="14098" width="4.3984375" style="1532" customWidth="1"/>
    <col min="14099" max="14099" width="4.5" style="1532" customWidth="1"/>
    <col min="14100" max="14100" width="3.8984375" style="1532" customWidth="1"/>
    <col min="14101" max="14101" width="16.09765625" style="1532" customWidth="1"/>
    <col min="14102" max="14102" width="19.8984375" style="1532" customWidth="1"/>
    <col min="14103" max="14334" width="9" style="1532"/>
    <col min="14335" max="14335" width="4.19921875" style="1532" customWidth="1"/>
    <col min="14336" max="14336" width="29.5" style="1532" customWidth="1"/>
    <col min="14337" max="14351" width="4.5" style="1532" customWidth="1"/>
    <col min="14352" max="14352" width="3.8984375" style="1532" customWidth="1"/>
    <col min="14353" max="14353" width="4" style="1532" customWidth="1"/>
    <col min="14354" max="14354" width="4.3984375" style="1532" customWidth="1"/>
    <col min="14355" max="14355" width="4.5" style="1532" customWidth="1"/>
    <col min="14356" max="14356" width="3.8984375" style="1532" customWidth="1"/>
    <col min="14357" max="14357" width="16.09765625" style="1532" customWidth="1"/>
    <col min="14358" max="14358" width="19.8984375" style="1532" customWidth="1"/>
    <col min="14359" max="14590" width="9" style="1532"/>
    <col min="14591" max="14591" width="4.19921875" style="1532" customWidth="1"/>
    <col min="14592" max="14592" width="29.5" style="1532" customWidth="1"/>
    <col min="14593" max="14607" width="4.5" style="1532" customWidth="1"/>
    <col min="14608" max="14608" width="3.8984375" style="1532" customWidth="1"/>
    <col min="14609" max="14609" width="4" style="1532" customWidth="1"/>
    <col min="14610" max="14610" width="4.3984375" style="1532" customWidth="1"/>
    <col min="14611" max="14611" width="4.5" style="1532" customWidth="1"/>
    <col min="14612" max="14612" width="3.8984375" style="1532" customWidth="1"/>
    <col min="14613" max="14613" width="16.09765625" style="1532" customWidth="1"/>
    <col min="14614" max="14614" width="19.8984375" style="1532" customWidth="1"/>
    <col min="14615" max="14846" width="9" style="1532"/>
    <col min="14847" max="14847" width="4.19921875" style="1532" customWidth="1"/>
    <col min="14848" max="14848" width="29.5" style="1532" customWidth="1"/>
    <col min="14849" max="14863" width="4.5" style="1532" customWidth="1"/>
    <col min="14864" max="14864" width="3.8984375" style="1532" customWidth="1"/>
    <col min="14865" max="14865" width="4" style="1532" customWidth="1"/>
    <col min="14866" max="14866" width="4.3984375" style="1532" customWidth="1"/>
    <col min="14867" max="14867" width="4.5" style="1532" customWidth="1"/>
    <col min="14868" max="14868" width="3.8984375" style="1532" customWidth="1"/>
    <col min="14869" max="14869" width="16.09765625" style="1532" customWidth="1"/>
    <col min="14870" max="14870" width="19.8984375" style="1532" customWidth="1"/>
    <col min="14871" max="15102" width="9" style="1532"/>
    <col min="15103" max="15103" width="4.19921875" style="1532" customWidth="1"/>
    <col min="15104" max="15104" width="29.5" style="1532" customWidth="1"/>
    <col min="15105" max="15119" width="4.5" style="1532" customWidth="1"/>
    <col min="15120" max="15120" width="3.8984375" style="1532" customWidth="1"/>
    <col min="15121" max="15121" width="4" style="1532" customWidth="1"/>
    <col min="15122" max="15122" width="4.3984375" style="1532" customWidth="1"/>
    <col min="15123" max="15123" width="4.5" style="1532" customWidth="1"/>
    <col min="15124" max="15124" width="3.8984375" style="1532" customWidth="1"/>
    <col min="15125" max="15125" width="16.09765625" style="1532" customWidth="1"/>
    <col min="15126" max="15126" width="19.8984375" style="1532" customWidth="1"/>
    <col min="15127" max="15358" width="9" style="1532"/>
    <col min="15359" max="15359" width="4.19921875" style="1532" customWidth="1"/>
    <col min="15360" max="15360" width="29.5" style="1532" customWidth="1"/>
    <col min="15361" max="15375" width="4.5" style="1532" customWidth="1"/>
    <col min="15376" max="15376" width="3.8984375" style="1532" customWidth="1"/>
    <col min="15377" max="15377" width="4" style="1532" customWidth="1"/>
    <col min="15378" max="15378" width="4.3984375" style="1532" customWidth="1"/>
    <col min="15379" max="15379" width="4.5" style="1532" customWidth="1"/>
    <col min="15380" max="15380" width="3.8984375" style="1532" customWidth="1"/>
    <col min="15381" max="15381" width="16.09765625" style="1532" customWidth="1"/>
    <col min="15382" max="15382" width="19.8984375" style="1532" customWidth="1"/>
    <col min="15383" max="15614" width="9" style="1532"/>
    <col min="15615" max="15615" width="4.19921875" style="1532" customWidth="1"/>
    <col min="15616" max="15616" width="29.5" style="1532" customWidth="1"/>
    <col min="15617" max="15631" width="4.5" style="1532" customWidth="1"/>
    <col min="15632" max="15632" width="3.8984375" style="1532" customWidth="1"/>
    <col min="15633" max="15633" width="4" style="1532" customWidth="1"/>
    <col min="15634" max="15634" width="4.3984375" style="1532" customWidth="1"/>
    <col min="15635" max="15635" width="4.5" style="1532" customWidth="1"/>
    <col min="15636" max="15636" width="3.8984375" style="1532" customWidth="1"/>
    <col min="15637" max="15637" width="16.09765625" style="1532" customWidth="1"/>
    <col min="15638" max="15638" width="19.8984375" style="1532" customWidth="1"/>
    <col min="15639" max="15870" width="9" style="1532"/>
    <col min="15871" max="15871" width="4.19921875" style="1532" customWidth="1"/>
    <col min="15872" max="15872" width="29.5" style="1532" customWidth="1"/>
    <col min="15873" max="15887" width="4.5" style="1532" customWidth="1"/>
    <col min="15888" max="15888" width="3.8984375" style="1532" customWidth="1"/>
    <col min="15889" max="15889" width="4" style="1532" customWidth="1"/>
    <col min="15890" max="15890" width="4.3984375" style="1532" customWidth="1"/>
    <col min="15891" max="15891" width="4.5" style="1532" customWidth="1"/>
    <col min="15892" max="15892" width="3.8984375" style="1532" customWidth="1"/>
    <col min="15893" max="15893" width="16.09765625" style="1532" customWidth="1"/>
    <col min="15894" max="15894" width="19.8984375" style="1532" customWidth="1"/>
    <col min="15895" max="16126" width="9" style="1532"/>
    <col min="16127" max="16127" width="4.19921875" style="1532" customWidth="1"/>
    <col min="16128" max="16128" width="29.5" style="1532" customWidth="1"/>
    <col min="16129" max="16143" width="4.5" style="1532" customWidth="1"/>
    <col min="16144" max="16144" width="3.8984375" style="1532" customWidth="1"/>
    <col min="16145" max="16145" width="4" style="1532" customWidth="1"/>
    <col min="16146" max="16146" width="4.3984375" style="1532" customWidth="1"/>
    <col min="16147" max="16147" width="4.5" style="1532" customWidth="1"/>
    <col min="16148" max="16148" width="3.8984375" style="1532" customWidth="1"/>
    <col min="16149" max="16149" width="16.09765625" style="1532" customWidth="1"/>
    <col min="16150" max="16150" width="19.8984375" style="1532" customWidth="1"/>
    <col min="16151" max="16384" width="9" style="1532"/>
  </cols>
  <sheetData>
    <row r="1" spans="1:22" ht="20.100000000000001" customHeight="1">
      <c r="A1" s="2164" t="s">
        <v>7681</v>
      </c>
      <c r="B1" s="2164"/>
      <c r="C1" s="2164"/>
      <c r="D1" s="2164"/>
      <c r="E1" s="2164"/>
      <c r="F1" s="2164"/>
      <c r="G1" s="2164"/>
      <c r="H1" s="2164"/>
      <c r="I1" s="2164"/>
      <c r="J1" s="2164"/>
      <c r="K1" s="2164"/>
      <c r="L1" s="2164"/>
      <c r="M1" s="2164"/>
      <c r="N1" s="2164"/>
      <c r="O1" s="2164"/>
      <c r="P1" s="2164"/>
      <c r="Q1" s="2164"/>
      <c r="R1" s="2164"/>
      <c r="S1" s="2164"/>
      <c r="T1" s="2164"/>
      <c r="U1" s="2164"/>
    </row>
    <row r="2" spans="1:22" s="1564" customFormat="1" ht="16.5" customHeight="1">
      <c r="A2" s="3401" t="s">
        <v>6488</v>
      </c>
      <c r="B2" s="3401"/>
      <c r="C2" s="3401"/>
      <c r="D2" s="3401"/>
      <c r="E2" s="3401"/>
      <c r="F2" s="3401"/>
      <c r="G2" s="3401"/>
      <c r="H2" s="3401"/>
      <c r="I2" s="3401"/>
      <c r="J2" s="3401"/>
      <c r="K2" s="3401"/>
      <c r="L2" s="3401"/>
      <c r="M2" s="3401"/>
      <c r="N2" s="3401"/>
      <c r="O2" s="3401"/>
      <c r="P2" s="3401"/>
      <c r="Q2" s="3401"/>
      <c r="R2" s="3401"/>
      <c r="S2" s="3401"/>
      <c r="T2" s="3401"/>
      <c r="U2" s="3408"/>
    </row>
    <row r="3" spans="1:22" s="1537" customFormat="1" ht="33" customHeight="1">
      <c r="A3" s="3436" t="s">
        <v>1853</v>
      </c>
      <c r="B3" s="3951" t="s">
        <v>5349</v>
      </c>
      <c r="C3" s="3952"/>
      <c r="D3" s="3949" t="s">
        <v>5350</v>
      </c>
      <c r="E3" s="3950"/>
      <c r="F3" s="3947" t="s">
        <v>5351</v>
      </c>
      <c r="G3" s="3948"/>
      <c r="H3" s="3947" t="s">
        <v>5352</v>
      </c>
      <c r="I3" s="3948"/>
      <c r="J3" s="3947" t="s">
        <v>5353</v>
      </c>
      <c r="K3" s="3948"/>
      <c r="L3" s="3947" t="s">
        <v>1262</v>
      </c>
      <c r="M3" s="3948"/>
      <c r="N3" s="3947" t="s">
        <v>6802</v>
      </c>
      <c r="O3" s="3948"/>
      <c r="P3" s="3949" t="s">
        <v>6806</v>
      </c>
      <c r="Q3" s="3957"/>
      <c r="R3" s="3957"/>
      <c r="S3" s="3957"/>
      <c r="T3" s="3957"/>
      <c r="U3" s="3950"/>
    </row>
    <row r="4" spans="1:22" s="1537" customFormat="1" ht="16.5" customHeight="1">
      <c r="A4" s="3437"/>
      <c r="B4" s="3953"/>
      <c r="C4" s="3954"/>
      <c r="D4" s="2563" t="s">
        <v>5354</v>
      </c>
      <c r="E4" s="2561" t="s">
        <v>6804</v>
      </c>
      <c r="F4" s="2563" t="s">
        <v>5354</v>
      </c>
      <c r="G4" s="2561" t="s">
        <v>6805</v>
      </c>
      <c r="H4" s="2562" t="s">
        <v>5354</v>
      </c>
      <c r="I4" s="2561" t="s">
        <v>6805</v>
      </c>
      <c r="J4" s="2562" t="s">
        <v>5354</v>
      </c>
      <c r="K4" s="2561" t="s">
        <v>6805</v>
      </c>
      <c r="L4" s="2562" t="s">
        <v>5354</v>
      </c>
      <c r="M4" s="2561" t="s">
        <v>6805</v>
      </c>
      <c r="N4" s="2562" t="s">
        <v>6803</v>
      </c>
      <c r="O4" s="2561" t="s">
        <v>6805</v>
      </c>
      <c r="P4" s="2562" t="s">
        <v>5354</v>
      </c>
      <c r="Q4" s="2564" t="s">
        <v>6807</v>
      </c>
      <c r="R4" s="2564" t="s">
        <v>6808</v>
      </c>
      <c r="S4" s="2564" t="s">
        <v>6809</v>
      </c>
      <c r="T4" s="2564" t="s">
        <v>6810</v>
      </c>
      <c r="U4" s="2561" t="s">
        <v>6811</v>
      </c>
    </row>
    <row r="5" spans="1:22" s="1537" customFormat="1" ht="16.5" customHeight="1">
      <c r="A5" s="3438"/>
      <c r="B5" s="3955"/>
      <c r="C5" s="3956"/>
      <c r="D5" s="2246">
        <v>1</v>
      </c>
      <c r="E5" s="2247">
        <v>2</v>
      </c>
      <c r="F5" s="2246">
        <v>3</v>
      </c>
      <c r="G5" s="2247">
        <v>4</v>
      </c>
      <c r="H5" s="2255">
        <v>5</v>
      </c>
      <c r="I5" s="2247">
        <v>6</v>
      </c>
      <c r="J5" s="2255">
        <v>7</v>
      </c>
      <c r="K5" s="2247">
        <v>8</v>
      </c>
      <c r="L5" s="2255">
        <v>9</v>
      </c>
      <c r="M5" s="2247">
        <v>10</v>
      </c>
      <c r="N5" s="2255">
        <v>11</v>
      </c>
      <c r="O5" s="2247">
        <v>12</v>
      </c>
      <c r="P5" s="2255">
        <v>13</v>
      </c>
      <c r="Q5" s="2256">
        <v>14</v>
      </c>
      <c r="R5" s="2256">
        <v>15</v>
      </c>
      <c r="S5" s="2256">
        <v>16</v>
      </c>
      <c r="T5" s="2256">
        <v>17</v>
      </c>
      <c r="U5" s="2247">
        <v>18</v>
      </c>
    </row>
    <row r="6" spans="1:22" s="1537" customFormat="1" ht="16.5" customHeight="1">
      <c r="A6" s="2248">
        <v>1</v>
      </c>
      <c r="B6" s="3430" t="s">
        <v>6812</v>
      </c>
      <c r="C6" s="3431"/>
      <c r="D6" s="2262">
        <f>固定资产加速折旧审核表!D7</f>
        <v>0</v>
      </c>
      <c r="E6" s="2275">
        <f>固定资产加速折旧审核表!E7</f>
        <v>0</v>
      </c>
      <c r="F6" s="2262">
        <f>固定资产加速折旧审核表!F7</f>
        <v>0</v>
      </c>
      <c r="G6" s="2275">
        <f>固定资产加速折旧审核表!G7</f>
        <v>0</v>
      </c>
      <c r="H6" s="2262">
        <f>固定资产加速折旧审核表!H7</f>
        <v>0</v>
      </c>
      <c r="I6" s="2275">
        <f>固定资产加速折旧审核表!I7</f>
        <v>0</v>
      </c>
      <c r="J6" s="2262">
        <f>固定资产加速折旧审核表!J7</f>
        <v>0</v>
      </c>
      <c r="K6" s="2275">
        <f>固定资产加速折旧审核表!K7</f>
        <v>0</v>
      </c>
      <c r="L6" s="2262">
        <f>固定资产加速折旧审核表!L7</f>
        <v>0</v>
      </c>
      <c r="M6" s="2275">
        <f>固定资产加速折旧审核表!M7</f>
        <v>0</v>
      </c>
      <c r="N6" s="2262">
        <f>固定资产加速折旧审核表!N7</f>
        <v>0</v>
      </c>
      <c r="O6" s="2275">
        <f>固定资产加速折旧审核表!O7</f>
        <v>0</v>
      </c>
      <c r="P6" s="2262">
        <f>固定资产加速折旧审核表!P7</f>
        <v>0</v>
      </c>
      <c r="Q6" s="2279">
        <f>固定资产加速折旧审核表!Q7</f>
        <v>0</v>
      </c>
      <c r="R6" s="2279">
        <f>固定资产加速折旧审核表!R7</f>
        <v>0</v>
      </c>
      <c r="S6" s="2279">
        <f>固定资产加速折旧审核表!S7</f>
        <v>0</v>
      </c>
      <c r="T6" s="2279">
        <f>固定资产加速折旧审核表!T7</f>
        <v>0</v>
      </c>
      <c r="U6" s="2275">
        <f>固定资产加速折旧审核表!U7</f>
        <v>0</v>
      </c>
      <c r="V6" s="1565"/>
    </row>
    <row r="7" spans="1:22" s="1537" customFormat="1" ht="16.5" customHeight="1">
      <c r="A7" s="2249">
        <v>2</v>
      </c>
      <c r="B7" s="3944">
        <f>固定资产加速折旧审核表!B8</f>
        <v>0</v>
      </c>
      <c r="C7" s="2250" t="s">
        <v>6813</v>
      </c>
      <c r="D7" s="2270">
        <f>固定资产加速折旧审核表!D8</f>
        <v>0</v>
      </c>
      <c r="E7" s="2276">
        <f>固定资产加速折旧审核表!E8</f>
        <v>0</v>
      </c>
      <c r="F7" s="2270">
        <f>固定资产加速折旧审核表!F8</f>
        <v>0</v>
      </c>
      <c r="G7" s="2276">
        <f>固定资产加速折旧审核表!G8</f>
        <v>0</v>
      </c>
      <c r="H7" s="2270">
        <f>固定资产加速折旧审核表!H8</f>
        <v>0</v>
      </c>
      <c r="I7" s="2276">
        <f>固定资产加速折旧审核表!I8</f>
        <v>0</v>
      </c>
      <c r="J7" s="2270">
        <f>固定资产加速折旧审核表!J8</f>
        <v>0</v>
      </c>
      <c r="K7" s="2276">
        <f>固定资产加速折旧审核表!K8</f>
        <v>0</v>
      </c>
      <c r="L7" s="2270">
        <f>固定资产加速折旧审核表!L8</f>
        <v>0</v>
      </c>
      <c r="M7" s="2276">
        <f>固定资产加速折旧审核表!M8</f>
        <v>0</v>
      </c>
      <c r="N7" s="2270">
        <f>固定资产加速折旧审核表!N8</f>
        <v>0</v>
      </c>
      <c r="O7" s="2276">
        <f>固定资产加速折旧审核表!O8</f>
        <v>0</v>
      </c>
      <c r="P7" s="2270">
        <f>固定资产加速折旧审核表!P8</f>
        <v>0</v>
      </c>
      <c r="Q7" s="2280" t="str">
        <f>固定资产加速折旧审核表!Q8</f>
        <v>*</v>
      </c>
      <c r="R7" s="2280">
        <f>固定资产加速折旧审核表!R8</f>
        <v>0</v>
      </c>
      <c r="S7" s="2280">
        <f>固定资产加速折旧审核表!S8</f>
        <v>0</v>
      </c>
      <c r="T7" s="2280" t="str">
        <f>固定资产加速折旧审核表!T8</f>
        <v>*</v>
      </c>
      <c r="U7" s="2276">
        <f>固定资产加速折旧审核表!U8</f>
        <v>0</v>
      </c>
    </row>
    <row r="8" spans="1:22" s="1537" customFormat="1" ht="16.5" customHeight="1">
      <c r="A8" s="2249">
        <v>3</v>
      </c>
      <c r="B8" s="3944"/>
      <c r="C8" s="2250" t="s">
        <v>6814</v>
      </c>
      <c r="D8" s="2270">
        <f>固定资产加速折旧审核表!D9</f>
        <v>0</v>
      </c>
      <c r="E8" s="2276">
        <f>固定资产加速折旧审核表!E9</f>
        <v>0</v>
      </c>
      <c r="F8" s="2270">
        <f>固定资产加速折旧审核表!F9</f>
        <v>0</v>
      </c>
      <c r="G8" s="2276">
        <f>固定资产加速折旧审核表!G9</f>
        <v>0</v>
      </c>
      <c r="H8" s="2270">
        <f>固定资产加速折旧审核表!H9</f>
        <v>0</v>
      </c>
      <c r="I8" s="2276">
        <f>固定资产加速折旧审核表!I9</f>
        <v>0</v>
      </c>
      <c r="J8" s="2270">
        <f>固定资产加速折旧审核表!J9</f>
        <v>0</v>
      </c>
      <c r="K8" s="2276">
        <f>固定资产加速折旧审核表!K9</f>
        <v>0</v>
      </c>
      <c r="L8" s="2270">
        <f>固定资产加速折旧审核表!L9</f>
        <v>0</v>
      </c>
      <c r="M8" s="2276">
        <f>固定资产加速折旧审核表!M9</f>
        <v>0</v>
      </c>
      <c r="N8" s="2270">
        <f>固定资产加速折旧审核表!N9</f>
        <v>0</v>
      </c>
      <c r="O8" s="2276">
        <f>固定资产加速折旧审核表!O9</f>
        <v>0</v>
      </c>
      <c r="P8" s="2270">
        <f>固定资产加速折旧审核表!P9</f>
        <v>0</v>
      </c>
      <c r="Q8" s="2280">
        <f>固定资产加速折旧审核表!Q9</f>
        <v>0</v>
      </c>
      <c r="R8" s="2280" t="str">
        <f>固定资产加速折旧审核表!R9</f>
        <v>*</v>
      </c>
      <c r="S8" s="2280">
        <f>固定资产加速折旧审核表!S9</f>
        <v>0</v>
      </c>
      <c r="T8" s="2280">
        <f>固定资产加速折旧审核表!T9</f>
        <v>0</v>
      </c>
      <c r="U8" s="2276" t="str">
        <f>固定资产加速折旧审核表!U9</f>
        <v>*</v>
      </c>
    </row>
    <row r="9" spans="1:22" s="1537" customFormat="1" ht="16.5" customHeight="1">
      <c r="A9" s="2249">
        <v>4</v>
      </c>
      <c r="B9" s="3429" t="s">
        <v>6815</v>
      </c>
      <c r="C9" s="3427"/>
      <c r="D9" s="2270">
        <f>固定资产加速折旧审核表!D10</f>
        <v>0</v>
      </c>
      <c r="E9" s="2276">
        <f>固定资产加速折旧审核表!E10</f>
        <v>0</v>
      </c>
      <c r="F9" s="2270">
        <f>固定资产加速折旧审核表!F10</f>
        <v>0</v>
      </c>
      <c r="G9" s="2276">
        <f>固定资产加速折旧审核表!G10</f>
        <v>0</v>
      </c>
      <c r="H9" s="2270">
        <f>固定资产加速折旧审核表!H10</f>
        <v>0</v>
      </c>
      <c r="I9" s="2276">
        <f>固定资产加速折旧审核表!I10</f>
        <v>0</v>
      </c>
      <c r="J9" s="2270">
        <f>固定资产加速折旧审核表!J10</f>
        <v>0</v>
      </c>
      <c r="K9" s="2276">
        <f>固定资产加速折旧审核表!K10</f>
        <v>0</v>
      </c>
      <c r="L9" s="2270">
        <f>固定资产加速折旧审核表!L10</f>
        <v>0</v>
      </c>
      <c r="M9" s="2276">
        <f>固定资产加速折旧审核表!M10</f>
        <v>0</v>
      </c>
      <c r="N9" s="2270">
        <f>固定资产加速折旧审核表!N10</f>
        <v>0</v>
      </c>
      <c r="O9" s="2276">
        <f>固定资产加速折旧审核表!O10</f>
        <v>0</v>
      </c>
      <c r="P9" s="2270">
        <f>固定资产加速折旧审核表!P10</f>
        <v>0</v>
      </c>
      <c r="Q9" s="2280">
        <f>固定资产加速折旧审核表!Q10</f>
        <v>0</v>
      </c>
      <c r="R9" s="2280">
        <f>固定资产加速折旧审核表!R10</f>
        <v>0</v>
      </c>
      <c r="S9" s="2280">
        <f>固定资产加速折旧审核表!S10</f>
        <v>0</v>
      </c>
      <c r="T9" s="2280">
        <f>固定资产加速折旧审核表!T10</f>
        <v>0</v>
      </c>
      <c r="U9" s="2276">
        <f>固定资产加速折旧审核表!U10</f>
        <v>0</v>
      </c>
      <c r="V9" s="1675" t="s">
        <v>561</v>
      </c>
    </row>
    <row r="10" spans="1:22" s="1537" customFormat="1" ht="16.5" customHeight="1">
      <c r="A10" s="2249">
        <v>5</v>
      </c>
      <c r="B10" s="3429" t="s">
        <v>6816</v>
      </c>
      <c r="C10" s="2250" t="s">
        <v>6813</v>
      </c>
      <c r="D10" s="2270">
        <f>固定资产加速折旧审核表!D11</f>
        <v>0</v>
      </c>
      <c r="E10" s="2276">
        <f>固定资产加速折旧审核表!E11</f>
        <v>0</v>
      </c>
      <c r="F10" s="2270">
        <f>固定资产加速折旧审核表!F11</f>
        <v>0</v>
      </c>
      <c r="G10" s="2276">
        <f>固定资产加速折旧审核表!G11</f>
        <v>0</v>
      </c>
      <c r="H10" s="2270">
        <f>固定资产加速折旧审核表!H11</f>
        <v>0</v>
      </c>
      <c r="I10" s="2276">
        <f>固定资产加速折旧审核表!I11</f>
        <v>0</v>
      </c>
      <c r="J10" s="2270">
        <f>固定资产加速折旧审核表!J11</f>
        <v>0</v>
      </c>
      <c r="K10" s="2276">
        <f>固定资产加速折旧审核表!K11</f>
        <v>0</v>
      </c>
      <c r="L10" s="2270">
        <f>固定资产加速折旧审核表!L11</f>
        <v>0</v>
      </c>
      <c r="M10" s="2276">
        <f>固定资产加速折旧审核表!M11</f>
        <v>0</v>
      </c>
      <c r="N10" s="2270">
        <f>固定资产加速折旧审核表!N11</f>
        <v>0</v>
      </c>
      <c r="O10" s="2276">
        <f>固定资产加速折旧审核表!O11</f>
        <v>0</v>
      </c>
      <c r="P10" s="2270">
        <f>固定资产加速折旧审核表!P11</f>
        <v>0</v>
      </c>
      <c r="Q10" s="2280" t="str">
        <f>固定资产加速折旧审核表!Q11</f>
        <v>*</v>
      </c>
      <c r="R10" s="2280">
        <f>固定资产加速折旧审核表!R11</f>
        <v>0</v>
      </c>
      <c r="S10" s="2280">
        <f>固定资产加速折旧审核表!S11</f>
        <v>0</v>
      </c>
      <c r="T10" s="2280" t="str">
        <f>固定资产加速折旧审核表!T11</f>
        <v>*</v>
      </c>
      <c r="U10" s="2276">
        <f>固定资产加速折旧审核表!U11</f>
        <v>0</v>
      </c>
    </row>
    <row r="11" spans="1:22" s="1537" customFormat="1" ht="16.5" customHeight="1">
      <c r="A11" s="2249">
        <v>6</v>
      </c>
      <c r="B11" s="3429"/>
      <c r="C11" s="2250" t="s">
        <v>6814</v>
      </c>
      <c r="D11" s="2270">
        <f>固定资产加速折旧审核表!D12</f>
        <v>0</v>
      </c>
      <c r="E11" s="2276">
        <f>固定资产加速折旧审核表!E12</f>
        <v>0</v>
      </c>
      <c r="F11" s="2270">
        <f>固定资产加速折旧审核表!F12</f>
        <v>0</v>
      </c>
      <c r="G11" s="2276">
        <f>固定资产加速折旧审核表!G12</f>
        <v>0</v>
      </c>
      <c r="H11" s="2270">
        <f>固定资产加速折旧审核表!H12</f>
        <v>0</v>
      </c>
      <c r="I11" s="2276">
        <f>固定资产加速折旧审核表!I12</f>
        <v>0</v>
      </c>
      <c r="J11" s="2270">
        <f>固定资产加速折旧审核表!J12</f>
        <v>0</v>
      </c>
      <c r="K11" s="2276">
        <f>固定资产加速折旧审核表!K12</f>
        <v>0</v>
      </c>
      <c r="L11" s="2270">
        <f>固定资产加速折旧审核表!L12</f>
        <v>0</v>
      </c>
      <c r="M11" s="2276">
        <f>固定资产加速折旧审核表!M12</f>
        <v>0</v>
      </c>
      <c r="N11" s="2270">
        <f>固定资产加速折旧审核表!N12</f>
        <v>0</v>
      </c>
      <c r="O11" s="2276">
        <f>固定资产加速折旧审核表!O12</f>
        <v>0</v>
      </c>
      <c r="P11" s="2270">
        <f>固定资产加速折旧审核表!P12</f>
        <v>0</v>
      </c>
      <c r="Q11" s="2280">
        <f>固定资产加速折旧审核表!Q12</f>
        <v>0</v>
      </c>
      <c r="R11" s="2280" t="str">
        <f>固定资产加速折旧审核表!R12</f>
        <v>*</v>
      </c>
      <c r="S11" s="2280">
        <f>固定资产加速折旧审核表!S12</f>
        <v>0</v>
      </c>
      <c r="T11" s="2280">
        <f>固定资产加速折旧审核表!T12</f>
        <v>0</v>
      </c>
      <c r="U11" s="2276" t="str">
        <f>固定资产加速折旧审核表!U12</f>
        <v>*</v>
      </c>
      <c r="V11" s="1675" t="s">
        <v>6443</v>
      </c>
    </row>
    <row r="12" spans="1:22" s="1537" customFormat="1" ht="16.5" customHeight="1">
      <c r="A12" s="2249">
        <v>7</v>
      </c>
      <c r="B12" s="3429" t="s">
        <v>6817</v>
      </c>
      <c r="C12" s="3427"/>
      <c r="D12" s="2270">
        <f>固定资产加速折旧审核表!D13</f>
        <v>0</v>
      </c>
      <c r="E12" s="2276">
        <f>固定资产加速折旧审核表!E13</f>
        <v>0</v>
      </c>
      <c r="F12" s="2270">
        <f>固定资产加速折旧审核表!F13</f>
        <v>0</v>
      </c>
      <c r="G12" s="2276">
        <f>固定资产加速折旧审核表!G13</f>
        <v>0</v>
      </c>
      <c r="H12" s="2270">
        <f>固定资产加速折旧审核表!H13</f>
        <v>0</v>
      </c>
      <c r="I12" s="2276">
        <f>固定资产加速折旧审核表!I13</f>
        <v>0</v>
      </c>
      <c r="J12" s="2270">
        <f>固定资产加速折旧审核表!J13</f>
        <v>0</v>
      </c>
      <c r="K12" s="2276">
        <f>固定资产加速折旧审核表!K13</f>
        <v>0</v>
      </c>
      <c r="L12" s="2270">
        <f>固定资产加速折旧审核表!L13</f>
        <v>0</v>
      </c>
      <c r="M12" s="2276">
        <f>固定资产加速折旧审核表!M13</f>
        <v>0</v>
      </c>
      <c r="N12" s="2270">
        <f>固定资产加速折旧审核表!N13</f>
        <v>0</v>
      </c>
      <c r="O12" s="2276">
        <f>固定资产加速折旧审核表!O13</f>
        <v>0</v>
      </c>
      <c r="P12" s="2270">
        <f>固定资产加速折旧审核表!P13</f>
        <v>0</v>
      </c>
      <c r="Q12" s="2280">
        <f>固定资产加速折旧审核表!Q13</f>
        <v>0</v>
      </c>
      <c r="R12" s="2280">
        <f>固定资产加速折旧审核表!R13</f>
        <v>0</v>
      </c>
      <c r="S12" s="2280">
        <f>固定资产加速折旧审核表!S13</f>
        <v>0</v>
      </c>
      <c r="T12" s="2280">
        <f>固定资产加速折旧审核表!T13</f>
        <v>0</v>
      </c>
      <c r="U12" s="2276">
        <f>固定资产加速折旧审核表!U13</f>
        <v>0</v>
      </c>
    </row>
    <row r="13" spans="1:22" s="1537" customFormat="1" ht="16.5" customHeight="1">
      <c r="A13" s="2249">
        <v>8</v>
      </c>
      <c r="B13" s="3433" t="s">
        <v>6818</v>
      </c>
      <c r="C13" s="3434"/>
      <c r="D13" s="2270">
        <f>固定资产加速折旧审核表!D14</f>
        <v>0</v>
      </c>
      <c r="E13" s="2276">
        <f>固定资产加速折旧审核表!E14</f>
        <v>0</v>
      </c>
      <c r="F13" s="2270">
        <f>固定资产加速折旧审核表!F14</f>
        <v>0</v>
      </c>
      <c r="G13" s="2276">
        <f>固定资产加速折旧审核表!G14</f>
        <v>0</v>
      </c>
      <c r="H13" s="2270">
        <f>固定资产加速折旧审核表!H14</f>
        <v>0</v>
      </c>
      <c r="I13" s="2276">
        <f>固定资产加速折旧审核表!I14</f>
        <v>0</v>
      </c>
      <c r="J13" s="2270">
        <f>固定资产加速折旧审核表!J14</f>
        <v>0</v>
      </c>
      <c r="K13" s="2276">
        <f>固定资产加速折旧审核表!K14</f>
        <v>0</v>
      </c>
      <c r="L13" s="2270">
        <f>固定资产加速折旧审核表!L14</f>
        <v>0</v>
      </c>
      <c r="M13" s="2276">
        <f>固定资产加速折旧审核表!M14</f>
        <v>0</v>
      </c>
      <c r="N13" s="2270">
        <f>固定资产加速折旧审核表!N14</f>
        <v>0</v>
      </c>
      <c r="O13" s="2276">
        <f>固定资产加速折旧审核表!O14</f>
        <v>0</v>
      </c>
      <c r="P13" s="2270">
        <f>固定资产加速折旧审核表!P14</f>
        <v>0</v>
      </c>
      <c r="Q13" s="2280">
        <f>固定资产加速折旧审核表!Q14</f>
        <v>0</v>
      </c>
      <c r="R13" s="2280">
        <f>固定资产加速折旧审核表!R14</f>
        <v>0</v>
      </c>
      <c r="S13" s="2280">
        <f>固定资产加速折旧审核表!S14</f>
        <v>0</v>
      </c>
      <c r="T13" s="2280">
        <f>固定资产加速折旧审核表!T14</f>
        <v>0</v>
      </c>
      <c r="U13" s="2276">
        <f>固定资产加速折旧审核表!U14</f>
        <v>0</v>
      </c>
      <c r="V13" s="1675" t="s">
        <v>6442</v>
      </c>
    </row>
    <row r="14" spans="1:22" s="1537" customFormat="1" ht="16.5" customHeight="1">
      <c r="A14" s="2249">
        <v>9</v>
      </c>
      <c r="B14" s="3945">
        <f>固定资产加速折旧审核表!B15</f>
        <v>0</v>
      </c>
      <c r="C14" s="2250" t="s">
        <v>6813</v>
      </c>
      <c r="D14" s="2270">
        <f>固定资产加速折旧审核表!D15</f>
        <v>0</v>
      </c>
      <c r="E14" s="2276">
        <f>固定资产加速折旧审核表!E15</f>
        <v>0</v>
      </c>
      <c r="F14" s="2270">
        <f>固定资产加速折旧审核表!F15</f>
        <v>0</v>
      </c>
      <c r="G14" s="2276">
        <f>固定资产加速折旧审核表!G15</f>
        <v>0</v>
      </c>
      <c r="H14" s="2270">
        <f>固定资产加速折旧审核表!H15</f>
        <v>0</v>
      </c>
      <c r="I14" s="2276">
        <f>固定资产加速折旧审核表!I15</f>
        <v>0</v>
      </c>
      <c r="J14" s="2270">
        <f>固定资产加速折旧审核表!J15</f>
        <v>0</v>
      </c>
      <c r="K14" s="2276">
        <f>固定资产加速折旧审核表!K15</f>
        <v>0</v>
      </c>
      <c r="L14" s="2270">
        <f>固定资产加速折旧审核表!L15</f>
        <v>0</v>
      </c>
      <c r="M14" s="2276">
        <f>固定资产加速折旧审核表!M15</f>
        <v>0</v>
      </c>
      <c r="N14" s="2270">
        <f>固定资产加速折旧审核表!N15</f>
        <v>0</v>
      </c>
      <c r="O14" s="2276">
        <f>固定资产加速折旧审核表!O15</f>
        <v>0</v>
      </c>
      <c r="P14" s="2270">
        <f>固定资产加速折旧审核表!P15</f>
        <v>0</v>
      </c>
      <c r="Q14" s="2280" t="str">
        <f>固定资产加速折旧审核表!Q15</f>
        <v>*</v>
      </c>
      <c r="R14" s="2280">
        <f>固定资产加速折旧审核表!R15</f>
        <v>0</v>
      </c>
      <c r="S14" s="2280">
        <f>固定资产加速折旧审核表!S15</f>
        <v>0</v>
      </c>
      <c r="T14" s="2280" t="str">
        <f>固定资产加速折旧审核表!T15</f>
        <v>*</v>
      </c>
      <c r="U14" s="2276">
        <f>固定资产加速折旧审核表!U15</f>
        <v>0</v>
      </c>
    </row>
    <row r="15" spans="1:22" s="1537" customFormat="1" ht="16.5" customHeight="1">
      <c r="A15" s="2249">
        <v>10</v>
      </c>
      <c r="B15" s="3946"/>
      <c r="C15" s="2250" t="s">
        <v>6814</v>
      </c>
      <c r="D15" s="2270">
        <f>固定资产加速折旧审核表!D16</f>
        <v>0</v>
      </c>
      <c r="E15" s="2276">
        <f>固定资产加速折旧审核表!E16</f>
        <v>0</v>
      </c>
      <c r="F15" s="2270">
        <f>固定资产加速折旧审核表!F16</f>
        <v>0</v>
      </c>
      <c r="G15" s="2276">
        <f>固定资产加速折旧审核表!G16</f>
        <v>0</v>
      </c>
      <c r="H15" s="2270">
        <f>固定资产加速折旧审核表!H16</f>
        <v>0</v>
      </c>
      <c r="I15" s="2276">
        <f>固定资产加速折旧审核表!I16</f>
        <v>0</v>
      </c>
      <c r="J15" s="2270">
        <f>固定资产加速折旧审核表!J16</f>
        <v>0</v>
      </c>
      <c r="K15" s="2276">
        <f>固定资产加速折旧审核表!K16</f>
        <v>0</v>
      </c>
      <c r="L15" s="2270">
        <f>固定资产加速折旧审核表!L16</f>
        <v>0</v>
      </c>
      <c r="M15" s="2276">
        <f>固定资产加速折旧审核表!M16</f>
        <v>0</v>
      </c>
      <c r="N15" s="2270">
        <f>固定资产加速折旧审核表!N16</f>
        <v>0</v>
      </c>
      <c r="O15" s="2276">
        <f>固定资产加速折旧审核表!O16</f>
        <v>0</v>
      </c>
      <c r="P15" s="2270">
        <f>固定资产加速折旧审核表!P16</f>
        <v>0</v>
      </c>
      <c r="Q15" s="2280">
        <f>固定资产加速折旧审核表!Q16</f>
        <v>0</v>
      </c>
      <c r="R15" s="2280" t="str">
        <f>固定资产加速折旧审核表!R16</f>
        <v>*</v>
      </c>
      <c r="S15" s="2280">
        <f>固定资产加速折旧审核表!S16</f>
        <v>0</v>
      </c>
      <c r="T15" s="2280">
        <f>固定资产加速折旧审核表!T16</f>
        <v>0</v>
      </c>
      <c r="U15" s="2276" t="str">
        <f>固定资产加速折旧审核表!U16</f>
        <v>*</v>
      </c>
    </row>
    <row r="16" spans="1:22" s="1537" customFormat="1" ht="16.5" customHeight="1">
      <c r="A16" s="2249">
        <v>11</v>
      </c>
      <c r="B16" s="3450" t="s">
        <v>6819</v>
      </c>
      <c r="C16" s="3451"/>
      <c r="D16" s="2270">
        <f>固定资产加速折旧审核表!D17</f>
        <v>0</v>
      </c>
      <c r="E16" s="2276">
        <f>固定资产加速折旧审核表!E17</f>
        <v>0</v>
      </c>
      <c r="F16" s="2270">
        <f>固定资产加速折旧审核表!F17</f>
        <v>0</v>
      </c>
      <c r="G16" s="2276">
        <f>固定资产加速折旧审核表!G17</f>
        <v>0</v>
      </c>
      <c r="H16" s="2270">
        <f>固定资产加速折旧审核表!H17</f>
        <v>0</v>
      </c>
      <c r="I16" s="2276">
        <f>固定资产加速折旧审核表!I17</f>
        <v>0</v>
      </c>
      <c r="J16" s="2270">
        <f>固定资产加速折旧审核表!J17</f>
        <v>0</v>
      </c>
      <c r="K16" s="2276">
        <f>固定资产加速折旧审核表!K17</f>
        <v>0</v>
      </c>
      <c r="L16" s="2270">
        <f>固定资产加速折旧审核表!L17</f>
        <v>0</v>
      </c>
      <c r="M16" s="2276">
        <f>固定资产加速折旧审核表!M17</f>
        <v>0</v>
      </c>
      <c r="N16" s="2270">
        <f>固定资产加速折旧审核表!N17</f>
        <v>0</v>
      </c>
      <c r="O16" s="2276">
        <f>固定资产加速折旧审核表!O17</f>
        <v>0</v>
      </c>
      <c r="P16" s="2270">
        <f>固定资产加速折旧审核表!P17</f>
        <v>0</v>
      </c>
      <c r="Q16" s="2280">
        <f>固定资产加速折旧审核表!Q17</f>
        <v>0</v>
      </c>
      <c r="R16" s="2280">
        <f>固定资产加速折旧审核表!R17</f>
        <v>0</v>
      </c>
      <c r="S16" s="2280">
        <f>固定资产加速折旧审核表!S17</f>
        <v>0</v>
      </c>
      <c r="T16" s="2280">
        <f>固定资产加速折旧审核表!T17</f>
        <v>0</v>
      </c>
      <c r="U16" s="2276">
        <f>固定资产加速折旧审核表!U17</f>
        <v>0</v>
      </c>
    </row>
    <row r="17" spans="1:21" s="1537" customFormat="1" ht="16.5" customHeight="1">
      <c r="A17" s="2249">
        <v>12</v>
      </c>
      <c r="B17" s="3433" t="s">
        <v>6820</v>
      </c>
      <c r="C17" s="2250" t="s">
        <v>6813</v>
      </c>
      <c r="D17" s="2270">
        <f>固定资产加速折旧审核表!D18</f>
        <v>0</v>
      </c>
      <c r="E17" s="2276">
        <f>固定资产加速折旧审核表!E18</f>
        <v>0</v>
      </c>
      <c r="F17" s="2270">
        <f>固定资产加速折旧审核表!F18</f>
        <v>0</v>
      </c>
      <c r="G17" s="2276">
        <f>固定资产加速折旧审核表!G18</f>
        <v>0</v>
      </c>
      <c r="H17" s="2270">
        <f>固定资产加速折旧审核表!H18</f>
        <v>0</v>
      </c>
      <c r="I17" s="2276">
        <f>固定资产加速折旧审核表!I18</f>
        <v>0</v>
      </c>
      <c r="J17" s="2270">
        <f>固定资产加速折旧审核表!J18</f>
        <v>0</v>
      </c>
      <c r="K17" s="2276">
        <f>固定资产加速折旧审核表!K18</f>
        <v>0</v>
      </c>
      <c r="L17" s="2270">
        <f>固定资产加速折旧审核表!L18</f>
        <v>0</v>
      </c>
      <c r="M17" s="2276">
        <f>固定资产加速折旧审核表!M18</f>
        <v>0</v>
      </c>
      <c r="N17" s="2270">
        <f>固定资产加速折旧审核表!N18</f>
        <v>0</v>
      </c>
      <c r="O17" s="2276">
        <f>固定资产加速折旧审核表!O18</f>
        <v>0</v>
      </c>
      <c r="P17" s="2270">
        <f>固定资产加速折旧审核表!P18</f>
        <v>0</v>
      </c>
      <c r="Q17" s="2280" t="str">
        <f>固定资产加速折旧审核表!Q18</f>
        <v>*</v>
      </c>
      <c r="R17" s="2280">
        <f>固定资产加速折旧审核表!R18</f>
        <v>0</v>
      </c>
      <c r="S17" s="2280">
        <f>固定资产加速折旧审核表!S18</f>
        <v>0</v>
      </c>
      <c r="T17" s="2280" t="str">
        <f>固定资产加速折旧审核表!T18</f>
        <v>*</v>
      </c>
      <c r="U17" s="2276">
        <f>固定资产加速折旧审核表!U18</f>
        <v>0</v>
      </c>
    </row>
    <row r="18" spans="1:21" s="1537" customFormat="1" ht="16.5" customHeight="1">
      <c r="A18" s="2249">
        <v>13</v>
      </c>
      <c r="B18" s="3433"/>
      <c r="C18" s="2250" t="s">
        <v>6814</v>
      </c>
      <c r="D18" s="2270">
        <f>固定资产加速折旧审核表!D19</f>
        <v>0</v>
      </c>
      <c r="E18" s="2276">
        <f>固定资产加速折旧审核表!E19</f>
        <v>0</v>
      </c>
      <c r="F18" s="2270">
        <f>固定资产加速折旧审核表!F19</f>
        <v>0</v>
      </c>
      <c r="G18" s="2276">
        <f>固定资产加速折旧审核表!G19</f>
        <v>0</v>
      </c>
      <c r="H18" s="2270">
        <f>固定资产加速折旧审核表!H19</f>
        <v>0</v>
      </c>
      <c r="I18" s="2276">
        <f>固定资产加速折旧审核表!I19</f>
        <v>0</v>
      </c>
      <c r="J18" s="2270">
        <f>固定资产加速折旧审核表!J19</f>
        <v>0</v>
      </c>
      <c r="K18" s="2276">
        <f>固定资产加速折旧审核表!K19</f>
        <v>0</v>
      </c>
      <c r="L18" s="2270">
        <f>固定资产加速折旧审核表!L19</f>
        <v>0</v>
      </c>
      <c r="M18" s="2276">
        <f>固定资产加速折旧审核表!M19</f>
        <v>0</v>
      </c>
      <c r="N18" s="2270">
        <f>固定资产加速折旧审核表!N19</f>
        <v>0</v>
      </c>
      <c r="O18" s="2276">
        <f>固定资产加速折旧审核表!O19</f>
        <v>0</v>
      </c>
      <c r="P18" s="2270">
        <f>固定资产加速折旧审核表!P19</f>
        <v>0</v>
      </c>
      <c r="Q18" s="2280">
        <f>固定资产加速折旧审核表!Q19</f>
        <v>0</v>
      </c>
      <c r="R18" s="2280" t="str">
        <f>固定资产加速折旧审核表!R19</f>
        <v>*</v>
      </c>
      <c r="S18" s="2280">
        <f>固定资产加速折旧审核表!S19</f>
        <v>0</v>
      </c>
      <c r="T18" s="2280">
        <f>固定资产加速折旧审核表!T19</f>
        <v>0</v>
      </c>
      <c r="U18" s="2276" t="str">
        <f>固定资产加速折旧审核表!U19</f>
        <v>*</v>
      </c>
    </row>
    <row r="19" spans="1:21" ht="18" customHeight="1">
      <c r="A19" s="2246">
        <v>14</v>
      </c>
      <c r="B19" s="3452" t="s">
        <v>6821</v>
      </c>
      <c r="C19" s="3453"/>
      <c r="D19" s="2277">
        <f>固定资产加速折旧审核表!D20</f>
        <v>0</v>
      </c>
      <c r="E19" s="2278">
        <f>固定资产加速折旧审核表!E20</f>
        <v>0</v>
      </c>
      <c r="F19" s="2277">
        <f>固定资产加速折旧审核表!F20</f>
        <v>0</v>
      </c>
      <c r="G19" s="2278">
        <f>固定资产加速折旧审核表!G20</f>
        <v>0</v>
      </c>
      <c r="H19" s="2277">
        <f>固定资产加速折旧审核表!H20</f>
        <v>0</v>
      </c>
      <c r="I19" s="2278">
        <f>固定资产加速折旧审核表!I20</f>
        <v>0</v>
      </c>
      <c r="J19" s="2277">
        <f>固定资产加速折旧审核表!J20</f>
        <v>0</v>
      </c>
      <c r="K19" s="2278">
        <f>固定资产加速折旧审核表!K20</f>
        <v>0</v>
      </c>
      <c r="L19" s="2277">
        <f>固定资产加速折旧审核表!L20</f>
        <v>0</v>
      </c>
      <c r="M19" s="2278">
        <f>固定资产加速折旧审核表!M20</f>
        <v>0</v>
      </c>
      <c r="N19" s="2277">
        <f>固定资产加速折旧审核表!N20</f>
        <v>0</v>
      </c>
      <c r="O19" s="2278">
        <f>固定资产加速折旧审核表!O20</f>
        <v>0</v>
      </c>
      <c r="P19" s="2277">
        <f>固定资产加速折旧审核表!P20</f>
        <v>0</v>
      </c>
      <c r="Q19" s="2281">
        <f>固定资产加速折旧审核表!Q20</f>
        <v>0</v>
      </c>
      <c r="R19" s="2281">
        <f>固定资产加速折旧审核表!R20</f>
        <v>0</v>
      </c>
      <c r="S19" s="2281">
        <f>固定资产加速折旧审核表!S20</f>
        <v>0</v>
      </c>
      <c r="T19" s="2281">
        <f>固定资产加速折旧审核表!T20</f>
        <v>0</v>
      </c>
      <c r="U19" s="2278">
        <f>固定资产加速折旧审核表!U20</f>
        <v>0</v>
      </c>
    </row>
    <row r="20" spans="1:21">
      <c r="A20" s="2237">
        <v>15</v>
      </c>
      <c r="B20" s="3454" t="s">
        <v>6822</v>
      </c>
      <c r="C20" s="3455"/>
      <c r="D20" s="3455"/>
      <c r="E20" s="3455"/>
      <c r="F20" s="3455"/>
      <c r="G20" s="3455"/>
      <c r="H20" s="3455"/>
      <c r="I20" s="3455"/>
      <c r="J20" s="3455"/>
      <c r="K20" s="3455"/>
      <c r="L20" s="3455"/>
      <c r="M20" s="3455"/>
      <c r="N20" s="3455"/>
      <c r="O20" s="3455"/>
      <c r="P20" s="3456"/>
      <c r="Q20" s="3456"/>
      <c r="R20" s="3456"/>
      <c r="S20" s="3456"/>
      <c r="T20" s="3456"/>
      <c r="U20" s="3457"/>
    </row>
    <row r="21" spans="1:21" ht="16.5" customHeight="1">
      <c r="A21" s="2248">
        <v>16</v>
      </c>
      <c r="B21" s="3458" t="s">
        <v>6823</v>
      </c>
      <c r="C21" s="3459"/>
      <c r="D21" s="2262">
        <f>固定资产加速折旧审核表!D22</f>
        <v>0</v>
      </c>
      <c r="E21" s="2275">
        <f>固定资产加速折旧审核表!E22</f>
        <v>0</v>
      </c>
      <c r="F21" s="2262">
        <f>固定资产加速折旧审核表!F22</f>
        <v>0</v>
      </c>
      <c r="G21" s="2275">
        <f>固定资产加速折旧审核表!G22</f>
        <v>0</v>
      </c>
      <c r="H21" s="2262">
        <f>固定资产加速折旧审核表!H22</f>
        <v>0</v>
      </c>
      <c r="I21" s="2275">
        <f>固定资产加速折旧审核表!I22</f>
        <v>0</v>
      </c>
      <c r="J21" s="2262">
        <f>固定资产加速折旧审核表!J22</f>
        <v>0</v>
      </c>
      <c r="K21" s="2275">
        <f>固定资产加速折旧审核表!K22</f>
        <v>0</v>
      </c>
      <c r="L21" s="2262">
        <f>固定资产加速折旧审核表!L22</f>
        <v>0</v>
      </c>
      <c r="M21" s="2275">
        <f>固定资产加速折旧审核表!M22</f>
        <v>0</v>
      </c>
      <c r="N21" s="2262">
        <f>固定资产加速折旧审核表!N22</f>
        <v>0</v>
      </c>
      <c r="O21" s="2275">
        <f>固定资产加速折旧审核表!O22</f>
        <v>0</v>
      </c>
      <c r="P21" s="2262">
        <f>固定资产加速折旧审核表!P22</f>
        <v>0</v>
      </c>
      <c r="Q21" s="2279">
        <f>固定资产加速折旧审核表!Q22</f>
        <v>0</v>
      </c>
      <c r="R21" s="2279">
        <f>固定资产加速折旧审核表!R22</f>
        <v>0</v>
      </c>
      <c r="S21" s="2279">
        <f>固定资产加速折旧审核表!S22</f>
        <v>0</v>
      </c>
      <c r="T21" s="2279">
        <f>固定资产加速折旧审核表!T22</f>
        <v>0</v>
      </c>
      <c r="U21" s="2275">
        <f>固定资产加速折旧审核表!U22</f>
        <v>0</v>
      </c>
    </row>
    <row r="22" spans="1:21" ht="16.5" customHeight="1">
      <c r="A22" s="2249">
        <v>17</v>
      </c>
      <c r="B22" s="3433" t="s">
        <v>6824</v>
      </c>
      <c r="C22" s="2250" t="s">
        <v>6813</v>
      </c>
      <c r="D22" s="2270">
        <f>固定资产加速折旧审核表!D23</f>
        <v>0</v>
      </c>
      <c r="E22" s="2276">
        <f>固定资产加速折旧审核表!E23</f>
        <v>0</v>
      </c>
      <c r="F22" s="2270">
        <f>固定资产加速折旧审核表!F23</f>
        <v>0</v>
      </c>
      <c r="G22" s="2276">
        <f>固定资产加速折旧审核表!G23</f>
        <v>0</v>
      </c>
      <c r="H22" s="2270">
        <f>固定资产加速折旧审核表!H23</f>
        <v>0</v>
      </c>
      <c r="I22" s="2276">
        <f>固定资产加速折旧审核表!I23</f>
        <v>0</v>
      </c>
      <c r="J22" s="2270">
        <f>固定资产加速折旧审核表!J23</f>
        <v>0</v>
      </c>
      <c r="K22" s="2276">
        <f>固定资产加速折旧审核表!K23</f>
        <v>0</v>
      </c>
      <c r="L22" s="2270">
        <f>固定资产加速折旧审核表!L23</f>
        <v>0</v>
      </c>
      <c r="M22" s="2276">
        <f>固定资产加速折旧审核表!M23</f>
        <v>0</v>
      </c>
      <c r="N22" s="2270">
        <f>固定资产加速折旧审核表!N23</f>
        <v>0</v>
      </c>
      <c r="O22" s="2276">
        <f>固定资产加速折旧审核表!O23</f>
        <v>0</v>
      </c>
      <c r="P22" s="2270">
        <f>固定资产加速折旧审核表!P23</f>
        <v>0</v>
      </c>
      <c r="Q22" s="2280" t="str">
        <f>固定资产加速折旧审核表!Q23</f>
        <v>*</v>
      </c>
      <c r="R22" s="2280">
        <f>固定资产加速折旧审核表!R23</f>
        <v>0</v>
      </c>
      <c r="S22" s="2280">
        <f>固定资产加速折旧审核表!S23</f>
        <v>0</v>
      </c>
      <c r="T22" s="2280" t="str">
        <f>固定资产加速折旧审核表!T23</f>
        <v>*</v>
      </c>
      <c r="U22" s="2276">
        <f>固定资产加速折旧审核表!U23</f>
        <v>0</v>
      </c>
    </row>
    <row r="23" spans="1:21" ht="16.5" customHeight="1">
      <c r="A23" s="2249">
        <v>18</v>
      </c>
      <c r="B23" s="3433"/>
      <c r="C23" s="2250" t="s">
        <v>6814</v>
      </c>
      <c r="D23" s="2270">
        <f>固定资产加速折旧审核表!D24</f>
        <v>0</v>
      </c>
      <c r="E23" s="2276">
        <f>固定资产加速折旧审核表!E24</f>
        <v>0</v>
      </c>
      <c r="F23" s="2270">
        <f>固定资产加速折旧审核表!F24</f>
        <v>0</v>
      </c>
      <c r="G23" s="2276">
        <f>固定资产加速折旧审核表!G24</f>
        <v>0</v>
      </c>
      <c r="H23" s="2270">
        <f>固定资产加速折旧审核表!H24</f>
        <v>0</v>
      </c>
      <c r="I23" s="2276">
        <f>固定资产加速折旧审核表!I24</f>
        <v>0</v>
      </c>
      <c r="J23" s="2270">
        <f>固定资产加速折旧审核表!J24</f>
        <v>0</v>
      </c>
      <c r="K23" s="2276">
        <f>固定资产加速折旧审核表!K24</f>
        <v>0</v>
      </c>
      <c r="L23" s="2270">
        <f>固定资产加速折旧审核表!L24</f>
        <v>0</v>
      </c>
      <c r="M23" s="2276">
        <f>固定资产加速折旧审核表!M24</f>
        <v>0</v>
      </c>
      <c r="N23" s="2270">
        <f>固定资产加速折旧审核表!N24</f>
        <v>0</v>
      </c>
      <c r="O23" s="2276">
        <f>固定资产加速折旧审核表!O24</f>
        <v>0</v>
      </c>
      <c r="P23" s="2270">
        <f>固定资产加速折旧审核表!P24</f>
        <v>0</v>
      </c>
      <c r="Q23" s="2280">
        <f>固定资产加速折旧审核表!Q24</f>
        <v>0</v>
      </c>
      <c r="R23" s="2280" t="str">
        <f>固定资产加速折旧审核表!R24</f>
        <v>*</v>
      </c>
      <c r="S23" s="2280">
        <f>固定资产加速折旧审核表!S24</f>
        <v>0</v>
      </c>
      <c r="T23" s="2280">
        <f>固定资产加速折旧审核表!T24</f>
        <v>0</v>
      </c>
      <c r="U23" s="2276" t="str">
        <f>固定资产加速折旧审核表!U24</f>
        <v>*</v>
      </c>
    </row>
    <row r="24" spans="1:21" ht="16.5" customHeight="1">
      <c r="A24" s="2249">
        <v>19</v>
      </c>
      <c r="B24" s="3450" t="s">
        <v>6825</v>
      </c>
      <c r="C24" s="3451"/>
      <c r="D24" s="2270">
        <f>固定资产加速折旧审核表!D25</f>
        <v>0</v>
      </c>
      <c r="E24" s="2276">
        <f>固定资产加速折旧审核表!E25</f>
        <v>0</v>
      </c>
      <c r="F24" s="2270">
        <f>固定资产加速折旧审核表!F25</f>
        <v>0</v>
      </c>
      <c r="G24" s="2276">
        <f>固定资产加速折旧审核表!G25</f>
        <v>0</v>
      </c>
      <c r="H24" s="2270">
        <f>固定资产加速折旧审核表!H25</f>
        <v>0</v>
      </c>
      <c r="I24" s="2276">
        <f>固定资产加速折旧审核表!I25</f>
        <v>0</v>
      </c>
      <c r="J24" s="2270">
        <f>固定资产加速折旧审核表!J25</f>
        <v>0</v>
      </c>
      <c r="K24" s="2276">
        <f>固定资产加速折旧审核表!K25</f>
        <v>0</v>
      </c>
      <c r="L24" s="2270">
        <f>固定资产加速折旧审核表!L25</f>
        <v>0</v>
      </c>
      <c r="M24" s="2276">
        <f>固定资产加速折旧审核表!M25</f>
        <v>0</v>
      </c>
      <c r="N24" s="2270">
        <f>固定资产加速折旧审核表!N25</f>
        <v>0</v>
      </c>
      <c r="O24" s="2276">
        <f>固定资产加速折旧审核表!O25</f>
        <v>0</v>
      </c>
      <c r="P24" s="2270">
        <f>固定资产加速折旧审核表!P25</f>
        <v>0</v>
      </c>
      <c r="Q24" s="2280">
        <f>固定资产加速折旧审核表!Q25</f>
        <v>0</v>
      </c>
      <c r="R24" s="2280">
        <f>固定资产加速折旧审核表!R25</f>
        <v>0</v>
      </c>
      <c r="S24" s="2280">
        <f>固定资产加速折旧审核表!S25</f>
        <v>0</v>
      </c>
      <c r="T24" s="2280">
        <f>固定资产加速折旧审核表!T25</f>
        <v>0</v>
      </c>
      <c r="U24" s="2276">
        <f>固定资产加速折旧审核表!U25</f>
        <v>0</v>
      </c>
    </row>
    <row r="25" spans="1:21" ht="16.5" customHeight="1">
      <c r="A25" s="2249">
        <v>20</v>
      </c>
      <c r="B25" s="3433" t="s">
        <v>6824</v>
      </c>
      <c r="C25" s="2250" t="s">
        <v>6813</v>
      </c>
      <c r="D25" s="2270">
        <f>固定资产加速折旧审核表!D26</f>
        <v>0</v>
      </c>
      <c r="E25" s="2276">
        <f>固定资产加速折旧审核表!E26</f>
        <v>0</v>
      </c>
      <c r="F25" s="2270">
        <f>固定资产加速折旧审核表!F26</f>
        <v>0</v>
      </c>
      <c r="G25" s="2276">
        <f>固定资产加速折旧审核表!G26</f>
        <v>0</v>
      </c>
      <c r="H25" s="2270">
        <f>固定资产加速折旧审核表!H26</f>
        <v>0</v>
      </c>
      <c r="I25" s="2276">
        <f>固定资产加速折旧审核表!I26</f>
        <v>0</v>
      </c>
      <c r="J25" s="2270">
        <f>固定资产加速折旧审核表!J26</f>
        <v>0</v>
      </c>
      <c r="K25" s="2276">
        <f>固定资产加速折旧审核表!K26</f>
        <v>0</v>
      </c>
      <c r="L25" s="2270">
        <f>固定资产加速折旧审核表!L26</f>
        <v>0</v>
      </c>
      <c r="M25" s="2276">
        <f>固定资产加速折旧审核表!M26</f>
        <v>0</v>
      </c>
      <c r="N25" s="2270">
        <f>固定资产加速折旧审核表!N26</f>
        <v>0</v>
      </c>
      <c r="O25" s="2276">
        <f>固定资产加速折旧审核表!O26</f>
        <v>0</v>
      </c>
      <c r="P25" s="2270">
        <f>固定资产加速折旧审核表!P26</f>
        <v>0</v>
      </c>
      <c r="Q25" s="2280" t="str">
        <f>固定资产加速折旧审核表!Q26</f>
        <v>*</v>
      </c>
      <c r="R25" s="2280">
        <f>固定资产加速折旧审核表!R26</f>
        <v>0</v>
      </c>
      <c r="S25" s="2280">
        <f>固定资产加速折旧审核表!S26</f>
        <v>0</v>
      </c>
      <c r="T25" s="2280" t="str">
        <f>固定资产加速折旧审核表!T26</f>
        <v>*</v>
      </c>
      <c r="U25" s="2276">
        <f>固定资产加速折旧审核表!U26</f>
        <v>0</v>
      </c>
    </row>
    <row r="26" spans="1:21" ht="16.5" customHeight="1">
      <c r="A26" s="2249">
        <v>21</v>
      </c>
      <c r="B26" s="3433"/>
      <c r="C26" s="2250" t="s">
        <v>6814</v>
      </c>
      <c r="D26" s="2270">
        <f>固定资产加速折旧审核表!D27</f>
        <v>0</v>
      </c>
      <c r="E26" s="2276">
        <f>固定资产加速折旧审核表!E27</f>
        <v>0</v>
      </c>
      <c r="F26" s="2270">
        <f>固定资产加速折旧审核表!F27</f>
        <v>0</v>
      </c>
      <c r="G26" s="2276">
        <f>固定资产加速折旧审核表!G27</f>
        <v>0</v>
      </c>
      <c r="H26" s="2270">
        <f>固定资产加速折旧审核表!H27</f>
        <v>0</v>
      </c>
      <c r="I26" s="2276">
        <f>固定资产加速折旧审核表!I27</f>
        <v>0</v>
      </c>
      <c r="J26" s="2270">
        <f>固定资产加速折旧审核表!J27</f>
        <v>0</v>
      </c>
      <c r="K26" s="2276">
        <f>固定资产加速折旧审核表!K27</f>
        <v>0</v>
      </c>
      <c r="L26" s="2270">
        <f>固定资产加速折旧审核表!L27</f>
        <v>0</v>
      </c>
      <c r="M26" s="2276">
        <f>固定资产加速折旧审核表!M27</f>
        <v>0</v>
      </c>
      <c r="N26" s="2270">
        <f>固定资产加速折旧审核表!N27</f>
        <v>0</v>
      </c>
      <c r="O26" s="2276">
        <f>固定资产加速折旧审核表!O27</f>
        <v>0</v>
      </c>
      <c r="P26" s="2270">
        <f>固定资产加速折旧审核表!P27</f>
        <v>0</v>
      </c>
      <c r="Q26" s="2280">
        <f>固定资产加速折旧审核表!Q27</f>
        <v>0</v>
      </c>
      <c r="R26" s="2280" t="str">
        <f>固定资产加速折旧审核表!R27</f>
        <v>*</v>
      </c>
      <c r="S26" s="2280">
        <f>固定资产加速折旧审核表!S27</f>
        <v>0</v>
      </c>
      <c r="T26" s="2280">
        <f>固定资产加速折旧审核表!T27</f>
        <v>0</v>
      </c>
      <c r="U26" s="2276" t="str">
        <f>固定资产加速折旧审核表!U27</f>
        <v>*</v>
      </c>
    </row>
    <row r="27" spans="1:21" ht="16.5" customHeight="1">
      <c r="A27" s="2249">
        <v>22</v>
      </c>
      <c r="B27" s="3450" t="s">
        <v>6826</v>
      </c>
      <c r="C27" s="3451"/>
      <c r="D27" s="2270">
        <f>固定资产加速折旧审核表!D28</f>
        <v>0</v>
      </c>
      <c r="E27" s="2276">
        <f>固定资产加速折旧审核表!E28</f>
        <v>0</v>
      </c>
      <c r="F27" s="2270">
        <f>固定资产加速折旧审核表!F28</f>
        <v>0</v>
      </c>
      <c r="G27" s="2276">
        <f>固定资产加速折旧审核表!G28</f>
        <v>0</v>
      </c>
      <c r="H27" s="2270">
        <f>固定资产加速折旧审核表!H28</f>
        <v>0</v>
      </c>
      <c r="I27" s="2276">
        <f>固定资产加速折旧审核表!I28</f>
        <v>0</v>
      </c>
      <c r="J27" s="2270">
        <f>固定资产加速折旧审核表!J28</f>
        <v>0</v>
      </c>
      <c r="K27" s="2276">
        <f>固定资产加速折旧审核表!K28</f>
        <v>0</v>
      </c>
      <c r="L27" s="2270">
        <f>固定资产加速折旧审核表!L28</f>
        <v>0</v>
      </c>
      <c r="M27" s="2276">
        <f>固定资产加速折旧审核表!M28</f>
        <v>0</v>
      </c>
      <c r="N27" s="2270">
        <f>固定资产加速折旧审核表!N28</f>
        <v>0</v>
      </c>
      <c r="O27" s="2276">
        <f>固定资产加速折旧审核表!O28</f>
        <v>0</v>
      </c>
      <c r="P27" s="2270">
        <f>固定资产加速折旧审核表!P28</f>
        <v>0</v>
      </c>
      <c r="Q27" s="2280">
        <f>固定资产加速折旧审核表!Q28</f>
        <v>0</v>
      </c>
      <c r="R27" s="2280">
        <f>固定资产加速折旧审核表!R28</f>
        <v>0</v>
      </c>
      <c r="S27" s="2280">
        <f>固定资产加速折旧审核表!S28</f>
        <v>0</v>
      </c>
      <c r="T27" s="2280">
        <f>固定资产加速折旧审核表!T28</f>
        <v>0</v>
      </c>
      <c r="U27" s="2276">
        <f>固定资产加速折旧审核表!U28</f>
        <v>0</v>
      </c>
    </row>
    <row r="28" spans="1:21" ht="16.5" customHeight="1">
      <c r="A28" s="2249">
        <v>23</v>
      </c>
      <c r="B28" s="3433" t="s">
        <v>6824</v>
      </c>
      <c r="C28" s="2250" t="s">
        <v>6813</v>
      </c>
      <c r="D28" s="2270">
        <f>固定资产加速折旧审核表!D29</f>
        <v>0</v>
      </c>
      <c r="E28" s="2276">
        <f>固定资产加速折旧审核表!E29</f>
        <v>0</v>
      </c>
      <c r="F28" s="2270">
        <f>固定资产加速折旧审核表!F29</f>
        <v>0</v>
      </c>
      <c r="G28" s="2276">
        <f>固定资产加速折旧审核表!G29</f>
        <v>0</v>
      </c>
      <c r="H28" s="2270">
        <f>固定资产加速折旧审核表!H29</f>
        <v>0</v>
      </c>
      <c r="I28" s="2276">
        <f>固定资产加速折旧审核表!I29</f>
        <v>0</v>
      </c>
      <c r="J28" s="2270">
        <f>固定资产加速折旧审核表!J29</f>
        <v>0</v>
      </c>
      <c r="K28" s="2276">
        <f>固定资产加速折旧审核表!K29</f>
        <v>0</v>
      </c>
      <c r="L28" s="2270">
        <f>固定资产加速折旧审核表!L29</f>
        <v>0</v>
      </c>
      <c r="M28" s="2276">
        <f>固定资产加速折旧审核表!M29</f>
        <v>0</v>
      </c>
      <c r="N28" s="2270">
        <f>固定资产加速折旧审核表!N29</f>
        <v>0</v>
      </c>
      <c r="O28" s="2276">
        <f>固定资产加速折旧审核表!O29</f>
        <v>0</v>
      </c>
      <c r="P28" s="2270">
        <f>固定资产加速折旧审核表!P29</f>
        <v>0</v>
      </c>
      <c r="Q28" s="2280" t="str">
        <f>固定资产加速折旧审核表!Q29</f>
        <v>*</v>
      </c>
      <c r="R28" s="2280">
        <f>固定资产加速折旧审核表!R29</f>
        <v>0</v>
      </c>
      <c r="S28" s="2280">
        <f>固定资产加速折旧审核表!S29</f>
        <v>0</v>
      </c>
      <c r="T28" s="2280" t="str">
        <f>固定资产加速折旧审核表!T29</f>
        <v>*</v>
      </c>
      <c r="U28" s="2276">
        <f>固定资产加速折旧审核表!U29</f>
        <v>0</v>
      </c>
    </row>
    <row r="29" spans="1:21" ht="16.5" customHeight="1">
      <c r="A29" s="2249">
        <v>24</v>
      </c>
      <c r="B29" s="3433"/>
      <c r="C29" s="2250" t="s">
        <v>6814</v>
      </c>
      <c r="D29" s="2270">
        <f>固定资产加速折旧审核表!D30</f>
        <v>0</v>
      </c>
      <c r="E29" s="2276">
        <f>固定资产加速折旧审核表!E30</f>
        <v>0</v>
      </c>
      <c r="F29" s="2270">
        <f>固定资产加速折旧审核表!F30</f>
        <v>0</v>
      </c>
      <c r="G29" s="2276">
        <f>固定资产加速折旧审核表!G30</f>
        <v>0</v>
      </c>
      <c r="H29" s="2270">
        <f>固定资产加速折旧审核表!H30</f>
        <v>0</v>
      </c>
      <c r="I29" s="2276">
        <f>固定资产加速折旧审核表!I30</f>
        <v>0</v>
      </c>
      <c r="J29" s="2270">
        <f>固定资产加速折旧审核表!J30</f>
        <v>0</v>
      </c>
      <c r="K29" s="2276">
        <f>固定资产加速折旧审核表!K30</f>
        <v>0</v>
      </c>
      <c r="L29" s="2270">
        <f>固定资产加速折旧审核表!L30</f>
        <v>0</v>
      </c>
      <c r="M29" s="2276">
        <f>固定资产加速折旧审核表!M30</f>
        <v>0</v>
      </c>
      <c r="N29" s="2270">
        <f>固定资产加速折旧审核表!N30</f>
        <v>0</v>
      </c>
      <c r="O29" s="2276">
        <f>固定资产加速折旧审核表!O30</f>
        <v>0</v>
      </c>
      <c r="P29" s="2270">
        <f>固定资产加速折旧审核表!P30</f>
        <v>0</v>
      </c>
      <c r="Q29" s="2280">
        <f>固定资产加速折旧审核表!Q30</f>
        <v>0</v>
      </c>
      <c r="R29" s="2280" t="str">
        <f>固定资产加速折旧审核表!R30</f>
        <v>*</v>
      </c>
      <c r="S29" s="2280">
        <f>固定资产加速折旧审核表!S30</f>
        <v>0</v>
      </c>
      <c r="T29" s="2280">
        <f>固定资产加速折旧审核表!T30</f>
        <v>0</v>
      </c>
      <c r="U29" s="2276" t="str">
        <f>固定资产加速折旧审核表!U30</f>
        <v>*</v>
      </c>
    </row>
    <row r="30" spans="1:21" ht="16.5" customHeight="1">
      <c r="A30" s="2249">
        <v>25</v>
      </c>
      <c r="B30" s="3450" t="s">
        <v>6827</v>
      </c>
      <c r="C30" s="3451"/>
      <c r="D30" s="2270">
        <f>固定资产加速折旧审核表!D31</f>
        <v>0</v>
      </c>
      <c r="E30" s="2276">
        <f>固定资产加速折旧审核表!E31</f>
        <v>0</v>
      </c>
      <c r="F30" s="2270">
        <f>固定资产加速折旧审核表!F31</f>
        <v>0</v>
      </c>
      <c r="G30" s="2276">
        <f>固定资产加速折旧审核表!G31</f>
        <v>0</v>
      </c>
      <c r="H30" s="2270">
        <f>固定资产加速折旧审核表!H31</f>
        <v>0</v>
      </c>
      <c r="I30" s="2276">
        <f>固定资产加速折旧审核表!I31</f>
        <v>0</v>
      </c>
      <c r="J30" s="2270">
        <f>固定资产加速折旧审核表!J31</f>
        <v>0</v>
      </c>
      <c r="K30" s="2276">
        <f>固定资产加速折旧审核表!K31</f>
        <v>0</v>
      </c>
      <c r="L30" s="2270">
        <f>固定资产加速折旧审核表!L31</f>
        <v>0</v>
      </c>
      <c r="M30" s="2276">
        <f>固定资产加速折旧审核表!M31</f>
        <v>0</v>
      </c>
      <c r="N30" s="2270">
        <f>固定资产加速折旧审核表!N31</f>
        <v>0</v>
      </c>
      <c r="O30" s="2276">
        <f>固定资产加速折旧审核表!O31</f>
        <v>0</v>
      </c>
      <c r="P30" s="2270">
        <f>固定资产加速折旧审核表!P31</f>
        <v>0</v>
      </c>
      <c r="Q30" s="2280">
        <f>固定资产加速折旧审核表!Q31</f>
        <v>0</v>
      </c>
      <c r="R30" s="2280">
        <f>固定资产加速折旧审核表!R31</f>
        <v>0</v>
      </c>
      <c r="S30" s="2280">
        <f>固定资产加速折旧审核表!S31</f>
        <v>0</v>
      </c>
      <c r="T30" s="2280">
        <f>固定资产加速折旧审核表!T31</f>
        <v>0</v>
      </c>
      <c r="U30" s="2276">
        <f>固定资产加速折旧审核表!U31</f>
        <v>0</v>
      </c>
    </row>
    <row r="31" spans="1:21" ht="16.5" customHeight="1">
      <c r="A31" s="2249">
        <v>26</v>
      </c>
      <c r="B31" s="3433" t="s">
        <v>6824</v>
      </c>
      <c r="C31" s="2250" t="s">
        <v>6813</v>
      </c>
      <c r="D31" s="2270">
        <f>固定资产加速折旧审核表!D32</f>
        <v>0</v>
      </c>
      <c r="E31" s="2276">
        <f>固定资产加速折旧审核表!E32</f>
        <v>0</v>
      </c>
      <c r="F31" s="2270">
        <f>固定资产加速折旧审核表!F32</f>
        <v>0</v>
      </c>
      <c r="G31" s="2276">
        <f>固定资产加速折旧审核表!G32</f>
        <v>0</v>
      </c>
      <c r="H31" s="2270">
        <f>固定资产加速折旧审核表!H32</f>
        <v>0</v>
      </c>
      <c r="I31" s="2276">
        <f>固定资产加速折旧审核表!I32</f>
        <v>0</v>
      </c>
      <c r="J31" s="2270">
        <f>固定资产加速折旧审核表!J32</f>
        <v>0</v>
      </c>
      <c r="K31" s="2276">
        <f>固定资产加速折旧审核表!K32</f>
        <v>0</v>
      </c>
      <c r="L31" s="2270">
        <f>固定资产加速折旧审核表!L32</f>
        <v>0</v>
      </c>
      <c r="M31" s="2276">
        <f>固定资产加速折旧审核表!M32</f>
        <v>0</v>
      </c>
      <c r="N31" s="2270">
        <f>固定资产加速折旧审核表!N32</f>
        <v>0</v>
      </c>
      <c r="O31" s="2276">
        <f>固定资产加速折旧审核表!O32</f>
        <v>0</v>
      </c>
      <c r="P31" s="2270">
        <f>固定资产加速折旧审核表!P32</f>
        <v>0</v>
      </c>
      <c r="Q31" s="2280" t="str">
        <f>固定资产加速折旧审核表!Q32</f>
        <v>*</v>
      </c>
      <c r="R31" s="2280">
        <f>固定资产加速折旧审核表!R32</f>
        <v>0</v>
      </c>
      <c r="S31" s="2280">
        <f>固定资产加速折旧审核表!S32</f>
        <v>0</v>
      </c>
      <c r="T31" s="2280" t="str">
        <f>固定资产加速折旧审核表!T32</f>
        <v>*</v>
      </c>
      <c r="U31" s="2276">
        <f>固定资产加速折旧审核表!U32</f>
        <v>0</v>
      </c>
    </row>
    <row r="32" spans="1:21" ht="16.5" customHeight="1">
      <c r="A32" s="2249">
        <v>27</v>
      </c>
      <c r="B32" s="3433"/>
      <c r="C32" s="2250" t="s">
        <v>6814</v>
      </c>
      <c r="D32" s="2270">
        <f>固定资产加速折旧审核表!D33</f>
        <v>0</v>
      </c>
      <c r="E32" s="2276">
        <f>固定资产加速折旧审核表!E33</f>
        <v>0</v>
      </c>
      <c r="F32" s="2270">
        <f>固定资产加速折旧审核表!F33</f>
        <v>0</v>
      </c>
      <c r="G32" s="2276">
        <f>固定资产加速折旧审核表!G33</f>
        <v>0</v>
      </c>
      <c r="H32" s="2270">
        <f>固定资产加速折旧审核表!H33</f>
        <v>0</v>
      </c>
      <c r="I32" s="2276">
        <f>固定资产加速折旧审核表!I33</f>
        <v>0</v>
      </c>
      <c r="J32" s="2270">
        <f>固定资产加速折旧审核表!J33</f>
        <v>0</v>
      </c>
      <c r="K32" s="2276">
        <f>固定资产加速折旧审核表!K33</f>
        <v>0</v>
      </c>
      <c r="L32" s="2270">
        <f>固定资产加速折旧审核表!L33</f>
        <v>0</v>
      </c>
      <c r="M32" s="2276">
        <f>固定资产加速折旧审核表!M33</f>
        <v>0</v>
      </c>
      <c r="N32" s="2270">
        <f>固定资产加速折旧审核表!N33</f>
        <v>0</v>
      </c>
      <c r="O32" s="2276">
        <f>固定资产加速折旧审核表!O33</f>
        <v>0</v>
      </c>
      <c r="P32" s="2270">
        <f>固定资产加速折旧审核表!P33</f>
        <v>0</v>
      </c>
      <c r="Q32" s="2280">
        <f>固定资产加速折旧审核表!Q33</f>
        <v>0</v>
      </c>
      <c r="R32" s="2280" t="str">
        <f>固定资产加速折旧审核表!R33</f>
        <v>*</v>
      </c>
      <c r="S32" s="2280">
        <f>固定资产加速折旧审核表!S33</f>
        <v>0</v>
      </c>
      <c r="T32" s="2280">
        <f>固定资产加速折旧审核表!T33</f>
        <v>0</v>
      </c>
      <c r="U32" s="2276" t="str">
        <f>固定资产加速折旧审核表!U33</f>
        <v>*</v>
      </c>
    </row>
    <row r="33" spans="1:21" ht="18" customHeight="1">
      <c r="A33" s="2246">
        <v>35</v>
      </c>
      <c r="B33" s="3452" t="s">
        <v>6828</v>
      </c>
      <c r="C33" s="3453"/>
      <c r="D33" s="2277">
        <f>固定资产加速折旧审核表!D34</f>
        <v>0</v>
      </c>
      <c r="E33" s="2278">
        <f>固定资产加速折旧审核表!E34</f>
        <v>0</v>
      </c>
      <c r="F33" s="2277">
        <f>固定资产加速折旧审核表!F34</f>
        <v>0</v>
      </c>
      <c r="G33" s="2278">
        <f>固定资产加速折旧审核表!G34</f>
        <v>0</v>
      </c>
      <c r="H33" s="2277">
        <f>固定资产加速折旧审核表!H34</f>
        <v>0</v>
      </c>
      <c r="I33" s="2278">
        <f>固定资产加速折旧审核表!I34</f>
        <v>0</v>
      </c>
      <c r="J33" s="2277">
        <f>固定资产加速折旧审核表!J34</f>
        <v>0</v>
      </c>
      <c r="K33" s="2278">
        <f>固定资产加速折旧审核表!K34</f>
        <v>0</v>
      </c>
      <c r="L33" s="2277">
        <f>固定资产加速折旧审核表!L34</f>
        <v>0</v>
      </c>
      <c r="M33" s="2278">
        <f>固定资产加速折旧审核表!M34</f>
        <v>0</v>
      </c>
      <c r="N33" s="2277">
        <f>固定资产加速折旧审核表!N34</f>
        <v>0</v>
      </c>
      <c r="O33" s="2278">
        <f>固定资产加速折旧审核表!O34</f>
        <v>0</v>
      </c>
      <c r="P33" s="2277">
        <f>固定资产加速折旧审核表!P34</f>
        <v>0</v>
      </c>
      <c r="Q33" s="2281">
        <f>固定资产加速折旧审核表!Q34</f>
        <v>0</v>
      </c>
      <c r="R33" s="2281">
        <f>固定资产加速折旧审核表!R34</f>
        <v>0</v>
      </c>
      <c r="S33" s="2281">
        <f>固定资产加速折旧审核表!S34</f>
        <v>0</v>
      </c>
      <c r="T33" s="2281">
        <f>固定资产加速折旧审核表!T34</f>
        <v>0</v>
      </c>
      <c r="U33" s="2278">
        <f>固定资产加速折旧审核表!U34</f>
        <v>0</v>
      </c>
    </row>
    <row r="34" spans="1:21">
      <c r="A34" s="2000"/>
    </row>
  </sheetData>
  <mergeCells count="30">
    <mergeCell ref="B16:C16"/>
    <mergeCell ref="P3:U3"/>
    <mergeCell ref="N3:O3"/>
    <mergeCell ref="L3:M3"/>
    <mergeCell ref="J3:K3"/>
    <mergeCell ref="H3:I3"/>
    <mergeCell ref="A2:U2"/>
    <mergeCell ref="B20:U20"/>
    <mergeCell ref="B21:C21"/>
    <mergeCell ref="B6:C6"/>
    <mergeCell ref="B7:B8"/>
    <mergeCell ref="B17:B18"/>
    <mergeCell ref="B19:C19"/>
    <mergeCell ref="B9:C9"/>
    <mergeCell ref="B10:B11"/>
    <mergeCell ref="B12:C12"/>
    <mergeCell ref="B13:C13"/>
    <mergeCell ref="B14:B15"/>
    <mergeCell ref="F3:G3"/>
    <mergeCell ref="D3:E3"/>
    <mergeCell ref="A3:A5"/>
    <mergeCell ref="B3:C5"/>
    <mergeCell ref="B30:C30"/>
    <mergeCell ref="B31:B32"/>
    <mergeCell ref="B33:C33"/>
    <mergeCell ref="B22:B23"/>
    <mergeCell ref="B24:C24"/>
    <mergeCell ref="B25:B26"/>
    <mergeCell ref="B27:C27"/>
    <mergeCell ref="B28:B29"/>
  </mergeCells>
  <phoneticPr fontId="51" type="noConversion"/>
  <hyperlinks>
    <hyperlink ref="V9" location="固资折旧!A1" display="固资折旧!A1"/>
    <hyperlink ref="V11" location="折旧测算!A1" display="折旧测算!A1"/>
    <hyperlink ref="V13" location="固定资产加速折旧审核表!A1" display="固定资产加速折旧审核表!A1"/>
  </hyperlinks>
  <printOptions horizontalCentered="1"/>
  <pageMargins left="0.78740157480314998" right="0.35433070866141703" top="0.511811023622047" bottom="0.11811023622047198" header="0.511811023622047" footer="0.511811023622047"/>
  <pageSetup paperSize="9" scale="90" orientation="landscape" useFirstPageNumber="1" r:id="rId1"/>
  <headerFooter alignWithMargins="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rgb="FFFFFF00"/>
  </sheetPr>
  <dimension ref="A1:I18"/>
  <sheetViews>
    <sheetView workbookViewId="0">
      <selection sqref="A1:E1"/>
    </sheetView>
  </sheetViews>
  <sheetFormatPr defaultRowHeight="15.6"/>
  <cols>
    <col min="1" max="1" width="5.19921875" style="1558" customWidth="1"/>
    <col min="2" max="2" width="46.5" style="1558" customWidth="1"/>
    <col min="3" max="5" width="12.19921875" style="1558" customWidth="1"/>
    <col min="6" max="6" width="17.19921875" style="1558" customWidth="1"/>
    <col min="7" max="8" width="9" style="1558"/>
    <col min="9" max="9" width="42" style="1558" customWidth="1"/>
    <col min="10" max="256" width="9" style="1558"/>
    <col min="257" max="257" width="5.19921875" style="1558" customWidth="1"/>
    <col min="258" max="258" width="46.5" style="1558" customWidth="1"/>
    <col min="259" max="260" width="9.3984375" style="1558" customWidth="1"/>
    <col min="261" max="261" width="10.19921875" style="1558" customWidth="1"/>
    <col min="262" max="262" width="23.5" style="1558" customWidth="1"/>
    <col min="263" max="264" width="9" style="1558"/>
    <col min="265" max="265" width="42" style="1558" customWidth="1"/>
    <col min="266" max="512" width="9" style="1558"/>
    <col min="513" max="513" width="5.19921875" style="1558" customWidth="1"/>
    <col min="514" max="514" width="46.5" style="1558" customWidth="1"/>
    <col min="515" max="516" width="9.3984375" style="1558" customWidth="1"/>
    <col min="517" max="517" width="10.19921875" style="1558" customWidth="1"/>
    <col min="518" max="518" width="23.5" style="1558" customWidth="1"/>
    <col min="519" max="520" width="9" style="1558"/>
    <col min="521" max="521" width="42" style="1558" customWidth="1"/>
    <col min="522" max="768" width="9" style="1558"/>
    <col min="769" max="769" width="5.19921875" style="1558" customWidth="1"/>
    <col min="770" max="770" width="46.5" style="1558" customWidth="1"/>
    <col min="771" max="772" width="9.3984375" style="1558" customWidth="1"/>
    <col min="773" max="773" width="10.19921875" style="1558" customWidth="1"/>
    <col min="774" max="774" width="23.5" style="1558" customWidth="1"/>
    <col min="775" max="776" width="9" style="1558"/>
    <col min="777" max="777" width="42" style="1558" customWidth="1"/>
    <col min="778" max="1024" width="9" style="1558"/>
    <col min="1025" max="1025" width="5.19921875" style="1558" customWidth="1"/>
    <col min="1026" max="1026" width="46.5" style="1558" customWidth="1"/>
    <col min="1027" max="1028" width="9.3984375" style="1558" customWidth="1"/>
    <col min="1029" max="1029" width="10.19921875" style="1558" customWidth="1"/>
    <col min="1030" max="1030" width="23.5" style="1558" customWidth="1"/>
    <col min="1031" max="1032" width="9" style="1558"/>
    <col min="1033" max="1033" width="42" style="1558" customWidth="1"/>
    <col min="1034" max="1280" width="9" style="1558"/>
    <col min="1281" max="1281" width="5.19921875" style="1558" customWidth="1"/>
    <col min="1282" max="1282" width="46.5" style="1558" customWidth="1"/>
    <col min="1283" max="1284" width="9.3984375" style="1558" customWidth="1"/>
    <col min="1285" max="1285" width="10.19921875" style="1558" customWidth="1"/>
    <col min="1286" max="1286" width="23.5" style="1558" customWidth="1"/>
    <col min="1287" max="1288" width="9" style="1558"/>
    <col min="1289" max="1289" width="42" style="1558" customWidth="1"/>
    <col min="1290" max="1536" width="9" style="1558"/>
    <col min="1537" max="1537" width="5.19921875" style="1558" customWidth="1"/>
    <col min="1538" max="1538" width="46.5" style="1558" customWidth="1"/>
    <col min="1539" max="1540" width="9.3984375" style="1558" customWidth="1"/>
    <col min="1541" max="1541" width="10.19921875" style="1558" customWidth="1"/>
    <col min="1542" max="1542" width="23.5" style="1558" customWidth="1"/>
    <col min="1543" max="1544" width="9" style="1558"/>
    <col min="1545" max="1545" width="42" style="1558" customWidth="1"/>
    <col min="1546" max="1792" width="9" style="1558"/>
    <col min="1793" max="1793" width="5.19921875" style="1558" customWidth="1"/>
    <col min="1794" max="1794" width="46.5" style="1558" customWidth="1"/>
    <col min="1795" max="1796" width="9.3984375" style="1558" customWidth="1"/>
    <col min="1797" max="1797" width="10.19921875" style="1558" customWidth="1"/>
    <col min="1798" max="1798" width="23.5" style="1558" customWidth="1"/>
    <col min="1799" max="1800" width="9" style="1558"/>
    <col min="1801" max="1801" width="42" style="1558" customWidth="1"/>
    <col min="1802" max="2048" width="9" style="1558"/>
    <col min="2049" max="2049" width="5.19921875" style="1558" customWidth="1"/>
    <col min="2050" max="2050" width="46.5" style="1558" customWidth="1"/>
    <col min="2051" max="2052" width="9.3984375" style="1558" customWidth="1"/>
    <col min="2053" max="2053" width="10.19921875" style="1558" customWidth="1"/>
    <col min="2054" max="2054" width="23.5" style="1558" customWidth="1"/>
    <col min="2055" max="2056" width="9" style="1558"/>
    <col min="2057" max="2057" width="42" style="1558" customWidth="1"/>
    <col min="2058" max="2304" width="9" style="1558"/>
    <col min="2305" max="2305" width="5.19921875" style="1558" customWidth="1"/>
    <col min="2306" max="2306" width="46.5" style="1558" customWidth="1"/>
    <col min="2307" max="2308" width="9.3984375" style="1558" customWidth="1"/>
    <col min="2309" max="2309" width="10.19921875" style="1558" customWidth="1"/>
    <col min="2310" max="2310" width="23.5" style="1558" customWidth="1"/>
    <col min="2311" max="2312" width="9" style="1558"/>
    <col min="2313" max="2313" width="42" style="1558" customWidth="1"/>
    <col min="2314" max="2560" width="9" style="1558"/>
    <col min="2561" max="2561" width="5.19921875" style="1558" customWidth="1"/>
    <col min="2562" max="2562" width="46.5" style="1558" customWidth="1"/>
    <col min="2563" max="2564" width="9.3984375" style="1558" customWidth="1"/>
    <col min="2565" max="2565" width="10.19921875" style="1558" customWidth="1"/>
    <col min="2566" max="2566" width="23.5" style="1558" customWidth="1"/>
    <col min="2567" max="2568" width="9" style="1558"/>
    <col min="2569" max="2569" width="42" style="1558" customWidth="1"/>
    <col min="2570" max="2816" width="9" style="1558"/>
    <col min="2817" max="2817" width="5.19921875" style="1558" customWidth="1"/>
    <col min="2818" max="2818" width="46.5" style="1558" customWidth="1"/>
    <col min="2819" max="2820" width="9.3984375" style="1558" customWidth="1"/>
    <col min="2821" max="2821" width="10.19921875" style="1558" customWidth="1"/>
    <col min="2822" max="2822" width="23.5" style="1558" customWidth="1"/>
    <col min="2823" max="2824" width="9" style="1558"/>
    <col min="2825" max="2825" width="42" style="1558" customWidth="1"/>
    <col min="2826" max="3072" width="9" style="1558"/>
    <col min="3073" max="3073" width="5.19921875" style="1558" customWidth="1"/>
    <col min="3074" max="3074" width="46.5" style="1558" customWidth="1"/>
    <col min="3075" max="3076" width="9.3984375" style="1558" customWidth="1"/>
    <col min="3077" max="3077" width="10.19921875" style="1558" customWidth="1"/>
    <col min="3078" max="3078" width="23.5" style="1558" customWidth="1"/>
    <col min="3079" max="3080" width="9" style="1558"/>
    <col min="3081" max="3081" width="42" style="1558" customWidth="1"/>
    <col min="3082" max="3328" width="9" style="1558"/>
    <col min="3329" max="3329" width="5.19921875" style="1558" customWidth="1"/>
    <col min="3330" max="3330" width="46.5" style="1558" customWidth="1"/>
    <col min="3331" max="3332" width="9.3984375" style="1558" customWidth="1"/>
    <col min="3333" max="3333" width="10.19921875" style="1558" customWidth="1"/>
    <col min="3334" max="3334" width="23.5" style="1558" customWidth="1"/>
    <col min="3335" max="3336" width="9" style="1558"/>
    <col min="3337" max="3337" width="42" style="1558" customWidth="1"/>
    <col min="3338" max="3584" width="9" style="1558"/>
    <col min="3585" max="3585" width="5.19921875" style="1558" customWidth="1"/>
    <col min="3586" max="3586" width="46.5" style="1558" customWidth="1"/>
    <col min="3587" max="3588" width="9.3984375" style="1558" customWidth="1"/>
    <col min="3589" max="3589" width="10.19921875" style="1558" customWidth="1"/>
    <col min="3590" max="3590" width="23.5" style="1558" customWidth="1"/>
    <col min="3591" max="3592" width="9" style="1558"/>
    <col min="3593" max="3593" width="42" style="1558" customWidth="1"/>
    <col min="3594" max="3840" width="9" style="1558"/>
    <col min="3841" max="3841" width="5.19921875" style="1558" customWidth="1"/>
    <col min="3842" max="3842" width="46.5" style="1558" customWidth="1"/>
    <col min="3843" max="3844" width="9.3984375" style="1558" customWidth="1"/>
    <col min="3845" max="3845" width="10.19921875" style="1558" customWidth="1"/>
    <col min="3846" max="3846" width="23.5" style="1558" customWidth="1"/>
    <col min="3847" max="3848" width="9" style="1558"/>
    <col min="3849" max="3849" width="42" style="1558" customWidth="1"/>
    <col min="3850" max="4096" width="9" style="1558"/>
    <col min="4097" max="4097" width="5.19921875" style="1558" customWidth="1"/>
    <col min="4098" max="4098" width="46.5" style="1558" customWidth="1"/>
    <col min="4099" max="4100" width="9.3984375" style="1558" customWidth="1"/>
    <col min="4101" max="4101" width="10.19921875" style="1558" customWidth="1"/>
    <col min="4102" max="4102" width="23.5" style="1558" customWidth="1"/>
    <col min="4103" max="4104" width="9" style="1558"/>
    <col min="4105" max="4105" width="42" style="1558" customWidth="1"/>
    <col min="4106" max="4352" width="9" style="1558"/>
    <col min="4353" max="4353" width="5.19921875" style="1558" customWidth="1"/>
    <col min="4354" max="4354" width="46.5" style="1558" customWidth="1"/>
    <col min="4355" max="4356" width="9.3984375" style="1558" customWidth="1"/>
    <col min="4357" max="4357" width="10.19921875" style="1558" customWidth="1"/>
    <col min="4358" max="4358" width="23.5" style="1558" customWidth="1"/>
    <col min="4359" max="4360" width="9" style="1558"/>
    <col min="4361" max="4361" width="42" style="1558" customWidth="1"/>
    <col min="4362" max="4608" width="9" style="1558"/>
    <col min="4609" max="4609" width="5.19921875" style="1558" customWidth="1"/>
    <col min="4610" max="4610" width="46.5" style="1558" customWidth="1"/>
    <col min="4611" max="4612" width="9.3984375" style="1558" customWidth="1"/>
    <col min="4613" max="4613" width="10.19921875" style="1558" customWidth="1"/>
    <col min="4614" max="4614" width="23.5" style="1558" customWidth="1"/>
    <col min="4615" max="4616" width="9" style="1558"/>
    <col min="4617" max="4617" width="42" style="1558" customWidth="1"/>
    <col min="4618" max="4864" width="9" style="1558"/>
    <col min="4865" max="4865" width="5.19921875" style="1558" customWidth="1"/>
    <col min="4866" max="4866" width="46.5" style="1558" customWidth="1"/>
    <col min="4867" max="4868" width="9.3984375" style="1558" customWidth="1"/>
    <col min="4869" max="4869" width="10.19921875" style="1558" customWidth="1"/>
    <col min="4870" max="4870" width="23.5" style="1558" customWidth="1"/>
    <col min="4871" max="4872" width="9" style="1558"/>
    <col min="4873" max="4873" width="42" style="1558" customWidth="1"/>
    <col min="4874" max="5120" width="9" style="1558"/>
    <col min="5121" max="5121" width="5.19921875" style="1558" customWidth="1"/>
    <col min="5122" max="5122" width="46.5" style="1558" customWidth="1"/>
    <col min="5123" max="5124" width="9.3984375" style="1558" customWidth="1"/>
    <col min="5125" max="5125" width="10.19921875" style="1558" customWidth="1"/>
    <col min="5126" max="5126" width="23.5" style="1558" customWidth="1"/>
    <col min="5127" max="5128" width="9" style="1558"/>
    <col min="5129" max="5129" width="42" style="1558" customWidth="1"/>
    <col min="5130" max="5376" width="9" style="1558"/>
    <col min="5377" max="5377" width="5.19921875" style="1558" customWidth="1"/>
    <col min="5378" max="5378" width="46.5" style="1558" customWidth="1"/>
    <col min="5379" max="5380" width="9.3984375" style="1558" customWidth="1"/>
    <col min="5381" max="5381" width="10.19921875" style="1558" customWidth="1"/>
    <col min="5382" max="5382" width="23.5" style="1558" customWidth="1"/>
    <col min="5383" max="5384" width="9" style="1558"/>
    <col min="5385" max="5385" width="42" style="1558" customWidth="1"/>
    <col min="5386" max="5632" width="9" style="1558"/>
    <col min="5633" max="5633" width="5.19921875" style="1558" customWidth="1"/>
    <col min="5634" max="5634" width="46.5" style="1558" customWidth="1"/>
    <col min="5635" max="5636" width="9.3984375" style="1558" customWidth="1"/>
    <col min="5637" max="5637" width="10.19921875" style="1558" customWidth="1"/>
    <col min="5638" max="5638" width="23.5" style="1558" customWidth="1"/>
    <col min="5639" max="5640" width="9" style="1558"/>
    <col min="5641" max="5641" width="42" style="1558" customWidth="1"/>
    <col min="5642" max="5888" width="9" style="1558"/>
    <col min="5889" max="5889" width="5.19921875" style="1558" customWidth="1"/>
    <col min="5890" max="5890" width="46.5" style="1558" customWidth="1"/>
    <col min="5891" max="5892" width="9.3984375" style="1558" customWidth="1"/>
    <col min="5893" max="5893" width="10.19921875" style="1558" customWidth="1"/>
    <col min="5894" max="5894" width="23.5" style="1558" customWidth="1"/>
    <col min="5895" max="5896" width="9" style="1558"/>
    <col min="5897" max="5897" width="42" style="1558" customWidth="1"/>
    <col min="5898" max="6144" width="9" style="1558"/>
    <col min="6145" max="6145" width="5.19921875" style="1558" customWidth="1"/>
    <col min="6146" max="6146" width="46.5" style="1558" customWidth="1"/>
    <col min="6147" max="6148" width="9.3984375" style="1558" customWidth="1"/>
    <col min="6149" max="6149" width="10.19921875" style="1558" customWidth="1"/>
    <col min="6150" max="6150" width="23.5" style="1558" customWidth="1"/>
    <col min="6151" max="6152" width="9" style="1558"/>
    <col min="6153" max="6153" width="42" style="1558" customWidth="1"/>
    <col min="6154" max="6400" width="9" style="1558"/>
    <col min="6401" max="6401" width="5.19921875" style="1558" customWidth="1"/>
    <col min="6402" max="6402" width="46.5" style="1558" customWidth="1"/>
    <col min="6403" max="6404" width="9.3984375" style="1558" customWidth="1"/>
    <col min="6405" max="6405" width="10.19921875" style="1558" customWidth="1"/>
    <col min="6406" max="6406" width="23.5" style="1558" customWidth="1"/>
    <col min="6407" max="6408" width="9" style="1558"/>
    <col min="6409" max="6409" width="42" style="1558" customWidth="1"/>
    <col min="6410" max="6656" width="9" style="1558"/>
    <col min="6657" max="6657" width="5.19921875" style="1558" customWidth="1"/>
    <col min="6658" max="6658" width="46.5" style="1558" customWidth="1"/>
    <col min="6659" max="6660" width="9.3984375" style="1558" customWidth="1"/>
    <col min="6661" max="6661" width="10.19921875" style="1558" customWidth="1"/>
    <col min="6662" max="6662" width="23.5" style="1558" customWidth="1"/>
    <col min="6663" max="6664" width="9" style="1558"/>
    <col min="6665" max="6665" width="42" style="1558" customWidth="1"/>
    <col min="6666" max="6912" width="9" style="1558"/>
    <col min="6913" max="6913" width="5.19921875" style="1558" customWidth="1"/>
    <col min="6914" max="6914" width="46.5" style="1558" customWidth="1"/>
    <col min="6915" max="6916" width="9.3984375" style="1558" customWidth="1"/>
    <col min="6917" max="6917" width="10.19921875" style="1558" customWidth="1"/>
    <col min="6918" max="6918" width="23.5" style="1558" customWidth="1"/>
    <col min="6919" max="6920" width="9" style="1558"/>
    <col min="6921" max="6921" width="42" style="1558" customWidth="1"/>
    <col min="6922" max="7168" width="9" style="1558"/>
    <col min="7169" max="7169" width="5.19921875" style="1558" customWidth="1"/>
    <col min="7170" max="7170" width="46.5" style="1558" customWidth="1"/>
    <col min="7171" max="7172" width="9.3984375" style="1558" customWidth="1"/>
    <col min="7173" max="7173" width="10.19921875" style="1558" customWidth="1"/>
    <col min="7174" max="7174" width="23.5" style="1558" customWidth="1"/>
    <col min="7175" max="7176" width="9" style="1558"/>
    <col min="7177" max="7177" width="42" style="1558" customWidth="1"/>
    <col min="7178" max="7424" width="9" style="1558"/>
    <col min="7425" max="7425" width="5.19921875" style="1558" customWidth="1"/>
    <col min="7426" max="7426" width="46.5" style="1558" customWidth="1"/>
    <col min="7427" max="7428" width="9.3984375" style="1558" customWidth="1"/>
    <col min="7429" max="7429" width="10.19921875" style="1558" customWidth="1"/>
    <col min="7430" max="7430" width="23.5" style="1558" customWidth="1"/>
    <col min="7431" max="7432" width="9" style="1558"/>
    <col min="7433" max="7433" width="42" style="1558" customWidth="1"/>
    <col min="7434" max="7680" width="9" style="1558"/>
    <col min="7681" max="7681" width="5.19921875" style="1558" customWidth="1"/>
    <col min="7682" max="7682" width="46.5" style="1558" customWidth="1"/>
    <col min="7683" max="7684" width="9.3984375" style="1558" customWidth="1"/>
    <col min="7685" max="7685" width="10.19921875" style="1558" customWidth="1"/>
    <col min="7686" max="7686" width="23.5" style="1558" customWidth="1"/>
    <col min="7687" max="7688" width="9" style="1558"/>
    <col min="7689" max="7689" width="42" style="1558" customWidth="1"/>
    <col min="7690" max="7936" width="9" style="1558"/>
    <col min="7937" max="7937" width="5.19921875" style="1558" customWidth="1"/>
    <col min="7938" max="7938" width="46.5" style="1558" customWidth="1"/>
    <col min="7939" max="7940" width="9.3984375" style="1558" customWidth="1"/>
    <col min="7941" max="7941" width="10.19921875" style="1558" customWidth="1"/>
    <col min="7942" max="7942" width="23.5" style="1558" customWidth="1"/>
    <col min="7943" max="7944" width="9" style="1558"/>
    <col min="7945" max="7945" width="42" style="1558" customWidth="1"/>
    <col min="7946" max="8192" width="9" style="1558"/>
    <col min="8193" max="8193" width="5.19921875" style="1558" customWidth="1"/>
    <col min="8194" max="8194" width="46.5" style="1558" customWidth="1"/>
    <col min="8195" max="8196" width="9.3984375" style="1558" customWidth="1"/>
    <col min="8197" max="8197" width="10.19921875" style="1558" customWidth="1"/>
    <col min="8198" max="8198" width="23.5" style="1558" customWidth="1"/>
    <col min="8199" max="8200" width="9" style="1558"/>
    <col min="8201" max="8201" width="42" style="1558" customWidth="1"/>
    <col min="8202" max="8448" width="9" style="1558"/>
    <col min="8449" max="8449" width="5.19921875" style="1558" customWidth="1"/>
    <col min="8450" max="8450" width="46.5" style="1558" customWidth="1"/>
    <col min="8451" max="8452" width="9.3984375" style="1558" customWidth="1"/>
    <col min="8453" max="8453" width="10.19921875" style="1558" customWidth="1"/>
    <col min="8454" max="8454" width="23.5" style="1558" customWidth="1"/>
    <col min="8455" max="8456" width="9" style="1558"/>
    <col min="8457" max="8457" width="42" style="1558" customWidth="1"/>
    <col min="8458" max="8704" width="9" style="1558"/>
    <col min="8705" max="8705" width="5.19921875" style="1558" customWidth="1"/>
    <col min="8706" max="8706" width="46.5" style="1558" customWidth="1"/>
    <col min="8707" max="8708" width="9.3984375" style="1558" customWidth="1"/>
    <col min="8709" max="8709" width="10.19921875" style="1558" customWidth="1"/>
    <col min="8710" max="8710" width="23.5" style="1558" customWidth="1"/>
    <col min="8711" max="8712" width="9" style="1558"/>
    <col min="8713" max="8713" width="42" style="1558" customWidth="1"/>
    <col min="8714" max="8960" width="9" style="1558"/>
    <col min="8961" max="8961" width="5.19921875" style="1558" customWidth="1"/>
    <col min="8962" max="8962" width="46.5" style="1558" customWidth="1"/>
    <col min="8963" max="8964" width="9.3984375" style="1558" customWidth="1"/>
    <col min="8965" max="8965" width="10.19921875" style="1558" customWidth="1"/>
    <col min="8966" max="8966" width="23.5" style="1558" customWidth="1"/>
    <col min="8967" max="8968" width="9" style="1558"/>
    <col min="8969" max="8969" width="42" style="1558" customWidth="1"/>
    <col min="8970" max="9216" width="9" style="1558"/>
    <col min="9217" max="9217" width="5.19921875" style="1558" customWidth="1"/>
    <col min="9218" max="9218" width="46.5" style="1558" customWidth="1"/>
    <col min="9219" max="9220" width="9.3984375" style="1558" customWidth="1"/>
    <col min="9221" max="9221" width="10.19921875" style="1558" customWidth="1"/>
    <col min="9222" max="9222" width="23.5" style="1558" customWidth="1"/>
    <col min="9223" max="9224" width="9" style="1558"/>
    <col min="9225" max="9225" width="42" style="1558" customWidth="1"/>
    <col min="9226" max="9472" width="9" style="1558"/>
    <col min="9473" max="9473" width="5.19921875" style="1558" customWidth="1"/>
    <col min="9474" max="9474" width="46.5" style="1558" customWidth="1"/>
    <col min="9475" max="9476" width="9.3984375" style="1558" customWidth="1"/>
    <col min="9477" max="9477" width="10.19921875" style="1558" customWidth="1"/>
    <col min="9478" max="9478" width="23.5" style="1558" customWidth="1"/>
    <col min="9479" max="9480" width="9" style="1558"/>
    <col min="9481" max="9481" width="42" style="1558" customWidth="1"/>
    <col min="9482" max="9728" width="9" style="1558"/>
    <col min="9729" max="9729" width="5.19921875" style="1558" customWidth="1"/>
    <col min="9730" max="9730" width="46.5" style="1558" customWidth="1"/>
    <col min="9731" max="9732" width="9.3984375" style="1558" customWidth="1"/>
    <col min="9733" max="9733" width="10.19921875" style="1558" customWidth="1"/>
    <col min="9734" max="9734" width="23.5" style="1558" customWidth="1"/>
    <col min="9735" max="9736" width="9" style="1558"/>
    <col min="9737" max="9737" width="42" style="1558" customWidth="1"/>
    <col min="9738" max="9984" width="9" style="1558"/>
    <col min="9985" max="9985" width="5.19921875" style="1558" customWidth="1"/>
    <col min="9986" max="9986" width="46.5" style="1558" customWidth="1"/>
    <col min="9987" max="9988" width="9.3984375" style="1558" customWidth="1"/>
    <col min="9989" max="9989" width="10.19921875" style="1558" customWidth="1"/>
    <col min="9990" max="9990" width="23.5" style="1558" customWidth="1"/>
    <col min="9991" max="9992" width="9" style="1558"/>
    <col min="9993" max="9993" width="42" style="1558" customWidth="1"/>
    <col min="9994" max="10240" width="9" style="1558"/>
    <col min="10241" max="10241" width="5.19921875" style="1558" customWidth="1"/>
    <col min="10242" max="10242" width="46.5" style="1558" customWidth="1"/>
    <col min="10243" max="10244" width="9.3984375" style="1558" customWidth="1"/>
    <col min="10245" max="10245" width="10.19921875" style="1558" customWidth="1"/>
    <col min="10246" max="10246" width="23.5" style="1558" customWidth="1"/>
    <col min="10247" max="10248" width="9" style="1558"/>
    <col min="10249" max="10249" width="42" style="1558" customWidth="1"/>
    <col min="10250" max="10496" width="9" style="1558"/>
    <col min="10497" max="10497" width="5.19921875" style="1558" customWidth="1"/>
    <col min="10498" max="10498" width="46.5" style="1558" customWidth="1"/>
    <col min="10499" max="10500" width="9.3984375" style="1558" customWidth="1"/>
    <col min="10501" max="10501" width="10.19921875" style="1558" customWidth="1"/>
    <col min="10502" max="10502" width="23.5" style="1558" customWidth="1"/>
    <col min="10503" max="10504" width="9" style="1558"/>
    <col min="10505" max="10505" width="42" style="1558" customWidth="1"/>
    <col min="10506" max="10752" width="9" style="1558"/>
    <col min="10753" max="10753" width="5.19921875" style="1558" customWidth="1"/>
    <col min="10754" max="10754" width="46.5" style="1558" customWidth="1"/>
    <col min="10755" max="10756" width="9.3984375" style="1558" customWidth="1"/>
    <col min="10757" max="10757" width="10.19921875" style="1558" customWidth="1"/>
    <col min="10758" max="10758" width="23.5" style="1558" customWidth="1"/>
    <col min="10759" max="10760" width="9" style="1558"/>
    <col min="10761" max="10761" width="42" style="1558" customWidth="1"/>
    <col min="10762" max="11008" width="9" style="1558"/>
    <col min="11009" max="11009" width="5.19921875" style="1558" customWidth="1"/>
    <col min="11010" max="11010" width="46.5" style="1558" customWidth="1"/>
    <col min="11011" max="11012" width="9.3984375" style="1558" customWidth="1"/>
    <col min="11013" max="11013" width="10.19921875" style="1558" customWidth="1"/>
    <col min="11014" max="11014" width="23.5" style="1558" customWidth="1"/>
    <col min="11015" max="11016" width="9" style="1558"/>
    <col min="11017" max="11017" width="42" style="1558" customWidth="1"/>
    <col min="11018" max="11264" width="9" style="1558"/>
    <col min="11265" max="11265" width="5.19921875" style="1558" customWidth="1"/>
    <col min="11266" max="11266" width="46.5" style="1558" customWidth="1"/>
    <col min="11267" max="11268" width="9.3984375" style="1558" customWidth="1"/>
    <col min="11269" max="11269" width="10.19921875" style="1558" customWidth="1"/>
    <col min="11270" max="11270" width="23.5" style="1558" customWidth="1"/>
    <col min="11271" max="11272" width="9" style="1558"/>
    <col min="11273" max="11273" width="42" style="1558" customWidth="1"/>
    <col min="11274" max="11520" width="9" style="1558"/>
    <col min="11521" max="11521" width="5.19921875" style="1558" customWidth="1"/>
    <col min="11522" max="11522" width="46.5" style="1558" customWidth="1"/>
    <col min="11523" max="11524" width="9.3984375" style="1558" customWidth="1"/>
    <col min="11525" max="11525" width="10.19921875" style="1558" customWidth="1"/>
    <col min="11526" max="11526" width="23.5" style="1558" customWidth="1"/>
    <col min="11527" max="11528" width="9" style="1558"/>
    <col min="11529" max="11529" width="42" style="1558" customWidth="1"/>
    <col min="11530" max="11776" width="9" style="1558"/>
    <col min="11777" max="11777" width="5.19921875" style="1558" customWidth="1"/>
    <col min="11778" max="11778" width="46.5" style="1558" customWidth="1"/>
    <col min="11779" max="11780" width="9.3984375" style="1558" customWidth="1"/>
    <col min="11781" max="11781" width="10.19921875" style="1558" customWidth="1"/>
    <col min="11782" max="11782" width="23.5" style="1558" customWidth="1"/>
    <col min="11783" max="11784" width="9" style="1558"/>
    <col min="11785" max="11785" width="42" style="1558" customWidth="1"/>
    <col min="11786" max="12032" width="9" style="1558"/>
    <col min="12033" max="12033" width="5.19921875" style="1558" customWidth="1"/>
    <col min="12034" max="12034" width="46.5" style="1558" customWidth="1"/>
    <col min="12035" max="12036" width="9.3984375" style="1558" customWidth="1"/>
    <col min="12037" max="12037" width="10.19921875" style="1558" customWidth="1"/>
    <col min="12038" max="12038" width="23.5" style="1558" customWidth="1"/>
    <col min="12039" max="12040" width="9" style="1558"/>
    <col min="12041" max="12041" width="42" style="1558" customWidth="1"/>
    <col min="12042" max="12288" width="9" style="1558"/>
    <col min="12289" max="12289" width="5.19921875" style="1558" customWidth="1"/>
    <col min="12290" max="12290" width="46.5" style="1558" customWidth="1"/>
    <col min="12291" max="12292" width="9.3984375" style="1558" customWidth="1"/>
    <col min="12293" max="12293" width="10.19921875" style="1558" customWidth="1"/>
    <col min="12294" max="12294" width="23.5" style="1558" customWidth="1"/>
    <col min="12295" max="12296" width="9" style="1558"/>
    <col min="12297" max="12297" width="42" style="1558" customWidth="1"/>
    <col min="12298" max="12544" width="9" style="1558"/>
    <col min="12545" max="12545" width="5.19921875" style="1558" customWidth="1"/>
    <col min="12546" max="12546" width="46.5" style="1558" customWidth="1"/>
    <col min="12547" max="12548" width="9.3984375" style="1558" customWidth="1"/>
    <col min="12549" max="12549" width="10.19921875" style="1558" customWidth="1"/>
    <col min="12550" max="12550" width="23.5" style="1558" customWidth="1"/>
    <col min="12551" max="12552" width="9" style="1558"/>
    <col min="12553" max="12553" width="42" style="1558" customWidth="1"/>
    <col min="12554" max="12800" width="9" style="1558"/>
    <col min="12801" max="12801" width="5.19921875" style="1558" customWidth="1"/>
    <col min="12802" max="12802" width="46.5" style="1558" customWidth="1"/>
    <col min="12803" max="12804" width="9.3984375" style="1558" customWidth="1"/>
    <col min="12805" max="12805" width="10.19921875" style="1558" customWidth="1"/>
    <col min="12806" max="12806" width="23.5" style="1558" customWidth="1"/>
    <col min="12807" max="12808" width="9" style="1558"/>
    <col min="12809" max="12809" width="42" style="1558" customWidth="1"/>
    <col min="12810" max="13056" width="9" style="1558"/>
    <col min="13057" max="13057" width="5.19921875" style="1558" customWidth="1"/>
    <col min="13058" max="13058" width="46.5" style="1558" customWidth="1"/>
    <col min="13059" max="13060" width="9.3984375" style="1558" customWidth="1"/>
    <col min="13061" max="13061" width="10.19921875" style="1558" customWidth="1"/>
    <col min="13062" max="13062" width="23.5" style="1558" customWidth="1"/>
    <col min="13063" max="13064" width="9" style="1558"/>
    <col min="13065" max="13065" width="42" style="1558" customWidth="1"/>
    <col min="13066" max="13312" width="9" style="1558"/>
    <col min="13313" max="13313" width="5.19921875" style="1558" customWidth="1"/>
    <col min="13314" max="13314" width="46.5" style="1558" customWidth="1"/>
    <col min="13315" max="13316" width="9.3984375" style="1558" customWidth="1"/>
    <col min="13317" max="13317" width="10.19921875" style="1558" customWidth="1"/>
    <col min="13318" max="13318" width="23.5" style="1558" customWidth="1"/>
    <col min="13319" max="13320" width="9" style="1558"/>
    <col min="13321" max="13321" width="42" style="1558" customWidth="1"/>
    <col min="13322" max="13568" width="9" style="1558"/>
    <col min="13569" max="13569" width="5.19921875" style="1558" customWidth="1"/>
    <col min="13570" max="13570" width="46.5" style="1558" customWidth="1"/>
    <col min="13571" max="13572" width="9.3984375" style="1558" customWidth="1"/>
    <col min="13573" max="13573" width="10.19921875" style="1558" customWidth="1"/>
    <col min="13574" max="13574" width="23.5" style="1558" customWidth="1"/>
    <col min="13575" max="13576" width="9" style="1558"/>
    <col min="13577" max="13577" width="42" style="1558" customWidth="1"/>
    <col min="13578" max="13824" width="9" style="1558"/>
    <col min="13825" max="13825" width="5.19921875" style="1558" customWidth="1"/>
    <col min="13826" max="13826" width="46.5" style="1558" customWidth="1"/>
    <col min="13827" max="13828" width="9.3984375" style="1558" customWidth="1"/>
    <col min="13829" max="13829" width="10.19921875" style="1558" customWidth="1"/>
    <col min="13830" max="13830" width="23.5" style="1558" customWidth="1"/>
    <col min="13831" max="13832" width="9" style="1558"/>
    <col min="13833" max="13833" width="42" style="1558" customWidth="1"/>
    <col min="13834" max="14080" width="9" style="1558"/>
    <col min="14081" max="14081" width="5.19921875" style="1558" customWidth="1"/>
    <col min="14082" max="14082" width="46.5" style="1558" customWidth="1"/>
    <col min="14083" max="14084" width="9.3984375" style="1558" customWidth="1"/>
    <col min="14085" max="14085" width="10.19921875" style="1558" customWidth="1"/>
    <col min="14086" max="14086" width="23.5" style="1558" customWidth="1"/>
    <col min="14087" max="14088" width="9" style="1558"/>
    <col min="14089" max="14089" width="42" style="1558" customWidth="1"/>
    <col min="14090" max="14336" width="9" style="1558"/>
    <col min="14337" max="14337" width="5.19921875" style="1558" customWidth="1"/>
    <col min="14338" max="14338" width="46.5" style="1558" customWidth="1"/>
    <col min="14339" max="14340" width="9.3984375" style="1558" customWidth="1"/>
    <col min="14341" max="14341" width="10.19921875" style="1558" customWidth="1"/>
    <col min="14342" max="14342" width="23.5" style="1558" customWidth="1"/>
    <col min="14343" max="14344" width="9" style="1558"/>
    <col min="14345" max="14345" width="42" style="1558" customWidth="1"/>
    <col min="14346" max="14592" width="9" style="1558"/>
    <col min="14593" max="14593" width="5.19921875" style="1558" customWidth="1"/>
    <col min="14594" max="14594" width="46.5" style="1558" customWidth="1"/>
    <col min="14595" max="14596" width="9.3984375" style="1558" customWidth="1"/>
    <col min="14597" max="14597" width="10.19921875" style="1558" customWidth="1"/>
    <col min="14598" max="14598" width="23.5" style="1558" customWidth="1"/>
    <col min="14599" max="14600" width="9" style="1558"/>
    <col min="14601" max="14601" width="42" style="1558" customWidth="1"/>
    <col min="14602" max="14848" width="9" style="1558"/>
    <col min="14849" max="14849" width="5.19921875" style="1558" customWidth="1"/>
    <col min="14850" max="14850" width="46.5" style="1558" customWidth="1"/>
    <col min="14851" max="14852" width="9.3984375" style="1558" customWidth="1"/>
    <col min="14853" max="14853" width="10.19921875" style="1558" customWidth="1"/>
    <col min="14854" max="14854" width="23.5" style="1558" customWidth="1"/>
    <col min="14855" max="14856" width="9" style="1558"/>
    <col min="14857" max="14857" width="42" style="1558" customWidth="1"/>
    <col min="14858" max="15104" width="9" style="1558"/>
    <col min="15105" max="15105" width="5.19921875" style="1558" customWidth="1"/>
    <col min="15106" max="15106" width="46.5" style="1558" customWidth="1"/>
    <col min="15107" max="15108" width="9.3984375" style="1558" customWidth="1"/>
    <col min="15109" max="15109" width="10.19921875" style="1558" customWidth="1"/>
    <col min="15110" max="15110" width="23.5" style="1558" customWidth="1"/>
    <col min="15111" max="15112" width="9" style="1558"/>
    <col min="15113" max="15113" width="42" style="1558" customWidth="1"/>
    <col min="15114" max="15360" width="9" style="1558"/>
    <col min="15361" max="15361" width="5.19921875" style="1558" customWidth="1"/>
    <col min="15362" max="15362" width="46.5" style="1558" customWidth="1"/>
    <col min="15363" max="15364" width="9.3984375" style="1558" customWidth="1"/>
    <col min="15365" max="15365" width="10.19921875" style="1558" customWidth="1"/>
    <col min="15366" max="15366" width="23.5" style="1558" customWidth="1"/>
    <col min="15367" max="15368" width="9" style="1558"/>
    <col min="15369" max="15369" width="42" style="1558" customWidth="1"/>
    <col min="15370" max="15616" width="9" style="1558"/>
    <col min="15617" max="15617" width="5.19921875" style="1558" customWidth="1"/>
    <col min="15618" max="15618" width="46.5" style="1558" customWidth="1"/>
    <col min="15619" max="15620" width="9.3984375" style="1558" customWidth="1"/>
    <col min="15621" max="15621" width="10.19921875" style="1558" customWidth="1"/>
    <col min="15622" max="15622" width="23.5" style="1558" customWidth="1"/>
    <col min="15623" max="15624" width="9" style="1558"/>
    <col min="15625" max="15625" width="42" style="1558" customWidth="1"/>
    <col min="15626" max="15872" width="9" style="1558"/>
    <col min="15873" max="15873" width="5.19921875" style="1558" customWidth="1"/>
    <col min="15874" max="15874" width="46.5" style="1558" customWidth="1"/>
    <col min="15875" max="15876" width="9.3984375" style="1558" customWidth="1"/>
    <col min="15877" max="15877" width="10.19921875" style="1558" customWidth="1"/>
    <col min="15878" max="15878" width="23.5" style="1558" customWidth="1"/>
    <col min="15879" max="15880" width="9" style="1558"/>
    <col min="15881" max="15881" width="42" style="1558" customWidth="1"/>
    <col min="15882" max="16128" width="9" style="1558"/>
    <col min="16129" max="16129" width="5.19921875" style="1558" customWidth="1"/>
    <col min="16130" max="16130" width="46.5" style="1558" customWidth="1"/>
    <col min="16131" max="16132" width="9.3984375" style="1558" customWidth="1"/>
    <col min="16133" max="16133" width="10.19921875" style="1558" customWidth="1"/>
    <col min="16134" max="16134" width="23.5" style="1558" customWidth="1"/>
    <col min="16135" max="16136" width="9" style="1558"/>
    <col min="16137" max="16137" width="42" style="1558" customWidth="1"/>
    <col min="16138" max="16384" width="9" style="1558"/>
  </cols>
  <sheetData>
    <row r="1" spans="1:9" s="1566" customFormat="1" ht="20.100000000000001" customHeight="1">
      <c r="A1" s="3460" t="s">
        <v>5356</v>
      </c>
      <c r="B1" s="3460"/>
      <c r="C1" s="3460"/>
      <c r="D1" s="3460"/>
      <c r="E1" s="3460"/>
      <c r="F1" s="2014"/>
    </row>
    <row r="2" spans="1:9" s="1567" customFormat="1" ht="25.5" customHeight="1">
      <c r="A2" s="3401" t="s">
        <v>5357</v>
      </c>
      <c r="B2" s="3401"/>
      <c r="C2" s="3401"/>
      <c r="D2" s="3401"/>
      <c r="E2" s="3461"/>
      <c r="F2" s="1933"/>
    </row>
    <row r="3" spans="1:9" s="1560" customFormat="1" ht="14.25" customHeight="1">
      <c r="A3" s="3399" t="s">
        <v>1853</v>
      </c>
      <c r="B3" s="3399" t="s">
        <v>5358</v>
      </c>
      <c r="C3" s="1844" t="s">
        <v>1850</v>
      </c>
      <c r="D3" s="1844" t="s">
        <v>1851</v>
      </c>
      <c r="E3" s="1840" t="s">
        <v>5150</v>
      </c>
      <c r="F3" s="3399" t="s">
        <v>5151</v>
      </c>
    </row>
    <row r="4" spans="1:9" s="1560" customFormat="1" ht="14.25" customHeight="1">
      <c r="A4" s="3399"/>
      <c r="B4" s="3399"/>
      <c r="C4" s="1840">
        <v>1</v>
      </c>
      <c r="D4" s="1840" t="s">
        <v>5359</v>
      </c>
      <c r="E4" s="1823" t="s">
        <v>5360</v>
      </c>
      <c r="F4" s="3399"/>
    </row>
    <row r="5" spans="1:9" s="1560" customFormat="1" ht="14.25" customHeight="1">
      <c r="A5" s="1824">
        <v>1</v>
      </c>
      <c r="B5" s="1819" t="s">
        <v>5361</v>
      </c>
      <c r="C5" s="2072">
        <f>资产损失税前扣除审核表!C5</f>
        <v>0</v>
      </c>
      <c r="D5" s="2072">
        <f>资产损失税前扣除审核表!D5</f>
        <v>0</v>
      </c>
      <c r="E5" s="2072">
        <f>资产损失税前扣除审核表!E5</f>
        <v>0</v>
      </c>
      <c r="F5" s="1971"/>
    </row>
    <row r="6" spans="1:9" s="1560" customFormat="1" ht="26.25" customHeight="1">
      <c r="A6" s="1825">
        <v>2</v>
      </c>
      <c r="B6" s="1813" t="s">
        <v>5362</v>
      </c>
      <c r="C6" s="2072">
        <f>资产损失税前扣除审核表!C6</f>
        <v>0</v>
      </c>
      <c r="D6" s="2072">
        <f>资产损失税前扣除审核表!D6</f>
        <v>0</v>
      </c>
      <c r="E6" s="2072">
        <f>资产损失税前扣除审核表!E6</f>
        <v>0</v>
      </c>
      <c r="F6" s="1971"/>
      <c r="I6" s="1568" t="s">
        <v>5363</v>
      </c>
    </row>
    <row r="7" spans="1:9" s="1560" customFormat="1" ht="14.25" customHeight="1">
      <c r="A7" s="1824">
        <v>3</v>
      </c>
      <c r="B7" s="1819" t="s">
        <v>5364</v>
      </c>
      <c r="C7" s="2072">
        <f>资产损失税前扣除审核表!C7</f>
        <v>0</v>
      </c>
      <c r="D7" s="2072">
        <f>资产损失税前扣除审核表!D7</f>
        <v>0</v>
      </c>
      <c r="E7" s="2072">
        <f>资产损失税前扣除审核表!E7</f>
        <v>0</v>
      </c>
      <c r="F7" s="1972"/>
    </row>
    <row r="8" spans="1:9" s="1560" customFormat="1" ht="14.25" customHeight="1">
      <c r="A8" s="1824">
        <v>4</v>
      </c>
      <c r="B8" s="1819" t="s">
        <v>5365</v>
      </c>
      <c r="C8" s="2072">
        <f>资产损失税前扣除审核表!C8</f>
        <v>0</v>
      </c>
      <c r="D8" s="2072">
        <f>资产损失税前扣除审核表!D8</f>
        <v>0</v>
      </c>
      <c r="E8" s="2072">
        <f>资产损失税前扣除审核表!E8</f>
        <v>0</v>
      </c>
      <c r="F8" s="1971"/>
    </row>
    <row r="9" spans="1:9" s="1560" customFormat="1" ht="27" customHeight="1">
      <c r="A9" s="1825">
        <v>5</v>
      </c>
      <c r="B9" s="1813" t="s">
        <v>5366</v>
      </c>
      <c r="C9" s="2072">
        <f>资产损失税前扣除审核表!C9</f>
        <v>0</v>
      </c>
      <c r="D9" s="2072">
        <f>资产损失税前扣除审核表!D9</f>
        <v>0</v>
      </c>
      <c r="E9" s="2072">
        <f>资产损失税前扣除审核表!E9</f>
        <v>0</v>
      </c>
      <c r="F9" s="1971"/>
    </row>
    <row r="10" spans="1:9" s="1560" customFormat="1" ht="27" customHeight="1">
      <c r="A10" s="1825">
        <v>6</v>
      </c>
      <c r="B10" s="1813" t="s">
        <v>5367</v>
      </c>
      <c r="C10" s="2072">
        <f>资产损失税前扣除审核表!C10</f>
        <v>0</v>
      </c>
      <c r="D10" s="2072">
        <f>资产损失税前扣除审核表!D10</f>
        <v>0</v>
      </c>
      <c r="E10" s="2072">
        <f>资产损失税前扣除审核表!E10</f>
        <v>0</v>
      </c>
      <c r="F10" s="1971"/>
      <c r="G10" s="1675" t="s">
        <v>6445</v>
      </c>
    </row>
    <row r="11" spans="1:9" s="1560" customFormat="1" ht="14.25" customHeight="1">
      <c r="A11" s="1824">
        <v>7</v>
      </c>
      <c r="B11" s="1819" t="s">
        <v>5368</v>
      </c>
      <c r="C11" s="2072">
        <f>资产损失税前扣除审核表!C11</f>
        <v>0</v>
      </c>
      <c r="D11" s="2072">
        <f>资产损失税前扣除审核表!D11</f>
        <v>0</v>
      </c>
      <c r="E11" s="2072">
        <f>资产损失税前扣除审核表!E11</f>
        <v>0</v>
      </c>
      <c r="F11" s="1971"/>
    </row>
    <row r="12" spans="1:9" s="1560" customFormat="1" ht="14.25" customHeight="1">
      <c r="A12" s="1824">
        <v>8</v>
      </c>
      <c r="B12" s="1819" t="s">
        <v>5369</v>
      </c>
      <c r="C12" s="2072">
        <f>资产损失税前扣除审核表!C12</f>
        <v>0</v>
      </c>
      <c r="D12" s="2072">
        <f>资产损失税前扣除审核表!D12</f>
        <v>0</v>
      </c>
      <c r="E12" s="2072">
        <f>资产损失税前扣除审核表!E12</f>
        <v>0</v>
      </c>
      <c r="F12" s="1971"/>
      <c r="G12" s="1769" t="s">
        <v>6447</v>
      </c>
    </row>
    <row r="13" spans="1:9" s="1560" customFormat="1" ht="89.25" customHeight="1">
      <c r="A13" s="1824">
        <v>9</v>
      </c>
      <c r="B13" s="1819" t="s">
        <v>5370</v>
      </c>
      <c r="C13" s="2072">
        <f>资产损失税前扣除审核表!C13</f>
        <v>0</v>
      </c>
      <c r="D13" s="2072">
        <f>资产损失税前扣除审核表!D13</f>
        <v>0</v>
      </c>
      <c r="E13" s="2072">
        <f>资产损失税前扣除审核表!E13</f>
        <v>0</v>
      </c>
      <c r="F13" s="1973" t="s">
        <v>5371</v>
      </c>
      <c r="I13" s="1568"/>
    </row>
    <row r="14" spans="1:9" s="1560" customFormat="1" ht="93" customHeight="1">
      <c r="A14" s="1844">
        <v>10</v>
      </c>
      <c r="B14" s="1818" t="s">
        <v>5372</v>
      </c>
      <c r="C14" s="2072">
        <f>资产损失税前扣除审核表!C14</f>
        <v>0</v>
      </c>
      <c r="D14" s="2072">
        <f>资产损失税前扣除审核表!D14</f>
        <v>0</v>
      </c>
      <c r="E14" s="2072">
        <f>资产损失税前扣除审核表!E14</f>
        <v>0</v>
      </c>
      <c r="F14" s="1973" t="s">
        <v>5373</v>
      </c>
      <c r="I14" s="1568"/>
    </row>
    <row r="15" spans="1:9" s="1560" customFormat="1" ht="82.5" customHeight="1">
      <c r="A15" s="1844">
        <v>11</v>
      </c>
      <c r="B15" s="1809" t="s">
        <v>5374</v>
      </c>
      <c r="C15" s="2072">
        <f>资产损失税前扣除审核表!C15</f>
        <v>0</v>
      </c>
      <c r="D15" s="2072">
        <f>资产损失税前扣除审核表!D15</f>
        <v>0</v>
      </c>
      <c r="E15" s="2072">
        <f>资产损失税前扣除审核表!E15</f>
        <v>0</v>
      </c>
      <c r="F15" s="1973" t="s">
        <v>5375</v>
      </c>
      <c r="I15" s="1568"/>
    </row>
    <row r="16" spans="1:9" s="1560" customFormat="1" ht="87.75" customHeight="1">
      <c r="A16" s="1844">
        <v>12</v>
      </c>
      <c r="B16" s="1818" t="s">
        <v>5376</v>
      </c>
      <c r="C16" s="2072">
        <f>资产损失税前扣除审核表!C16</f>
        <v>0</v>
      </c>
      <c r="D16" s="2072">
        <f>资产损失税前扣除审核表!D16</f>
        <v>0</v>
      </c>
      <c r="E16" s="2072">
        <f>资产损失税前扣除审核表!E16</f>
        <v>0</v>
      </c>
      <c r="F16" s="1973" t="s">
        <v>5377</v>
      </c>
      <c r="I16" s="1568"/>
    </row>
    <row r="17" spans="1:9" s="1560" customFormat="1" ht="87" customHeight="1">
      <c r="A17" s="1844">
        <v>13</v>
      </c>
      <c r="B17" s="1818" t="s">
        <v>5378</v>
      </c>
      <c r="C17" s="2072">
        <f>资产损失税前扣除审核表!C17</f>
        <v>0</v>
      </c>
      <c r="D17" s="2072">
        <f>资产损失税前扣除审核表!D17</f>
        <v>0</v>
      </c>
      <c r="E17" s="2072">
        <f>资产损失税前扣除审核表!E17</f>
        <v>0</v>
      </c>
      <c r="F17" s="1973" t="s">
        <v>5379</v>
      </c>
      <c r="I17" s="1568"/>
    </row>
    <row r="18" spans="1:9" s="1560" customFormat="1" ht="110.25" customHeight="1">
      <c r="A18" s="1824">
        <v>14</v>
      </c>
      <c r="B18" s="1818" t="s">
        <v>5380</v>
      </c>
      <c r="C18" s="2072">
        <f>资产损失税前扣除审核表!C18</f>
        <v>0</v>
      </c>
      <c r="D18" s="2072">
        <f>资产损失税前扣除审核表!D18</f>
        <v>0</v>
      </c>
      <c r="E18" s="2072">
        <f>资产损失税前扣除审核表!E18</f>
        <v>0</v>
      </c>
      <c r="F18" s="1973" t="s">
        <v>5381</v>
      </c>
      <c r="I18" s="1568"/>
    </row>
  </sheetData>
  <mergeCells count="5">
    <mergeCell ref="A1:E1"/>
    <mergeCell ref="A2:E2"/>
    <mergeCell ref="A3:A4"/>
    <mergeCell ref="B3:B4"/>
    <mergeCell ref="F3:F4"/>
  </mergeCells>
  <phoneticPr fontId="51" type="noConversion"/>
  <hyperlinks>
    <hyperlink ref="G10" location="资产损失税前扣除审核表!A1" display="资产损失税前扣除审核表!A1"/>
    <hyperlink ref="G12" location="'资产损失（专项申报）税前扣除审核表'!A1" display="'资产损失（专项申报）税前扣除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rgb="FFFFFF00"/>
  </sheetPr>
  <dimension ref="A1:J25"/>
  <sheetViews>
    <sheetView workbookViewId="0">
      <selection activeCell="B3" sqref="B3:B4"/>
    </sheetView>
  </sheetViews>
  <sheetFormatPr defaultRowHeight="15.6"/>
  <cols>
    <col min="1" max="1" width="5.19921875" style="1570" customWidth="1"/>
    <col min="2" max="2" width="24.5" style="1576" customWidth="1"/>
    <col min="3" max="3" width="11.09765625" style="1570" customWidth="1"/>
    <col min="4" max="4" width="11" style="1570" customWidth="1"/>
    <col min="5" max="6" width="10.59765625" style="1570" customWidth="1"/>
    <col min="7" max="7" width="10.5" style="1570" customWidth="1"/>
    <col min="8" max="8" width="12.3984375" style="1570" customWidth="1"/>
    <col min="9" max="9" width="23.8984375" style="1570" customWidth="1"/>
    <col min="10" max="10" width="46.8984375" style="1570" customWidth="1"/>
    <col min="11" max="256" width="9" style="1570"/>
    <col min="257" max="257" width="5.19921875" style="1570" customWidth="1"/>
    <col min="258" max="258" width="24.5" style="1570" customWidth="1"/>
    <col min="259" max="259" width="11.09765625" style="1570" customWidth="1"/>
    <col min="260" max="260" width="11" style="1570" customWidth="1"/>
    <col min="261" max="262" width="10.59765625" style="1570" customWidth="1"/>
    <col min="263" max="263" width="10.5" style="1570" customWidth="1"/>
    <col min="264" max="264" width="12.3984375" style="1570" customWidth="1"/>
    <col min="265" max="265" width="23.8984375" style="1570" customWidth="1"/>
    <col min="266" max="266" width="46.8984375" style="1570" customWidth="1"/>
    <col min="267" max="512" width="9" style="1570"/>
    <col min="513" max="513" width="5.19921875" style="1570" customWidth="1"/>
    <col min="514" max="514" width="24.5" style="1570" customWidth="1"/>
    <col min="515" max="515" width="11.09765625" style="1570" customWidth="1"/>
    <col min="516" max="516" width="11" style="1570" customWidth="1"/>
    <col min="517" max="518" width="10.59765625" style="1570" customWidth="1"/>
    <col min="519" max="519" width="10.5" style="1570" customWidth="1"/>
    <col min="520" max="520" width="12.3984375" style="1570" customWidth="1"/>
    <col min="521" max="521" width="23.8984375" style="1570" customWidth="1"/>
    <col min="522" max="522" width="46.8984375" style="1570" customWidth="1"/>
    <col min="523" max="768" width="9" style="1570"/>
    <col min="769" max="769" width="5.19921875" style="1570" customWidth="1"/>
    <col min="770" max="770" width="24.5" style="1570" customWidth="1"/>
    <col min="771" max="771" width="11.09765625" style="1570" customWidth="1"/>
    <col min="772" max="772" width="11" style="1570" customWidth="1"/>
    <col min="773" max="774" width="10.59765625" style="1570" customWidth="1"/>
    <col min="775" max="775" width="10.5" style="1570" customWidth="1"/>
    <col min="776" max="776" width="12.3984375" style="1570" customWidth="1"/>
    <col min="777" max="777" width="23.8984375" style="1570" customWidth="1"/>
    <col min="778" max="778" width="46.8984375" style="1570" customWidth="1"/>
    <col min="779" max="1024" width="9" style="1570"/>
    <col min="1025" max="1025" width="5.19921875" style="1570" customWidth="1"/>
    <col min="1026" max="1026" width="24.5" style="1570" customWidth="1"/>
    <col min="1027" max="1027" width="11.09765625" style="1570" customWidth="1"/>
    <col min="1028" max="1028" width="11" style="1570" customWidth="1"/>
    <col min="1029" max="1030" width="10.59765625" style="1570" customWidth="1"/>
    <col min="1031" max="1031" width="10.5" style="1570" customWidth="1"/>
    <col min="1032" max="1032" width="12.3984375" style="1570" customWidth="1"/>
    <col min="1033" max="1033" width="23.8984375" style="1570" customWidth="1"/>
    <col min="1034" max="1034" width="46.8984375" style="1570" customWidth="1"/>
    <col min="1035" max="1280" width="9" style="1570"/>
    <col min="1281" max="1281" width="5.19921875" style="1570" customWidth="1"/>
    <col min="1282" max="1282" width="24.5" style="1570" customWidth="1"/>
    <col min="1283" max="1283" width="11.09765625" style="1570" customWidth="1"/>
    <col min="1284" max="1284" width="11" style="1570" customWidth="1"/>
    <col min="1285" max="1286" width="10.59765625" style="1570" customWidth="1"/>
    <col min="1287" max="1287" width="10.5" style="1570" customWidth="1"/>
    <col min="1288" max="1288" width="12.3984375" style="1570" customWidth="1"/>
    <col min="1289" max="1289" width="23.8984375" style="1570" customWidth="1"/>
    <col min="1290" max="1290" width="46.8984375" style="1570" customWidth="1"/>
    <col min="1291" max="1536" width="9" style="1570"/>
    <col min="1537" max="1537" width="5.19921875" style="1570" customWidth="1"/>
    <col min="1538" max="1538" width="24.5" style="1570" customWidth="1"/>
    <col min="1539" max="1539" width="11.09765625" style="1570" customWidth="1"/>
    <col min="1540" max="1540" width="11" style="1570" customWidth="1"/>
    <col min="1541" max="1542" width="10.59765625" style="1570" customWidth="1"/>
    <col min="1543" max="1543" width="10.5" style="1570" customWidth="1"/>
    <col min="1544" max="1544" width="12.3984375" style="1570" customWidth="1"/>
    <col min="1545" max="1545" width="23.8984375" style="1570" customWidth="1"/>
    <col min="1546" max="1546" width="46.8984375" style="1570" customWidth="1"/>
    <col min="1547" max="1792" width="9" style="1570"/>
    <col min="1793" max="1793" width="5.19921875" style="1570" customWidth="1"/>
    <col min="1794" max="1794" width="24.5" style="1570" customWidth="1"/>
    <col min="1795" max="1795" width="11.09765625" style="1570" customWidth="1"/>
    <col min="1796" max="1796" width="11" style="1570" customWidth="1"/>
    <col min="1797" max="1798" width="10.59765625" style="1570" customWidth="1"/>
    <col min="1799" max="1799" width="10.5" style="1570" customWidth="1"/>
    <col min="1800" max="1800" width="12.3984375" style="1570" customWidth="1"/>
    <col min="1801" max="1801" width="23.8984375" style="1570" customWidth="1"/>
    <col min="1802" max="1802" width="46.8984375" style="1570" customWidth="1"/>
    <col min="1803" max="2048" width="9" style="1570"/>
    <col min="2049" max="2049" width="5.19921875" style="1570" customWidth="1"/>
    <col min="2050" max="2050" width="24.5" style="1570" customWidth="1"/>
    <col min="2051" max="2051" width="11.09765625" style="1570" customWidth="1"/>
    <col min="2052" max="2052" width="11" style="1570" customWidth="1"/>
    <col min="2053" max="2054" width="10.59765625" style="1570" customWidth="1"/>
    <col min="2055" max="2055" width="10.5" style="1570" customWidth="1"/>
    <col min="2056" max="2056" width="12.3984375" style="1570" customWidth="1"/>
    <col min="2057" max="2057" width="23.8984375" style="1570" customWidth="1"/>
    <col min="2058" max="2058" width="46.8984375" style="1570" customWidth="1"/>
    <col min="2059" max="2304" width="9" style="1570"/>
    <col min="2305" max="2305" width="5.19921875" style="1570" customWidth="1"/>
    <col min="2306" max="2306" width="24.5" style="1570" customWidth="1"/>
    <col min="2307" max="2307" width="11.09765625" style="1570" customWidth="1"/>
    <col min="2308" max="2308" width="11" style="1570" customWidth="1"/>
    <col min="2309" max="2310" width="10.59765625" style="1570" customWidth="1"/>
    <col min="2311" max="2311" width="10.5" style="1570" customWidth="1"/>
    <col min="2312" max="2312" width="12.3984375" style="1570" customWidth="1"/>
    <col min="2313" max="2313" width="23.8984375" style="1570" customWidth="1"/>
    <col min="2314" max="2314" width="46.8984375" style="1570" customWidth="1"/>
    <col min="2315" max="2560" width="9" style="1570"/>
    <col min="2561" max="2561" width="5.19921875" style="1570" customWidth="1"/>
    <col min="2562" max="2562" width="24.5" style="1570" customWidth="1"/>
    <col min="2563" max="2563" width="11.09765625" style="1570" customWidth="1"/>
    <col min="2564" max="2564" width="11" style="1570" customWidth="1"/>
    <col min="2565" max="2566" width="10.59765625" style="1570" customWidth="1"/>
    <col min="2567" max="2567" width="10.5" style="1570" customWidth="1"/>
    <col min="2568" max="2568" width="12.3984375" style="1570" customWidth="1"/>
    <col min="2569" max="2569" width="23.8984375" style="1570" customWidth="1"/>
    <col min="2570" max="2570" width="46.8984375" style="1570" customWidth="1"/>
    <col min="2571" max="2816" width="9" style="1570"/>
    <col min="2817" max="2817" width="5.19921875" style="1570" customWidth="1"/>
    <col min="2818" max="2818" width="24.5" style="1570" customWidth="1"/>
    <col min="2819" max="2819" width="11.09765625" style="1570" customWidth="1"/>
    <col min="2820" max="2820" width="11" style="1570" customWidth="1"/>
    <col min="2821" max="2822" width="10.59765625" style="1570" customWidth="1"/>
    <col min="2823" max="2823" width="10.5" style="1570" customWidth="1"/>
    <col min="2824" max="2824" width="12.3984375" style="1570" customWidth="1"/>
    <col min="2825" max="2825" width="23.8984375" style="1570" customWidth="1"/>
    <col min="2826" max="2826" width="46.8984375" style="1570" customWidth="1"/>
    <col min="2827" max="3072" width="9" style="1570"/>
    <col min="3073" max="3073" width="5.19921875" style="1570" customWidth="1"/>
    <col min="3074" max="3074" width="24.5" style="1570" customWidth="1"/>
    <col min="3075" max="3075" width="11.09765625" style="1570" customWidth="1"/>
    <col min="3076" max="3076" width="11" style="1570" customWidth="1"/>
    <col min="3077" max="3078" width="10.59765625" style="1570" customWidth="1"/>
    <col min="3079" max="3079" width="10.5" style="1570" customWidth="1"/>
    <col min="3080" max="3080" width="12.3984375" style="1570" customWidth="1"/>
    <col min="3081" max="3081" width="23.8984375" style="1570" customWidth="1"/>
    <col min="3082" max="3082" width="46.8984375" style="1570" customWidth="1"/>
    <col min="3083" max="3328" width="9" style="1570"/>
    <col min="3329" max="3329" width="5.19921875" style="1570" customWidth="1"/>
    <col min="3330" max="3330" width="24.5" style="1570" customWidth="1"/>
    <col min="3331" max="3331" width="11.09765625" style="1570" customWidth="1"/>
    <col min="3332" max="3332" width="11" style="1570" customWidth="1"/>
    <col min="3333" max="3334" width="10.59765625" style="1570" customWidth="1"/>
    <col min="3335" max="3335" width="10.5" style="1570" customWidth="1"/>
    <col min="3336" max="3336" width="12.3984375" style="1570" customWidth="1"/>
    <col min="3337" max="3337" width="23.8984375" style="1570" customWidth="1"/>
    <col min="3338" max="3338" width="46.8984375" style="1570" customWidth="1"/>
    <col min="3339" max="3584" width="9" style="1570"/>
    <col min="3585" max="3585" width="5.19921875" style="1570" customWidth="1"/>
    <col min="3586" max="3586" width="24.5" style="1570" customWidth="1"/>
    <col min="3587" max="3587" width="11.09765625" style="1570" customWidth="1"/>
    <col min="3588" max="3588" width="11" style="1570" customWidth="1"/>
    <col min="3589" max="3590" width="10.59765625" style="1570" customWidth="1"/>
    <col min="3591" max="3591" width="10.5" style="1570" customWidth="1"/>
    <col min="3592" max="3592" width="12.3984375" style="1570" customWidth="1"/>
    <col min="3593" max="3593" width="23.8984375" style="1570" customWidth="1"/>
    <col min="3594" max="3594" width="46.8984375" style="1570" customWidth="1"/>
    <col min="3595" max="3840" width="9" style="1570"/>
    <col min="3841" max="3841" width="5.19921875" style="1570" customWidth="1"/>
    <col min="3842" max="3842" width="24.5" style="1570" customWidth="1"/>
    <col min="3843" max="3843" width="11.09765625" style="1570" customWidth="1"/>
    <col min="3844" max="3844" width="11" style="1570" customWidth="1"/>
    <col min="3845" max="3846" width="10.59765625" style="1570" customWidth="1"/>
    <col min="3847" max="3847" width="10.5" style="1570" customWidth="1"/>
    <col min="3848" max="3848" width="12.3984375" style="1570" customWidth="1"/>
    <col min="3849" max="3849" width="23.8984375" style="1570" customWidth="1"/>
    <col min="3850" max="3850" width="46.8984375" style="1570" customWidth="1"/>
    <col min="3851" max="4096" width="9" style="1570"/>
    <col min="4097" max="4097" width="5.19921875" style="1570" customWidth="1"/>
    <col min="4098" max="4098" width="24.5" style="1570" customWidth="1"/>
    <col min="4099" max="4099" width="11.09765625" style="1570" customWidth="1"/>
    <col min="4100" max="4100" width="11" style="1570" customWidth="1"/>
    <col min="4101" max="4102" width="10.59765625" style="1570" customWidth="1"/>
    <col min="4103" max="4103" width="10.5" style="1570" customWidth="1"/>
    <col min="4104" max="4104" width="12.3984375" style="1570" customWidth="1"/>
    <col min="4105" max="4105" width="23.8984375" style="1570" customWidth="1"/>
    <col min="4106" max="4106" width="46.8984375" style="1570" customWidth="1"/>
    <col min="4107" max="4352" width="9" style="1570"/>
    <col min="4353" max="4353" width="5.19921875" style="1570" customWidth="1"/>
    <col min="4354" max="4354" width="24.5" style="1570" customWidth="1"/>
    <col min="4355" max="4355" width="11.09765625" style="1570" customWidth="1"/>
    <col min="4356" max="4356" width="11" style="1570" customWidth="1"/>
    <col min="4357" max="4358" width="10.59765625" style="1570" customWidth="1"/>
    <col min="4359" max="4359" width="10.5" style="1570" customWidth="1"/>
    <col min="4360" max="4360" width="12.3984375" style="1570" customWidth="1"/>
    <col min="4361" max="4361" width="23.8984375" style="1570" customWidth="1"/>
    <col min="4362" max="4362" width="46.8984375" style="1570" customWidth="1"/>
    <col min="4363" max="4608" width="9" style="1570"/>
    <col min="4609" max="4609" width="5.19921875" style="1570" customWidth="1"/>
    <col min="4610" max="4610" width="24.5" style="1570" customWidth="1"/>
    <col min="4611" max="4611" width="11.09765625" style="1570" customWidth="1"/>
    <col min="4612" max="4612" width="11" style="1570" customWidth="1"/>
    <col min="4613" max="4614" width="10.59765625" style="1570" customWidth="1"/>
    <col min="4615" max="4615" width="10.5" style="1570" customWidth="1"/>
    <col min="4616" max="4616" width="12.3984375" style="1570" customWidth="1"/>
    <col min="4617" max="4617" width="23.8984375" style="1570" customWidth="1"/>
    <col min="4618" max="4618" width="46.8984375" style="1570" customWidth="1"/>
    <col min="4619" max="4864" width="9" style="1570"/>
    <col min="4865" max="4865" width="5.19921875" style="1570" customWidth="1"/>
    <col min="4866" max="4866" width="24.5" style="1570" customWidth="1"/>
    <col min="4867" max="4867" width="11.09765625" style="1570" customWidth="1"/>
    <col min="4868" max="4868" width="11" style="1570" customWidth="1"/>
    <col min="4869" max="4870" width="10.59765625" style="1570" customWidth="1"/>
    <col min="4871" max="4871" width="10.5" style="1570" customWidth="1"/>
    <col min="4872" max="4872" width="12.3984375" style="1570" customWidth="1"/>
    <col min="4873" max="4873" width="23.8984375" style="1570" customWidth="1"/>
    <col min="4874" max="4874" width="46.8984375" style="1570" customWidth="1"/>
    <col min="4875" max="5120" width="9" style="1570"/>
    <col min="5121" max="5121" width="5.19921875" style="1570" customWidth="1"/>
    <col min="5122" max="5122" width="24.5" style="1570" customWidth="1"/>
    <col min="5123" max="5123" width="11.09765625" style="1570" customWidth="1"/>
    <col min="5124" max="5124" width="11" style="1570" customWidth="1"/>
    <col min="5125" max="5126" width="10.59765625" style="1570" customWidth="1"/>
    <col min="5127" max="5127" width="10.5" style="1570" customWidth="1"/>
    <col min="5128" max="5128" width="12.3984375" style="1570" customWidth="1"/>
    <col min="5129" max="5129" width="23.8984375" style="1570" customWidth="1"/>
    <col min="5130" max="5130" width="46.8984375" style="1570" customWidth="1"/>
    <col min="5131" max="5376" width="9" style="1570"/>
    <col min="5377" max="5377" width="5.19921875" style="1570" customWidth="1"/>
    <col min="5378" max="5378" width="24.5" style="1570" customWidth="1"/>
    <col min="5379" max="5379" width="11.09765625" style="1570" customWidth="1"/>
    <col min="5380" max="5380" width="11" style="1570" customWidth="1"/>
    <col min="5381" max="5382" width="10.59765625" style="1570" customWidth="1"/>
    <col min="5383" max="5383" width="10.5" style="1570" customWidth="1"/>
    <col min="5384" max="5384" width="12.3984375" style="1570" customWidth="1"/>
    <col min="5385" max="5385" width="23.8984375" style="1570" customWidth="1"/>
    <col min="5386" max="5386" width="46.8984375" style="1570" customWidth="1"/>
    <col min="5387" max="5632" width="9" style="1570"/>
    <col min="5633" max="5633" width="5.19921875" style="1570" customWidth="1"/>
    <col min="5634" max="5634" width="24.5" style="1570" customWidth="1"/>
    <col min="5635" max="5635" width="11.09765625" style="1570" customWidth="1"/>
    <col min="5636" max="5636" width="11" style="1570" customWidth="1"/>
    <col min="5637" max="5638" width="10.59765625" style="1570" customWidth="1"/>
    <col min="5639" max="5639" width="10.5" style="1570" customWidth="1"/>
    <col min="5640" max="5640" width="12.3984375" style="1570" customWidth="1"/>
    <col min="5641" max="5641" width="23.8984375" style="1570" customWidth="1"/>
    <col min="5642" max="5642" width="46.8984375" style="1570" customWidth="1"/>
    <col min="5643" max="5888" width="9" style="1570"/>
    <col min="5889" max="5889" width="5.19921875" style="1570" customWidth="1"/>
    <col min="5890" max="5890" width="24.5" style="1570" customWidth="1"/>
    <col min="5891" max="5891" width="11.09765625" style="1570" customWidth="1"/>
    <col min="5892" max="5892" width="11" style="1570" customWidth="1"/>
    <col min="5893" max="5894" width="10.59765625" style="1570" customWidth="1"/>
    <col min="5895" max="5895" width="10.5" style="1570" customWidth="1"/>
    <col min="5896" max="5896" width="12.3984375" style="1570" customWidth="1"/>
    <col min="5897" max="5897" width="23.8984375" style="1570" customWidth="1"/>
    <col min="5898" max="5898" width="46.8984375" style="1570" customWidth="1"/>
    <col min="5899" max="6144" width="9" style="1570"/>
    <col min="6145" max="6145" width="5.19921875" style="1570" customWidth="1"/>
    <col min="6146" max="6146" width="24.5" style="1570" customWidth="1"/>
    <col min="6147" max="6147" width="11.09765625" style="1570" customWidth="1"/>
    <col min="6148" max="6148" width="11" style="1570" customWidth="1"/>
    <col min="6149" max="6150" width="10.59765625" style="1570" customWidth="1"/>
    <col min="6151" max="6151" width="10.5" style="1570" customWidth="1"/>
    <col min="6152" max="6152" width="12.3984375" style="1570" customWidth="1"/>
    <col min="6153" max="6153" width="23.8984375" style="1570" customWidth="1"/>
    <col min="6154" max="6154" width="46.8984375" style="1570" customWidth="1"/>
    <col min="6155" max="6400" width="9" style="1570"/>
    <col min="6401" max="6401" width="5.19921875" style="1570" customWidth="1"/>
    <col min="6402" max="6402" width="24.5" style="1570" customWidth="1"/>
    <col min="6403" max="6403" width="11.09765625" style="1570" customWidth="1"/>
    <col min="6404" max="6404" width="11" style="1570" customWidth="1"/>
    <col min="6405" max="6406" width="10.59765625" style="1570" customWidth="1"/>
    <col min="6407" max="6407" width="10.5" style="1570" customWidth="1"/>
    <col min="6408" max="6408" width="12.3984375" style="1570" customWidth="1"/>
    <col min="6409" max="6409" width="23.8984375" style="1570" customWidth="1"/>
    <col min="6410" max="6410" width="46.8984375" style="1570" customWidth="1"/>
    <col min="6411" max="6656" width="9" style="1570"/>
    <col min="6657" max="6657" width="5.19921875" style="1570" customWidth="1"/>
    <col min="6658" max="6658" width="24.5" style="1570" customWidth="1"/>
    <col min="6659" max="6659" width="11.09765625" style="1570" customWidth="1"/>
    <col min="6660" max="6660" width="11" style="1570" customWidth="1"/>
    <col min="6661" max="6662" width="10.59765625" style="1570" customWidth="1"/>
    <col min="6663" max="6663" width="10.5" style="1570" customWidth="1"/>
    <col min="6664" max="6664" width="12.3984375" style="1570" customWidth="1"/>
    <col min="6665" max="6665" width="23.8984375" style="1570" customWidth="1"/>
    <col min="6666" max="6666" width="46.8984375" style="1570" customWidth="1"/>
    <col min="6667" max="6912" width="9" style="1570"/>
    <col min="6913" max="6913" width="5.19921875" style="1570" customWidth="1"/>
    <col min="6914" max="6914" width="24.5" style="1570" customWidth="1"/>
    <col min="6915" max="6915" width="11.09765625" style="1570" customWidth="1"/>
    <col min="6916" max="6916" width="11" style="1570" customWidth="1"/>
    <col min="6917" max="6918" width="10.59765625" style="1570" customWidth="1"/>
    <col min="6919" max="6919" width="10.5" style="1570" customWidth="1"/>
    <col min="6920" max="6920" width="12.3984375" style="1570" customWidth="1"/>
    <col min="6921" max="6921" width="23.8984375" style="1570" customWidth="1"/>
    <col min="6922" max="6922" width="46.8984375" style="1570" customWidth="1"/>
    <col min="6923" max="7168" width="9" style="1570"/>
    <col min="7169" max="7169" width="5.19921875" style="1570" customWidth="1"/>
    <col min="7170" max="7170" width="24.5" style="1570" customWidth="1"/>
    <col min="7171" max="7171" width="11.09765625" style="1570" customWidth="1"/>
    <col min="7172" max="7172" width="11" style="1570" customWidth="1"/>
    <col min="7173" max="7174" width="10.59765625" style="1570" customWidth="1"/>
    <col min="7175" max="7175" width="10.5" style="1570" customWidth="1"/>
    <col min="7176" max="7176" width="12.3984375" style="1570" customWidth="1"/>
    <col min="7177" max="7177" width="23.8984375" style="1570" customWidth="1"/>
    <col min="7178" max="7178" width="46.8984375" style="1570" customWidth="1"/>
    <col min="7179" max="7424" width="9" style="1570"/>
    <col min="7425" max="7425" width="5.19921875" style="1570" customWidth="1"/>
    <col min="7426" max="7426" width="24.5" style="1570" customWidth="1"/>
    <col min="7427" max="7427" width="11.09765625" style="1570" customWidth="1"/>
    <col min="7428" max="7428" width="11" style="1570" customWidth="1"/>
    <col min="7429" max="7430" width="10.59765625" style="1570" customWidth="1"/>
    <col min="7431" max="7431" width="10.5" style="1570" customWidth="1"/>
    <col min="7432" max="7432" width="12.3984375" style="1570" customWidth="1"/>
    <col min="7433" max="7433" width="23.8984375" style="1570" customWidth="1"/>
    <col min="7434" max="7434" width="46.8984375" style="1570" customWidth="1"/>
    <col min="7435" max="7680" width="9" style="1570"/>
    <col min="7681" max="7681" width="5.19921875" style="1570" customWidth="1"/>
    <col min="7682" max="7682" width="24.5" style="1570" customWidth="1"/>
    <col min="7683" max="7683" width="11.09765625" style="1570" customWidth="1"/>
    <col min="7684" max="7684" width="11" style="1570" customWidth="1"/>
    <col min="7685" max="7686" width="10.59765625" style="1570" customWidth="1"/>
    <col min="7687" max="7687" width="10.5" style="1570" customWidth="1"/>
    <col min="7688" max="7688" width="12.3984375" style="1570" customWidth="1"/>
    <col min="7689" max="7689" width="23.8984375" style="1570" customWidth="1"/>
    <col min="7690" max="7690" width="46.8984375" style="1570" customWidth="1"/>
    <col min="7691" max="7936" width="9" style="1570"/>
    <col min="7937" max="7937" width="5.19921875" style="1570" customWidth="1"/>
    <col min="7938" max="7938" width="24.5" style="1570" customWidth="1"/>
    <col min="7939" max="7939" width="11.09765625" style="1570" customWidth="1"/>
    <col min="7940" max="7940" width="11" style="1570" customWidth="1"/>
    <col min="7941" max="7942" width="10.59765625" style="1570" customWidth="1"/>
    <col min="7943" max="7943" width="10.5" style="1570" customWidth="1"/>
    <col min="7944" max="7944" width="12.3984375" style="1570" customWidth="1"/>
    <col min="7945" max="7945" width="23.8984375" style="1570" customWidth="1"/>
    <col min="7946" max="7946" width="46.8984375" style="1570" customWidth="1"/>
    <col min="7947" max="8192" width="9" style="1570"/>
    <col min="8193" max="8193" width="5.19921875" style="1570" customWidth="1"/>
    <col min="8194" max="8194" width="24.5" style="1570" customWidth="1"/>
    <col min="8195" max="8195" width="11.09765625" style="1570" customWidth="1"/>
    <col min="8196" max="8196" width="11" style="1570" customWidth="1"/>
    <col min="8197" max="8198" width="10.59765625" style="1570" customWidth="1"/>
    <col min="8199" max="8199" width="10.5" style="1570" customWidth="1"/>
    <col min="8200" max="8200" width="12.3984375" style="1570" customWidth="1"/>
    <col min="8201" max="8201" width="23.8984375" style="1570" customWidth="1"/>
    <col min="8202" max="8202" width="46.8984375" style="1570" customWidth="1"/>
    <col min="8203" max="8448" width="9" style="1570"/>
    <col min="8449" max="8449" width="5.19921875" style="1570" customWidth="1"/>
    <col min="8450" max="8450" width="24.5" style="1570" customWidth="1"/>
    <col min="8451" max="8451" width="11.09765625" style="1570" customWidth="1"/>
    <col min="8452" max="8452" width="11" style="1570" customWidth="1"/>
    <col min="8453" max="8454" width="10.59765625" style="1570" customWidth="1"/>
    <col min="8455" max="8455" width="10.5" style="1570" customWidth="1"/>
    <col min="8456" max="8456" width="12.3984375" style="1570" customWidth="1"/>
    <col min="8457" max="8457" width="23.8984375" style="1570" customWidth="1"/>
    <col min="8458" max="8458" width="46.8984375" style="1570" customWidth="1"/>
    <col min="8459" max="8704" width="9" style="1570"/>
    <col min="8705" max="8705" width="5.19921875" style="1570" customWidth="1"/>
    <col min="8706" max="8706" width="24.5" style="1570" customWidth="1"/>
    <col min="8707" max="8707" width="11.09765625" style="1570" customWidth="1"/>
    <col min="8708" max="8708" width="11" style="1570" customWidth="1"/>
    <col min="8709" max="8710" width="10.59765625" style="1570" customWidth="1"/>
    <col min="8711" max="8711" width="10.5" style="1570" customWidth="1"/>
    <col min="8712" max="8712" width="12.3984375" style="1570" customWidth="1"/>
    <col min="8713" max="8713" width="23.8984375" style="1570" customWidth="1"/>
    <col min="8714" max="8714" width="46.8984375" style="1570" customWidth="1"/>
    <col min="8715" max="8960" width="9" style="1570"/>
    <col min="8961" max="8961" width="5.19921875" style="1570" customWidth="1"/>
    <col min="8962" max="8962" width="24.5" style="1570" customWidth="1"/>
    <col min="8963" max="8963" width="11.09765625" style="1570" customWidth="1"/>
    <col min="8964" max="8964" width="11" style="1570" customWidth="1"/>
    <col min="8965" max="8966" width="10.59765625" style="1570" customWidth="1"/>
    <col min="8967" max="8967" width="10.5" style="1570" customWidth="1"/>
    <col min="8968" max="8968" width="12.3984375" style="1570" customWidth="1"/>
    <col min="8969" max="8969" width="23.8984375" style="1570" customWidth="1"/>
    <col min="8970" max="8970" width="46.8984375" style="1570" customWidth="1"/>
    <col min="8971" max="9216" width="9" style="1570"/>
    <col min="9217" max="9217" width="5.19921875" style="1570" customWidth="1"/>
    <col min="9218" max="9218" width="24.5" style="1570" customWidth="1"/>
    <col min="9219" max="9219" width="11.09765625" style="1570" customWidth="1"/>
    <col min="9220" max="9220" width="11" style="1570" customWidth="1"/>
    <col min="9221" max="9222" width="10.59765625" style="1570" customWidth="1"/>
    <col min="9223" max="9223" width="10.5" style="1570" customWidth="1"/>
    <col min="9224" max="9224" width="12.3984375" style="1570" customWidth="1"/>
    <col min="9225" max="9225" width="23.8984375" style="1570" customWidth="1"/>
    <col min="9226" max="9226" width="46.8984375" style="1570" customWidth="1"/>
    <col min="9227" max="9472" width="9" style="1570"/>
    <col min="9473" max="9473" width="5.19921875" style="1570" customWidth="1"/>
    <col min="9474" max="9474" width="24.5" style="1570" customWidth="1"/>
    <col min="9475" max="9475" width="11.09765625" style="1570" customWidth="1"/>
    <col min="9476" max="9476" width="11" style="1570" customWidth="1"/>
    <col min="9477" max="9478" width="10.59765625" style="1570" customWidth="1"/>
    <col min="9479" max="9479" width="10.5" style="1570" customWidth="1"/>
    <col min="9480" max="9480" width="12.3984375" style="1570" customWidth="1"/>
    <col min="9481" max="9481" width="23.8984375" style="1570" customWidth="1"/>
    <col min="9482" max="9482" width="46.8984375" style="1570" customWidth="1"/>
    <col min="9483" max="9728" width="9" style="1570"/>
    <col min="9729" max="9729" width="5.19921875" style="1570" customWidth="1"/>
    <col min="9730" max="9730" width="24.5" style="1570" customWidth="1"/>
    <col min="9731" max="9731" width="11.09765625" style="1570" customWidth="1"/>
    <col min="9732" max="9732" width="11" style="1570" customWidth="1"/>
    <col min="9733" max="9734" width="10.59765625" style="1570" customWidth="1"/>
    <col min="9735" max="9735" width="10.5" style="1570" customWidth="1"/>
    <col min="9736" max="9736" width="12.3984375" style="1570" customWidth="1"/>
    <col min="9737" max="9737" width="23.8984375" style="1570" customWidth="1"/>
    <col min="9738" max="9738" width="46.8984375" style="1570" customWidth="1"/>
    <col min="9739" max="9984" width="9" style="1570"/>
    <col min="9985" max="9985" width="5.19921875" style="1570" customWidth="1"/>
    <col min="9986" max="9986" width="24.5" style="1570" customWidth="1"/>
    <col min="9987" max="9987" width="11.09765625" style="1570" customWidth="1"/>
    <col min="9988" max="9988" width="11" style="1570" customWidth="1"/>
    <col min="9989" max="9990" width="10.59765625" style="1570" customWidth="1"/>
    <col min="9991" max="9991" width="10.5" style="1570" customWidth="1"/>
    <col min="9992" max="9992" width="12.3984375" style="1570" customWidth="1"/>
    <col min="9993" max="9993" width="23.8984375" style="1570" customWidth="1"/>
    <col min="9994" max="9994" width="46.8984375" style="1570" customWidth="1"/>
    <col min="9995" max="10240" width="9" style="1570"/>
    <col min="10241" max="10241" width="5.19921875" style="1570" customWidth="1"/>
    <col min="10242" max="10242" width="24.5" style="1570" customWidth="1"/>
    <col min="10243" max="10243" width="11.09765625" style="1570" customWidth="1"/>
    <col min="10244" max="10244" width="11" style="1570" customWidth="1"/>
    <col min="10245" max="10246" width="10.59765625" style="1570" customWidth="1"/>
    <col min="10247" max="10247" width="10.5" style="1570" customWidth="1"/>
    <col min="10248" max="10248" width="12.3984375" style="1570" customWidth="1"/>
    <col min="10249" max="10249" width="23.8984375" style="1570" customWidth="1"/>
    <col min="10250" max="10250" width="46.8984375" style="1570" customWidth="1"/>
    <col min="10251" max="10496" width="9" style="1570"/>
    <col min="10497" max="10497" width="5.19921875" style="1570" customWidth="1"/>
    <col min="10498" max="10498" width="24.5" style="1570" customWidth="1"/>
    <col min="10499" max="10499" width="11.09765625" style="1570" customWidth="1"/>
    <col min="10500" max="10500" width="11" style="1570" customWidth="1"/>
    <col min="10501" max="10502" width="10.59765625" style="1570" customWidth="1"/>
    <col min="10503" max="10503" width="10.5" style="1570" customWidth="1"/>
    <col min="10504" max="10504" width="12.3984375" style="1570" customWidth="1"/>
    <col min="10505" max="10505" width="23.8984375" style="1570" customWidth="1"/>
    <col min="10506" max="10506" width="46.8984375" style="1570" customWidth="1"/>
    <col min="10507" max="10752" width="9" style="1570"/>
    <col min="10753" max="10753" width="5.19921875" style="1570" customWidth="1"/>
    <col min="10754" max="10754" width="24.5" style="1570" customWidth="1"/>
    <col min="10755" max="10755" width="11.09765625" style="1570" customWidth="1"/>
    <col min="10756" max="10756" width="11" style="1570" customWidth="1"/>
    <col min="10757" max="10758" width="10.59765625" style="1570" customWidth="1"/>
    <col min="10759" max="10759" width="10.5" style="1570" customWidth="1"/>
    <col min="10760" max="10760" width="12.3984375" style="1570" customWidth="1"/>
    <col min="10761" max="10761" width="23.8984375" style="1570" customWidth="1"/>
    <col min="10762" max="10762" width="46.8984375" style="1570" customWidth="1"/>
    <col min="10763" max="11008" width="9" style="1570"/>
    <col min="11009" max="11009" width="5.19921875" style="1570" customWidth="1"/>
    <col min="11010" max="11010" width="24.5" style="1570" customWidth="1"/>
    <col min="11011" max="11011" width="11.09765625" style="1570" customWidth="1"/>
    <col min="11012" max="11012" width="11" style="1570" customWidth="1"/>
    <col min="11013" max="11014" width="10.59765625" style="1570" customWidth="1"/>
    <col min="11015" max="11015" width="10.5" style="1570" customWidth="1"/>
    <col min="11016" max="11016" width="12.3984375" style="1570" customWidth="1"/>
    <col min="11017" max="11017" width="23.8984375" style="1570" customWidth="1"/>
    <col min="11018" max="11018" width="46.8984375" style="1570" customWidth="1"/>
    <col min="11019" max="11264" width="9" style="1570"/>
    <col min="11265" max="11265" width="5.19921875" style="1570" customWidth="1"/>
    <col min="11266" max="11266" width="24.5" style="1570" customWidth="1"/>
    <col min="11267" max="11267" width="11.09765625" style="1570" customWidth="1"/>
    <col min="11268" max="11268" width="11" style="1570" customWidth="1"/>
    <col min="11269" max="11270" width="10.59765625" style="1570" customWidth="1"/>
    <col min="11271" max="11271" width="10.5" style="1570" customWidth="1"/>
    <col min="11272" max="11272" width="12.3984375" style="1570" customWidth="1"/>
    <col min="11273" max="11273" width="23.8984375" style="1570" customWidth="1"/>
    <col min="11274" max="11274" width="46.8984375" style="1570" customWidth="1"/>
    <col min="11275" max="11520" width="9" style="1570"/>
    <col min="11521" max="11521" width="5.19921875" style="1570" customWidth="1"/>
    <col min="11522" max="11522" width="24.5" style="1570" customWidth="1"/>
    <col min="11523" max="11523" width="11.09765625" style="1570" customWidth="1"/>
    <col min="11524" max="11524" width="11" style="1570" customWidth="1"/>
    <col min="11525" max="11526" width="10.59765625" style="1570" customWidth="1"/>
    <col min="11527" max="11527" width="10.5" style="1570" customWidth="1"/>
    <col min="11528" max="11528" width="12.3984375" style="1570" customWidth="1"/>
    <col min="11529" max="11529" width="23.8984375" style="1570" customWidth="1"/>
    <col min="11530" max="11530" width="46.8984375" style="1570" customWidth="1"/>
    <col min="11531" max="11776" width="9" style="1570"/>
    <col min="11777" max="11777" width="5.19921875" style="1570" customWidth="1"/>
    <col min="11778" max="11778" width="24.5" style="1570" customWidth="1"/>
    <col min="11779" max="11779" width="11.09765625" style="1570" customWidth="1"/>
    <col min="11780" max="11780" width="11" style="1570" customWidth="1"/>
    <col min="11781" max="11782" width="10.59765625" style="1570" customWidth="1"/>
    <col min="11783" max="11783" width="10.5" style="1570" customWidth="1"/>
    <col min="11784" max="11784" width="12.3984375" style="1570" customWidth="1"/>
    <col min="11785" max="11785" width="23.8984375" style="1570" customWidth="1"/>
    <col min="11786" max="11786" width="46.8984375" style="1570" customWidth="1"/>
    <col min="11787" max="12032" width="9" style="1570"/>
    <col min="12033" max="12033" width="5.19921875" style="1570" customWidth="1"/>
    <col min="12034" max="12034" width="24.5" style="1570" customWidth="1"/>
    <col min="12035" max="12035" width="11.09765625" style="1570" customWidth="1"/>
    <col min="12036" max="12036" width="11" style="1570" customWidth="1"/>
    <col min="12037" max="12038" width="10.59765625" style="1570" customWidth="1"/>
    <col min="12039" max="12039" width="10.5" style="1570" customWidth="1"/>
    <col min="12040" max="12040" width="12.3984375" style="1570" customWidth="1"/>
    <col min="12041" max="12041" width="23.8984375" style="1570" customWidth="1"/>
    <col min="12042" max="12042" width="46.8984375" style="1570" customWidth="1"/>
    <col min="12043" max="12288" width="9" style="1570"/>
    <col min="12289" max="12289" width="5.19921875" style="1570" customWidth="1"/>
    <col min="12290" max="12290" width="24.5" style="1570" customWidth="1"/>
    <col min="12291" max="12291" width="11.09765625" style="1570" customWidth="1"/>
    <col min="12292" max="12292" width="11" style="1570" customWidth="1"/>
    <col min="12293" max="12294" width="10.59765625" style="1570" customWidth="1"/>
    <col min="12295" max="12295" width="10.5" style="1570" customWidth="1"/>
    <col min="12296" max="12296" width="12.3984375" style="1570" customWidth="1"/>
    <col min="12297" max="12297" width="23.8984375" style="1570" customWidth="1"/>
    <col min="12298" max="12298" width="46.8984375" style="1570" customWidth="1"/>
    <col min="12299" max="12544" width="9" style="1570"/>
    <col min="12545" max="12545" width="5.19921875" style="1570" customWidth="1"/>
    <col min="12546" max="12546" width="24.5" style="1570" customWidth="1"/>
    <col min="12547" max="12547" width="11.09765625" style="1570" customWidth="1"/>
    <col min="12548" max="12548" width="11" style="1570" customWidth="1"/>
    <col min="12549" max="12550" width="10.59765625" style="1570" customWidth="1"/>
    <col min="12551" max="12551" width="10.5" style="1570" customWidth="1"/>
    <col min="12552" max="12552" width="12.3984375" style="1570" customWidth="1"/>
    <col min="12553" max="12553" width="23.8984375" style="1570" customWidth="1"/>
    <col min="12554" max="12554" width="46.8984375" style="1570" customWidth="1"/>
    <col min="12555" max="12800" width="9" style="1570"/>
    <col min="12801" max="12801" width="5.19921875" style="1570" customWidth="1"/>
    <col min="12802" max="12802" width="24.5" style="1570" customWidth="1"/>
    <col min="12803" max="12803" width="11.09765625" style="1570" customWidth="1"/>
    <col min="12804" max="12804" width="11" style="1570" customWidth="1"/>
    <col min="12805" max="12806" width="10.59765625" style="1570" customWidth="1"/>
    <col min="12807" max="12807" width="10.5" style="1570" customWidth="1"/>
    <col min="12808" max="12808" width="12.3984375" style="1570" customWidth="1"/>
    <col min="12809" max="12809" width="23.8984375" style="1570" customWidth="1"/>
    <col min="12810" max="12810" width="46.8984375" style="1570" customWidth="1"/>
    <col min="12811" max="13056" width="9" style="1570"/>
    <col min="13057" max="13057" width="5.19921875" style="1570" customWidth="1"/>
    <col min="13058" max="13058" width="24.5" style="1570" customWidth="1"/>
    <col min="13059" max="13059" width="11.09765625" style="1570" customWidth="1"/>
    <col min="13060" max="13060" width="11" style="1570" customWidth="1"/>
    <col min="13061" max="13062" width="10.59765625" style="1570" customWidth="1"/>
    <col min="13063" max="13063" width="10.5" style="1570" customWidth="1"/>
    <col min="13064" max="13064" width="12.3984375" style="1570" customWidth="1"/>
    <col min="13065" max="13065" width="23.8984375" style="1570" customWidth="1"/>
    <col min="13066" max="13066" width="46.8984375" style="1570" customWidth="1"/>
    <col min="13067" max="13312" width="9" style="1570"/>
    <col min="13313" max="13313" width="5.19921875" style="1570" customWidth="1"/>
    <col min="13314" max="13314" width="24.5" style="1570" customWidth="1"/>
    <col min="13315" max="13315" width="11.09765625" style="1570" customWidth="1"/>
    <col min="13316" max="13316" width="11" style="1570" customWidth="1"/>
    <col min="13317" max="13318" width="10.59765625" style="1570" customWidth="1"/>
    <col min="13319" max="13319" width="10.5" style="1570" customWidth="1"/>
    <col min="13320" max="13320" width="12.3984375" style="1570" customWidth="1"/>
    <col min="13321" max="13321" width="23.8984375" style="1570" customWidth="1"/>
    <col min="13322" max="13322" width="46.8984375" style="1570" customWidth="1"/>
    <col min="13323" max="13568" width="9" style="1570"/>
    <col min="13569" max="13569" width="5.19921875" style="1570" customWidth="1"/>
    <col min="13570" max="13570" width="24.5" style="1570" customWidth="1"/>
    <col min="13571" max="13571" width="11.09765625" style="1570" customWidth="1"/>
    <col min="13572" max="13572" width="11" style="1570" customWidth="1"/>
    <col min="13573" max="13574" width="10.59765625" style="1570" customWidth="1"/>
    <col min="13575" max="13575" width="10.5" style="1570" customWidth="1"/>
    <col min="13576" max="13576" width="12.3984375" style="1570" customWidth="1"/>
    <col min="13577" max="13577" width="23.8984375" style="1570" customWidth="1"/>
    <col min="13578" max="13578" width="46.8984375" style="1570" customWidth="1"/>
    <col min="13579" max="13824" width="9" style="1570"/>
    <col min="13825" max="13825" width="5.19921875" style="1570" customWidth="1"/>
    <col min="13826" max="13826" width="24.5" style="1570" customWidth="1"/>
    <col min="13827" max="13827" width="11.09765625" style="1570" customWidth="1"/>
    <col min="13828" max="13828" width="11" style="1570" customWidth="1"/>
    <col min="13829" max="13830" width="10.59765625" style="1570" customWidth="1"/>
    <col min="13831" max="13831" width="10.5" style="1570" customWidth="1"/>
    <col min="13832" max="13832" width="12.3984375" style="1570" customWidth="1"/>
    <col min="13833" max="13833" width="23.8984375" style="1570" customWidth="1"/>
    <col min="13834" max="13834" width="46.8984375" style="1570" customWidth="1"/>
    <col min="13835" max="14080" width="9" style="1570"/>
    <col min="14081" max="14081" width="5.19921875" style="1570" customWidth="1"/>
    <col min="14082" max="14082" width="24.5" style="1570" customWidth="1"/>
    <col min="14083" max="14083" width="11.09765625" style="1570" customWidth="1"/>
    <col min="14084" max="14084" width="11" style="1570" customWidth="1"/>
    <col min="14085" max="14086" width="10.59765625" style="1570" customWidth="1"/>
    <col min="14087" max="14087" width="10.5" style="1570" customWidth="1"/>
    <col min="14088" max="14088" width="12.3984375" style="1570" customWidth="1"/>
    <col min="14089" max="14089" width="23.8984375" style="1570" customWidth="1"/>
    <col min="14090" max="14090" width="46.8984375" style="1570" customWidth="1"/>
    <col min="14091" max="14336" width="9" style="1570"/>
    <col min="14337" max="14337" width="5.19921875" style="1570" customWidth="1"/>
    <col min="14338" max="14338" width="24.5" style="1570" customWidth="1"/>
    <col min="14339" max="14339" width="11.09765625" style="1570" customWidth="1"/>
    <col min="14340" max="14340" width="11" style="1570" customWidth="1"/>
    <col min="14341" max="14342" width="10.59765625" style="1570" customWidth="1"/>
    <col min="14343" max="14343" width="10.5" style="1570" customWidth="1"/>
    <col min="14344" max="14344" width="12.3984375" style="1570" customWidth="1"/>
    <col min="14345" max="14345" width="23.8984375" style="1570" customWidth="1"/>
    <col min="14346" max="14346" width="46.8984375" style="1570" customWidth="1"/>
    <col min="14347" max="14592" width="9" style="1570"/>
    <col min="14593" max="14593" width="5.19921875" style="1570" customWidth="1"/>
    <col min="14594" max="14594" width="24.5" style="1570" customWidth="1"/>
    <col min="14595" max="14595" width="11.09765625" style="1570" customWidth="1"/>
    <col min="14596" max="14596" width="11" style="1570" customWidth="1"/>
    <col min="14597" max="14598" width="10.59765625" style="1570" customWidth="1"/>
    <col min="14599" max="14599" width="10.5" style="1570" customWidth="1"/>
    <col min="14600" max="14600" width="12.3984375" style="1570" customWidth="1"/>
    <col min="14601" max="14601" width="23.8984375" style="1570" customWidth="1"/>
    <col min="14602" max="14602" width="46.8984375" style="1570" customWidth="1"/>
    <col min="14603" max="14848" width="9" style="1570"/>
    <col min="14849" max="14849" width="5.19921875" style="1570" customWidth="1"/>
    <col min="14850" max="14850" width="24.5" style="1570" customWidth="1"/>
    <col min="14851" max="14851" width="11.09765625" style="1570" customWidth="1"/>
    <col min="14852" max="14852" width="11" style="1570" customWidth="1"/>
    <col min="14853" max="14854" width="10.59765625" style="1570" customWidth="1"/>
    <col min="14855" max="14855" width="10.5" style="1570" customWidth="1"/>
    <col min="14856" max="14856" width="12.3984375" style="1570" customWidth="1"/>
    <col min="14857" max="14857" width="23.8984375" style="1570" customWidth="1"/>
    <col min="14858" max="14858" width="46.8984375" style="1570" customWidth="1"/>
    <col min="14859" max="15104" width="9" style="1570"/>
    <col min="15105" max="15105" width="5.19921875" style="1570" customWidth="1"/>
    <col min="15106" max="15106" width="24.5" style="1570" customWidth="1"/>
    <col min="15107" max="15107" width="11.09765625" style="1570" customWidth="1"/>
    <col min="15108" max="15108" width="11" style="1570" customWidth="1"/>
    <col min="15109" max="15110" width="10.59765625" style="1570" customWidth="1"/>
    <col min="15111" max="15111" width="10.5" style="1570" customWidth="1"/>
    <col min="15112" max="15112" width="12.3984375" style="1570" customWidth="1"/>
    <col min="15113" max="15113" width="23.8984375" style="1570" customWidth="1"/>
    <col min="15114" max="15114" width="46.8984375" style="1570" customWidth="1"/>
    <col min="15115" max="15360" width="9" style="1570"/>
    <col min="15361" max="15361" width="5.19921875" style="1570" customWidth="1"/>
    <col min="15362" max="15362" width="24.5" style="1570" customWidth="1"/>
    <col min="15363" max="15363" width="11.09765625" style="1570" customWidth="1"/>
    <col min="15364" max="15364" width="11" style="1570" customWidth="1"/>
    <col min="15365" max="15366" width="10.59765625" style="1570" customWidth="1"/>
    <col min="15367" max="15367" width="10.5" style="1570" customWidth="1"/>
    <col min="15368" max="15368" width="12.3984375" style="1570" customWidth="1"/>
    <col min="15369" max="15369" width="23.8984375" style="1570" customWidth="1"/>
    <col min="15370" max="15370" width="46.8984375" style="1570" customWidth="1"/>
    <col min="15371" max="15616" width="9" style="1570"/>
    <col min="15617" max="15617" width="5.19921875" style="1570" customWidth="1"/>
    <col min="15618" max="15618" width="24.5" style="1570" customWidth="1"/>
    <col min="15619" max="15619" width="11.09765625" style="1570" customWidth="1"/>
    <col min="15620" max="15620" width="11" style="1570" customWidth="1"/>
    <col min="15621" max="15622" width="10.59765625" style="1570" customWidth="1"/>
    <col min="15623" max="15623" width="10.5" style="1570" customWidth="1"/>
    <col min="15624" max="15624" width="12.3984375" style="1570" customWidth="1"/>
    <col min="15625" max="15625" width="23.8984375" style="1570" customWidth="1"/>
    <col min="15626" max="15626" width="46.8984375" style="1570" customWidth="1"/>
    <col min="15627" max="15872" width="9" style="1570"/>
    <col min="15873" max="15873" width="5.19921875" style="1570" customWidth="1"/>
    <col min="15874" max="15874" width="24.5" style="1570" customWidth="1"/>
    <col min="15875" max="15875" width="11.09765625" style="1570" customWidth="1"/>
    <col min="15876" max="15876" width="11" style="1570" customWidth="1"/>
    <col min="15877" max="15878" width="10.59765625" style="1570" customWidth="1"/>
    <col min="15879" max="15879" width="10.5" style="1570" customWidth="1"/>
    <col min="15880" max="15880" width="12.3984375" style="1570" customWidth="1"/>
    <col min="15881" max="15881" width="23.8984375" style="1570" customWidth="1"/>
    <col min="15882" max="15882" width="46.8984375" style="1570" customWidth="1"/>
    <col min="15883" max="16128" width="9" style="1570"/>
    <col min="16129" max="16129" width="5.19921875" style="1570" customWidth="1"/>
    <col min="16130" max="16130" width="24.5" style="1570" customWidth="1"/>
    <col min="16131" max="16131" width="11.09765625" style="1570" customWidth="1"/>
    <col min="16132" max="16132" width="11" style="1570" customWidth="1"/>
    <col min="16133" max="16134" width="10.59765625" style="1570" customWidth="1"/>
    <col min="16135" max="16135" width="10.5" style="1570" customWidth="1"/>
    <col min="16136" max="16136" width="12.3984375" style="1570" customWidth="1"/>
    <col min="16137" max="16137" width="23.8984375" style="1570" customWidth="1"/>
    <col min="16138" max="16138" width="46.8984375" style="1570" customWidth="1"/>
    <col min="16139" max="16384" width="9" style="1570"/>
  </cols>
  <sheetData>
    <row r="1" spans="1:10" ht="20.100000000000001" customHeight="1">
      <c r="A1" s="3400" t="s">
        <v>5382</v>
      </c>
      <c r="B1" s="3400"/>
      <c r="C1" s="3400"/>
      <c r="D1" s="3400"/>
      <c r="E1" s="3400"/>
      <c r="F1" s="3400"/>
      <c r="G1" s="3400"/>
      <c r="H1" s="3400"/>
      <c r="I1" s="2015"/>
    </row>
    <row r="2" spans="1:10" ht="25.5" customHeight="1">
      <c r="A2" s="3401" t="s">
        <v>5383</v>
      </c>
      <c r="B2" s="3401"/>
      <c r="C2" s="3401"/>
      <c r="D2" s="3401"/>
      <c r="E2" s="3401"/>
      <c r="F2" s="3401"/>
      <c r="G2" s="3401"/>
      <c r="H2" s="3401"/>
      <c r="I2" s="1834"/>
    </row>
    <row r="3" spans="1:10" ht="14.25" customHeight="1">
      <c r="A3" s="3402" t="s">
        <v>645</v>
      </c>
      <c r="B3" s="3399" t="s">
        <v>5384</v>
      </c>
      <c r="C3" s="3407" t="s">
        <v>1628</v>
      </c>
      <c r="D3" s="3407" t="s">
        <v>5385</v>
      </c>
      <c r="E3" s="3407" t="s">
        <v>5386</v>
      </c>
      <c r="F3" s="3407" t="s">
        <v>1255</v>
      </c>
      <c r="G3" s="3407" t="s">
        <v>1300</v>
      </c>
      <c r="H3" s="3407" t="s">
        <v>5387</v>
      </c>
      <c r="I3" s="3407" t="s">
        <v>5388</v>
      </c>
    </row>
    <row r="4" spans="1:10" ht="14.25" customHeight="1">
      <c r="A4" s="3403"/>
      <c r="B4" s="3399"/>
      <c r="C4" s="3407"/>
      <c r="D4" s="3407"/>
      <c r="E4" s="3407"/>
      <c r="F4" s="3407"/>
      <c r="G4" s="3407"/>
      <c r="H4" s="3407"/>
      <c r="I4" s="3407"/>
    </row>
    <row r="5" spans="1:10" ht="14.25" customHeight="1">
      <c r="A5" s="3404"/>
      <c r="B5" s="1846">
        <v>1</v>
      </c>
      <c r="C5" s="1846">
        <v>2</v>
      </c>
      <c r="D5" s="1846">
        <v>3</v>
      </c>
      <c r="E5" s="1846">
        <v>4</v>
      </c>
      <c r="F5" s="1846">
        <v>5</v>
      </c>
      <c r="G5" s="1848" t="s">
        <v>5389</v>
      </c>
      <c r="H5" s="1848" t="s">
        <v>5390</v>
      </c>
      <c r="I5" s="1974"/>
    </row>
    <row r="6" spans="1:10" ht="84">
      <c r="A6" s="1846">
        <v>1</v>
      </c>
      <c r="B6" s="1829" t="s">
        <v>5391</v>
      </c>
      <c r="C6" s="2072">
        <f>'资产损失（专项申报）税前扣除审核表'!C6</f>
        <v>0</v>
      </c>
      <c r="D6" s="2072">
        <f>'资产损失（专项申报）税前扣除审核表'!D6</f>
        <v>0</v>
      </c>
      <c r="E6" s="2072">
        <f>'资产损失（专项申报）税前扣除审核表'!E6</f>
        <v>0</v>
      </c>
      <c r="F6" s="2072">
        <f>'资产损失（专项申报）税前扣除审核表'!F6</f>
        <v>0</v>
      </c>
      <c r="G6" s="2072">
        <f>'资产损失（专项申报）税前扣除审核表'!G6</f>
        <v>0</v>
      </c>
      <c r="H6" s="2072">
        <f>'资产损失（专项申报）税前扣除审核表'!H6</f>
        <v>0</v>
      </c>
      <c r="I6" s="1970" t="s">
        <v>5392</v>
      </c>
      <c r="J6" s="1572"/>
    </row>
    <row r="7" spans="1:10" ht="14.25" customHeight="1">
      <c r="A7" s="1846">
        <v>2</v>
      </c>
      <c r="B7" s="1934">
        <f>'资产损失（专项申报）税前扣除审核表'!B7</f>
        <v>0</v>
      </c>
      <c r="C7" s="2072">
        <f>'资产损失（专项申报）税前扣除审核表'!C7</f>
        <v>0</v>
      </c>
      <c r="D7" s="2072">
        <f>'资产损失（专项申报）税前扣除审核表'!D7</f>
        <v>0</v>
      </c>
      <c r="E7" s="2072">
        <f>'资产损失（专项申报）税前扣除审核表'!E7</f>
        <v>0</v>
      </c>
      <c r="F7" s="2072">
        <f>'资产损失（专项申报）税前扣除审核表'!F7</f>
        <v>0</v>
      </c>
      <c r="G7" s="2072">
        <f>'资产损失（专项申报）税前扣除审核表'!G7</f>
        <v>0</v>
      </c>
      <c r="H7" s="2072">
        <f>'资产损失（专项申报）税前扣除审核表'!H7</f>
        <v>0</v>
      </c>
      <c r="I7" s="1970"/>
      <c r="J7" s="1675" t="s">
        <v>6445</v>
      </c>
    </row>
    <row r="8" spans="1:10" ht="14.25" customHeight="1">
      <c r="A8" s="1846">
        <v>3</v>
      </c>
      <c r="B8" s="1934">
        <f>'资产损失（专项申报）税前扣除审核表'!B8</f>
        <v>0</v>
      </c>
      <c r="C8" s="2072">
        <f>'资产损失（专项申报）税前扣除审核表'!C8</f>
        <v>0</v>
      </c>
      <c r="D8" s="2072">
        <f>'资产损失（专项申报）税前扣除审核表'!D8</f>
        <v>0</v>
      </c>
      <c r="E8" s="2072">
        <f>'资产损失（专项申报）税前扣除审核表'!E8</f>
        <v>0</v>
      </c>
      <c r="F8" s="2072">
        <f>'资产损失（专项申报）税前扣除审核表'!F8</f>
        <v>0</v>
      </c>
      <c r="G8" s="2072">
        <f>'资产损失（专项申报）税前扣除审核表'!G8</f>
        <v>0</v>
      </c>
      <c r="H8" s="2072">
        <f>'资产损失（专项申报）税前扣除审核表'!H8</f>
        <v>0</v>
      </c>
      <c r="I8" s="1970"/>
    </row>
    <row r="9" spans="1:10" ht="14.25" customHeight="1">
      <c r="A9" s="1846">
        <v>4</v>
      </c>
      <c r="B9" s="1934">
        <f>'资产损失（专项申报）税前扣除审核表'!B9</f>
        <v>0</v>
      </c>
      <c r="C9" s="2072">
        <f>'资产损失（专项申报）税前扣除审核表'!C9</f>
        <v>0</v>
      </c>
      <c r="D9" s="2072">
        <f>'资产损失（专项申报）税前扣除审核表'!D9</f>
        <v>0</v>
      </c>
      <c r="E9" s="2072">
        <f>'资产损失（专项申报）税前扣除审核表'!E9</f>
        <v>0</v>
      </c>
      <c r="F9" s="2072">
        <f>'资产损失（专项申报）税前扣除审核表'!F9</f>
        <v>0</v>
      </c>
      <c r="G9" s="2072">
        <f>'资产损失（专项申报）税前扣除审核表'!G9</f>
        <v>0</v>
      </c>
      <c r="H9" s="2072">
        <f>'资产损失（专项申报）税前扣除审核表'!H9</f>
        <v>0</v>
      </c>
      <c r="I9" s="1970"/>
      <c r="J9" s="1769" t="s">
        <v>6447</v>
      </c>
    </row>
    <row r="10" spans="1:10" ht="14.25" customHeight="1">
      <c r="A10" s="1846">
        <v>5</v>
      </c>
      <c r="B10" s="1934">
        <f>'资产损失（专项申报）税前扣除审核表'!B10</f>
        <v>0</v>
      </c>
      <c r="C10" s="2072">
        <f>'资产损失（专项申报）税前扣除审核表'!C10</f>
        <v>0</v>
      </c>
      <c r="D10" s="2072">
        <f>'资产损失（专项申报）税前扣除审核表'!D10</f>
        <v>0</v>
      </c>
      <c r="E10" s="2072">
        <f>'资产损失（专项申报）税前扣除审核表'!E10</f>
        <v>0</v>
      </c>
      <c r="F10" s="2072">
        <f>'资产损失（专项申报）税前扣除审核表'!F10</f>
        <v>0</v>
      </c>
      <c r="G10" s="2072">
        <f>'资产损失（专项申报）税前扣除审核表'!G10</f>
        <v>0</v>
      </c>
      <c r="H10" s="2072">
        <f>'资产损失（专项申报）税前扣除审核表'!H10</f>
        <v>0</v>
      </c>
      <c r="I10" s="1970"/>
    </row>
    <row r="11" spans="1:10" ht="88.5" customHeight="1">
      <c r="A11" s="1846">
        <v>6</v>
      </c>
      <c r="B11" s="1995" t="s">
        <v>5393</v>
      </c>
      <c r="C11" s="2072">
        <f>'资产损失（专项申报）税前扣除审核表'!C11</f>
        <v>0</v>
      </c>
      <c r="D11" s="2072">
        <f>'资产损失（专项申报）税前扣除审核表'!D11</f>
        <v>0</v>
      </c>
      <c r="E11" s="2072">
        <f>'资产损失（专项申报）税前扣除审核表'!E11</f>
        <v>0</v>
      </c>
      <c r="F11" s="2072">
        <f>'资产损失（专项申报）税前扣除审核表'!F11</f>
        <v>0</v>
      </c>
      <c r="G11" s="2072">
        <f>'资产损失（专项申报）税前扣除审核表'!G11</f>
        <v>0</v>
      </c>
      <c r="H11" s="2072">
        <f>'资产损失（专项申报）税前扣除审核表'!H11</f>
        <v>0</v>
      </c>
      <c r="I11" s="1970" t="s">
        <v>5394</v>
      </c>
      <c r="J11" s="1575"/>
    </row>
    <row r="12" spans="1:10" ht="14.25" customHeight="1">
      <c r="A12" s="1846">
        <v>7</v>
      </c>
      <c r="B12" s="1934">
        <f>'资产损失（专项申报）税前扣除审核表'!B12</f>
        <v>0</v>
      </c>
      <c r="C12" s="2072">
        <f>'资产损失（专项申报）税前扣除审核表'!C12</f>
        <v>0</v>
      </c>
      <c r="D12" s="2072">
        <f>'资产损失（专项申报）税前扣除审核表'!D12</f>
        <v>0</v>
      </c>
      <c r="E12" s="2072">
        <f>'资产损失（专项申报）税前扣除审核表'!E12</f>
        <v>0</v>
      </c>
      <c r="F12" s="2072">
        <f>'资产损失（专项申报）税前扣除审核表'!F12</f>
        <v>0</v>
      </c>
      <c r="G12" s="2072">
        <f>'资产损失（专项申报）税前扣除审核表'!G12</f>
        <v>0</v>
      </c>
      <c r="H12" s="2072">
        <f>'资产损失（专项申报）税前扣除审核表'!H12</f>
        <v>0</v>
      </c>
      <c r="I12" s="1970"/>
    </row>
    <row r="13" spans="1:10" ht="14.25" customHeight="1">
      <c r="A13" s="1846">
        <v>8</v>
      </c>
      <c r="B13" s="1934">
        <f>'资产损失（专项申报）税前扣除审核表'!B13</f>
        <v>0</v>
      </c>
      <c r="C13" s="2072">
        <f>'资产损失（专项申报）税前扣除审核表'!C13</f>
        <v>0</v>
      </c>
      <c r="D13" s="2072">
        <f>'资产损失（专项申报）税前扣除审核表'!D13</f>
        <v>0</v>
      </c>
      <c r="E13" s="2072">
        <f>'资产损失（专项申报）税前扣除审核表'!E13</f>
        <v>0</v>
      </c>
      <c r="F13" s="2072">
        <f>'资产损失（专项申报）税前扣除审核表'!F13</f>
        <v>0</v>
      </c>
      <c r="G13" s="2072">
        <f>'资产损失（专项申报）税前扣除审核表'!G13</f>
        <v>0</v>
      </c>
      <c r="H13" s="2072">
        <f>'资产损失（专项申报）税前扣除审核表'!H13</f>
        <v>0</v>
      </c>
      <c r="I13" s="1970"/>
    </row>
    <row r="14" spans="1:10" ht="14.25" customHeight="1">
      <c r="A14" s="1846">
        <v>9</v>
      </c>
      <c r="B14" s="1934">
        <f>'资产损失（专项申报）税前扣除审核表'!B14</f>
        <v>0</v>
      </c>
      <c r="C14" s="2072">
        <f>'资产损失（专项申报）税前扣除审核表'!C14</f>
        <v>0</v>
      </c>
      <c r="D14" s="2072">
        <f>'资产损失（专项申报）税前扣除审核表'!D14</f>
        <v>0</v>
      </c>
      <c r="E14" s="2072">
        <f>'资产损失（专项申报）税前扣除审核表'!E14</f>
        <v>0</v>
      </c>
      <c r="F14" s="2072">
        <f>'资产损失（专项申报）税前扣除审核表'!F14</f>
        <v>0</v>
      </c>
      <c r="G14" s="2072">
        <f>'资产损失（专项申报）税前扣除审核表'!G14</f>
        <v>0</v>
      </c>
      <c r="H14" s="2072">
        <f>'资产损失（专项申报）税前扣除审核表'!H14</f>
        <v>0</v>
      </c>
      <c r="I14" s="1970"/>
    </row>
    <row r="15" spans="1:10" ht="14.25" customHeight="1">
      <c r="A15" s="1846">
        <v>10</v>
      </c>
      <c r="B15" s="1934">
        <f>'资产损失（专项申报）税前扣除审核表'!B15</f>
        <v>0</v>
      </c>
      <c r="C15" s="2072">
        <f>'资产损失（专项申报）税前扣除审核表'!C15</f>
        <v>0</v>
      </c>
      <c r="D15" s="2072">
        <f>'资产损失（专项申报）税前扣除审核表'!D15</f>
        <v>0</v>
      </c>
      <c r="E15" s="2072">
        <f>'资产损失（专项申报）税前扣除审核表'!E15</f>
        <v>0</v>
      </c>
      <c r="F15" s="2072">
        <f>'资产损失（专项申报）税前扣除审核表'!F15</f>
        <v>0</v>
      </c>
      <c r="G15" s="2072">
        <f>'资产损失（专项申报）税前扣除审核表'!G15</f>
        <v>0</v>
      </c>
      <c r="H15" s="2072">
        <f>'资产损失（专项申报）税前扣除审核表'!H15</f>
        <v>0</v>
      </c>
      <c r="I15" s="1970"/>
    </row>
    <row r="16" spans="1:10" ht="91.5" customHeight="1">
      <c r="A16" s="1846">
        <v>11</v>
      </c>
      <c r="B16" s="1995" t="s">
        <v>5395</v>
      </c>
      <c r="C16" s="2072">
        <f>'资产损失（专项申报）税前扣除审核表'!C16</f>
        <v>0</v>
      </c>
      <c r="D16" s="2072">
        <f>'资产损失（专项申报）税前扣除审核表'!D16</f>
        <v>0</v>
      </c>
      <c r="E16" s="2072">
        <f>'资产损失（专项申报）税前扣除审核表'!E16</f>
        <v>0</v>
      </c>
      <c r="F16" s="2072">
        <f>'资产损失（专项申报）税前扣除审核表'!F16</f>
        <v>0</v>
      </c>
      <c r="G16" s="2072">
        <f>'资产损失（专项申报）税前扣除审核表'!G16</f>
        <v>0</v>
      </c>
      <c r="H16" s="2072">
        <f>'资产损失（专项申报）税前扣除审核表'!H16</f>
        <v>0</v>
      </c>
      <c r="I16" s="1970" t="s">
        <v>5396</v>
      </c>
      <c r="J16" s="1575"/>
    </row>
    <row r="17" spans="1:10" ht="14.25" customHeight="1">
      <c r="A17" s="1846">
        <v>12</v>
      </c>
      <c r="B17" s="1934">
        <f>'资产损失（专项申报）税前扣除审核表'!B17</f>
        <v>0</v>
      </c>
      <c r="C17" s="2072">
        <f>'资产损失（专项申报）税前扣除审核表'!C17</f>
        <v>0</v>
      </c>
      <c r="D17" s="2072">
        <f>'资产损失（专项申报）税前扣除审核表'!D17</f>
        <v>0</v>
      </c>
      <c r="E17" s="2072">
        <f>'资产损失（专项申报）税前扣除审核表'!E17</f>
        <v>0</v>
      </c>
      <c r="F17" s="2072">
        <f>'资产损失（专项申报）税前扣除审核表'!F17</f>
        <v>0</v>
      </c>
      <c r="G17" s="2072">
        <f>'资产损失（专项申报）税前扣除审核表'!G17</f>
        <v>0</v>
      </c>
      <c r="H17" s="2072">
        <f>'资产损失（专项申报）税前扣除审核表'!H17</f>
        <v>0</v>
      </c>
      <c r="I17" s="1970"/>
    </row>
    <row r="18" spans="1:10" ht="14.25" customHeight="1">
      <c r="A18" s="1846">
        <v>13</v>
      </c>
      <c r="B18" s="1934">
        <f>'资产损失（专项申报）税前扣除审核表'!B18</f>
        <v>0</v>
      </c>
      <c r="C18" s="2072">
        <f>'资产损失（专项申报）税前扣除审核表'!C18</f>
        <v>0</v>
      </c>
      <c r="D18" s="2072">
        <f>'资产损失（专项申报）税前扣除审核表'!D18</f>
        <v>0</v>
      </c>
      <c r="E18" s="2072">
        <f>'资产损失（专项申报）税前扣除审核表'!E18</f>
        <v>0</v>
      </c>
      <c r="F18" s="2072">
        <f>'资产损失（专项申报）税前扣除审核表'!F18</f>
        <v>0</v>
      </c>
      <c r="G18" s="2072">
        <f>'资产损失（专项申报）税前扣除审核表'!G18</f>
        <v>0</v>
      </c>
      <c r="H18" s="2072">
        <f>'资产损失（专项申报）税前扣除审核表'!H18</f>
        <v>0</v>
      </c>
      <c r="I18" s="1970"/>
    </row>
    <row r="19" spans="1:10" ht="14.25" customHeight="1">
      <c r="A19" s="1846">
        <v>14</v>
      </c>
      <c r="B19" s="1934">
        <f>'资产损失（专项申报）税前扣除审核表'!B19</f>
        <v>0</v>
      </c>
      <c r="C19" s="2072">
        <f>'资产损失（专项申报）税前扣除审核表'!C19</f>
        <v>0</v>
      </c>
      <c r="D19" s="2072">
        <f>'资产损失（专项申报）税前扣除审核表'!D19</f>
        <v>0</v>
      </c>
      <c r="E19" s="2072">
        <f>'资产损失（专项申报）税前扣除审核表'!E19</f>
        <v>0</v>
      </c>
      <c r="F19" s="2072">
        <f>'资产损失（专项申报）税前扣除审核表'!F19</f>
        <v>0</v>
      </c>
      <c r="G19" s="2072">
        <f>'资产损失（专项申报）税前扣除审核表'!G19</f>
        <v>0</v>
      </c>
      <c r="H19" s="2072">
        <f>'资产损失（专项申报）税前扣除审核表'!H19</f>
        <v>0</v>
      </c>
      <c r="I19" s="1970"/>
    </row>
    <row r="20" spans="1:10" ht="14.25" customHeight="1">
      <c r="A20" s="1846">
        <v>15</v>
      </c>
      <c r="B20" s="1934">
        <f>'资产损失（专项申报）税前扣除审核表'!B20</f>
        <v>0</v>
      </c>
      <c r="C20" s="2072">
        <f>'资产损失（专项申报）税前扣除审核表'!C20</f>
        <v>0</v>
      </c>
      <c r="D20" s="2072">
        <f>'资产损失（专项申报）税前扣除审核表'!D20</f>
        <v>0</v>
      </c>
      <c r="E20" s="2072">
        <f>'资产损失（专项申报）税前扣除审核表'!E20</f>
        <v>0</v>
      </c>
      <c r="F20" s="2072">
        <f>'资产损失（专项申报）税前扣除审核表'!F20</f>
        <v>0</v>
      </c>
      <c r="G20" s="2072">
        <f>'资产损失（专项申报）税前扣除审核表'!G20</f>
        <v>0</v>
      </c>
      <c r="H20" s="2072">
        <f>'资产损失（专项申报）税前扣除审核表'!H20</f>
        <v>0</v>
      </c>
      <c r="I20" s="1970"/>
    </row>
    <row r="21" spans="1:10" ht="86.25" customHeight="1">
      <c r="A21" s="1846">
        <v>16</v>
      </c>
      <c r="B21" s="1995" t="s">
        <v>5397</v>
      </c>
      <c r="C21" s="2072">
        <f>'资产损失（专项申报）税前扣除审核表'!C21</f>
        <v>0</v>
      </c>
      <c r="D21" s="2072">
        <f>'资产损失（专项申报）税前扣除审核表'!D21</f>
        <v>0</v>
      </c>
      <c r="E21" s="2072">
        <f>'资产损失（专项申报）税前扣除审核表'!E21</f>
        <v>0</v>
      </c>
      <c r="F21" s="2072">
        <f>'资产损失（专项申报）税前扣除审核表'!F21</f>
        <v>0</v>
      </c>
      <c r="G21" s="2072">
        <f>'资产损失（专项申报）税前扣除审核表'!G21</f>
        <v>0</v>
      </c>
      <c r="H21" s="2072">
        <f>'资产损失（专项申报）税前扣除审核表'!H21</f>
        <v>0</v>
      </c>
      <c r="I21" s="1970" t="s">
        <v>5398</v>
      </c>
      <c r="J21" s="1575"/>
    </row>
    <row r="22" spans="1:10" ht="14.25" customHeight="1">
      <c r="A22" s="1846">
        <v>17</v>
      </c>
      <c r="B22" s="1934">
        <f>'资产损失（专项申报）税前扣除审核表'!B22</f>
        <v>0</v>
      </c>
      <c r="C22" s="2072">
        <f>'资产损失（专项申报）税前扣除审核表'!C22</f>
        <v>0</v>
      </c>
      <c r="D22" s="2072">
        <f>'资产损失（专项申报）税前扣除审核表'!D22</f>
        <v>0</v>
      </c>
      <c r="E22" s="2072">
        <f>'资产损失（专项申报）税前扣除审核表'!E22</f>
        <v>0</v>
      </c>
      <c r="F22" s="2072">
        <f>'资产损失（专项申报）税前扣除审核表'!F22</f>
        <v>0</v>
      </c>
      <c r="G22" s="2072">
        <f>'资产损失（专项申报）税前扣除审核表'!G22</f>
        <v>0</v>
      </c>
      <c r="H22" s="2072">
        <f>'资产损失（专项申报）税前扣除审核表'!H22</f>
        <v>0</v>
      </c>
      <c r="I22" s="1970"/>
    </row>
    <row r="23" spans="1:10" ht="14.25" customHeight="1">
      <c r="A23" s="1846">
        <v>18</v>
      </c>
      <c r="B23" s="1934">
        <f>'资产损失（专项申报）税前扣除审核表'!B23</f>
        <v>0</v>
      </c>
      <c r="C23" s="2072">
        <f>'资产损失（专项申报）税前扣除审核表'!C23</f>
        <v>0</v>
      </c>
      <c r="D23" s="2072">
        <f>'资产损失（专项申报）税前扣除审核表'!D23</f>
        <v>0</v>
      </c>
      <c r="E23" s="2072">
        <f>'资产损失（专项申报）税前扣除审核表'!E23</f>
        <v>0</v>
      </c>
      <c r="F23" s="2072">
        <f>'资产损失（专项申报）税前扣除审核表'!F23</f>
        <v>0</v>
      </c>
      <c r="G23" s="2072">
        <f>'资产损失（专项申报）税前扣除审核表'!G23</f>
        <v>0</v>
      </c>
      <c r="H23" s="2072">
        <f>'资产损失（专项申报）税前扣除审核表'!H23</f>
        <v>0</v>
      </c>
      <c r="I23" s="1970"/>
    </row>
    <row r="24" spans="1:10" ht="14.25" customHeight="1">
      <c r="A24" s="1846">
        <v>19</v>
      </c>
      <c r="B24" s="1934">
        <f>'资产损失（专项申报）税前扣除审核表'!B24</f>
        <v>0</v>
      </c>
      <c r="C24" s="2072">
        <f>'资产损失（专项申报）税前扣除审核表'!C24</f>
        <v>0</v>
      </c>
      <c r="D24" s="2072">
        <f>'资产损失（专项申报）税前扣除审核表'!D24</f>
        <v>0</v>
      </c>
      <c r="E24" s="2072">
        <f>'资产损失（专项申报）税前扣除审核表'!E24</f>
        <v>0</v>
      </c>
      <c r="F24" s="2072">
        <f>'资产损失（专项申报）税前扣除审核表'!F24</f>
        <v>0</v>
      </c>
      <c r="G24" s="2072">
        <f>'资产损失（专项申报）税前扣除审核表'!G24</f>
        <v>0</v>
      </c>
      <c r="H24" s="2072">
        <f>'资产损失（专项申报）税前扣除审核表'!H24</f>
        <v>0</v>
      </c>
      <c r="I24" s="1970"/>
    </row>
    <row r="25" spans="1:10" ht="87.75" customHeight="1">
      <c r="A25" s="1846">
        <v>20</v>
      </c>
      <c r="B25" s="1829" t="s">
        <v>5399</v>
      </c>
      <c r="C25" s="2072">
        <f>'资产损失（专项申报）税前扣除审核表'!C25</f>
        <v>0</v>
      </c>
      <c r="D25" s="2072">
        <f>'资产损失（专项申报）税前扣除审核表'!D25</f>
        <v>0</v>
      </c>
      <c r="E25" s="2072">
        <f>'资产损失（专项申报）税前扣除审核表'!E25</f>
        <v>0</v>
      </c>
      <c r="F25" s="2072">
        <f>'资产损失（专项申报）税前扣除审核表'!F25</f>
        <v>0</v>
      </c>
      <c r="G25" s="2072">
        <f>'资产损失（专项申报）税前扣除审核表'!G25</f>
        <v>0</v>
      </c>
      <c r="H25" s="2072">
        <f>'资产损失（专项申报）税前扣除审核表'!H25</f>
        <v>0</v>
      </c>
      <c r="I25" s="1970" t="s">
        <v>5400</v>
      </c>
      <c r="J25" s="1575"/>
    </row>
  </sheetData>
  <mergeCells count="11">
    <mergeCell ref="I3:I4"/>
    <mergeCell ref="A1:H1"/>
    <mergeCell ref="A2:H2"/>
    <mergeCell ref="A3:A5"/>
    <mergeCell ref="B3:B4"/>
    <mergeCell ref="C3:C4"/>
    <mergeCell ref="D3:D4"/>
    <mergeCell ref="E3:E4"/>
    <mergeCell ref="F3:F4"/>
    <mergeCell ref="G3:G4"/>
    <mergeCell ref="H3:H4"/>
  </mergeCells>
  <phoneticPr fontId="51" type="noConversion"/>
  <hyperlinks>
    <hyperlink ref="J7" location="资产损失税前扣除审核表!A1" display="资产损失税前扣除审核表!A1"/>
    <hyperlink ref="J9" location="'资产损失（专项申报）税前扣除审核表'!A1" display="'资产损失（专项申报）税前扣除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rgb="FFFFFF00"/>
  </sheetPr>
  <dimension ref="A1:K19"/>
  <sheetViews>
    <sheetView workbookViewId="0">
      <selection activeCell="D20" sqref="D20"/>
    </sheetView>
  </sheetViews>
  <sheetFormatPr defaultRowHeight="15.6"/>
  <cols>
    <col min="1" max="1" width="5.19921875" style="1558" customWidth="1"/>
    <col min="2" max="2" width="27.19921875" style="1558" customWidth="1"/>
    <col min="3" max="9" width="12.3984375" style="1558" customWidth="1"/>
    <col min="10" max="10" width="9.69921875" style="1558" customWidth="1"/>
    <col min="11" max="11" width="15.19921875" style="1558" customWidth="1"/>
    <col min="12" max="256" width="9" style="1558"/>
    <col min="257" max="257" width="5.19921875" style="1558" customWidth="1"/>
    <col min="258" max="258" width="34.69921875" style="1558" customWidth="1"/>
    <col min="259" max="259" width="8.69921875" style="1558" customWidth="1"/>
    <col min="260" max="260" width="9" style="1558"/>
    <col min="261" max="261" width="9.8984375" style="1558" customWidth="1"/>
    <col min="262" max="263" width="8.19921875" style="1558" customWidth="1"/>
    <col min="264" max="264" width="9.8984375" style="1558" customWidth="1"/>
    <col min="265" max="265" width="7.5" style="1558" customWidth="1"/>
    <col min="266" max="266" width="14.5" style="1558" customWidth="1"/>
    <col min="267" max="267" width="15.19921875" style="1558" customWidth="1"/>
    <col min="268" max="512" width="9" style="1558"/>
    <col min="513" max="513" width="5.19921875" style="1558" customWidth="1"/>
    <col min="514" max="514" width="34.69921875" style="1558" customWidth="1"/>
    <col min="515" max="515" width="8.69921875" style="1558" customWidth="1"/>
    <col min="516" max="516" width="9" style="1558"/>
    <col min="517" max="517" width="9.8984375" style="1558" customWidth="1"/>
    <col min="518" max="519" width="8.19921875" style="1558" customWidth="1"/>
    <col min="520" max="520" width="9.8984375" style="1558" customWidth="1"/>
    <col min="521" max="521" width="7.5" style="1558" customWidth="1"/>
    <col min="522" max="522" width="14.5" style="1558" customWidth="1"/>
    <col min="523" max="523" width="15.19921875" style="1558" customWidth="1"/>
    <col min="524" max="768" width="9" style="1558"/>
    <col min="769" max="769" width="5.19921875" style="1558" customWidth="1"/>
    <col min="770" max="770" width="34.69921875" style="1558" customWidth="1"/>
    <col min="771" max="771" width="8.69921875" style="1558" customWidth="1"/>
    <col min="772" max="772" width="9" style="1558"/>
    <col min="773" max="773" width="9.8984375" style="1558" customWidth="1"/>
    <col min="774" max="775" width="8.19921875" style="1558" customWidth="1"/>
    <col min="776" max="776" width="9.8984375" style="1558" customWidth="1"/>
    <col min="777" max="777" width="7.5" style="1558" customWidth="1"/>
    <col min="778" max="778" width="14.5" style="1558" customWidth="1"/>
    <col min="779" max="779" width="15.19921875" style="1558" customWidth="1"/>
    <col min="780" max="1024" width="9" style="1558"/>
    <col min="1025" max="1025" width="5.19921875" style="1558" customWidth="1"/>
    <col min="1026" max="1026" width="34.69921875" style="1558" customWidth="1"/>
    <col min="1027" max="1027" width="8.69921875" style="1558" customWidth="1"/>
    <col min="1028" max="1028" width="9" style="1558"/>
    <col min="1029" max="1029" width="9.8984375" style="1558" customWidth="1"/>
    <col min="1030" max="1031" width="8.19921875" style="1558" customWidth="1"/>
    <col min="1032" max="1032" width="9.8984375" style="1558" customWidth="1"/>
    <col min="1033" max="1033" width="7.5" style="1558" customWidth="1"/>
    <col min="1034" max="1034" width="14.5" style="1558" customWidth="1"/>
    <col min="1035" max="1035" width="15.19921875" style="1558" customWidth="1"/>
    <col min="1036" max="1280" width="9" style="1558"/>
    <col min="1281" max="1281" width="5.19921875" style="1558" customWidth="1"/>
    <col min="1282" max="1282" width="34.69921875" style="1558" customWidth="1"/>
    <col min="1283" max="1283" width="8.69921875" style="1558" customWidth="1"/>
    <col min="1284" max="1284" width="9" style="1558"/>
    <col min="1285" max="1285" width="9.8984375" style="1558" customWidth="1"/>
    <col min="1286" max="1287" width="8.19921875" style="1558" customWidth="1"/>
    <col min="1288" max="1288" width="9.8984375" style="1558" customWidth="1"/>
    <col min="1289" max="1289" width="7.5" style="1558" customWidth="1"/>
    <col min="1290" max="1290" width="14.5" style="1558" customWidth="1"/>
    <col min="1291" max="1291" width="15.19921875" style="1558" customWidth="1"/>
    <col min="1292" max="1536" width="9" style="1558"/>
    <col min="1537" max="1537" width="5.19921875" style="1558" customWidth="1"/>
    <col min="1538" max="1538" width="34.69921875" style="1558" customWidth="1"/>
    <col min="1539" max="1539" width="8.69921875" style="1558" customWidth="1"/>
    <col min="1540" max="1540" width="9" style="1558"/>
    <col min="1541" max="1541" width="9.8984375" style="1558" customWidth="1"/>
    <col min="1542" max="1543" width="8.19921875" style="1558" customWidth="1"/>
    <col min="1544" max="1544" width="9.8984375" style="1558" customWidth="1"/>
    <col min="1545" max="1545" width="7.5" style="1558" customWidth="1"/>
    <col min="1546" max="1546" width="14.5" style="1558" customWidth="1"/>
    <col min="1547" max="1547" width="15.19921875" style="1558" customWidth="1"/>
    <col min="1548" max="1792" width="9" style="1558"/>
    <col min="1793" max="1793" width="5.19921875" style="1558" customWidth="1"/>
    <col min="1794" max="1794" width="34.69921875" style="1558" customWidth="1"/>
    <col min="1795" max="1795" width="8.69921875" style="1558" customWidth="1"/>
    <col min="1796" max="1796" width="9" style="1558"/>
    <col min="1797" max="1797" width="9.8984375" style="1558" customWidth="1"/>
    <col min="1798" max="1799" width="8.19921875" style="1558" customWidth="1"/>
    <col min="1800" max="1800" width="9.8984375" style="1558" customWidth="1"/>
    <col min="1801" max="1801" width="7.5" style="1558" customWidth="1"/>
    <col min="1802" max="1802" width="14.5" style="1558" customWidth="1"/>
    <col min="1803" max="1803" width="15.19921875" style="1558" customWidth="1"/>
    <col min="1804" max="2048" width="9" style="1558"/>
    <col min="2049" max="2049" width="5.19921875" style="1558" customWidth="1"/>
    <col min="2050" max="2050" width="34.69921875" style="1558" customWidth="1"/>
    <col min="2051" max="2051" width="8.69921875" style="1558" customWidth="1"/>
    <col min="2052" max="2052" width="9" style="1558"/>
    <col min="2053" max="2053" width="9.8984375" style="1558" customWidth="1"/>
    <col min="2054" max="2055" width="8.19921875" style="1558" customWidth="1"/>
    <col min="2056" max="2056" width="9.8984375" style="1558" customWidth="1"/>
    <col min="2057" max="2057" width="7.5" style="1558" customWidth="1"/>
    <col min="2058" max="2058" width="14.5" style="1558" customWidth="1"/>
    <col min="2059" max="2059" width="15.19921875" style="1558" customWidth="1"/>
    <col min="2060" max="2304" width="9" style="1558"/>
    <col min="2305" max="2305" width="5.19921875" style="1558" customWidth="1"/>
    <col min="2306" max="2306" width="34.69921875" style="1558" customWidth="1"/>
    <col min="2307" max="2307" width="8.69921875" style="1558" customWidth="1"/>
    <col min="2308" max="2308" width="9" style="1558"/>
    <col min="2309" max="2309" width="9.8984375" style="1558" customWidth="1"/>
    <col min="2310" max="2311" width="8.19921875" style="1558" customWidth="1"/>
    <col min="2312" max="2312" width="9.8984375" style="1558" customWidth="1"/>
    <col min="2313" max="2313" width="7.5" style="1558" customWidth="1"/>
    <col min="2314" max="2314" width="14.5" style="1558" customWidth="1"/>
    <col min="2315" max="2315" width="15.19921875" style="1558" customWidth="1"/>
    <col min="2316" max="2560" width="9" style="1558"/>
    <col min="2561" max="2561" width="5.19921875" style="1558" customWidth="1"/>
    <col min="2562" max="2562" width="34.69921875" style="1558" customWidth="1"/>
    <col min="2563" max="2563" width="8.69921875" style="1558" customWidth="1"/>
    <col min="2564" max="2564" width="9" style="1558"/>
    <col min="2565" max="2565" width="9.8984375" style="1558" customWidth="1"/>
    <col min="2566" max="2567" width="8.19921875" style="1558" customWidth="1"/>
    <col min="2568" max="2568" width="9.8984375" style="1558" customWidth="1"/>
    <col min="2569" max="2569" width="7.5" style="1558" customWidth="1"/>
    <col min="2570" max="2570" width="14.5" style="1558" customWidth="1"/>
    <col min="2571" max="2571" width="15.19921875" style="1558" customWidth="1"/>
    <col min="2572" max="2816" width="9" style="1558"/>
    <col min="2817" max="2817" width="5.19921875" style="1558" customWidth="1"/>
    <col min="2818" max="2818" width="34.69921875" style="1558" customWidth="1"/>
    <col min="2819" max="2819" width="8.69921875" style="1558" customWidth="1"/>
    <col min="2820" max="2820" width="9" style="1558"/>
    <col min="2821" max="2821" width="9.8984375" style="1558" customWidth="1"/>
    <col min="2822" max="2823" width="8.19921875" style="1558" customWidth="1"/>
    <col min="2824" max="2824" width="9.8984375" style="1558" customWidth="1"/>
    <col min="2825" max="2825" width="7.5" style="1558" customWidth="1"/>
    <col min="2826" max="2826" width="14.5" style="1558" customWidth="1"/>
    <col min="2827" max="2827" width="15.19921875" style="1558" customWidth="1"/>
    <col min="2828" max="3072" width="9" style="1558"/>
    <col min="3073" max="3073" width="5.19921875" style="1558" customWidth="1"/>
    <col min="3074" max="3074" width="34.69921875" style="1558" customWidth="1"/>
    <col min="3075" max="3075" width="8.69921875" style="1558" customWidth="1"/>
    <col min="3076" max="3076" width="9" style="1558"/>
    <col min="3077" max="3077" width="9.8984375" style="1558" customWidth="1"/>
    <col min="3078" max="3079" width="8.19921875" style="1558" customWidth="1"/>
    <col min="3080" max="3080" width="9.8984375" style="1558" customWidth="1"/>
    <col min="3081" max="3081" width="7.5" style="1558" customWidth="1"/>
    <col min="3082" max="3082" width="14.5" style="1558" customWidth="1"/>
    <col min="3083" max="3083" width="15.19921875" style="1558" customWidth="1"/>
    <col min="3084" max="3328" width="9" style="1558"/>
    <col min="3329" max="3329" width="5.19921875" style="1558" customWidth="1"/>
    <col min="3330" max="3330" width="34.69921875" style="1558" customWidth="1"/>
    <col min="3331" max="3331" width="8.69921875" style="1558" customWidth="1"/>
    <col min="3332" max="3332" width="9" style="1558"/>
    <col min="3333" max="3333" width="9.8984375" style="1558" customWidth="1"/>
    <col min="3334" max="3335" width="8.19921875" style="1558" customWidth="1"/>
    <col min="3336" max="3336" width="9.8984375" style="1558" customWidth="1"/>
    <col min="3337" max="3337" width="7.5" style="1558" customWidth="1"/>
    <col min="3338" max="3338" width="14.5" style="1558" customWidth="1"/>
    <col min="3339" max="3339" width="15.19921875" style="1558" customWidth="1"/>
    <col min="3340" max="3584" width="9" style="1558"/>
    <col min="3585" max="3585" width="5.19921875" style="1558" customWidth="1"/>
    <col min="3586" max="3586" width="34.69921875" style="1558" customWidth="1"/>
    <col min="3587" max="3587" width="8.69921875" style="1558" customWidth="1"/>
    <col min="3588" max="3588" width="9" style="1558"/>
    <col min="3589" max="3589" width="9.8984375" style="1558" customWidth="1"/>
    <col min="3590" max="3591" width="8.19921875" style="1558" customWidth="1"/>
    <col min="3592" max="3592" width="9.8984375" style="1558" customWidth="1"/>
    <col min="3593" max="3593" width="7.5" style="1558" customWidth="1"/>
    <col min="3594" max="3594" width="14.5" style="1558" customWidth="1"/>
    <col min="3595" max="3595" width="15.19921875" style="1558" customWidth="1"/>
    <col min="3596" max="3840" width="9" style="1558"/>
    <col min="3841" max="3841" width="5.19921875" style="1558" customWidth="1"/>
    <col min="3842" max="3842" width="34.69921875" style="1558" customWidth="1"/>
    <col min="3843" max="3843" width="8.69921875" style="1558" customWidth="1"/>
    <col min="3844" max="3844" width="9" style="1558"/>
    <col min="3845" max="3845" width="9.8984375" style="1558" customWidth="1"/>
    <col min="3846" max="3847" width="8.19921875" style="1558" customWidth="1"/>
    <col min="3848" max="3848" width="9.8984375" style="1558" customWidth="1"/>
    <col min="3849" max="3849" width="7.5" style="1558" customWidth="1"/>
    <col min="3850" max="3850" width="14.5" style="1558" customWidth="1"/>
    <col min="3851" max="3851" width="15.19921875" style="1558" customWidth="1"/>
    <col min="3852" max="4096" width="9" style="1558"/>
    <col min="4097" max="4097" width="5.19921875" style="1558" customWidth="1"/>
    <col min="4098" max="4098" width="34.69921875" style="1558" customWidth="1"/>
    <col min="4099" max="4099" width="8.69921875" style="1558" customWidth="1"/>
    <col min="4100" max="4100" width="9" style="1558"/>
    <col min="4101" max="4101" width="9.8984375" style="1558" customWidth="1"/>
    <col min="4102" max="4103" width="8.19921875" style="1558" customWidth="1"/>
    <col min="4104" max="4104" width="9.8984375" style="1558" customWidth="1"/>
    <col min="4105" max="4105" width="7.5" style="1558" customWidth="1"/>
    <col min="4106" max="4106" width="14.5" style="1558" customWidth="1"/>
    <col min="4107" max="4107" width="15.19921875" style="1558" customWidth="1"/>
    <col min="4108" max="4352" width="9" style="1558"/>
    <col min="4353" max="4353" width="5.19921875" style="1558" customWidth="1"/>
    <col min="4354" max="4354" width="34.69921875" style="1558" customWidth="1"/>
    <col min="4355" max="4355" width="8.69921875" style="1558" customWidth="1"/>
    <col min="4356" max="4356" width="9" style="1558"/>
    <col min="4357" max="4357" width="9.8984375" style="1558" customWidth="1"/>
    <col min="4358" max="4359" width="8.19921875" style="1558" customWidth="1"/>
    <col min="4360" max="4360" width="9.8984375" style="1558" customWidth="1"/>
    <col min="4361" max="4361" width="7.5" style="1558" customWidth="1"/>
    <col min="4362" max="4362" width="14.5" style="1558" customWidth="1"/>
    <col min="4363" max="4363" width="15.19921875" style="1558" customWidth="1"/>
    <col min="4364" max="4608" width="9" style="1558"/>
    <col min="4609" max="4609" width="5.19921875" style="1558" customWidth="1"/>
    <col min="4610" max="4610" width="34.69921875" style="1558" customWidth="1"/>
    <col min="4611" max="4611" width="8.69921875" style="1558" customWidth="1"/>
    <col min="4612" max="4612" width="9" style="1558"/>
    <col min="4613" max="4613" width="9.8984375" style="1558" customWidth="1"/>
    <col min="4614" max="4615" width="8.19921875" style="1558" customWidth="1"/>
    <col min="4616" max="4616" width="9.8984375" style="1558" customWidth="1"/>
    <col min="4617" max="4617" width="7.5" style="1558" customWidth="1"/>
    <col min="4618" max="4618" width="14.5" style="1558" customWidth="1"/>
    <col min="4619" max="4619" width="15.19921875" style="1558" customWidth="1"/>
    <col min="4620" max="4864" width="9" style="1558"/>
    <col min="4865" max="4865" width="5.19921875" style="1558" customWidth="1"/>
    <col min="4866" max="4866" width="34.69921875" style="1558" customWidth="1"/>
    <col min="4867" max="4867" width="8.69921875" style="1558" customWidth="1"/>
    <col min="4868" max="4868" width="9" style="1558"/>
    <col min="4869" max="4869" width="9.8984375" style="1558" customWidth="1"/>
    <col min="4870" max="4871" width="8.19921875" style="1558" customWidth="1"/>
    <col min="4872" max="4872" width="9.8984375" style="1558" customWidth="1"/>
    <col min="4873" max="4873" width="7.5" style="1558" customWidth="1"/>
    <col min="4874" max="4874" width="14.5" style="1558" customWidth="1"/>
    <col min="4875" max="4875" width="15.19921875" style="1558" customWidth="1"/>
    <col min="4876" max="5120" width="9" style="1558"/>
    <col min="5121" max="5121" width="5.19921875" style="1558" customWidth="1"/>
    <col min="5122" max="5122" width="34.69921875" style="1558" customWidth="1"/>
    <col min="5123" max="5123" width="8.69921875" style="1558" customWidth="1"/>
    <col min="5124" max="5124" width="9" style="1558"/>
    <col min="5125" max="5125" width="9.8984375" style="1558" customWidth="1"/>
    <col min="5126" max="5127" width="8.19921875" style="1558" customWidth="1"/>
    <col min="5128" max="5128" width="9.8984375" style="1558" customWidth="1"/>
    <col min="5129" max="5129" width="7.5" style="1558" customWidth="1"/>
    <col min="5130" max="5130" width="14.5" style="1558" customWidth="1"/>
    <col min="5131" max="5131" width="15.19921875" style="1558" customWidth="1"/>
    <col min="5132" max="5376" width="9" style="1558"/>
    <col min="5377" max="5377" width="5.19921875" style="1558" customWidth="1"/>
    <col min="5378" max="5378" width="34.69921875" style="1558" customWidth="1"/>
    <col min="5379" max="5379" width="8.69921875" style="1558" customWidth="1"/>
    <col min="5380" max="5380" width="9" style="1558"/>
    <col min="5381" max="5381" width="9.8984375" style="1558" customWidth="1"/>
    <col min="5382" max="5383" width="8.19921875" style="1558" customWidth="1"/>
    <col min="5384" max="5384" width="9.8984375" style="1558" customWidth="1"/>
    <col min="5385" max="5385" width="7.5" style="1558" customWidth="1"/>
    <col min="5386" max="5386" width="14.5" style="1558" customWidth="1"/>
    <col min="5387" max="5387" width="15.19921875" style="1558" customWidth="1"/>
    <col min="5388" max="5632" width="9" style="1558"/>
    <col min="5633" max="5633" width="5.19921875" style="1558" customWidth="1"/>
    <col min="5634" max="5634" width="34.69921875" style="1558" customWidth="1"/>
    <col min="5635" max="5635" width="8.69921875" style="1558" customWidth="1"/>
    <col min="5636" max="5636" width="9" style="1558"/>
    <col min="5637" max="5637" width="9.8984375" style="1558" customWidth="1"/>
    <col min="5638" max="5639" width="8.19921875" style="1558" customWidth="1"/>
    <col min="5640" max="5640" width="9.8984375" style="1558" customWidth="1"/>
    <col min="5641" max="5641" width="7.5" style="1558" customWidth="1"/>
    <col min="5642" max="5642" width="14.5" style="1558" customWidth="1"/>
    <col min="5643" max="5643" width="15.19921875" style="1558" customWidth="1"/>
    <col min="5644" max="5888" width="9" style="1558"/>
    <col min="5889" max="5889" width="5.19921875" style="1558" customWidth="1"/>
    <col min="5890" max="5890" width="34.69921875" style="1558" customWidth="1"/>
    <col min="5891" max="5891" width="8.69921875" style="1558" customWidth="1"/>
    <col min="5892" max="5892" width="9" style="1558"/>
    <col min="5893" max="5893" width="9.8984375" style="1558" customWidth="1"/>
    <col min="5894" max="5895" width="8.19921875" style="1558" customWidth="1"/>
    <col min="5896" max="5896" width="9.8984375" style="1558" customWidth="1"/>
    <col min="5897" max="5897" width="7.5" style="1558" customWidth="1"/>
    <col min="5898" max="5898" width="14.5" style="1558" customWidth="1"/>
    <col min="5899" max="5899" width="15.19921875" style="1558" customWidth="1"/>
    <col min="5900" max="6144" width="9" style="1558"/>
    <col min="6145" max="6145" width="5.19921875" style="1558" customWidth="1"/>
    <col min="6146" max="6146" width="34.69921875" style="1558" customWidth="1"/>
    <col min="6147" max="6147" width="8.69921875" style="1558" customWidth="1"/>
    <col min="6148" max="6148" width="9" style="1558"/>
    <col min="6149" max="6149" width="9.8984375" style="1558" customWidth="1"/>
    <col min="6150" max="6151" width="8.19921875" style="1558" customWidth="1"/>
    <col min="6152" max="6152" width="9.8984375" style="1558" customWidth="1"/>
    <col min="6153" max="6153" width="7.5" style="1558" customWidth="1"/>
    <col min="6154" max="6154" width="14.5" style="1558" customWidth="1"/>
    <col min="6155" max="6155" width="15.19921875" style="1558" customWidth="1"/>
    <col min="6156" max="6400" width="9" style="1558"/>
    <col min="6401" max="6401" width="5.19921875" style="1558" customWidth="1"/>
    <col min="6402" max="6402" width="34.69921875" style="1558" customWidth="1"/>
    <col min="6403" max="6403" width="8.69921875" style="1558" customWidth="1"/>
    <col min="6404" max="6404" width="9" style="1558"/>
    <col min="6405" max="6405" width="9.8984375" style="1558" customWidth="1"/>
    <col min="6406" max="6407" width="8.19921875" style="1558" customWidth="1"/>
    <col min="6408" max="6408" width="9.8984375" style="1558" customWidth="1"/>
    <col min="6409" max="6409" width="7.5" style="1558" customWidth="1"/>
    <col min="6410" max="6410" width="14.5" style="1558" customWidth="1"/>
    <col min="6411" max="6411" width="15.19921875" style="1558" customWidth="1"/>
    <col min="6412" max="6656" width="9" style="1558"/>
    <col min="6657" max="6657" width="5.19921875" style="1558" customWidth="1"/>
    <col min="6658" max="6658" width="34.69921875" style="1558" customWidth="1"/>
    <col min="6659" max="6659" width="8.69921875" style="1558" customWidth="1"/>
    <col min="6660" max="6660" width="9" style="1558"/>
    <col min="6661" max="6661" width="9.8984375" style="1558" customWidth="1"/>
    <col min="6662" max="6663" width="8.19921875" style="1558" customWidth="1"/>
    <col min="6664" max="6664" width="9.8984375" style="1558" customWidth="1"/>
    <col min="6665" max="6665" width="7.5" style="1558" customWidth="1"/>
    <col min="6666" max="6666" width="14.5" style="1558" customWidth="1"/>
    <col min="6667" max="6667" width="15.19921875" style="1558" customWidth="1"/>
    <col min="6668" max="6912" width="9" style="1558"/>
    <col min="6913" max="6913" width="5.19921875" style="1558" customWidth="1"/>
    <col min="6914" max="6914" width="34.69921875" style="1558" customWidth="1"/>
    <col min="6915" max="6915" width="8.69921875" style="1558" customWidth="1"/>
    <col min="6916" max="6916" width="9" style="1558"/>
    <col min="6917" max="6917" width="9.8984375" style="1558" customWidth="1"/>
    <col min="6918" max="6919" width="8.19921875" style="1558" customWidth="1"/>
    <col min="6920" max="6920" width="9.8984375" style="1558" customWidth="1"/>
    <col min="6921" max="6921" width="7.5" style="1558" customWidth="1"/>
    <col min="6922" max="6922" width="14.5" style="1558" customWidth="1"/>
    <col min="6923" max="6923" width="15.19921875" style="1558" customWidth="1"/>
    <col min="6924" max="7168" width="9" style="1558"/>
    <col min="7169" max="7169" width="5.19921875" style="1558" customWidth="1"/>
    <col min="7170" max="7170" width="34.69921875" style="1558" customWidth="1"/>
    <col min="7171" max="7171" width="8.69921875" style="1558" customWidth="1"/>
    <col min="7172" max="7172" width="9" style="1558"/>
    <col min="7173" max="7173" width="9.8984375" style="1558" customWidth="1"/>
    <col min="7174" max="7175" width="8.19921875" style="1558" customWidth="1"/>
    <col min="7176" max="7176" width="9.8984375" style="1558" customWidth="1"/>
    <col min="7177" max="7177" width="7.5" style="1558" customWidth="1"/>
    <col min="7178" max="7178" width="14.5" style="1558" customWidth="1"/>
    <col min="7179" max="7179" width="15.19921875" style="1558" customWidth="1"/>
    <col min="7180" max="7424" width="9" style="1558"/>
    <col min="7425" max="7425" width="5.19921875" style="1558" customWidth="1"/>
    <col min="7426" max="7426" width="34.69921875" style="1558" customWidth="1"/>
    <col min="7427" max="7427" width="8.69921875" style="1558" customWidth="1"/>
    <col min="7428" max="7428" width="9" style="1558"/>
    <col min="7429" max="7429" width="9.8984375" style="1558" customWidth="1"/>
    <col min="7430" max="7431" width="8.19921875" style="1558" customWidth="1"/>
    <col min="7432" max="7432" width="9.8984375" style="1558" customWidth="1"/>
    <col min="7433" max="7433" width="7.5" style="1558" customWidth="1"/>
    <col min="7434" max="7434" width="14.5" style="1558" customWidth="1"/>
    <col min="7435" max="7435" width="15.19921875" style="1558" customWidth="1"/>
    <col min="7436" max="7680" width="9" style="1558"/>
    <col min="7681" max="7681" width="5.19921875" style="1558" customWidth="1"/>
    <col min="7682" max="7682" width="34.69921875" style="1558" customWidth="1"/>
    <col min="7683" max="7683" width="8.69921875" style="1558" customWidth="1"/>
    <col min="7684" max="7684" width="9" style="1558"/>
    <col min="7685" max="7685" width="9.8984375" style="1558" customWidth="1"/>
    <col min="7686" max="7687" width="8.19921875" style="1558" customWidth="1"/>
    <col min="7688" max="7688" width="9.8984375" style="1558" customWidth="1"/>
    <col min="7689" max="7689" width="7.5" style="1558" customWidth="1"/>
    <col min="7690" max="7690" width="14.5" style="1558" customWidth="1"/>
    <col min="7691" max="7691" width="15.19921875" style="1558" customWidth="1"/>
    <col min="7692" max="7936" width="9" style="1558"/>
    <col min="7937" max="7937" width="5.19921875" style="1558" customWidth="1"/>
    <col min="7938" max="7938" width="34.69921875" style="1558" customWidth="1"/>
    <col min="7939" max="7939" width="8.69921875" style="1558" customWidth="1"/>
    <col min="7940" max="7940" width="9" style="1558"/>
    <col min="7941" max="7941" width="9.8984375" style="1558" customWidth="1"/>
    <col min="7942" max="7943" width="8.19921875" style="1558" customWidth="1"/>
    <col min="7944" max="7944" width="9.8984375" style="1558" customWidth="1"/>
    <col min="7945" max="7945" width="7.5" style="1558" customWidth="1"/>
    <col min="7946" max="7946" width="14.5" style="1558" customWidth="1"/>
    <col min="7947" max="7947" width="15.19921875" style="1558" customWidth="1"/>
    <col min="7948" max="8192" width="9" style="1558"/>
    <col min="8193" max="8193" width="5.19921875" style="1558" customWidth="1"/>
    <col min="8194" max="8194" width="34.69921875" style="1558" customWidth="1"/>
    <col min="8195" max="8195" width="8.69921875" style="1558" customWidth="1"/>
    <col min="8196" max="8196" width="9" style="1558"/>
    <col min="8197" max="8197" width="9.8984375" style="1558" customWidth="1"/>
    <col min="8198" max="8199" width="8.19921875" style="1558" customWidth="1"/>
    <col min="8200" max="8200" width="9.8984375" style="1558" customWidth="1"/>
    <col min="8201" max="8201" width="7.5" style="1558" customWidth="1"/>
    <col min="8202" max="8202" width="14.5" style="1558" customWidth="1"/>
    <col min="8203" max="8203" width="15.19921875" style="1558" customWidth="1"/>
    <col min="8204" max="8448" width="9" style="1558"/>
    <col min="8449" max="8449" width="5.19921875" style="1558" customWidth="1"/>
    <col min="8450" max="8450" width="34.69921875" style="1558" customWidth="1"/>
    <col min="8451" max="8451" width="8.69921875" style="1558" customWidth="1"/>
    <col min="8452" max="8452" width="9" style="1558"/>
    <col min="8453" max="8453" width="9.8984375" style="1558" customWidth="1"/>
    <col min="8454" max="8455" width="8.19921875" style="1558" customWidth="1"/>
    <col min="8456" max="8456" width="9.8984375" style="1558" customWidth="1"/>
    <col min="8457" max="8457" width="7.5" style="1558" customWidth="1"/>
    <col min="8458" max="8458" width="14.5" style="1558" customWidth="1"/>
    <col min="8459" max="8459" width="15.19921875" style="1558" customWidth="1"/>
    <col min="8460" max="8704" width="9" style="1558"/>
    <col min="8705" max="8705" width="5.19921875" style="1558" customWidth="1"/>
    <col min="8706" max="8706" width="34.69921875" style="1558" customWidth="1"/>
    <col min="8707" max="8707" width="8.69921875" style="1558" customWidth="1"/>
    <col min="8708" max="8708" width="9" style="1558"/>
    <col min="8709" max="8709" width="9.8984375" style="1558" customWidth="1"/>
    <col min="8710" max="8711" width="8.19921875" style="1558" customWidth="1"/>
    <col min="8712" max="8712" width="9.8984375" style="1558" customWidth="1"/>
    <col min="8713" max="8713" width="7.5" style="1558" customWidth="1"/>
    <col min="8714" max="8714" width="14.5" style="1558" customWidth="1"/>
    <col min="8715" max="8715" width="15.19921875" style="1558" customWidth="1"/>
    <col min="8716" max="8960" width="9" style="1558"/>
    <col min="8961" max="8961" width="5.19921875" style="1558" customWidth="1"/>
    <col min="8962" max="8962" width="34.69921875" style="1558" customWidth="1"/>
    <col min="8963" max="8963" width="8.69921875" style="1558" customWidth="1"/>
    <col min="8964" max="8964" width="9" style="1558"/>
    <col min="8965" max="8965" width="9.8984375" style="1558" customWidth="1"/>
    <col min="8966" max="8967" width="8.19921875" style="1558" customWidth="1"/>
    <col min="8968" max="8968" width="9.8984375" style="1558" customWidth="1"/>
    <col min="8969" max="8969" width="7.5" style="1558" customWidth="1"/>
    <col min="8970" max="8970" width="14.5" style="1558" customWidth="1"/>
    <col min="8971" max="8971" width="15.19921875" style="1558" customWidth="1"/>
    <col min="8972" max="9216" width="9" style="1558"/>
    <col min="9217" max="9217" width="5.19921875" style="1558" customWidth="1"/>
    <col min="9218" max="9218" width="34.69921875" style="1558" customWidth="1"/>
    <col min="9219" max="9219" width="8.69921875" style="1558" customWidth="1"/>
    <col min="9220" max="9220" width="9" style="1558"/>
    <col min="9221" max="9221" width="9.8984375" style="1558" customWidth="1"/>
    <col min="9222" max="9223" width="8.19921875" style="1558" customWidth="1"/>
    <col min="9224" max="9224" width="9.8984375" style="1558" customWidth="1"/>
    <col min="9225" max="9225" width="7.5" style="1558" customWidth="1"/>
    <col min="9226" max="9226" width="14.5" style="1558" customWidth="1"/>
    <col min="9227" max="9227" width="15.19921875" style="1558" customWidth="1"/>
    <col min="9228" max="9472" width="9" style="1558"/>
    <col min="9473" max="9473" width="5.19921875" style="1558" customWidth="1"/>
    <col min="9474" max="9474" width="34.69921875" style="1558" customWidth="1"/>
    <col min="9475" max="9475" width="8.69921875" style="1558" customWidth="1"/>
    <col min="9476" max="9476" width="9" style="1558"/>
    <col min="9477" max="9477" width="9.8984375" style="1558" customWidth="1"/>
    <col min="9478" max="9479" width="8.19921875" style="1558" customWidth="1"/>
    <col min="9480" max="9480" width="9.8984375" style="1558" customWidth="1"/>
    <col min="9481" max="9481" width="7.5" style="1558" customWidth="1"/>
    <col min="9482" max="9482" width="14.5" style="1558" customWidth="1"/>
    <col min="9483" max="9483" width="15.19921875" style="1558" customWidth="1"/>
    <col min="9484" max="9728" width="9" style="1558"/>
    <col min="9729" max="9729" width="5.19921875" style="1558" customWidth="1"/>
    <col min="9730" max="9730" width="34.69921875" style="1558" customWidth="1"/>
    <col min="9731" max="9731" width="8.69921875" style="1558" customWidth="1"/>
    <col min="9732" max="9732" width="9" style="1558"/>
    <col min="9733" max="9733" width="9.8984375" style="1558" customWidth="1"/>
    <col min="9734" max="9735" width="8.19921875" style="1558" customWidth="1"/>
    <col min="9736" max="9736" width="9.8984375" style="1558" customWidth="1"/>
    <col min="9737" max="9737" width="7.5" style="1558" customWidth="1"/>
    <col min="9738" max="9738" width="14.5" style="1558" customWidth="1"/>
    <col min="9739" max="9739" width="15.19921875" style="1558" customWidth="1"/>
    <col min="9740" max="9984" width="9" style="1558"/>
    <col min="9985" max="9985" width="5.19921875" style="1558" customWidth="1"/>
    <col min="9986" max="9986" width="34.69921875" style="1558" customWidth="1"/>
    <col min="9987" max="9987" width="8.69921875" style="1558" customWidth="1"/>
    <col min="9988" max="9988" width="9" style="1558"/>
    <col min="9989" max="9989" width="9.8984375" style="1558" customWidth="1"/>
    <col min="9990" max="9991" width="8.19921875" style="1558" customWidth="1"/>
    <col min="9992" max="9992" width="9.8984375" style="1558" customWidth="1"/>
    <col min="9993" max="9993" width="7.5" style="1558" customWidth="1"/>
    <col min="9994" max="9994" width="14.5" style="1558" customWidth="1"/>
    <col min="9995" max="9995" width="15.19921875" style="1558" customWidth="1"/>
    <col min="9996" max="10240" width="9" style="1558"/>
    <col min="10241" max="10241" width="5.19921875" style="1558" customWidth="1"/>
    <col min="10242" max="10242" width="34.69921875" style="1558" customWidth="1"/>
    <col min="10243" max="10243" width="8.69921875" style="1558" customWidth="1"/>
    <col min="10244" max="10244" width="9" style="1558"/>
    <col min="10245" max="10245" width="9.8984375" style="1558" customWidth="1"/>
    <col min="10246" max="10247" width="8.19921875" style="1558" customWidth="1"/>
    <col min="10248" max="10248" width="9.8984375" style="1558" customWidth="1"/>
    <col min="10249" max="10249" width="7.5" style="1558" customWidth="1"/>
    <col min="10250" max="10250" width="14.5" style="1558" customWidth="1"/>
    <col min="10251" max="10251" width="15.19921875" style="1558" customWidth="1"/>
    <col min="10252" max="10496" width="9" style="1558"/>
    <col min="10497" max="10497" width="5.19921875" style="1558" customWidth="1"/>
    <col min="10498" max="10498" width="34.69921875" style="1558" customWidth="1"/>
    <col min="10499" max="10499" width="8.69921875" style="1558" customWidth="1"/>
    <col min="10500" max="10500" width="9" style="1558"/>
    <col min="10501" max="10501" width="9.8984375" style="1558" customWidth="1"/>
    <col min="10502" max="10503" width="8.19921875" style="1558" customWidth="1"/>
    <col min="10504" max="10504" width="9.8984375" style="1558" customWidth="1"/>
    <col min="10505" max="10505" width="7.5" style="1558" customWidth="1"/>
    <col min="10506" max="10506" width="14.5" style="1558" customWidth="1"/>
    <col min="10507" max="10507" width="15.19921875" style="1558" customWidth="1"/>
    <col min="10508" max="10752" width="9" style="1558"/>
    <col min="10753" max="10753" width="5.19921875" style="1558" customWidth="1"/>
    <col min="10754" max="10754" width="34.69921875" style="1558" customWidth="1"/>
    <col min="10755" max="10755" width="8.69921875" style="1558" customWidth="1"/>
    <col min="10756" max="10756" width="9" style="1558"/>
    <col min="10757" max="10757" width="9.8984375" style="1558" customWidth="1"/>
    <col min="10758" max="10759" width="8.19921875" style="1558" customWidth="1"/>
    <col min="10760" max="10760" width="9.8984375" style="1558" customWidth="1"/>
    <col min="10761" max="10761" width="7.5" style="1558" customWidth="1"/>
    <col min="10762" max="10762" width="14.5" style="1558" customWidth="1"/>
    <col min="10763" max="10763" width="15.19921875" style="1558" customWidth="1"/>
    <col min="10764" max="11008" width="9" style="1558"/>
    <col min="11009" max="11009" width="5.19921875" style="1558" customWidth="1"/>
    <col min="11010" max="11010" width="34.69921875" style="1558" customWidth="1"/>
    <col min="11011" max="11011" width="8.69921875" style="1558" customWidth="1"/>
    <col min="11012" max="11012" width="9" style="1558"/>
    <col min="11013" max="11013" width="9.8984375" style="1558" customWidth="1"/>
    <col min="11014" max="11015" width="8.19921875" style="1558" customWidth="1"/>
    <col min="11016" max="11016" width="9.8984375" style="1558" customWidth="1"/>
    <col min="11017" max="11017" width="7.5" style="1558" customWidth="1"/>
    <col min="11018" max="11018" width="14.5" style="1558" customWidth="1"/>
    <col min="11019" max="11019" width="15.19921875" style="1558" customWidth="1"/>
    <col min="11020" max="11264" width="9" style="1558"/>
    <col min="11265" max="11265" width="5.19921875" style="1558" customWidth="1"/>
    <col min="11266" max="11266" width="34.69921875" style="1558" customWidth="1"/>
    <col min="11267" max="11267" width="8.69921875" style="1558" customWidth="1"/>
    <col min="11268" max="11268" width="9" style="1558"/>
    <col min="11269" max="11269" width="9.8984375" style="1558" customWidth="1"/>
    <col min="11270" max="11271" width="8.19921875" style="1558" customWidth="1"/>
    <col min="11272" max="11272" width="9.8984375" style="1558" customWidth="1"/>
    <col min="11273" max="11273" width="7.5" style="1558" customWidth="1"/>
    <col min="11274" max="11274" width="14.5" style="1558" customWidth="1"/>
    <col min="11275" max="11275" width="15.19921875" style="1558" customWidth="1"/>
    <col min="11276" max="11520" width="9" style="1558"/>
    <col min="11521" max="11521" width="5.19921875" style="1558" customWidth="1"/>
    <col min="11522" max="11522" width="34.69921875" style="1558" customWidth="1"/>
    <col min="11523" max="11523" width="8.69921875" style="1558" customWidth="1"/>
    <col min="11524" max="11524" width="9" style="1558"/>
    <col min="11525" max="11525" width="9.8984375" style="1558" customWidth="1"/>
    <col min="11526" max="11527" width="8.19921875" style="1558" customWidth="1"/>
    <col min="11528" max="11528" width="9.8984375" style="1558" customWidth="1"/>
    <col min="11529" max="11529" width="7.5" style="1558" customWidth="1"/>
    <col min="11530" max="11530" width="14.5" style="1558" customWidth="1"/>
    <col min="11531" max="11531" width="15.19921875" style="1558" customWidth="1"/>
    <col min="11532" max="11776" width="9" style="1558"/>
    <col min="11777" max="11777" width="5.19921875" style="1558" customWidth="1"/>
    <col min="11778" max="11778" width="34.69921875" style="1558" customWidth="1"/>
    <col min="11779" max="11779" width="8.69921875" style="1558" customWidth="1"/>
    <col min="11780" max="11780" width="9" style="1558"/>
    <col min="11781" max="11781" width="9.8984375" style="1558" customWidth="1"/>
    <col min="11782" max="11783" width="8.19921875" style="1558" customWidth="1"/>
    <col min="11784" max="11784" width="9.8984375" style="1558" customWidth="1"/>
    <col min="11785" max="11785" width="7.5" style="1558" customWidth="1"/>
    <col min="11786" max="11786" width="14.5" style="1558" customWidth="1"/>
    <col min="11787" max="11787" width="15.19921875" style="1558" customWidth="1"/>
    <col min="11788" max="12032" width="9" style="1558"/>
    <col min="12033" max="12033" width="5.19921875" style="1558" customWidth="1"/>
    <col min="12034" max="12034" width="34.69921875" style="1558" customWidth="1"/>
    <col min="12035" max="12035" width="8.69921875" style="1558" customWidth="1"/>
    <col min="12036" max="12036" width="9" style="1558"/>
    <col min="12037" max="12037" width="9.8984375" style="1558" customWidth="1"/>
    <col min="12038" max="12039" width="8.19921875" style="1558" customWidth="1"/>
    <col min="12040" max="12040" width="9.8984375" style="1558" customWidth="1"/>
    <col min="12041" max="12041" width="7.5" style="1558" customWidth="1"/>
    <col min="12042" max="12042" width="14.5" style="1558" customWidth="1"/>
    <col min="12043" max="12043" width="15.19921875" style="1558" customWidth="1"/>
    <col min="12044" max="12288" width="9" style="1558"/>
    <col min="12289" max="12289" width="5.19921875" style="1558" customWidth="1"/>
    <col min="12290" max="12290" width="34.69921875" style="1558" customWidth="1"/>
    <col min="12291" max="12291" width="8.69921875" style="1558" customWidth="1"/>
    <col min="12292" max="12292" width="9" style="1558"/>
    <col min="12293" max="12293" width="9.8984375" style="1558" customWidth="1"/>
    <col min="12294" max="12295" width="8.19921875" style="1558" customWidth="1"/>
    <col min="12296" max="12296" width="9.8984375" style="1558" customWidth="1"/>
    <col min="12297" max="12297" width="7.5" style="1558" customWidth="1"/>
    <col min="12298" max="12298" width="14.5" style="1558" customWidth="1"/>
    <col min="12299" max="12299" width="15.19921875" style="1558" customWidth="1"/>
    <col min="12300" max="12544" width="9" style="1558"/>
    <col min="12545" max="12545" width="5.19921875" style="1558" customWidth="1"/>
    <col min="12546" max="12546" width="34.69921875" style="1558" customWidth="1"/>
    <col min="12547" max="12547" width="8.69921875" style="1558" customWidth="1"/>
    <col min="12548" max="12548" width="9" style="1558"/>
    <col min="12549" max="12549" width="9.8984375" style="1558" customWidth="1"/>
    <col min="12550" max="12551" width="8.19921875" style="1558" customWidth="1"/>
    <col min="12552" max="12552" width="9.8984375" style="1558" customWidth="1"/>
    <col min="12553" max="12553" width="7.5" style="1558" customWidth="1"/>
    <col min="12554" max="12554" width="14.5" style="1558" customWidth="1"/>
    <col min="12555" max="12555" width="15.19921875" style="1558" customWidth="1"/>
    <col min="12556" max="12800" width="9" style="1558"/>
    <col min="12801" max="12801" width="5.19921875" style="1558" customWidth="1"/>
    <col min="12802" max="12802" width="34.69921875" style="1558" customWidth="1"/>
    <col min="12803" max="12803" width="8.69921875" style="1558" customWidth="1"/>
    <col min="12804" max="12804" width="9" style="1558"/>
    <col min="12805" max="12805" width="9.8984375" style="1558" customWidth="1"/>
    <col min="12806" max="12807" width="8.19921875" style="1558" customWidth="1"/>
    <col min="12808" max="12808" width="9.8984375" style="1558" customWidth="1"/>
    <col min="12809" max="12809" width="7.5" style="1558" customWidth="1"/>
    <col min="12810" max="12810" width="14.5" style="1558" customWidth="1"/>
    <col min="12811" max="12811" width="15.19921875" style="1558" customWidth="1"/>
    <col min="12812" max="13056" width="9" style="1558"/>
    <col min="13057" max="13057" width="5.19921875" style="1558" customWidth="1"/>
    <col min="13058" max="13058" width="34.69921875" style="1558" customWidth="1"/>
    <col min="13059" max="13059" width="8.69921875" style="1558" customWidth="1"/>
    <col min="13060" max="13060" width="9" style="1558"/>
    <col min="13061" max="13061" width="9.8984375" style="1558" customWidth="1"/>
    <col min="13062" max="13063" width="8.19921875" style="1558" customWidth="1"/>
    <col min="13064" max="13064" width="9.8984375" style="1558" customWidth="1"/>
    <col min="13065" max="13065" width="7.5" style="1558" customWidth="1"/>
    <col min="13066" max="13066" width="14.5" style="1558" customWidth="1"/>
    <col min="13067" max="13067" width="15.19921875" style="1558" customWidth="1"/>
    <col min="13068" max="13312" width="9" style="1558"/>
    <col min="13313" max="13313" width="5.19921875" style="1558" customWidth="1"/>
    <col min="13314" max="13314" width="34.69921875" style="1558" customWidth="1"/>
    <col min="13315" max="13315" width="8.69921875" style="1558" customWidth="1"/>
    <col min="13316" max="13316" width="9" style="1558"/>
    <col min="13317" max="13317" width="9.8984375" style="1558" customWidth="1"/>
    <col min="13318" max="13319" width="8.19921875" style="1558" customWidth="1"/>
    <col min="13320" max="13320" width="9.8984375" style="1558" customWidth="1"/>
    <col min="13321" max="13321" width="7.5" style="1558" customWidth="1"/>
    <col min="13322" max="13322" width="14.5" style="1558" customWidth="1"/>
    <col min="13323" max="13323" width="15.19921875" style="1558" customWidth="1"/>
    <col min="13324" max="13568" width="9" style="1558"/>
    <col min="13569" max="13569" width="5.19921875" style="1558" customWidth="1"/>
    <col min="13570" max="13570" width="34.69921875" style="1558" customWidth="1"/>
    <col min="13571" max="13571" width="8.69921875" style="1558" customWidth="1"/>
    <col min="13572" max="13572" width="9" style="1558"/>
    <col min="13573" max="13573" width="9.8984375" style="1558" customWidth="1"/>
    <col min="13574" max="13575" width="8.19921875" style="1558" customWidth="1"/>
    <col min="13576" max="13576" width="9.8984375" style="1558" customWidth="1"/>
    <col min="13577" max="13577" width="7.5" style="1558" customWidth="1"/>
    <col min="13578" max="13578" width="14.5" style="1558" customWidth="1"/>
    <col min="13579" max="13579" width="15.19921875" style="1558" customWidth="1"/>
    <col min="13580" max="13824" width="9" style="1558"/>
    <col min="13825" max="13825" width="5.19921875" style="1558" customWidth="1"/>
    <col min="13826" max="13826" width="34.69921875" style="1558" customWidth="1"/>
    <col min="13827" max="13827" width="8.69921875" style="1558" customWidth="1"/>
    <col min="13828" max="13828" width="9" style="1558"/>
    <col min="13829" max="13829" width="9.8984375" style="1558" customWidth="1"/>
    <col min="13830" max="13831" width="8.19921875" style="1558" customWidth="1"/>
    <col min="13832" max="13832" width="9.8984375" style="1558" customWidth="1"/>
    <col min="13833" max="13833" width="7.5" style="1558" customWidth="1"/>
    <col min="13834" max="13834" width="14.5" style="1558" customWidth="1"/>
    <col min="13835" max="13835" width="15.19921875" style="1558" customWidth="1"/>
    <col min="13836" max="14080" width="9" style="1558"/>
    <col min="14081" max="14081" width="5.19921875" style="1558" customWidth="1"/>
    <col min="14082" max="14082" width="34.69921875" style="1558" customWidth="1"/>
    <col min="14083" max="14083" width="8.69921875" style="1558" customWidth="1"/>
    <col min="14084" max="14084" width="9" style="1558"/>
    <col min="14085" max="14085" width="9.8984375" style="1558" customWidth="1"/>
    <col min="14086" max="14087" width="8.19921875" style="1558" customWidth="1"/>
    <col min="14088" max="14088" width="9.8984375" style="1558" customWidth="1"/>
    <col min="14089" max="14089" width="7.5" style="1558" customWidth="1"/>
    <col min="14090" max="14090" width="14.5" style="1558" customWidth="1"/>
    <col min="14091" max="14091" width="15.19921875" style="1558" customWidth="1"/>
    <col min="14092" max="14336" width="9" style="1558"/>
    <col min="14337" max="14337" width="5.19921875" style="1558" customWidth="1"/>
    <col min="14338" max="14338" width="34.69921875" style="1558" customWidth="1"/>
    <col min="14339" max="14339" width="8.69921875" style="1558" customWidth="1"/>
    <col min="14340" max="14340" width="9" style="1558"/>
    <col min="14341" max="14341" width="9.8984375" style="1558" customWidth="1"/>
    <col min="14342" max="14343" width="8.19921875" style="1558" customWidth="1"/>
    <col min="14344" max="14344" width="9.8984375" style="1558" customWidth="1"/>
    <col min="14345" max="14345" width="7.5" style="1558" customWidth="1"/>
    <col min="14346" max="14346" width="14.5" style="1558" customWidth="1"/>
    <col min="14347" max="14347" width="15.19921875" style="1558" customWidth="1"/>
    <col min="14348" max="14592" width="9" style="1558"/>
    <col min="14593" max="14593" width="5.19921875" style="1558" customWidth="1"/>
    <col min="14594" max="14594" width="34.69921875" style="1558" customWidth="1"/>
    <col min="14595" max="14595" width="8.69921875" style="1558" customWidth="1"/>
    <col min="14596" max="14596" width="9" style="1558"/>
    <col min="14597" max="14597" width="9.8984375" style="1558" customWidth="1"/>
    <col min="14598" max="14599" width="8.19921875" style="1558" customWidth="1"/>
    <col min="14600" max="14600" width="9.8984375" style="1558" customWidth="1"/>
    <col min="14601" max="14601" width="7.5" style="1558" customWidth="1"/>
    <col min="14602" max="14602" width="14.5" style="1558" customWidth="1"/>
    <col min="14603" max="14603" width="15.19921875" style="1558" customWidth="1"/>
    <col min="14604" max="14848" width="9" style="1558"/>
    <col min="14849" max="14849" width="5.19921875" style="1558" customWidth="1"/>
    <col min="14850" max="14850" width="34.69921875" style="1558" customWidth="1"/>
    <col min="14851" max="14851" width="8.69921875" style="1558" customWidth="1"/>
    <col min="14852" max="14852" width="9" style="1558"/>
    <col min="14853" max="14853" width="9.8984375" style="1558" customWidth="1"/>
    <col min="14854" max="14855" width="8.19921875" style="1558" customWidth="1"/>
    <col min="14856" max="14856" width="9.8984375" style="1558" customWidth="1"/>
    <col min="14857" max="14857" width="7.5" style="1558" customWidth="1"/>
    <col min="14858" max="14858" width="14.5" style="1558" customWidth="1"/>
    <col min="14859" max="14859" width="15.19921875" style="1558" customWidth="1"/>
    <col min="14860" max="15104" width="9" style="1558"/>
    <col min="15105" max="15105" width="5.19921875" style="1558" customWidth="1"/>
    <col min="15106" max="15106" width="34.69921875" style="1558" customWidth="1"/>
    <col min="15107" max="15107" width="8.69921875" style="1558" customWidth="1"/>
    <col min="15108" max="15108" width="9" style="1558"/>
    <col min="15109" max="15109" width="9.8984375" style="1558" customWidth="1"/>
    <col min="15110" max="15111" width="8.19921875" style="1558" customWidth="1"/>
    <col min="15112" max="15112" width="9.8984375" style="1558" customWidth="1"/>
    <col min="15113" max="15113" width="7.5" style="1558" customWidth="1"/>
    <col min="15114" max="15114" width="14.5" style="1558" customWidth="1"/>
    <col min="15115" max="15115" width="15.19921875" style="1558" customWidth="1"/>
    <col min="15116" max="15360" width="9" style="1558"/>
    <col min="15361" max="15361" width="5.19921875" style="1558" customWidth="1"/>
    <col min="15362" max="15362" width="34.69921875" style="1558" customWidth="1"/>
    <col min="15363" max="15363" width="8.69921875" style="1558" customWidth="1"/>
    <col min="15364" max="15364" width="9" style="1558"/>
    <col min="15365" max="15365" width="9.8984375" style="1558" customWidth="1"/>
    <col min="15366" max="15367" width="8.19921875" style="1558" customWidth="1"/>
    <col min="15368" max="15368" width="9.8984375" style="1558" customWidth="1"/>
    <col min="15369" max="15369" width="7.5" style="1558" customWidth="1"/>
    <col min="15370" max="15370" width="14.5" style="1558" customWidth="1"/>
    <col min="15371" max="15371" width="15.19921875" style="1558" customWidth="1"/>
    <col min="15372" max="15616" width="9" style="1558"/>
    <col min="15617" max="15617" width="5.19921875" style="1558" customWidth="1"/>
    <col min="15618" max="15618" width="34.69921875" style="1558" customWidth="1"/>
    <col min="15619" max="15619" width="8.69921875" style="1558" customWidth="1"/>
    <col min="15620" max="15620" width="9" style="1558"/>
    <col min="15621" max="15621" width="9.8984375" style="1558" customWidth="1"/>
    <col min="15622" max="15623" width="8.19921875" style="1558" customWidth="1"/>
    <col min="15624" max="15624" width="9.8984375" style="1558" customWidth="1"/>
    <col min="15625" max="15625" width="7.5" style="1558" customWidth="1"/>
    <col min="15626" max="15626" width="14.5" style="1558" customWidth="1"/>
    <col min="15627" max="15627" width="15.19921875" style="1558" customWidth="1"/>
    <col min="15628" max="15872" width="9" style="1558"/>
    <col min="15873" max="15873" width="5.19921875" style="1558" customWidth="1"/>
    <col min="15874" max="15874" width="34.69921875" style="1558" customWidth="1"/>
    <col min="15875" max="15875" width="8.69921875" style="1558" customWidth="1"/>
    <col min="15876" max="15876" width="9" style="1558"/>
    <col min="15877" max="15877" width="9.8984375" style="1558" customWidth="1"/>
    <col min="15878" max="15879" width="8.19921875" style="1558" customWidth="1"/>
    <col min="15880" max="15880" width="9.8984375" style="1558" customWidth="1"/>
    <col min="15881" max="15881" width="7.5" style="1558" customWidth="1"/>
    <col min="15882" max="15882" width="14.5" style="1558" customWidth="1"/>
    <col min="15883" max="15883" width="15.19921875" style="1558" customWidth="1"/>
    <col min="15884" max="16128" width="9" style="1558"/>
    <col min="16129" max="16129" width="5.19921875" style="1558" customWidth="1"/>
    <col min="16130" max="16130" width="34.69921875" style="1558" customWidth="1"/>
    <col min="16131" max="16131" width="8.69921875" style="1558" customWidth="1"/>
    <col min="16132" max="16132" width="9" style="1558"/>
    <col min="16133" max="16133" width="9.8984375" style="1558" customWidth="1"/>
    <col min="16134" max="16135" width="8.19921875" style="1558" customWidth="1"/>
    <col min="16136" max="16136" width="9.8984375" style="1558" customWidth="1"/>
    <col min="16137" max="16137" width="7.5" style="1558" customWidth="1"/>
    <col min="16138" max="16138" width="14.5" style="1558" customWidth="1"/>
    <col min="16139" max="16139" width="15.19921875" style="1558" customWidth="1"/>
    <col min="16140" max="16384" width="9" style="1558"/>
  </cols>
  <sheetData>
    <row r="1" spans="1:11" ht="20.100000000000001" customHeight="1">
      <c r="A1" s="3463" t="s">
        <v>5401</v>
      </c>
      <c r="B1" s="3463"/>
      <c r="C1" s="3463"/>
      <c r="D1" s="3463"/>
      <c r="E1" s="3463"/>
      <c r="F1" s="3463"/>
      <c r="G1" s="3463"/>
      <c r="H1" s="3463"/>
      <c r="I1" s="3463"/>
      <c r="J1" s="1992"/>
    </row>
    <row r="2" spans="1:11" ht="25.5" customHeight="1">
      <c r="A2" s="3401" t="s">
        <v>5402</v>
      </c>
      <c r="B2" s="3401"/>
      <c r="C2" s="3401"/>
      <c r="D2" s="3401"/>
      <c r="E2" s="3401"/>
      <c r="F2" s="3401"/>
      <c r="G2" s="3401"/>
      <c r="H2" s="3401"/>
      <c r="I2" s="3401"/>
      <c r="J2" s="1856"/>
    </row>
    <row r="3" spans="1:11" ht="14.25" customHeight="1">
      <c r="A3" s="3402" t="s">
        <v>1853</v>
      </c>
      <c r="B3" s="3402" t="s">
        <v>1074</v>
      </c>
      <c r="C3" s="3399" t="s">
        <v>5403</v>
      </c>
      <c r="D3" s="3399"/>
      <c r="E3" s="3399"/>
      <c r="F3" s="3399" t="s">
        <v>5404</v>
      </c>
      <c r="G3" s="3399"/>
      <c r="H3" s="3399"/>
      <c r="I3" s="3405" t="s">
        <v>5150</v>
      </c>
      <c r="J3" s="3405" t="s">
        <v>5151</v>
      </c>
    </row>
    <row r="4" spans="1:11" ht="14.25" customHeight="1">
      <c r="A4" s="3403"/>
      <c r="B4" s="3403"/>
      <c r="C4" s="1840" t="s">
        <v>2342</v>
      </c>
      <c r="D4" s="1840" t="s">
        <v>1851</v>
      </c>
      <c r="E4" s="1840" t="s">
        <v>5150</v>
      </c>
      <c r="F4" s="1840" t="s">
        <v>2342</v>
      </c>
      <c r="G4" s="1840" t="s">
        <v>1851</v>
      </c>
      <c r="H4" s="1840" t="s">
        <v>5150</v>
      </c>
      <c r="I4" s="3406"/>
      <c r="J4" s="3406"/>
    </row>
    <row r="5" spans="1:11" ht="14.25" customHeight="1">
      <c r="A5" s="3404"/>
      <c r="B5" s="3404"/>
      <c r="C5" s="1840">
        <v>1</v>
      </c>
      <c r="D5" s="1840">
        <v>2</v>
      </c>
      <c r="E5" s="1840" t="s">
        <v>5405</v>
      </c>
      <c r="F5" s="1840">
        <v>4</v>
      </c>
      <c r="G5" s="1840">
        <v>5</v>
      </c>
      <c r="H5" s="1840" t="s">
        <v>5406</v>
      </c>
      <c r="I5" s="1840" t="s">
        <v>5407</v>
      </c>
      <c r="J5" s="1969"/>
    </row>
    <row r="6" spans="1:11" ht="14.25" customHeight="1">
      <c r="A6" s="1840">
        <v>1</v>
      </c>
      <c r="B6" s="1819" t="s">
        <v>5408</v>
      </c>
      <c r="C6" s="2072">
        <f>企业重组审核表!C6</f>
        <v>0</v>
      </c>
      <c r="D6" s="2072">
        <f>企业重组审核表!D6</f>
        <v>0</v>
      </c>
      <c r="E6" s="2072">
        <f>企业重组审核表!E6</f>
        <v>0</v>
      </c>
      <c r="F6" s="2072">
        <f>企业重组审核表!F6</f>
        <v>0</v>
      </c>
      <c r="G6" s="2072">
        <f>企业重组审核表!G6</f>
        <v>0</v>
      </c>
      <c r="H6" s="2072">
        <f>企业重组审核表!H6</f>
        <v>0</v>
      </c>
      <c r="I6" s="2072">
        <f>企业重组审核表!I6</f>
        <v>0</v>
      </c>
      <c r="J6" s="1969"/>
    </row>
    <row r="7" spans="1:11" ht="14.25" customHeight="1">
      <c r="A7" s="1840">
        <v>2</v>
      </c>
      <c r="B7" s="1819" t="s">
        <v>5409</v>
      </c>
      <c r="C7" s="2072">
        <f>企业重组审核表!C7</f>
        <v>0</v>
      </c>
      <c r="D7" s="2072">
        <f>企业重组审核表!D7</f>
        <v>0</v>
      </c>
      <c r="E7" s="2072">
        <f>企业重组审核表!E7</f>
        <v>0</v>
      </c>
      <c r="F7" s="2072">
        <f>企业重组审核表!F7</f>
        <v>0</v>
      </c>
      <c r="G7" s="2072">
        <f>企业重组审核表!G7</f>
        <v>0</v>
      </c>
      <c r="H7" s="2072">
        <f>企业重组审核表!H7</f>
        <v>0</v>
      </c>
      <c r="I7" s="2072">
        <f>企业重组审核表!I7</f>
        <v>0</v>
      </c>
      <c r="J7" s="1969"/>
    </row>
    <row r="8" spans="1:11" ht="14.25" customHeight="1">
      <c r="A8" s="1840">
        <v>3</v>
      </c>
      <c r="B8" s="1819" t="s">
        <v>5410</v>
      </c>
      <c r="C8" s="2072">
        <f>企业重组审核表!C8</f>
        <v>0</v>
      </c>
      <c r="D8" s="2072">
        <f>企业重组审核表!D8</f>
        <v>0</v>
      </c>
      <c r="E8" s="2072">
        <f>企业重组审核表!E8</f>
        <v>0</v>
      </c>
      <c r="F8" s="2072">
        <f>企业重组审核表!F8</f>
        <v>0</v>
      </c>
      <c r="G8" s="2072">
        <f>企业重组审核表!G8</f>
        <v>0</v>
      </c>
      <c r="H8" s="2072">
        <f>企业重组审核表!H8</f>
        <v>0</v>
      </c>
      <c r="I8" s="2072">
        <f>企业重组审核表!I8</f>
        <v>0</v>
      </c>
      <c r="J8" s="1969"/>
    </row>
    <row r="9" spans="1:11" ht="14.25" customHeight="1">
      <c r="A9" s="1840">
        <v>4</v>
      </c>
      <c r="B9" s="1819" t="s">
        <v>5411</v>
      </c>
      <c r="C9" s="2072">
        <f>企业重组审核表!C9</f>
        <v>0</v>
      </c>
      <c r="D9" s="2072">
        <f>企业重组审核表!D9</f>
        <v>0</v>
      </c>
      <c r="E9" s="2072">
        <f>企业重组审核表!E9</f>
        <v>0</v>
      </c>
      <c r="F9" s="2072">
        <f>企业重组审核表!F9</f>
        <v>0</v>
      </c>
      <c r="G9" s="2072">
        <f>企业重组审核表!G9</f>
        <v>0</v>
      </c>
      <c r="H9" s="2072">
        <f>企业重组审核表!H9</f>
        <v>0</v>
      </c>
      <c r="I9" s="2072">
        <f>企业重组审核表!I9</f>
        <v>0</v>
      </c>
      <c r="J9" s="1969"/>
    </row>
    <row r="10" spans="1:11" ht="14.25" customHeight="1">
      <c r="A10" s="1840">
        <v>5</v>
      </c>
      <c r="B10" s="1819" t="s">
        <v>5412</v>
      </c>
      <c r="C10" s="2072">
        <f>企业重组审核表!C10</f>
        <v>0</v>
      </c>
      <c r="D10" s="2072">
        <f>企业重组审核表!D10</f>
        <v>0</v>
      </c>
      <c r="E10" s="2072">
        <f>企业重组审核表!E10</f>
        <v>0</v>
      </c>
      <c r="F10" s="2072">
        <f>企业重组审核表!F10</f>
        <v>0</v>
      </c>
      <c r="G10" s="2072">
        <f>企业重组审核表!G10</f>
        <v>0</v>
      </c>
      <c r="H10" s="2072">
        <f>企业重组审核表!H10</f>
        <v>0</v>
      </c>
      <c r="I10" s="2072">
        <f>企业重组审核表!I10</f>
        <v>0</v>
      </c>
      <c r="J10" s="1969"/>
    </row>
    <row r="11" spans="1:11" ht="14.25" customHeight="1">
      <c r="A11" s="1840">
        <v>6</v>
      </c>
      <c r="B11" s="1819" t="s">
        <v>5413</v>
      </c>
      <c r="C11" s="2072">
        <f>企业重组审核表!C11</f>
        <v>0</v>
      </c>
      <c r="D11" s="2072">
        <f>企业重组审核表!D11</f>
        <v>0</v>
      </c>
      <c r="E11" s="2072">
        <f>企业重组审核表!E11</f>
        <v>0</v>
      </c>
      <c r="F11" s="2072">
        <f>企业重组审核表!F11</f>
        <v>0</v>
      </c>
      <c r="G11" s="2072">
        <f>企业重组审核表!G11</f>
        <v>0</v>
      </c>
      <c r="H11" s="2072">
        <f>企业重组审核表!H11</f>
        <v>0</v>
      </c>
      <c r="I11" s="2072">
        <f>企业重组审核表!I11</f>
        <v>0</v>
      </c>
      <c r="J11" s="1969"/>
    </row>
    <row r="12" spans="1:11" ht="14.25" customHeight="1">
      <c r="A12" s="1840">
        <v>7</v>
      </c>
      <c r="B12" s="1819" t="s">
        <v>5414</v>
      </c>
      <c r="C12" s="2072">
        <f>企业重组审核表!C12</f>
        <v>0</v>
      </c>
      <c r="D12" s="2072">
        <f>企业重组审核表!D12</f>
        <v>0</v>
      </c>
      <c r="E12" s="2072">
        <f>企业重组审核表!E12</f>
        <v>0</v>
      </c>
      <c r="F12" s="2072">
        <f>企业重组审核表!F12</f>
        <v>0</v>
      </c>
      <c r="G12" s="2072">
        <f>企业重组审核表!G12</f>
        <v>0</v>
      </c>
      <c r="H12" s="2072">
        <f>企业重组审核表!H12</f>
        <v>0</v>
      </c>
      <c r="I12" s="2072">
        <f>企业重组审核表!I12</f>
        <v>0</v>
      </c>
      <c r="J12" s="1969"/>
    </row>
    <row r="13" spans="1:11" ht="14.25" customHeight="1">
      <c r="A13" s="1840">
        <v>8</v>
      </c>
      <c r="B13" s="1819" t="s">
        <v>5415</v>
      </c>
      <c r="C13" s="2072">
        <f>企业重组审核表!C13</f>
        <v>0</v>
      </c>
      <c r="D13" s="2072">
        <f>企业重组审核表!D13</f>
        <v>0</v>
      </c>
      <c r="E13" s="2072">
        <f>企业重组审核表!E13</f>
        <v>0</v>
      </c>
      <c r="F13" s="2072">
        <f>企业重组审核表!F13</f>
        <v>0</v>
      </c>
      <c r="G13" s="2072">
        <f>企业重组审核表!G13</f>
        <v>0</v>
      </c>
      <c r="H13" s="2072">
        <f>企业重组审核表!H13</f>
        <v>0</v>
      </c>
      <c r="I13" s="2072">
        <f>企业重组审核表!I13</f>
        <v>0</v>
      </c>
      <c r="J13" s="1969"/>
    </row>
    <row r="14" spans="1:11" ht="14.25" customHeight="1">
      <c r="A14" s="1840">
        <v>9</v>
      </c>
      <c r="B14" s="1819" t="s">
        <v>5416</v>
      </c>
      <c r="C14" s="2072">
        <f>企业重组审核表!C14</f>
        <v>0</v>
      </c>
      <c r="D14" s="2072">
        <f>企业重组审核表!D14</f>
        <v>0</v>
      </c>
      <c r="E14" s="2072">
        <f>企业重组审核表!E14</f>
        <v>0</v>
      </c>
      <c r="F14" s="2072">
        <f>企业重组审核表!F14</f>
        <v>0</v>
      </c>
      <c r="G14" s="2072">
        <f>企业重组审核表!G14</f>
        <v>0</v>
      </c>
      <c r="H14" s="2072">
        <f>企业重组审核表!H14</f>
        <v>0</v>
      </c>
      <c r="I14" s="2072">
        <f>企业重组审核表!I14</f>
        <v>0</v>
      </c>
      <c r="J14" s="1969"/>
    </row>
    <row r="15" spans="1:11" ht="14.25" customHeight="1">
      <c r="A15" s="1840">
        <v>10</v>
      </c>
      <c r="B15" s="1819" t="s">
        <v>5417</v>
      </c>
      <c r="C15" s="2072">
        <f>企业重组审核表!C15</f>
        <v>0</v>
      </c>
      <c r="D15" s="2072">
        <f>企业重组审核表!D15</f>
        <v>0</v>
      </c>
      <c r="E15" s="2072">
        <f>企业重组审核表!E15</f>
        <v>0</v>
      </c>
      <c r="F15" s="2072">
        <f>企业重组审核表!F15</f>
        <v>0</v>
      </c>
      <c r="G15" s="2072">
        <f>企业重组审核表!G15</f>
        <v>0</v>
      </c>
      <c r="H15" s="2072">
        <f>企业重组审核表!H15</f>
        <v>0</v>
      </c>
      <c r="I15" s="2072">
        <f>企业重组审核表!I15</f>
        <v>0</v>
      </c>
      <c r="J15" s="1969"/>
    </row>
    <row r="16" spans="1:11" ht="14.25" customHeight="1">
      <c r="A16" s="1840">
        <v>11</v>
      </c>
      <c r="B16" s="1819" t="s">
        <v>5418</v>
      </c>
      <c r="C16" s="2072">
        <f>企业重组审核表!C16</f>
        <v>0</v>
      </c>
      <c r="D16" s="2072">
        <f>企业重组审核表!D16</f>
        <v>0</v>
      </c>
      <c r="E16" s="2072">
        <f>企业重组审核表!E16</f>
        <v>0</v>
      </c>
      <c r="F16" s="2072">
        <f>企业重组审核表!F16</f>
        <v>0</v>
      </c>
      <c r="G16" s="2072">
        <f>企业重组审核表!G16</f>
        <v>0</v>
      </c>
      <c r="H16" s="2072">
        <f>企业重组审核表!H16</f>
        <v>0</v>
      </c>
      <c r="I16" s="2072">
        <f>企业重组审核表!I16</f>
        <v>0</v>
      </c>
      <c r="J16" s="1969"/>
      <c r="K16" s="1675" t="s">
        <v>6450</v>
      </c>
    </row>
    <row r="17" spans="1:11" ht="14.25" customHeight="1">
      <c r="A17" s="1840">
        <v>12</v>
      </c>
      <c r="B17" s="1819" t="s">
        <v>5419</v>
      </c>
      <c r="C17" s="2072">
        <f>企业重组审核表!C17</f>
        <v>0</v>
      </c>
      <c r="D17" s="2072">
        <f>企业重组审核表!D17</f>
        <v>0</v>
      </c>
      <c r="E17" s="2072">
        <f>企业重组审核表!E17</f>
        <v>0</v>
      </c>
      <c r="F17" s="2072">
        <f>企业重组审核表!F17</f>
        <v>0</v>
      </c>
      <c r="G17" s="2072">
        <f>企业重组审核表!G17</f>
        <v>0</v>
      </c>
      <c r="H17" s="2072">
        <f>企业重组审核表!H17</f>
        <v>0</v>
      </c>
      <c r="I17" s="2072">
        <f>企业重组审核表!I17</f>
        <v>0</v>
      </c>
      <c r="J17" s="1969"/>
    </row>
    <row r="18" spans="1:11" s="1569" customFormat="1" ht="14.25" customHeight="1">
      <c r="A18" s="1840">
        <v>13</v>
      </c>
      <c r="B18" s="1819" t="s">
        <v>5420</v>
      </c>
      <c r="C18" s="2072">
        <f>企业重组审核表!C18</f>
        <v>0</v>
      </c>
      <c r="D18" s="2072">
        <f>企业重组审核表!D18</f>
        <v>0</v>
      </c>
      <c r="E18" s="2072">
        <f>企业重组审核表!E18</f>
        <v>0</v>
      </c>
      <c r="F18" s="2072">
        <f>企业重组审核表!F18</f>
        <v>0</v>
      </c>
      <c r="G18" s="2072">
        <f>企业重组审核表!G18</f>
        <v>0</v>
      </c>
      <c r="H18" s="2072">
        <f>企业重组审核表!H18</f>
        <v>0</v>
      </c>
      <c r="I18" s="2072">
        <f>企业重组审核表!I18</f>
        <v>0</v>
      </c>
      <c r="J18" s="1975"/>
    </row>
    <row r="19" spans="1:11" ht="35.25" customHeight="1">
      <c r="A19" s="1840">
        <v>14</v>
      </c>
      <c r="B19" s="1819" t="s">
        <v>5421</v>
      </c>
      <c r="C19" s="2072">
        <f>企业重组审核表!C19</f>
        <v>0</v>
      </c>
      <c r="D19" s="2072">
        <f>企业重组审核表!D19</f>
        <v>0</v>
      </c>
      <c r="E19" s="2072">
        <f>企业重组审核表!E19</f>
        <v>0</v>
      </c>
      <c r="F19" s="2072">
        <f>企业重组审核表!F19</f>
        <v>0</v>
      </c>
      <c r="G19" s="2072">
        <f>企业重组审核表!G19</f>
        <v>0</v>
      </c>
      <c r="H19" s="2072">
        <f>企业重组审核表!H19</f>
        <v>0</v>
      </c>
      <c r="I19" s="2072">
        <f>企业重组审核表!I19</f>
        <v>0</v>
      </c>
      <c r="J19" s="1819" t="s">
        <v>5422</v>
      </c>
      <c r="K19" s="1568"/>
    </row>
  </sheetData>
  <mergeCells count="8">
    <mergeCell ref="J3:J4"/>
    <mergeCell ref="A1:I1"/>
    <mergeCell ref="A2:I2"/>
    <mergeCell ref="A3:A5"/>
    <mergeCell ref="B3:B5"/>
    <mergeCell ref="C3:E3"/>
    <mergeCell ref="F3:H3"/>
    <mergeCell ref="I3:I4"/>
  </mergeCells>
  <phoneticPr fontId="51" type="noConversion"/>
  <hyperlinks>
    <hyperlink ref="K16" location="企业重组审核表!A1" display="企业重组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rgb="FFFFFF00"/>
  </sheetPr>
  <dimension ref="A1:F27"/>
  <sheetViews>
    <sheetView workbookViewId="0">
      <selection sqref="A1:C1"/>
    </sheetView>
  </sheetViews>
  <sheetFormatPr defaultRowHeight="15.6"/>
  <cols>
    <col min="1" max="1" width="5.19921875" style="1555" customWidth="1"/>
    <col min="2" max="2" width="47.59765625" style="1577" customWidth="1"/>
    <col min="3" max="3" width="12.3984375" style="1555" customWidth="1"/>
    <col min="4" max="4" width="18" style="1555" customWidth="1"/>
    <col min="5" max="5" width="29.09765625" style="1555" customWidth="1"/>
    <col min="6" max="256" width="9" style="1555"/>
    <col min="257" max="257" width="5.19921875" style="1555" customWidth="1"/>
    <col min="258" max="258" width="47.59765625" style="1555" customWidth="1"/>
    <col min="259" max="259" width="8.09765625" style="1555" customWidth="1"/>
    <col min="260" max="260" width="18" style="1555" customWidth="1"/>
    <col min="261" max="261" width="29.09765625" style="1555" customWidth="1"/>
    <col min="262" max="512" width="9" style="1555"/>
    <col min="513" max="513" width="5.19921875" style="1555" customWidth="1"/>
    <col min="514" max="514" width="47.59765625" style="1555" customWidth="1"/>
    <col min="515" max="515" width="8.09765625" style="1555" customWidth="1"/>
    <col min="516" max="516" width="18" style="1555" customWidth="1"/>
    <col min="517" max="517" width="29.09765625" style="1555" customWidth="1"/>
    <col min="518" max="768" width="9" style="1555"/>
    <col min="769" max="769" width="5.19921875" style="1555" customWidth="1"/>
    <col min="770" max="770" width="47.59765625" style="1555" customWidth="1"/>
    <col min="771" max="771" width="8.09765625" style="1555" customWidth="1"/>
    <col min="772" max="772" width="18" style="1555" customWidth="1"/>
    <col min="773" max="773" width="29.09765625" style="1555" customWidth="1"/>
    <col min="774" max="1024" width="9" style="1555"/>
    <col min="1025" max="1025" width="5.19921875" style="1555" customWidth="1"/>
    <col min="1026" max="1026" width="47.59765625" style="1555" customWidth="1"/>
    <col min="1027" max="1027" width="8.09765625" style="1555" customWidth="1"/>
    <col min="1028" max="1028" width="18" style="1555" customWidth="1"/>
    <col min="1029" max="1029" width="29.09765625" style="1555" customWidth="1"/>
    <col min="1030" max="1280" width="9" style="1555"/>
    <col min="1281" max="1281" width="5.19921875" style="1555" customWidth="1"/>
    <col min="1282" max="1282" width="47.59765625" style="1555" customWidth="1"/>
    <col min="1283" max="1283" width="8.09765625" style="1555" customWidth="1"/>
    <col min="1284" max="1284" width="18" style="1555" customWidth="1"/>
    <col min="1285" max="1285" width="29.09765625" style="1555" customWidth="1"/>
    <col min="1286" max="1536" width="9" style="1555"/>
    <col min="1537" max="1537" width="5.19921875" style="1555" customWidth="1"/>
    <col min="1538" max="1538" width="47.59765625" style="1555" customWidth="1"/>
    <col min="1539" max="1539" width="8.09765625" style="1555" customWidth="1"/>
    <col min="1540" max="1540" width="18" style="1555" customWidth="1"/>
    <col min="1541" max="1541" width="29.09765625" style="1555" customWidth="1"/>
    <col min="1542" max="1792" width="9" style="1555"/>
    <col min="1793" max="1793" width="5.19921875" style="1555" customWidth="1"/>
    <col min="1794" max="1794" width="47.59765625" style="1555" customWidth="1"/>
    <col min="1795" max="1795" width="8.09765625" style="1555" customWidth="1"/>
    <col min="1796" max="1796" width="18" style="1555" customWidth="1"/>
    <col min="1797" max="1797" width="29.09765625" style="1555" customWidth="1"/>
    <col min="1798" max="2048" width="9" style="1555"/>
    <col min="2049" max="2049" width="5.19921875" style="1555" customWidth="1"/>
    <col min="2050" max="2050" width="47.59765625" style="1555" customWidth="1"/>
    <col min="2051" max="2051" width="8.09765625" style="1555" customWidth="1"/>
    <col min="2052" max="2052" width="18" style="1555" customWidth="1"/>
    <col min="2053" max="2053" width="29.09765625" style="1555" customWidth="1"/>
    <col min="2054" max="2304" width="9" style="1555"/>
    <col min="2305" max="2305" width="5.19921875" style="1555" customWidth="1"/>
    <col min="2306" max="2306" width="47.59765625" style="1555" customWidth="1"/>
    <col min="2307" max="2307" width="8.09765625" style="1555" customWidth="1"/>
    <col min="2308" max="2308" width="18" style="1555" customWidth="1"/>
    <col min="2309" max="2309" width="29.09765625" style="1555" customWidth="1"/>
    <col min="2310" max="2560" width="9" style="1555"/>
    <col min="2561" max="2561" width="5.19921875" style="1555" customWidth="1"/>
    <col min="2562" max="2562" width="47.59765625" style="1555" customWidth="1"/>
    <col min="2563" max="2563" width="8.09765625" style="1555" customWidth="1"/>
    <col min="2564" max="2564" width="18" style="1555" customWidth="1"/>
    <col min="2565" max="2565" width="29.09765625" style="1555" customWidth="1"/>
    <col min="2566" max="2816" width="9" style="1555"/>
    <col min="2817" max="2817" width="5.19921875" style="1555" customWidth="1"/>
    <col min="2818" max="2818" width="47.59765625" style="1555" customWidth="1"/>
    <col min="2819" max="2819" width="8.09765625" style="1555" customWidth="1"/>
    <col min="2820" max="2820" width="18" style="1555" customWidth="1"/>
    <col min="2821" max="2821" width="29.09765625" style="1555" customWidth="1"/>
    <col min="2822" max="3072" width="9" style="1555"/>
    <col min="3073" max="3073" width="5.19921875" style="1555" customWidth="1"/>
    <col min="3074" max="3074" width="47.59765625" style="1555" customWidth="1"/>
    <col min="3075" max="3075" width="8.09765625" style="1555" customWidth="1"/>
    <col min="3076" max="3076" width="18" style="1555" customWidth="1"/>
    <col min="3077" max="3077" width="29.09765625" style="1555" customWidth="1"/>
    <col min="3078" max="3328" width="9" style="1555"/>
    <col min="3329" max="3329" width="5.19921875" style="1555" customWidth="1"/>
    <col min="3330" max="3330" width="47.59765625" style="1555" customWidth="1"/>
    <col min="3331" max="3331" width="8.09765625" style="1555" customWidth="1"/>
    <col min="3332" max="3332" width="18" style="1555" customWidth="1"/>
    <col min="3333" max="3333" width="29.09765625" style="1555" customWidth="1"/>
    <col min="3334" max="3584" width="9" style="1555"/>
    <col min="3585" max="3585" width="5.19921875" style="1555" customWidth="1"/>
    <col min="3586" max="3586" width="47.59765625" style="1555" customWidth="1"/>
    <col min="3587" max="3587" width="8.09765625" style="1555" customWidth="1"/>
    <col min="3588" max="3588" width="18" style="1555" customWidth="1"/>
    <col min="3589" max="3589" width="29.09765625" style="1555" customWidth="1"/>
    <col min="3590" max="3840" width="9" style="1555"/>
    <col min="3841" max="3841" width="5.19921875" style="1555" customWidth="1"/>
    <col min="3842" max="3842" width="47.59765625" style="1555" customWidth="1"/>
    <col min="3843" max="3843" width="8.09765625" style="1555" customWidth="1"/>
    <col min="3844" max="3844" width="18" style="1555" customWidth="1"/>
    <col min="3845" max="3845" width="29.09765625" style="1555" customWidth="1"/>
    <col min="3846" max="4096" width="9" style="1555"/>
    <col min="4097" max="4097" width="5.19921875" style="1555" customWidth="1"/>
    <col min="4098" max="4098" width="47.59765625" style="1555" customWidth="1"/>
    <col min="4099" max="4099" width="8.09765625" style="1555" customWidth="1"/>
    <col min="4100" max="4100" width="18" style="1555" customWidth="1"/>
    <col min="4101" max="4101" width="29.09765625" style="1555" customWidth="1"/>
    <col min="4102" max="4352" width="9" style="1555"/>
    <col min="4353" max="4353" width="5.19921875" style="1555" customWidth="1"/>
    <col min="4354" max="4354" width="47.59765625" style="1555" customWidth="1"/>
    <col min="4355" max="4355" width="8.09765625" style="1555" customWidth="1"/>
    <col min="4356" max="4356" width="18" style="1555" customWidth="1"/>
    <col min="4357" max="4357" width="29.09765625" style="1555" customWidth="1"/>
    <col min="4358" max="4608" width="9" style="1555"/>
    <col min="4609" max="4609" width="5.19921875" style="1555" customWidth="1"/>
    <col min="4610" max="4610" width="47.59765625" style="1555" customWidth="1"/>
    <col min="4611" max="4611" width="8.09765625" style="1555" customWidth="1"/>
    <col min="4612" max="4612" width="18" style="1555" customWidth="1"/>
    <col min="4613" max="4613" width="29.09765625" style="1555" customWidth="1"/>
    <col min="4614" max="4864" width="9" style="1555"/>
    <col min="4865" max="4865" width="5.19921875" style="1555" customWidth="1"/>
    <col min="4866" max="4866" width="47.59765625" style="1555" customWidth="1"/>
    <col min="4867" max="4867" width="8.09765625" style="1555" customWidth="1"/>
    <col min="4868" max="4868" width="18" style="1555" customWidth="1"/>
    <col min="4869" max="4869" width="29.09765625" style="1555" customWidth="1"/>
    <col min="4870" max="5120" width="9" style="1555"/>
    <col min="5121" max="5121" width="5.19921875" style="1555" customWidth="1"/>
    <col min="5122" max="5122" width="47.59765625" style="1555" customWidth="1"/>
    <col min="5123" max="5123" width="8.09765625" style="1555" customWidth="1"/>
    <col min="5124" max="5124" width="18" style="1555" customWidth="1"/>
    <col min="5125" max="5125" width="29.09765625" style="1555" customWidth="1"/>
    <col min="5126" max="5376" width="9" style="1555"/>
    <col min="5377" max="5377" width="5.19921875" style="1555" customWidth="1"/>
    <col min="5378" max="5378" width="47.59765625" style="1555" customWidth="1"/>
    <col min="5379" max="5379" width="8.09765625" style="1555" customWidth="1"/>
    <col min="5380" max="5380" width="18" style="1555" customWidth="1"/>
    <col min="5381" max="5381" width="29.09765625" style="1555" customWidth="1"/>
    <col min="5382" max="5632" width="9" style="1555"/>
    <col min="5633" max="5633" width="5.19921875" style="1555" customWidth="1"/>
    <col min="5634" max="5634" width="47.59765625" style="1555" customWidth="1"/>
    <col min="5635" max="5635" width="8.09765625" style="1555" customWidth="1"/>
    <col min="5636" max="5636" width="18" style="1555" customWidth="1"/>
    <col min="5637" max="5637" width="29.09765625" style="1555" customWidth="1"/>
    <col min="5638" max="5888" width="9" style="1555"/>
    <col min="5889" max="5889" width="5.19921875" style="1555" customWidth="1"/>
    <col min="5890" max="5890" width="47.59765625" style="1555" customWidth="1"/>
    <col min="5891" max="5891" width="8.09765625" style="1555" customWidth="1"/>
    <col min="5892" max="5892" width="18" style="1555" customWidth="1"/>
    <col min="5893" max="5893" width="29.09765625" style="1555" customWidth="1"/>
    <col min="5894" max="6144" width="9" style="1555"/>
    <col min="6145" max="6145" width="5.19921875" style="1555" customWidth="1"/>
    <col min="6146" max="6146" width="47.59765625" style="1555" customWidth="1"/>
    <col min="6147" max="6147" width="8.09765625" style="1555" customWidth="1"/>
    <col min="6148" max="6148" width="18" style="1555" customWidth="1"/>
    <col min="6149" max="6149" width="29.09765625" style="1555" customWidth="1"/>
    <col min="6150" max="6400" width="9" style="1555"/>
    <col min="6401" max="6401" width="5.19921875" style="1555" customWidth="1"/>
    <col min="6402" max="6402" width="47.59765625" style="1555" customWidth="1"/>
    <col min="6403" max="6403" width="8.09765625" style="1555" customWidth="1"/>
    <col min="6404" max="6404" width="18" style="1555" customWidth="1"/>
    <col min="6405" max="6405" width="29.09765625" style="1555" customWidth="1"/>
    <col min="6406" max="6656" width="9" style="1555"/>
    <col min="6657" max="6657" width="5.19921875" style="1555" customWidth="1"/>
    <col min="6658" max="6658" width="47.59765625" style="1555" customWidth="1"/>
    <col min="6659" max="6659" width="8.09765625" style="1555" customWidth="1"/>
    <col min="6660" max="6660" width="18" style="1555" customWidth="1"/>
    <col min="6661" max="6661" width="29.09765625" style="1555" customWidth="1"/>
    <col min="6662" max="6912" width="9" style="1555"/>
    <col min="6913" max="6913" width="5.19921875" style="1555" customWidth="1"/>
    <col min="6914" max="6914" width="47.59765625" style="1555" customWidth="1"/>
    <col min="6915" max="6915" width="8.09765625" style="1555" customWidth="1"/>
    <col min="6916" max="6916" width="18" style="1555" customWidth="1"/>
    <col min="6917" max="6917" width="29.09765625" style="1555" customWidth="1"/>
    <col min="6918" max="7168" width="9" style="1555"/>
    <col min="7169" max="7169" width="5.19921875" style="1555" customWidth="1"/>
    <col min="7170" max="7170" width="47.59765625" style="1555" customWidth="1"/>
    <col min="7171" max="7171" width="8.09765625" style="1555" customWidth="1"/>
    <col min="7172" max="7172" width="18" style="1555" customWidth="1"/>
    <col min="7173" max="7173" width="29.09765625" style="1555" customWidth="1"/>
    <col min="7174" max="7424" width="9" style="1555"/>
    <col min="7425" max="7425" width="5.19921875" style="1555" customWidth="1"/>
    <col min="7426" max="7426" width="47.59765625" style="1555" customWidth="1"/>
    <col min="7427" max="7427" width="8.09765625" style="1555" customWidth="1"/>
    <col min="7428" max="7428" width="18" style="1555" customWidth="1"/>
    <col min="7429" max="7429" width="29.09765625" style="1555" customWidth="1"/>
    <col min="7430" max="7680" width="9" style="1555"/>
    <col min="7681" max="7681" width="5.19921875" style="1555" customWidth="1"/>
    <col min="7682" max="7682" width="47.59765625" style="1555" customWidth="1"/>
    <col min="7683" max="7683" width="8.09765625" style="1555" customWidth="1"/>
    <col min="7684" max="7684" width="18" style="1555" customWidth="1"/>
    <col min="7685" max="7685" width="29.09765625" style="1555" customWidth="1"/>
    <col min="7686" max="7936" width="9" style="1555"/>
    <col min="7937" max="7937" width="5.19921875" style="1555" customWidth="1"/>
    <col min="7938" max="7938" width="47.59765625" style="1555" customWidth="1"/>
    <col min="7939" max="7939" width="8.09765625" style="1555" customWidth="1"/>
    <col min="7940" max="7940" width="18" style="1555" customWidth="1"/>
    <col min="7941" max="7941" width="29.09765625" style="1555" customWidth="1"/>
    <col min="7942" max="8192" width="9" style="1555"/>
    <col min="8193" max="8193" width="5.19921875" style="1555" customWidth="1"/>
    <col min="8194" max="8194" width="47.59765625" style="1555" customWidth="1"/>
    <col min="8195" max="8195" width="8.09765625" style="1555" customWidth="1"/>
    <col min="8196" max="8196" width="18" style="1555" customWidth="1"/>
    <col min="8197" max="8197" width="29.09765625" style="1555" customWidth="1"/>
    <col min="8198" max="8448" width="9" style="1555"/>
    <col min="8449" max="8449" width="5.19921875" style="1555" customWidth="1"/>
    <col min="8450" max="8450" width="47.59765625" style="1555" customWidth="1"/>
    <col min="8451" max="8451" width="8.09765625" style="1555" customWidth="1"/>
    <col min="8452" max="8452" width="18" style="1555" customWidth="1"/>
    <col min="8453" max="8453" width="29.09765625" style="1555" customWidth="1"/>
    <col min="8454" max="8704" width="9" style="1555"/>
    <col min="8705" max="8705" width="5.19921875" style="1555" customWidth="1"/>
    <col min="8706" max="8706" width="47.59765625" style="1555" customWidth="1"/>
    <col min="8707" max="8707" width="8.09765625" style="1555" customWidth="1"/>
    <col min="8708" max="8708" width="18" style="1555" customWidth="1"/>
    <col min="8709" max="8709" width="29.09765625" style="1555" customWidth="1"/>
    <col min="8710" max="8960" width="9" style="1555"/>
    <col min="8961" max="8961" width="5.19921875" style="1555" customWidth="1"/>
    <col min="8962" max="8962" width="47.59765625" style="1555" customWidth="1"/>
    <col min="8963" max="8963" width="8.09765625" style="1555" customWidth="1"/>
    <col min="8964" max="8964" width="18" style="1555" customWidth="1"/>
    <col min="8965" max="8965" width="29.09765625" style="1555" customWidth="1"/>
    <col min="8966" max="9216" width="9" style="1555"/>
    <col min="9217" max="9217" width="5.19921875" style="1555" customWidth="1"/>
    <col min="9218" max="9218" width="47.59765625" style="1555" customWidth="1"/>
    <col min="9219" max="9219" width="8.09765625" style="1555" customWidth="1"/>
    <col min="9220" max="9220" width="18" style="1555" customWidth="1"/>
    <col min="9221" max="9221" width="29.09765625" style="1555" customWidth="1"/>
    <col min="9222" max="9472" width="9" style="1555"/>
    <col min="9473" max="9473" width="5.19921875" style="1555" customWidth="1"/>
    <col min="9474" max="9474" width="47.59765625" style="1555" customWidth="1"/>
    <col min="9475" max="9475" width="8.09765625" style="1555" customWidth="1"/>
    <col min="9476" max="9476" width="18" style="1555" customWidth="1"/>
    <col min="9477" max="9477" width="29.09765625" style="1555" customWidth="1"/>
    <col min="9478" max="9728" width="9" style="1555"/>
    <col min="9729" max="9729" width="5.19921875" style="1555" customWidth="1"/>
    <col min="9730" max="9730" width="47.59765625" style="1555" customWidth="1"/>
    <col min="9731" max="9731" width="8.09765625" style="1555" customWidth="1"/>
    <col min="9732" max="9732" width="18" style="1555" customWidth="1"/>
    <col min="9733" max="9733" width="29.09765625" style="1555" customWidth="1"/>
    <col min="9734" max="9984" width="9" style="1555"/>
    <col min="9985" max="9985" width="5.19921875" style="1555" customWidth="1"/>
    <col min="9986" max="9986" width="47.59765625" style="1555" customWidth="1"/>
    <col min="9987" max="9987" width="8.09765625" style="1555" customWidth="1"/>
    <col min="9988" max="9988" width="18" style="1555" customWidth="1"/>
    <col min="9989" max="9989" width="29.09765625" style="1555" customWidth="1"/>
    <col min="9990" max="10240" width="9" style="1555"/>
    <col min="10241" max="10241" width="5.19921875" style="1555" customWidth="1"/>
    <col min="10242" max="10242" width="47.59765625" style="1555" customWidth="1"/>
    <col min="10243" max="10243" width="8.09765625" style="1555" customWidth="1"/>
    <col min="10244" max="10244" width="18" style="1555" customWidth="1"/>
    <col min="10245" max="10245" width="29.09765625" style="1555" customWidth="1"/>
    <col min="10246" max="10496" width="9" style="1555"/>
    <col min="10497" max="10497" width="5.19921875" style="1555" customWidth="1"/>
    <col min="10498" max="10498" width="47.59765625" style="1555" customWidth="1"/>
    <col min="10499" max="10499" width="8.09765625" style="1555" customWidth="1"/>
    <col min="10500" max="10500" width="18" style="1555" customWidth="1"/>
    <col min="10501" max="10501" width="29.09765625" style="1555" customWidth="1"/>
    <col min="10502" max="10752" width="9" style="1555"/>
    <col min="10753" max="10753" width="5.19921875" style="1555" customWidth="1"/>
    <col min="10754" max="10754" width="47.59765625" style="1555" customWidth="1"/>
    <col min="10755" max="10755" width="8.09765625" style="1555" customWidth="1"/>
    <col min="10756" max="10756" width="18" style="1555" customWidth="1"/>
    <col min="10757" max="10757" width="29.09765625" style="1555" customWidth="1"/>
    <col min="10758" max="11008" width="9" style="1555"/>
    <col min="11009" max="11009" width="5.19921875" style="1555" customWidth="1"/>
    <col min="11010" max="11010" width="47.59765625" style="1555" customWidth="1"/>
    <col min="11011" max="11011" width="8.09765625" style="1555" customWidth="1"/>
    <col min="11012" max="11012" width="18" style="1555" customWidth="1"/>
    <col min="11013" max="11013" width="29.09765625" style="1555" customWidth="1"/>
    <col min="11014" max="11264" width="9" style="1555"/>
    <col min="11265" max="11265" width="5.19921875" style="1555" customWidth="1"/>
    <col min="11266" max="11266" width="47.59765625" style="1555" customWidth="1"/>
    <col min="11267" max="11267" width="8.09765625" style="1555" customWidth="1"/>
    <col min="11268" max="11268" width="18" style="1555" customWidth="1"/>
    <col min="11269" max="11269" width="29.09765625" style="1555" customWidth="1"/>
    <col min="11270" max="11520" width="9" style="1555"/>
    <col min="11521" max="11521" width="5.19921875" style="1555" customWidth="1"/>
    <col min="11522" max="11522" width="47.59765625" style="1555" customWidth="1"/>
    <col min="11523" max="11523" width="8.09765625" style="1555" customWidth="1"/>
    <col min="11524" max="11524" width="18" style="1555" customWidth="1"/>
    <col min="11525" max="11525" width="29.09765625" style="1555" customWidth="1"/>
    <col min="11526" max="11776" width="9" style="1555"/>
    <col min="11777" max="11777" width="5.19921875" style="1555" customWidth="1"/>
    <col min="11778" max="11778" width="47.59765625" style="1555" customWidth="1"/>
    <col min="11779" max="11779" width="8.09765625" style="1555" customWidth="1"/>
    <col min="11780" max="11780" width="18" style="1555" customWidth="1"/>
    <col min="11781" max="11781" width="29.09765625" style="1555" customWidth="1"/>
    <col min="11782" max="12032" width="9" style="1555"/>
    <col min="12033" max="12033" width="5.19921875" style="1555" customWidth="1"/>
    <col min="12034" max="12034" width="47.59765625" style="1555" customWidth="1"/>
    <col min="12035" max="12035" width="8.09765625" style="1555" customWidth="1"/>
    <col min="12036" max="12036" width="18" style="1555" customWidth="1"/>
    <col min="12037" max="12037" width="29.09765625" style="1555" customWidth="1"/>
    <col min="12038" max="12288" width="9" style="1555"/>
    <col min="12289" max="12289" width="5.19921875" style="1555" customWidth="1"/>
    <col min="12290" max="12290" width="47.59765625" style="1555" customWidth="1"/>
    <col min="12291" max="12291" width="8.09765625" style="1555" customWidth="1"/>
    <col min="12292" max="12292" width="18" style="1555" customWidth="1"/>
    <col min="12293" max="12293" width="29.09765625" style="1555" customWidth="1"/>
    <col min="12294" max="12544" width="9" style="1555"/>
    <col min="12545" max="12545" width="5.19921875" style="1555" customWidth="1"/>
    <col min="12546" max="12546" width="47.59765625" style="1555" customWidth="1"/>
    <col min="12547" max="12547" width="8.09765625" style="1555" customWidth="1"/>
    <col min="12548" max="12548" width="18" style="1555" customWidth="1"/>
    <col min="12549" max="12549" width="29.09765625" style="1555" customWidth="1"/>
    <col min="12550" max="12800" width="9" style="1555"/>
    <col min="12801" max="12801" width="5.19921875" style="1555" customWidth="1"/>
    <col min="12802" max="12802" width="47.59765625" style="1555" customWidth="1"/>
    <col min="12803" max="12803" width="8.09765625" style="1555" customWidth="1"/>
    <col min="12804" max="12804" width="18" style="1555" customWidth="1"/>
    <col min="12805" max="12805" width="29.09765625" style="1555" customWidth="1"/>
    <col min="12806" max="13056" width="9" style="1555"/>
    <col min="13057" max="13057" width="5.19921875" style="1555" customWidth="1"/>
    <col min="13058" max="13058" width="47.59765625" style="1555" customWidth="1"/>
    <col min="13059" max="13059" width="8.09765625" style="1555" customWidth="1"/>
    <col min="13060" max="13060" width="18" style="1555" customWidth="1"/>
    <col min="13061" max="13061" width="29.09765625" style="1555" customWidth="1"/>
    <col min="13062" max="13312" width="9" style="1555"/>
    <col min="13313" max="13313" width="5.19921875" style="1555" customWidth="1"/>
    <col min="13314" max="13314" width="47.59765625" style="1555" customWidth="1"/>
    <col min="13315" max="13315" width="8.09765625" style="1555" customWidth="1"/>
    <col min="13316" max="13316" width="18" style="1555" customWidth="1"/>
    <col min="13317" max="13317" width="29.09765625" style="1555" customWidth="1"/>
    <col min="13318" max="13568" width="9" style="1555"/>
    <col min="13569" max="13569" width="5.19921875" style="1555" customWidth="1"/>
    <col min="13570" max="13570" width="47.59765625" style="1555" customWidth="1"/>
    <col min="13571" max="13571" width="8.09765625" style="1555" customWidth="1"/>
    <col min="13572" max="13572" width="18" style="1555" customWidth="1"/>
    <col min="13573" max="13573" width="29.09765625" style="1555" customWidth="1"/>
    <col min="13574" max="13824" width="9" style="1555"/>
    <col min="13825" max="13825" width="5.19921875" style="1555" customWidth="1"/>
    <col min="13826" max="13826" width="47.59765625" style="1555" customWidth="1"/>
    <col min="13827" max="13827" width="8.09765625" style="1555" customWidth="1"/>
    <col min="13828" max="13828" width="18" style="1555" customWidth="1"/>
    <col min="13829" max="13829" width="29.09765625" style="1555" customWidth="1"/>
    <col min="13830" max="14080" width="9" style="1555"/>
    <col min="14081" max="14081" width="5.19921875" style="1555" customWidth="1"/>
    <col min="14082" max="14082" width="47.59765625" style="1555" customWidth="1"/>
    <col min="14083" max="14083" width="8.09765625" style="1555" customWidth="1"/>
    <col min="14084" max="14084" width="18" style="1555" customWidth="1"/>
    <col min="14085" max="14085" width="29.09765625" style="1555" customWidth="1"/>
    <col min="14086" max="14336" width="9" style="1555"/>
    <col min="14337" max="14337" width="5.19921875" style="1555" customWidth="1"/>
    <col min="14338" max="14338" width="47.59765625" style="1555" customWidth="1"/>
    <col min="14339" max="14339" width="8.09765625" style="1555" customWidth="1"/>
    <col min="14340" max="14340" width="18" style="1555" customWidth="1"/>
    <col min="14341" max="14341" width="29.09765625" style="1555" customWidth="1"/>
    <col min="14342" max="14592" width="9" style="1555"/>
    <col min="14593" max="14593" width="5.19921875" style="1555" customWidth="1"/>
    <col min="14594" max="14594" width="47.59765625" style="1555" customWidth="1"/>
    <col min="14595" max="14595" width="8.09765625" style="1555" customWidth="1"/>
    <col min="14596" max="14596" width="18" style="1555" customWidth="1"/>
    <col min="14597" max="14597" width="29.09765625" style="1555" customWidth="1"/>
    <col min="14598" max="14848" width="9" style="1555"/>
    <col min="14849" max="14849" width="5.19921875" style="1555" customWidth="1"/>
    <col min="14850" max="14850" width="47.59765625" style="1555" customWidth="1"/>
    <col min="14851" max="14851" width="8.09765625" style="1555" customWidth="1"/>
    <col min="14852" max="14852" width="18" style="1555" customWidth="1"/>
    <col min="14853" max="14853" width="29.09765625" style="1555" customWidth="1"/>
    <col min="14854" max="15104" width="9" style="1555"/>
    <col min="15105" max="15105" width="5.19921875" style="1555" customWidth="1"/>
    <col min="15106" max="15106" width="47.59765625" style="1555" customWidth="1"/>
    <col min="15107" max="15107" width="8.09765625" style="1555" customWidth="1"/>
    <col min="15108" max="15108" width="18" style="1555" customWidth="1"/>
    <col min="15109" max="15109" width="29.09765625" style="1555" customWidth="1"/>
    <col min="15110" max="15360" width="9" style="1555"/>
    <col min="15361" max="15361" width="5.19921875" style="1555" customWidth="1"/>
    <col min="15362" max="15362" width="47.59765625" style="1555" customWidth="1"/>
    <col min="15363" max="15363" width="8.09765625" style="1555" customWidth="1"/>
    <col min="15364" max="15364" width="18" style="1555" customWidth="1"/>
    <col min="15365" max="15365" width="29.09765625" style="1555" customWidth="1"/>
    <col min="15366" max="15616" width="9" style="1555"/>
    <col min="15617" max="15617" width="5.19921875" style="1555" customWidth="1"/>
    <col min="15618" max="15618" width="47.59765625" style="1555" customWidth="1"/>
    <col min="15619" max="15619" width="8.09765625" style="1555" customWidth="1"/>
    <col min="15620" max="15620" width="18" style="1555" customWidth="1"/>
    <col min="15621" max="15621" width="29.09765625" style="1555" customWidth="1"/>
    <col min="15622" max="15872" width="9" style="1555"/>
    <col min="15873" max="15873" width="5.19921875" style="1555" customWidth="1"/>
    <col min="15874" max="15874" width="47.59765625" style="1555" customWidth="1"/>
    <col min="15875" max="15875" width="8.09765625" style="1555" customWidth="1"/>
    <col min="15876" max="15876" width="18" style="1555" customWidth="1"/>
    <col min="15877" max="15877" width="29.09765625" style="1555" customWidth="1"/>
    <col min="15878" max="16128" width="9" style="1555"/>
    <col min="16129" max="16129" width="5.19921875" style="1555" customWidth="1"/>
    <col min="16130" max="16130" width="47.59765625" style="1555" customWidth="1"/>
    <col min="16131" max="16131" width="8.09765625" style="1555" customWidth="1"/>
    <col min="16132" max="16132" width="18" style="1555" customWidth="1"/>
    <col min="16133" max="16133" width="29.09765625" style="1555" customWidth="1"/>
    <col min="16134" max="16384" width="9" style="1555"/>
  </cols>
  <sheetData>
    <row r="1" spans="1:6" s="1577" customFormat="1" ht="20.100000000000001" customHeight="1">
      <c r="A1" s="3400" t="s">
        <v>5423</v>
      </c>
      <c r="B1" s="3400"/>
      <c r="C1" s="3400"/>
      <c r="D1" s="2017"/>
    </row>
    <row r="2" spans="1:6" ht="25.5" customHeight="1">
      <c r="A2" s="3464" t="s">
        <v>5424</v>
      </c>
      <c r="B2" s="3464"/>
      <c r="C2" s="3464"/>
      <c r="D2" s="1831"/>
    </row>
    <row r="3" spans="1:6" ht="14.25" customHeight="1">
      <c r="A3" s="1841" t="s">
        <v>1853</v>
      </c>
      <c r="B3" s="1841" t="s">
        <v>5425</v>
      </c>
      <c r="C3" s="1840" t="s">
        <v>557</v>
      </c>
      <c r="D3" s="1840" t="s">
        <v>5151</v>
      </c>
    </row>
    <row r="4" spans="1:6" ht="14.25" customHeight="1">
      <c r="A4" s="1840">
        <v>1</v>
      </c>
      <c r="B4" s="1818" t="s">
        <v>5426</v>
      </c>
      <c r="C4" s="2072">
        <f>政策性搬迁审核表!C4</f>
        <v>0</v>
      </c>
      <c r="D4" s="1966"/>
    </row>
    <row r="5" spans="1:6" ht="14.25" customHeight="1">
      <c r="A5" s="1840">
        <v>2</v>
      </c>
      <c r="B5" s="1818" t="s">
        <v>5427</v>
      </c>
      <c r="C5" s="2072">
        <f>政策性搬迁审核表!C5</f>
        <v>0</v>
      </c>
      <c r="D5" s="1966"/>
      <c r="F5" s="1578"/>
    </row>
    <row r="6" spans="1:6" ht="14.25" customHeight="1">
      <c r="A6" s="1840">
        <v>3</v>
      </c>
      <c r="B6" s="1818" t="s">
        <v>5428</v>
      </c>
      <c r="C6" s="2072">
        <f>政策性搬迁审核表!C6</f>
        <v>0</v>
      </c>
      <c r="D6" s="1966"/>
    </row>
    <row r="7" spans="1:6" ht="14.25" customHeight="1">
      <c r="A7" s="1840">
        <v>4</v>
      </c>
      <c r="B7" s="1818" t="s">
        <v>5429</v>
      </c>
      <c r="C7" s="2072">
        <f>政策性搬迁审核表!C7</f>
        <v>0</v>
      </c>
      <c r="D7" s="1966"/>
    </row>
    <row r="8" spans="1:6" ht="14.25" customHeight="1">
      <c r="A8" s="1840">
        <v>5</v>
      </c>
      <c r="B8" s="1818" t="s">
        <v>5430</v>
      </c>
      <c r="C8" s="2072">
        <f>政策性搬迁审核表!C8</f>
        <v>0</v>
      </c>
      <c r="D8" s="1966"/>
    </row>
    <row r="9" spans="1:6" ht="14.25" customHeight="1">
      <c r="A9" s="1840">
        <v>6</v>
      </c>
      <c r="B9" s="1818" t="s">
        <v>5431</v>
      </c>
      <c r="C9" s="2072">
        <f>政策性搬迁审核表!C9</f>
        <v>0</v>
      </c>
      <c r="D9" s="1966"/>
    </row>
    <row r="10" spans="1:6" ht="14.25" customHeight="1">
      <c r="A10" s="1840">
        <v>7</v>
      </c>
      <c r="B10" s="1818" t="s">
        <v>5432</v>
      </c>
      <c r="C10" s="2072">
        <f>政策性搬迁审核表!C10</f>
        <v>0</v>
      </c>
      <c r="D10" s="1966"/>
    </row>
    <row r="11" spans="1:6" ht="14.25" customHeight="1">
      <c r="A11" s="1840">
        <v>8</v>
      </c>
      <c r="B11" s="1818" t="s">
        <v>5433</v>
      </c>
      <c r="C11" s="2072">
        <f>政策性搬迁审核表!C11</f>
        <v>0</v>
      </c>
      <c r="D11" s="1966"/>
    </row>
    <row r="12" spans="1:6" ht="14.25" customHeight="1">
      <c r="A12" s="1840">
        <v>9</v>
      </c>
      <c r="B12" s="1818" t="s">
        <v>5434</v>
      </c>
      <c r="C12" s="2072">
        <f>政策性搬迁审核表!C12</f>
        <v>0</v>
      </c>
      <c r="D12" s="1966"/>
    </row>
    <row r="13" spans="1:6" ht="14.25" customHeight="1">
      <c r="A13" s="1840">
        <v>10</v>
      </c>
      <c r="B13" s="1818" t="s">
        <v>5435</v>
      </c>
      <c r="C13" s="2072">
        <f>政策性搬迁审核表!C13</f>
        <v>0</v>
      </c>
      <c r="D13" s="1966"/>
    </row>
    <row r="14" spans="1:6" ht="14.25" customHeight="1">
      <c r="A14" s="1840">
        <v>11</v>
      </c>
      <c r="B14" s="1818" t="s">
        <v>5436</v>
      </c>
      <c r="C14" s="2072">
        <f>政策性搬迁审核表!C14</f>
        <v>0</v>
      </c>
      <c r="D14" s="1966"/>
    </row>
    <row r="15" spans="1:6" ht="14.25" customHeight="1">
      <c r="A15" s="1840">
        <v>12</v>
      </c>
      <c r="B15" s="1818" t="s">
        <v>5437</v>
      </c>
      <c r="C15" s="2072">
        <f>政策性搬迁审核表!C15</f>
        <v>0</v>
      </c>
      <c r="D15" s="1966"/>
    </row>
    <row r="16" spans="1:6" ht="14.25" customHeight="1">
      <c r="A16" s="1840">
        <v>13</v>
      </c>
      <c r="B16" s="1818" t="s">
        <v>5438</v>
      </c>
      <c r="C16" s="2072">
        <f>政策性搬迁审核表!C16</f>
        <v>0</v>
      </c>
      <c r="D16" s="1966"/>
      <c r="E16" s="1675" t="s">
        <v>6452</v>
      </c>
    </row>
    <row r="17" spans="1:5" ht="14.25" customHeight="1">
      <c r="A17" s="1840">
        <v>14</v>
      </c>
      <c r="B17" s="1818" t="s">
        <v>5439</v>
      </c>
      <c r="C17" s="2072">
        <f>政策性搬迁审核表!C17</f>
        <v>0</v>
      </c>
      <c r="D17" s="1966"/>
    </row>
    <row r="18" spans="1:5" ht="14.25" customHeight="1">
      <c r="A18" s="1840">
        <v>15</v>
      </c>
      <c r="B18" s="1818" t="s">
        <v>5440</v>
      </c>
      <c r="C18" s="2072">
        <f>政策性搬迁审核表!C18</f>
        <v>0</v>
      </c>
      <c r="D18" s="1966"/>
    </row>
    <row r="19" spans="1:5" ht="14.25" customHeight="1">
      <c r="A19" s="1840">
        <v>16</v>
      </c>
      <c r="B19" s="1818" t="s">
        <v>5441</v>
      </c>
      <c r="C19" s="2072">
        <f>政策性搬迁审核表!C19</f>
        <v>0</v>
      </c>
      <c r="D19" s="1966"/>
    </row>
    <row r="20" spans="1:5" ht="14.25" customHeight="1">
      <c r="A20" s="1840">
        <v>17</v>
      </c>
      <c r="B20" s="1818" t="s">
        <v>5442</v>
      </c>
      <c r="C20" s="2072">
        <f>政策性搬迁审核表!C20</f>
        <v>0</v>
      </c>
      <c r="D20" s="1966"/>
    </row>
    <row r="21" spans="1:5" ht="14.25" customHeight="1">
      <c r="A21" s="1840">
        <v>18</v>
      </c>
      <c r="B21" s="1818" t="s">
        <v>5443</v>
      </c>
      <c r="C21" s="2072">
        <f>政策性搬迁审核表!C21</f>
        <v>0</v>
      </c>
      <c r="D21" s="1966"/>
    </row>
    <row r="22" spans="1:5" s="1579" customFormat="1" ht="14.25" customHeight="1">
      <c r="A22" s="1840">
        <v>19</v>
      </c>
      <c r="B22" s="1818" t="s">
        <v>5444</v>
      </c>
      <c r="C22" s="2072">
        <f>政策性搬迁审核表!C22</f>
        <v>0</v>
      </c>
      <c r="D22" s="1966"/>
    </row>
    <row r="23" spans="1:5" s="1579" customFormat="1" ht="14.25" customHeight="1">
      <c r="A23" s="1840">
        <v>20</v>
      </c>
      <c r="B23" s="1819" t="s">
        <v>5445</v>
      </c>
      <c r="C23" s="2072">
        <f>政策性搬迁审核表!C23</f>
        <v>0</v>
      </c>
      <c r="D23" s="1966"/>
    </row>
    <row r="24" spans="1:5" s="1579" customFormat="1" ht="14.25" customHeight="1">
      <c r="A24" s="1840">
        <v>21</v>
      </c>
      <c r="B24" s="1819" t="s">
        <v>5446</v>
      </c>
      <c r="C24" s="2072">
        <f>政策性搬迁审核表!C24</f>
        <v>0</v>
      </c>
      <c r="D24" s="1966"/>
    </row>
    <row r="25" spans="1:5" s="1579" customFormat="1" ht="14.25" customHeight="1">
      <c r="A25" s="1840">
        <v>22</v>
      </c>
      <c r="B25" s="1818" t="s">
        <v>5447</v>
      </c>
      <c r="C25" s="2072">
        <f>政策性搬迁审核表!C25</f>
        <v>0</v>
      </c>
      <c r="D25" s="1966"/>
    </row>
    <row r="26" spans="1:5" s="1579" customFormat="1" ht="14.25" customHeight="1">
      <c r="A26" s="1840">
        <v>23</v>
      </c>
      <c r="B26" s="1818" t="s">
        <v>5448</v>
      </c>
      <c r="C26" s="2072">
        <f>政策性搬迁审核表!C26</f>
        <v>0</v>
      </c>
      <c r="D26" s="1966"/>
    </row>
    <row r="27" spans="1:5" s="1579" customFormat="1" ht="55.5" customHeight="1">
      <c r="A27" s="1840">
        <v>24</v>
      </c>
      <c r="B27" s="1818" t="s">
        <v>5449</v>
      </c>
      <c r="C27" s="2072">
        <f>政策性搬迁审核表!C27</f>
        <v>0</v>
      </c>
      <c r="D27" s="1819" t="s">
        <v>5450</v>
      </c>
      <c r="E27" s="1580"/>
    </row>
  </sheetData>
  <mergeCells count="2">
    <mergeCell ref="A1:C1"/>
    <mergeCell ref="A2:C2"/>
  </mergeCells>
  <phoneticPr fontId="51" type="noConversion"/>
  <hyperlinks>
    <hyperlink ref="E16" location="政策性搬迁审核表!A1" display="政策性搬迁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rgb="FFFFFF00"/>
  </sheetPr>
  <dimension ref="A1:J34"/>
  <sheetViews>
    <sheetView workbookViewId="0">
      <selection sqref="A1:E1"/>
    </sheetView>
  </sheetViews>
  <sheetFormatPr defaultRowHeight="15.6"/>
  <cols>
    <col min="1" max="1" width="5.19921875" style="1551" customWidth="1"/>
    <col min="2" max="2" width="34.09765625" style="1551" customWidth="1"/>
    <col min="3" max="5" width="12.3984375" style="1551" customWidth="1"/>
    <col min="6" max="6" width="13.09765625" style="1551" customWidth="1"/>
    <col min="7" max="256" width="9" style="1551"/>
    <col min="257" max="257" width="5.19921875" style="1551" customWidth="1"/>
    <col min="258" max="258" width="34.09765625" style="1551" customWidth="1"/>
    <col min="259" max="259" width="8.59765625" style="1551" customWidth="1"/>
    <col min="260" max="260" width="8.5" style="1551" customWidth="1"/>
    <col min="261" max="261" width="8.69921875" style="1551" customWidth="1"/>
    <col min="262" max="262" width="13.09765625" style="1551" customWidth="1"/>
    <col min="263" max="512" width="9" style="1551"/>
    <col min="513" max="513" width="5.19921875" style="1551" customWidth="1"/>
    <col min="514" max="514" width="34.09765625" style="1551" customWidth="1"/>
    <col min="515" max="515" width="8.59765625" style="1551" customWidth="1"/>
    <col min="516" max="516" width="8.5" style="1551" customWidth="1"/>
    <col min="517" max="517" width="8.69921875" style="1551" customWidth="1"/>
    <col min="518" max="518" width="13.09765625" style="1551" customWidth="1"/>
    <col min="519" max="768" width="9" style="1551"/>
    <col min="769" max="769" width="5.19921875" style="1551" customWidth="1"/>
    <col min="770" max="770" width="34.09765625" style="1551" customWidth="1"/>
    <col min="771" max="771" width="8.59765625" style="1551" customWidth="1"/>
    <col min="772" max="772" width="8.5" style="1551" customWidth="1"/>
    <col min="773" max="773" width="8.69921875" style="1551" customWidth="1"/>
    <col min="774" max="774" width="13.09765625" style="1551" customWidth="1"/>
    <col min="775" max="1024" width="9" style="1551"/>
    <col min="1025" max="1025" width="5.19921875" style="1551" customWidth="1"/>
    <col min="1026" max="1026" width="34.09765625" style="1551" customWidth="1"/>
    <col min="1027" max="1027" width="8.59765625" style="1551" customWidth="1"/>
    <col min="1028" max="1028" width="8.5" style="1551" customWidth="1"/>
    <col min="1029" max="1029" width="8.69921875" style="1551" customWidth="1"/>
    <col min="1030" max="1030" width="13.09765625" style="1551" customWidth="1"/>
    <col min="1031" max="1280" width="9" style="1551"/>
    <col min="1281" max="1281" width="5.19921875" style="1551" customWidth="1"/>
    <col min="1282" max="1282" width="34.09765625" style="1551" customWidth="1"/>
    <col min="1283" max="1283" width="8.59765625" style="1551" customWidth="1"/>
    <col min="1284" max="1284" width="8.5" style="1551" customWidth="1"/>
    <col min="1285" max="1285" width="8.69921875" style="1551" customWidth="1"/>
    <col min="1286" max="1286" width="13.09765625" style="1551" customWidth="1"/>
    <col min="1287" max="1536" width="9" style="1551"/>
    <col min="1537" max="1537" width="5.19921875" style="1551" customWidth="1"/>
    <col min="1538" max="1538" width="34.09765625" style="1551" customWidth="1"/>
    <col min="1539" max="1539" width="8.59765625" style="1551" customWidth="1"/>
    <col min="1540" max="1540" width="8.5" style="1551" customWidth="1"/>
    <col min="1541" max="1541" width="8.69921875" style="1551" customWidth="1"/>
    <col min="1542" max="1542" width="13.09765625" style="1551" customWidth="1"/>
    <col min="1543" max="1792" width="9" style="1551"/>
    <col min="1793" max="1793" width="5.19921875" style="1551" customWidth="1"/>
    <col min="1794" max="1794" width="34.09765625" style="1551" customWidth="1"/>
    <col min="1795" max="1795" width="8.59765625" style="1551" customWidth="1"/>
    <col min="1796" max="1796" width="8.5" style="1551" customWidth="1"/>
    <col min="1797" max="1797" width="8.69921875" style="1551" customWidth="1"/>
    <col min="1798" max="1798" width="13.09765625" style="1551" customWidth="1"/>
    <col min="1799" max="2048" width="9" style="1551"/>
    <col min="2049" max="2049" width="5.19921875" style="1551" customWidth="1"/>
    <col min="2050" max="2050" width="34.09765625" style="1551" customWidth="1"/>
    <col min="2051" max="2051" width="8.59765625" style="1551" customWidth="1"/>
    <col min="2052" max="2052" width="8.5" style="1551" customWidth="1"/>
    <col min="2053" max="2053" width="8.69921875" style="1551" customWidth="1"/>
    <col min="2054" max="2054" width="13.09765625" style="1551" customWidth="1"/>
    <col min="2055" max="2304" width="9" style="1551"/>
    <col min="2305" max="2305" width="5.19921875" style="1551" customWidth="1"/>
    <col min="2306" max="2306" width="34.09765625" style="1551" customWidth="1"/>
    <col min="2307" max="2307" width="8.59765625" style="1551" customWidth="1"/>
    <col min="2308" max="2308" width="8.5" style="1551" customWidth="1"/>
    <col min="2309" max="2309" width="8.69921875" style="1551" customWidth="1"/>
    <col min="2310" max="2310" width="13.09765625" style="1551" customWidth="1"/>
    <col min="2311" max="2560" width="9" style="1551"/>
    <col min="2561" max="2561" width="5.19921875" style="1551" customWidth="1"/>
    <col min="2562" max="2562" width="34.09765625" style="1551" customWidth="1"/>
    <col min="2563" max="2563" width="8.59765625" style="1551" customWidth="1"/>
    <col min="2564" max="2564" width="8.5" style="1551" customWidth="1"/>
    <col min="2565" max="2565" width="8.69921875" style="1551" customWidth="1"/>
    <col min="2566" max="2566" width="13.09765625" style="1551" customWidth="1"/>
    <col min="2567" max="2816" width="9" style="1551"/>
    <col min="2817" max="2817" width="5.19921875" style="1551" customWidth="1"/>
    <col min="2818" max="2818" width="34.09765625" style="1551" customWidth="1"/>
    <col min="2819" max="2819" width="8.59765625" style="1551" customWidth="1"/>
    <col min="2820" max="2820" width="8.5" style="1551" customWidth="1"/>
    <col min="2821" max="2821" width="8.69921875" style="1551" customWidth="1"/>
    <col min="2822" max="2822" width="13.09765625" style="1551" customWidth="1"/>
    <col min="2823" max="3072" width="9" style="1551"/>
    <col min="3073" max="3073" width="5.19921875" style="1551" customWidth="1"/>
    <col min="3074" max="3074" width="34.09765625" style="1551" customWidth="1"/>
    <col min="3075" max="3075" width="8.59765625" style="1551" customWidth="1"/>
    <col min="3076" max="3076" width="8.5" style="1551" customWidth="1"/>
    <col min="3077" max="3077" width="8.69921875" style="1551" customWidth="1"/>
    <col min="3078" max="3078" width="13.09765625" style="1551" customWidth="1"/>
    <col min="3079" max="3328" width="9" style="1551"/>
    <col min="3329" max="3329" width="5.19921875" style="1551" customWidth="1"/>
    <col min="3330" max="3330" width="34.09765625" style="1551" customWidth="1"/>
    <col min="3331" max="3331" width="8.59765625" style="1551" customWidth="1"/>
    <col min="3332" max="3332" width="8.5" style="1551" customWidth="1"/>
    <col min="3333" max="3333" width="8.69921875" style="1551" customWidth="1"/>
    <col min="3334" max="3334" width="13.09765625" style="1551" customWidth="1"/>
    <col min="3335" max="3584" width="9" style="1551"/>
    <col min="3585" max="3585" width="5.19921875" style="1551" customWidth="1"/>
    <col min="3586" max="3586" width="34.09765625" style="1551" customWidth="1"/>
    <col min="3587" max="3587" width="8.59765625" style="1551" customWidth="1"/>
    <col min="3588" max="3588" width="8.5" style="1551" customWidth="1"/>
    <col min="3589" max="3589" width="8.69921875" style="1551" customWidth="1"/>
    <col min="3590" max="3590" width="13.09765625" style="1551" customWidth="1"/>
    <col min="3591" max="3840" width="9" style="1551"/>
    <col min="3841" max="3841" width="5.19921875" style="1551" customWidth="1"/>
    <col min="3842" max="3842" width="34.09765625" style="1551" customWidth="1"/>
    <col min="3843" max="3843" width="8.59765625" style="1551" customWidth="1"/>
    <col min="3844" max="3844" width="8.5" style="1551" customWidth="1"/>
    <col min="3845" max="3845" width="8.69921875" style="1551" customWidth="1"/>
    <col min="3846" max="3846" width="13.09765625" style="1551" customWidth="1"/>
    <col min="3847" max="4096" width="9" style="1551"/>
    <col min="4097" max="4097" width="5.19921875" style="1551" customWidth="1"/>
    <col min="4098" max="4098" width="34.09765625" style="1551" customWidth="1"/>
    <col min="4099" max="4099" width="8.59765625" style="1551" customWidth="1"/>
    <col min="4100" max="4100" width="8.5" style="1551" customWidth="1"/>
    <col min="4101" max="4101" width="8.69921875" style="1551" customWidth="1"/>
    <col min="4102" max="4102" width="13.09765625" style="1551" customWidth="1"/>
    <col min="4103" max="4352" width="9" style="1551"/>
    <col min="4353" max="4353" width="5.19921875" style="1551" customWidth="1"/>
    <col min="4354" max="4354" width="34.09765625" style="1551" customWidth="1"/>
    <col min="4355" max="4355" width="8.59765625" style="1551" customWidth="1"/>
    <col min="4356" max="4356" width="8.5" style="1551" customWidth="1"/>
    <col min="4357" max="4357" width="8.69921875" style="1551" customWidth="1"/>
    <col min="4358" max="4358" width="13.09765625" style="1551" customWidth="1"/>
    <col min="4359" max="4608" width="9" style="1551"/>
    <col min="4609" max="4609" width="5.19921875" style="1551" customWidth="1"/>
    <col min="4610" max="4610" width="34.09765625" style="1551" customWidth="1"/>
    <col min="4611" max="4611" width="8.59765625" style="1551" customWidth="1"/>
    <col min="4612" max="4612" width="8.5" style="1551" customWidth="1"/>
    <col min="4613" max="4613" width="8.69921875" style="1551" customWidth="1"/>
    <col min="4614" max="4614" width="13.09765625" style="1551" customWidth="1"/>
    <col min="4615" max="4864" width="9" style="1551"/>
    <col min="4865" max="4865" width="5.19921875" style="1551" customWidth="1"/>
    <col min="4866" max="4866" width="34.09765625" style="1551" customWidth="1"/>
    <col min="4867" max="4867" width="8.59765625" style="1551" customWidth="1"/>
    <col min="4868" max="4868" width="8.5" style="1551" customWidth="1"/>
    <col min="4869" max="4869" width="8.69921875" style="1551" customWidth="1"/>
    <col min="4870" max="4870" width="13.09765625" style="1551" customWidth="1"/>
    <col min="4871" max="5120" width="9" style="1551"/>
    <col min="5121" max="5121" width="5.19921875" style="1551" customWidth="1"/>
    <col min="5122" max="5122" width="34.09765625" style="1551" customWidth="1"/>
    <col min="5123" max="5123" width="8.59765625" style="1551" customWidth="1"/>
    <col min="5124" max="5124" width="8.5" style="1551" customWidth="1"/>
    <col min="5125" max="5125" width="8.69921875" style="1551" customWidth="1"/>
    <col min="5126" max="5126" width="13.09765625" style="1551" customWidth="1"/>
    <col min="5127" max="5376" width="9" style="1551"/>
    <col min="5377" max="5377" width="5.19921875" style="1551" customWidth="1"/>
    <col min="5378" max="5378" width="34.09765625" style="1551" customWidth="1"/>
    <col min="5379" max="5379" width="8.59765625" style="1551" customWidth="1"/>
    <col min="5380" max="5380" width="8.5" style="1551" customWidth="1"/>
    <col min="5381" max="5381" width="8.69921875" style="1551" customWidth="1"/>
    <col min="5382" max="5382" width="13.09765625" style="1551" customWidth="1"/>
    <col min="5383" max="5632" width="9" style="1551"/>
    <col min="5633" max="5633" width="5.19921875" style="1551" customWidth="1"/>
    <col min="5634" max="5634" width="34.09765625" style="1551" customWidth="1"/>
    <col min="5635" max="5635" width="8.59765625" style="1551" customWidth="1"/>
    <col min="5636" max="5636" width="8.5" style="1551" customWidth="1"/>
    <col min="5637" max="5637" width="8.69921875" style="1551" customWidth="1"/>
    <col min="5638" max="5638" width="13.09765625" style="1551" customWidth="1"/>
    <col min="5639" max="5888" width="9" style="1551"/>
    <col min="5889" max="5889" width="5.19921875" style="1551" customWidth="1"/>
    <col min="5890" max="5890" width="34.09765625" style="1551" customWidth="1"/>
    <col min="5891" max="5891" width="8.59765625" style="1551" customWidth="1"/>
    <col min="5892" max="5892" width="8.5" style="1551" customWidth="1"/>
    <col min="5893" max="5893" width="8.69921875" style="1551" customWidth="1"/>
    <col min="5894" max="5894" width="13.09765625" style="1551" customWidth="1"/>
    <col min="5895" max="6144" width="9" style="1551"/>
    <col min="6145" max="6145" width="5.19921875" style="1551" customWidth="1"/>
    <col min="6146" max="6146" width="34.09765625" style="1551" customWidth="1"/>
    <col min="6147" max="6147" width="8.59765625" style="1551" customWidth="1"/>
    <col min="6148" max="6148" width="8.5" style="1551" customWidth="1"/>
    <col min="6149" max="6149" width="8.69921875" style="1551" customWidth="1"/>
    <col min="6150" max="6150" width="13.09765625" style="1551" customWidth="1"/>
    <col min="6151" max="6400" width="9" style="1551"/>
    <col min="6401" max="6401" width="5.19921875" style="1551" customWidth="1"/>
    <col min="6402" max="6402" width="34.09765625" style="1551" customWidth="1"/>
    <col min="6403" max="6403" width="8.59765625" style="1551" customWidth="1"/>
    <col min="6404" max="6404" width="8.5" style="1551" customWidth="1"/>
    <col min="6405" max="6405" width="8.69921875" style="1551" customWidth="1"/>
    <col min="6406" max="6406" width="13.09765625" style="1551" customWidth="1"/>
    <col min="6407" max="6656" width="9" style="1551"/>
    <col min="6657" max="6657" width="5.19921875" style="1551" customWidth="1"/>
    <col min="6658" max="6658" width="34.09765625" style="1551" customWidth="1"/>
    <col min="6659" max="6659" width="8.59765625" style="1551" customWidth="1"/>
    <col min="6660" max="6660" width="8.5" style="1551" customWidth="1"/>
    <col min="6661" max="6661" width="8.69921875" style="1551" customWidth="1"/>
    <col min="6662" max="6662" width="13.09765625" style="1551" customWidth="1"/>
    <col min="6663" max="6912" width="9" style="1551"/>
    <col min="6913" max="6913" width="5.19921875" style="1551" customWidth="1"/>
    <col min="6914" max="6914" width="34.09765625" style="1551" customWidth="1"/>
    <col min="6915" max="6915" width="8.59765625" style="1551" customWidth="1"/>
    <col min="6916" max="6916" width="8.5" style="1551" customWidth="1"/>
    <col min="6917" max="6917" width="8.69921875" style="1551" customWidth="1"/>
    <col min="6918" max="6918" width="13.09765625" style="1551" customWidth="1"/>
    <col min="6919" max="7168" width="9" style="1551"/>
    <col min="7169" max="7169" width="5.19921875" style="1551" customWidth="1"/>
    <col min="7170" max="7170" width="34.09765625" style="1551" customWidth="1"/>
    <col min="7171" max="7171" width="8.59765625" style="1551" customWidth="1"/>
    <col min="7172" max="7172" width="8.5" style="1551" customWidth="1"/>
    <col min="7173" max="7173" width="8.69921875" style="1551" customWidth="1"/>
    <col min="7174" max="7174" width="13.09765625" style="1551" customWidth="1"/>
    <col min="7175" max="7424" width="9" style="1551"/>
    <col min="7425" max="7425" width="5.19921875" style="1551" customWidth="1"/>
    <col min="7426" max="7426" width="34.09765625" style="1551" customWidth="1"/>
    <col min="7427" max="7427" width="8.59765625" style="1551" customWidth="1"/>
    <col min="7428" max="7428" width="8.5" style="1551" customWidth="1"/>
    <col min="7429" max="7429" width="8.69921875" style="1551" customWidth="1"/>
    <col min="7430" max="7430" width="13.09765625" style="1551" customWidth="1"/>
    <col min="7431" max="7680" width="9" style="1551"/>
    <col min="7681" max="7681" width="5.19921875" style="1551" customWidth="1"/>
    <col min="7682" max="7682" width="34.09765625" style="1551" customWidth="1"/>
    <col min="7683" max="7683" width="8.59765625" style="1551" customWidth="1"/>
    <col min="7684" max="7684" width="8.5" style="1551" customWidth="1"/>
    <col min="7685" max="7685" width="8.69921875" style="1551" customWidth="1"/>
    <col min="7686" max="7686" width="13.09765625" style="1551" customWidth="1"/>
    <col min="7687" max="7936" width="9" style="1551"/>
    <col min="7937" max="7937" width="5.19921875" style="1551" customWidth="1"/>
    <col min="7938" max="7938" width="34.09765625" style="1551" customWidth="1"/>
    <col min="7939" max="7939" width="8.59765625" style="1551" customWidth="1"/>
    <col min="7940" max="7940" width="8.5" style="1551" customWidth="1"/>
    <col min="7941" max="7941" width="8.69921875" style="1551" customWidth="1"/>
    <col min="7942" max="7942" width="13.09765625" style="1551" customWidth="1"/>
    <col min="7943" max="8192" width="9" style="1551"/>
    <col min="8193" max="8193" width="5.19921875" style="1551" customWidth="1"/>
    <col min="8194" max="8194" width="34.09765625" style="1551" customWidth="1"/>
    <col min="8195" max="8195" width="8.59765625" style="1551" customWidth="1"/>
    <col min="8196" max="8196" width="8.5" style="1551" customWidth="1"/>
    <col min="8197" max="8197" width="8.69921875" style="1551" customWidth="1"/>
    <col min="8198" max="8198" width="13.09765625" style="1551" customWidth="1"/>
    <col min="8199" max="8448" width="9" style="1551"/>
    <col min="8449" max="8449" width="5.19921875" style="1551" customWidth="1"/>
    <col min="8450" max="8450" width="34.09765625" style="1551" customWidth="1"/>
    <col min="8451" max="8451" width="8.59765625" style="1551" customWidth="1"/>
    <col min="8452" max="8452" width="8.5" style="1551" customWidth="1"/>
    <col min="8453" max="8453" width="8.69921875" style="1551" customWidth="1"/>
    <col min="8454" max="8454" width="13.09765625" style="1551" customWidth="1"/>
    <col min="8455" max="8704" width="9" style="1551"/>
    <col min="8705" max="8705" width="5.19921875" style="1551" customWidth="1"/>
    <col min="8706" max="8706" width="34.09765625" style="1551" customWidth="1"/>
    <col min="8707" max="8707" width="8.59765625" style="1551" customWidth="1"/>
    <col min="8708" max="8708" width="8.5" style="1551" customWidth="1"/>
    <col min="8709" max="8709" width="8.69921875" style="1551" customWidth="1"/>
    <col min="8710" max="8710" width="13.09765625" style="1551" customWidth="1"/>
    <col min="8711" max="8960" width="9" style="1551"/>
    <col min="8961" max="8961" width="5.19921875" style="1551" customWidth="1"/>
    <col min="8962" max="8962" width="34.09765625" style="1551" customWidth="1"/>
    <col min="8963" max="8963" width="8.59765625" style="1551" customWidth="1"/>
    <col min="8964" max="8964" width="8.5" style="1551" customWidth="1"/>
    <col min="8965" max="8965" width="8.69921875" style="1551" customWidth="1"/>
    <col min="8966" max="8966" width="13.09765625" style="1551" customWidth="1"/>
    <col min="8967" max="9216" width="9" style="1551"/>
    <col min="9217" max="9217" width="5.19921875" style="1551" customWidth="1"/>
    <col min="9218" max="9218" width="34.09765625" style="1551" customWidth="1"/>
    <col min="9219" max="9219" width="8.59765625" style="1551" customWidth="1"/>
    <col min="9220" max="9220" width="8.5" style="1551" customWidth="1"/>
    <col min="9221" max="9221" width="8.69921875" style="1551" customWidth="1"/>
    <col min="9222" max="9222" width="13.09765625" style="1551" customWidth="1"/>
    <col min="9223" max="9472" width="9" style="1551"/>
    <col min="9473" max="9473" width="5.19921875" style="1551" customWidth="1"/>
    <col min="9474" max="9474" width="34.09765625" style="1551" customWidth="1"/>
    <col min="9475" max="9475" width="8.59765625" style="1551" customWidth="1"/>
    <col min="9476" max="9476" width="8.5" style="1551" customWidth="1"/>
    <col min="9477" max="9477" width="8.69921875" style="1551" customWidth="1"/>
    <col min="9478" max="9478" width="13.09765625" style="1551" customWidth="1"/>
    <col min="9479" max="9728" width="9" style="1551"/>
    <col min="9729" max="9729" width="5.19921875" style="1551" customWidth="1"/>
    <col min="9730" max="9730" width="34.09765625" style="1551" customWidth="1"/>
    <col min="9731" max="9731" width="8.59765625" style="1551" customWidth="1"/>
    <col min="9732" max="9732" width="8.5" style="1551" customWidth="1"/>
    <col min="9733" max="9733" width="8.69921875" style="1551" customWidth="1"/>
    <col min="9734" max="9734" width="13.09765625" style="1551" customWidth="1"/>
    <col min="9735" max="9984" width="9" style="1551"/>
    <col min="9985" max="9985" width="5.19921875" style="1551" customWidth="1"/>
    <col min="9986" max="9986" width="34.09765625" style="1551" customWidth="1"/>
    <col min="9987" max="9987" width="8.59765625" style="1551" customWidth="1"/>
    <col min="9988" max="9988" width="8.5" style="1551" customWidth="1"/>
    <col min="9989" max="9989" width="8.69921875" style="1551" customWidth="1"/>
    <col min="9990" max="9990" width="13.09765625" style="1551" customWidth="1"/>
    <col min="9991" max="10240" width="9" style="1551"/>
    <col min="10241" max="10241" width="5.19921875" style="1551" customWidth="1"/>
    <col min="10242" max="10242" width="34.09765625" style="1551" customWidth="1"/>
    <col min="10243" max="10243" width="8.59765625" style="1551" customWidth="1"/>
    <col min="10244" max="10244" width="8.5" style="1551" customWidth="1"/>
    <col min="10245" max="10245" width="8.69921875" style="1551" customWidth="1"/>
    <col min="10246" max="10246" width="13.09765625" style="1551" customWidth="1"/>
    <col min="10247" max="10496" width="9" style="1551"/>
    <col min="10497" max="10497" width="5.19921875" style="1551" customWidth="1"/>
    <col min="10498" max="10498" width="34.09765625" style="1551" customWidth="1"/>
    <col min="10499" max="10499" width="8.59765625" style="1551" customWidth="1"/>
    <col min="10500" max="10500" width="8.5" style="1551" customWidth="1"/>
    <col min="10501" max="10501" width="8.69921875" style="1551" customWidth="1"/>
    <col min="10502" max="10502" width="13.09765625" style="1551" customWidth="1"/>
    <col min="10503" max="10752" width="9" style="1551"/>
    <col min="10753" max="10753" width="5.19921875" style="1551" customWidth="1"/>
    <col min="10754" max="10754" width="34.09765625" style="1551" customWidth="1"/>
    <col min="10755" max="10755" width="8.59765625" style="1551" customWidth="1"/>
    <col min="10756" max="10756" width="8.5" style="1551" customWidth="1"/>
    <col min="10757" max="10757" width="8.69921875" style="1551" customWidth="1"/>
    <col min="10758" max="10758" width="13.09765625" style="1551" customWidth="1"/>
    <col min="10759" max="11008" width="9" style="1551"/>
    <col min="11009" max="11009" width="5.19921875" style="1551" customWidth="1"/>
    <col min="11010" max="11010" width="34.09765625" style="1551" customWidth="1"/>
    <col min="11011" max="11011" width="8.59765625" style="1551" customWidth="1"/>
    <col min="11012" max="11012" width="8.5" style="1551" customWidth="1"/>
    <col min="11013" max="11013" width="8.69921875" style="1551" customWidth="1"/>
    <col min="11014" max="11014" width="13.09765625" style="1551" customWidth="1"/>
    <col min="11015" max="11264" width="9" style="1551"/>
    <col min="11265" max="11265" width="5.19921875" style="1551" customWidth="1"/>
    <col min="11266" max="11266" width="34.09765625" style="1551" customWidth="1"/>
    <col min="11267" max="11267" width="8.59765625" style="1551" customWidth="1"/>
    <col min="11268" max="11268" width="8.5" style="1551" customWidth="1"/>
    <col min="11269" max="11269" width="8.69921875" style="1551" customWidth="1"/>
    <col min="11270" max="11270" width="13.09765625" style="1551" customWidth="1"/>
    <col min="11271" max="11520" width="9" style="1551"/>
    <col min="11521" max="11521" width="5.19921875" style="1551" customWidth="1"/>
    <col min="11522" max="11522" width="34.09765625" style="1551" customWidth="1"/>
    <col min="11523" max="11523" width="8.59765625" style="1551" customWidth="1"/>
    <col min="11524" max="11524" width="8.5" style="1551" customWidth="1"/>
    <col min="11525" max="11525" width="8.69921875" style="1551" customWidth="1"/>
    <col min="11526" max="11526" width="13.09765625" style="1551" customWidth="1"/>
    <col min="11527" max="11776" width="9" style="1551"/>
    <col min="11777" max="11777" width="5.19921875" style="1551" customWidth="1"/>
    <col min="11778" max="11778" width="34.09765625" style="1551" customWidth="1"/>
    <col min="11779" max="11779" width="8.59765625" style="1551" customWidth="1"/>
    <col min="11780" max="11780" width="8.5" style="1551" customWidth="1"/>
    <col min="11781" max="11781" width="8.69921875" style="1551" customWidth="1"/>
    <col min="11782" max="11782" width="13.09765625" style="1551" customWidth="1"/>
    <col min="11783" max="12032" width="9" style="1551"/>
    <col min="12033" max="12033" width="5.19921875" style="1551" customWidth="1"/>
    <col min="12034" max="12034" width="34.09765625" style="1551" customWidth="1"/>
    <col min="12035" max="12035" width="8.59765625" style="1551" customWidth="1"/>
    <col min="12036" max="12036" width="8.5" style="1551" customWidth="1"/>
    <col min="12037" max="12037" width="8.69921875" style="1551" customWidth="1"/>
    <col min="12038" max="12038" width="13.09765625" style="1551" customWidth="1"/>
    <col min="12039" max="12288" width="9" style="1551"/>
    <col min="12289" max="12289" width="5.19921875" style="1551" customWidth="1"/>
    <col min="12290" max="12290" width="34.09765625" style="1551" customWidth="1"/>
    <col min="12291" max="12291" width="8.59765625" style="1551" customWidth="1"/>
    <col min="12292" max="12292" width="8.5" style="1551" customWidth="1"/>
    <col min="12293" max="12293" width="8.69921875" style="1551" customWidth="1"/>
    <col min="12294" max="12294" width="13.09765625" style="1551" customWidth="1"/>
    <col min="12295" max="12544" width="9" style="1551"/>
    <col min="12545" max="12545" width="5.19921875" style="1551" customWidth="1"/>
    <col min="12546" max="12546" width="34.09765625" style="1551" customWidth="1"/>
    <col min="12547" max="12547" width="8.59765625" style="1551" customWidth="1"/>
    <col min="12548" max="12548" width="8.5" style="1551" customWidth="1"/>
    <col min="12549" max="12549" width="8.69921875" style="1551" customWidth="1"/>
    <col min="12550" max="12550" width="13.09765625" style="1551" customWidth="1"/>
    <col min="12551" max="12800" width="9" style="1551"/>
    <col min="12801" max="12801" width="5.19921875" style="1551" customWidth="1"/>
    <col min="12802" max="12802" width="34.09765625" style="1551" customWidth="1"/>
    <col min="12803" max="12803" width="8.59765625" style="1551" customWidth="1"/>
    <col min="12804" max="12804" width="8.5" style="1551" customWidth="1"/>
    <col min="12805" max="12805" width="8.69921875" style="1551" customWidth="1"/>
    <col min="12806" max="12806" width="13.09765625" style="1551" customWidth="1"/>
    <col min="12807" max="13056" width="9" style="1551"/>
    <col min="13057" max="13057" width="5.19921875" style="1551" customWidth="1"/>
    <col min="13058" max="13058" width="34.09765625" style="1551" customWidth="1"/>
    <col min="13059" max="13059" width="8.59765625" style="1551" customWidth="1"/>
    <col min="13060" max="13060" width="8.5" style="1551" customWidth="1"/>
    <col min="13061" max="13061" width="8.69921875" style="1551" customWidth="1"/>
    <col min="13062" max="13062" width="13.09765625" style="1551" customWidth="1"/>
    <col min="13063" max="13312" width="9" style="1551"/>
    <col min="13313" max="13313" width="5.19921875" style="1551" customWidth="1"/>
    <col min="13314" max="13314" width="34.09765625" style="1551" customWidth="1"/>
    <col min="13315" max="13315" width="8.59765625" style="1551" customWidth="1"/>
    <col min="13316" max="13316" width="8.5" style="1551" customWidth="1"/>
    <col min="13317" max="13317" width="8.69921875" style="1551" customWidth="1"/>
    <col min="13318" max="13318" width="13.09765625" style="1551" customWidth="1"/>
    <col min="13319" max="13568" width="9" style="1551"/>
    <col min="13569" max="13569" width="5.19921875" style="1551" customWidth="1"/>
    <col min="13570" max="13570" width="34.09765625" style="1551" customWidth="1"/>
    <col min="13571" max="13571" width="8.59765625" style="1551" customWidth="1"/>
    <col min="13572" max="13572" width="8.5" style="1551" customWidth="1"/>
    <col min="13573" max="13573" width="8.69921875" style="1551" customWidth="1"/>
    <col min="13574" max="13574" width="13.09765625" style="1551" customWidth="1"/>
    <col min="13575" max="13824" width="9" style="1551"/>
    <col min="13825" max="13825" width="5.19921875" style="1551" customWidth="1"/>
    <col min="13826" max="13826" width="34.09765625" style="1551" customWidth="1"/>
    <col min="13827" max="13827" width="8.59765625" style="1551" customWidth="1"/>
    <col min="13828" max="13828" width="8.5" style="1551" customWidth="1"/>
    <col min="13829" max="13829" width="8.69921875" style="1551" customWidth="1"/>
    <col min="13830" max="13830" width="13.09765625" style="1551" customWidth="1"/>
    <col min="13831" max="14080" width="9" style="1551"/>
    <col min="14081" max="14081" width="5.19921875" style="1551" customWidth="1"/>
    <col min="14082" max="14082" width="34.09765625" style="1551" customWidth="1"/>
    <col min="14083" max="14083" width="8.59765625" style="1551" customWidth="1"/>
    <col min="14084" max="14084" width="8.5" style="1551" customWidth="1"/>
    <col min="14085" max="14085" width="8.69921875" style="1551" customWidth="1"/>
    <col min="14086" max="14086" width="13.09765625" style="1551" customWidth="1"/>
    <col min="14087" max="14336" width="9" style="1551"/>
    <col min="14337" max="14337" width="5.19921875" style="1551" customWidth="1"/>
    <col min="14338" max="14338" width="34.09765625" style="1551" customWidth="1"/>
    <col min="14339" max="14339" width="8.59765625" style="1551" customWidth="1"/>
    <col min="14340" max="14340" width="8.5" style="1551" customWidth="1"/>
    <col min="14341" max="14341" width="8.69921875" style="1551" customWidth="1"/>
    <col min="14342" max="14342" width="13.09765625" style="1551" customWidth="1"/>
    <col min="14343" max="14592" width="9" style="1551"/>
    <col min="14593" max="14593" width="5.19921875" style="1551" customWidth="1"/>
    <col min="14594" max="14594" width="34.09765625" style="1551" customWidth="1"/>
    <col min="14595" max="14595" width="8.59765625" style="1551" customWidth="1"/>
    <col min="14596" max="14596" width="8.5" style="1551" customWidth="1"/>
    <col min="14597" max="14597" width="8.69921875" style="1551" customWidth="1"/>
    <col min="14598" max="14598" width="13.09765625" style="1551" customWidth="1"/>
    <col min="14599" max="14848" width="9" style="1551"/>
    <col min="14849" max="14849" width="5.19921875" style="1551" customWidth="1"/>
    <col min="14850" max="14850" width="34.09765625" style="1551" customWidth="1"/>
    <col min="14851" max="14851" width="8.59765625" style="1551" customWidth="1"/>
    <col min="14852" max="14852" width="8.5" style="1551" customWidth="1"/>
    <col min="14853" max="14853" width="8.69921875" style="1551" customWidth="1"/>
    <col min="14854" max="14854" width="13.09765625" style="1551" customWidth="1"/>
    <col min="14855" max="15104" width="9" style="1551"/>
    <col min="15105" max="15105" width="5.19921875" style="1551" customWidth="1"/>
    <col min="15106" max="15106" width="34.09765625" style="1551" customWidth="1"/>
    <col min="15107" max="15107" width="8.59765625" style="1551" customWidth="1"/>
    <col min="15108" max="15108" width="8.5" style="1551" customWidth="1"/>
    <col min="15109" max="15109" width="8.69921875" style="1551" customWidth="1"/>
    <col min="15110" max="15110" width="13.09765625" style="1551" customWidth="1"/>
    <col min="15111" max="15360" width="9" style="1551"/>
    <col min="15361" max="15361" width="5.19921875" style="1551" customWidth="1"/>
    <col min="15362" max="15362" width="34.09765625" style="1551" customWidth="1"/>
    <col min="15363" max="15363" width="8.59765625" style="1551" customWidth="1"/>
    <col min="15364" max="15364" width="8.5" style="1551" customWidth="1"/>
    <col min="15365" max="15365" width="8.69921875" style="1551" customWidth="1"/>
    <col min="15366" max="15366" width="13.09765625" style="1551" customWidth="1"/>
    <col min="15367" max="15616" width="9" style="1551"/>
    <col min="15617" max="15617" width="5.19921875" style="1551" customWidth="1"/>
    <col min="15618" max="15618" width="34.09765625" style="1551" customWidth="1"/>
    <col min="15619" max="15619" width="8.59765625" style="1551" customWidth="1"/>
    <col min="15620" max="15620" width="8.5" style="1551" customWidth="1"/>
    <col min="15621" max="15621" width="8.69921875" style="1551" customWidth="1"/>
    <col min="15622" max="15622" width="13.09765625" style="1551" customWidth="1"/>
    <col min="15623" max="15872" width="9" style="1551"/>
    <col min="15873" max="15873" width="5.19921875" style="1551" customWidth="1"/>
    <col min="15874" max="15874" width="34.09765625" style="1551" customWidth="1"/>
    <col min="15875" max="15875" width="8.59765625" style="1551" customWidth="1"/>
    <col min="15876" max="15876" width="8.5" style="1551" customWidth="1"/>
    <col min="15877" max="15877" width="8.69921875" style="1551" customWidth="1"/>
    <col min="15878" max="15878" width="13.09765625" style="1551" customWidth="1"/>
    <col min="15879" max="16128" width="9" style="1551"/>
    <col min="16129" max="16129" width="5.19921875" style="1551" customWidth="1"/>
    <col min="16130" max="16130" width="34.09765625" style="1551" customWidth="1"/>
    <col min="16131" max="16131" width="8.59765625" style="1551" customWidth="1"/>
    <col min="16132" max="16132" width="8.5" style="1551" customWidth="1"/>
    <col min="16133" max="16133" width="8.69921875" style="1551" customWidth="1"/>
    <col min="16134" max="16134" width="13.09765625" style="1551" customWidth="1"/>
    <col min="16135" max="16384" width="9" style="1551"/>
  </cols>
  <sheetData>
    <row r="1" spans="1:10" ht="20.100000000000001" customHeight="1">
      <c r="A1" s="3400" t="s">
        <v>5451</v>
      </c>
      <c r="B1" s="3400"/>
      <c r="C1" s="3400"/>
      <c r="D1" s="3400"/>
      <c r="E1" s="3400"/>
      <c r="F1" s="1802"/>
    </row>
    <row r="2" spans="1:10" ht="25.5" customHeight="1">
      <c r="A2" s="3401" t="s">
        <v>5452</v>
      </c>
      <c r="B2" s="3401"/>
      <c r="C2" s="3401"/>
      <c r="D2" s="3401"/>
      <c r="E2" s="3401"/>
      <c r="F2" s="1833"/>
    </row>
    <row r="3" spans="1:10" ht="14.25" customHeight="1">
      <c r="A3" s="3405" t="s">
        <v>2359</v>
      </c>
      <c r="B3" s="3402" t="s">
        <v>5079</v>
      </c>
      <c r="C3" s="1843" t="s">
        <v>1850</v>
      </c>
      <c r="D3" s="1843" t="s">
        <v>1851</v>
      </c>
      <c r="E3" s="1843" t="s">
        <v>5259</v>
      </c>
      <c r="F3" s="3399" t="s">
        <v>5151</v>
      </c>
    </row>
    <row r="4" spans="1:10" ht="14.25" customHeight="1">
      <c r="A4" s="3466"/>
      <c r="B4" s="3467"/>
      <c r="C4" s="1840">
        <v>1</v>
      </c>
      <c r="D4" s="1842">
        <v>2</v>
      </c>
      <c r="E4" s="1842" t="s">
        <v>5360</v>
      </c>
      <c r="F4" s="3399"/>
      <c r="J4" s="1581"/>
    </row>
    <row r="5" spans="1:10" ht="14.25" customHeight="1">
      <c r="A5" s="1840">
        <v>1</v>
      </c>
      <c r="B5" s="1803" t="s">
        <v>5453</v>
      </c>
      <c r="C5" s="2072">
        <f>特殊行业准备金审核表!C5</f>
        <v>0</v>
      </c>
      <c r="D5" s="2072">
        <f>特殊行业准备金审核表!D5</f>
        <v>0</v>
      </c>
      <c r="E5" s="2072">
        <f>特殊行业准备金审核表!E5</f>
        <v>0</v>
      </c>
      <c r="F5" s="1968"/>
    </row>
    <row r="6" spans="1:10" ht="14.25" customHeight="1">
      <c r="A6" s="1840">
        <v>2</v>
      </c>
      <c r="B6" s="1817" t="s">
        <v>5454</v>
      </c>
      <c r="C6" s="2072">
        <f>特殊行业准备金审核表!C6</f>
        <v>0</v>
      </c>
      <c r="D6" s="2072">
        <f>特殊行业准备金审核表!D6</f>
        <v>0</v>
      </c>
      <c r="E6" s="2072">
        <f>特殊行业准备金审核表!E6</f>
        <v>0</v>
      </c>
      <c r="F6" s="1968"/>
    </row>
    <row r="7" spans="1:10" ht="14.25" customHeight="1">
      <c r="A7" s="1840">
        <v>3</v>
      </c>
      <c r="B7" s="1809" t="s">
        <v>5455</v>
      </c>
      <c r="C7" s="2072">
        <f>特殊行业准备金审核表!C7</f>
        <v>0</v>
      </c>
      <c r="D7" s="2072">
        <f>特殊行业准备金审核表!D7</f>
        <v>0</v>
      </c>
      <c r="E7" s="2072">
        <f>特殊行业准备金审核表!E7</f>
        <v>0</v>
      </c>
      <c r="F7" s="1968"/>
    </row>
    <row r="8" spans="1:10" ht="14.25" customHeight="1">
      <c r="A8" s="1840">
        <v>4</v>
      </c>
      <c r="B8" s="1809" t="s">
        <v>5456</v>
      </c>
      <c r="C8" s="2072">
        <f>特殊行业准备金审核表!C8</f>
        <v>0</v>
      </c>
      <c r="D8" s="2072">
        <f>特殊行业准备金审核表!D8</f>
        <v>0</v>
      </c>
      <c r="E8" s="2072">
        <f>特殊行业准备金审核表!E8</f>
        <v>0</v>
      </c>
      <c r="F8" s="1968"/>
    </row>
    <row r="9" spans="1:10" ht="14.25" customHeight="1">
      <c r="A9" s="1840">
        <v>5</v>
      </c>
      <c r="B9" s="1809" t="s">
        <v>5457</v>
      </c>
      <c r="C9" s="2072">
        <f>特殊行业准备金审核表!C9</f>
        <v>0</v>
      </c>
      <c r="D9" s="2072">
        <f>特殊行业准备金审核表!D9</f>
        <v>0</v>
      </c>
      <c r="E9" s="2072">
        <f>特殊行业准备金审核表!E9</f>
        <v>0</v>
      </c>
      <c r="F9" s="1968"/>
    </row>
    <row r="10" spans="1:10" ht="14.25" customHeight="1">
      <c r="A10" s="1840">
        <v>6</v>
      </c>
      <c r="B10" s="1809" t="s">
        <v>5458</v>
      </c>
      <c r="C10" s="2072">
        <f>特殊行业准备金审核表!C10</f>
        <v>0</v>
      </c>
      <c r="D10" s="2072">
        <f>特殊行业准备金审核表!D10</f>
        <v>0</v>
      </c>
      <c r="E10" s="2072">
        <f>特殊行业准备金审核表!E10</f>
        <v>0</v>
      </c>
      <c r="F10" s="1968"/>
    </row>
    <row r="11" spans="1:10" ht="14.25" customHeight="1">
      <c r="A11" s="1840">
        <v>7</v>
      </c>
      <c r="B11" s="1809" t="s">
        <v>5459</v>
      </c>
      <c r="C11" s="2072">
        <f>特殊行业准备金审核表!C11</f>
        <v>0</v>
      </c>
      <c r="D11" s="2072">
        <f>特殊行业准备金审核表!D11</f>
        <v>0</v>
      </c>
      <c r="E11" s="2072">
        <f>特殊行业准备金审核表!E11</f>
        <v>0</v>
      </c>
      <c r="F11" s="1968"/>
    </row>
    <row r="12" spans="1:10" ht="14.25" customHeight="1">
      <c r="A12" s="1840">
        <v>8</v>
      </c>
      <c r="B12" s="1809" t="s">
        <v>5460</v>
      </c>
      <c r="C12" s="2072">
        <f>特殊行业准备金审核表!C12</f>
        <v>0</v>
      </c>
      <c r="D12" s="2072">
        <f>特殊行业准备金审核表!D12</f>
        <v>0</v>
      </c>
      <c r="E12" s="2072">
        <f>特殊行业准备金审核表!E12</f>
        <v>0</v>
      </c>
      <c r="F12" s="1968"/>
    </row>
    <row r="13" spans="1:10" ht="14.25" customHeight="1">
      <c r="A13" s="1840">
        <v>9</v>
      </c>
      <c r="B13" s="1809" t="s">
        <v>5461</v>
      </c>
      <c r="C13" s="2072">
        <f>特殊行业准备金审核表!C13</f>
        <v>0</v>
      </c>
      <c r="D13" s="2072">
        <f>特殊行业准备金审核表!D13</f>
        <v>0</v>
      </c>
      <c r="E13" s="2072">
        <f>特殊行业准备金审核表!E13</f>
        <v>0</v>
      </c>
      <c r="F13" s="1968"/>
      <c r="G13" s="1675" t="s">
        <v>6453</v>
      </c>
    </row>
    <row r="14" spans="1:10" ht="14.25" customHeight="1">
      <c r="A14" s="1840">
        <v>10</v>
      </c>
      <c r="B14" s="1809" t="s">
        <v>5369</v>
      </c>
      <c r="C14" s="2072">
        <f>特殊行业准备金审核表!C14</f>
        <v>0</v>
      </c>
      <c r="D14" s="2072">
        <f>特殊行业准备金审核表!D14</f>
        <v>0</v>
      </c>
      <c r="E14" s="2072">
        <f>特殊行业准备金审核表!E14</f>
        <v>0</v>
      </c>
      <c r="F14" s="1968"/>
    </row>
    <row r="15" spans="1:10" ht="14.25" customHeight="1">
      <c r="A15" s="1840">
        <v>11</v>
      </c>
      <c r="B15" s="1809" t="s">
        <v>5462</v>
      </c>
      <c r="C15" s="2072">
        <f>特殊行业准备金审核表!C15</f>
        <v>0</v>
      </c>
      <c r="D15" s="2072">
        <f>特殊行业准备金审核表!D15</f>
        <v>0</v>
      </c>
      <c r="E15" s="2072">
        <f>特殊行业准备金审核表!E15</f>
        <v>0</v>
      </c>
      <c r="F15" s="1968"/>
    </row>
    <row r="16" spans="1:10" ht="14.25" customHeight="1">
      <c r="A16" s="1840">
        <v>12</v>
      </c>
      <c r="B16" s="1809" t="s">
        <v>5463</v>
      </c>
      <c r="C16" s="2072">
        <f>特殊行业准备金审核表!C16</f>
        <v>0</v>
      </c>
      <c r="D16" s="2072">
        <f>特殊行业准备金审核表!D16</f>
        <v>0</v>
      </c>
      <c r="E16" s="2072">
        <f>特殊行业准备金审核表!E16</f>
        <v>0</v>
      </c>
      <c r="F16" s="1968"/>
    </row>
    <row r="17" spans="1:6" ht="14.25" customHeight="1">
      <c r="A17" s="1840">
        <v>13</v>
      </c>
      <c r="B17" s="1809" t="s">
        <v>5464</v>
      </c>
      <c r="C17" s="2072">
        <f>特殊行业准备金审核表!C17</f>
        <v>0</v>
      </c>
      <c r="D17" s="2072">
        <f>特殊行业准备金审核表!D17</f>
        <v>0</v>
      </c>
      <c r="E17" s="2072">
        <f>特殊行业准备金审核表!E17</f>
        <v>0</v>
      </c>
      <c r="F17" s="1968"/>
    </row>
    <row r="18" spans="1:6" ht="14.25" customHeight="1">
      <c r="A18" s="1840">
        <v>14</v>
      </c>
      <c r="B18" s="1809" t="s">
        <v>5465</v>
      </c>
      <c r="C18" s="2072">
        <f>特殊行业准备金审核表!C18</f>
        <v>0</v>
      </c>
      <c r="D18" s="2072">
        <f>特殊行业准备金审核表!D18</f>
        <v>0</v>
      </c>
      <c r="E18" s="2072">
        <f>特殊行业准备金审核表!E18</f>
        <v>0</v>
      </c>
      <c r="F18" s="1968"/>
    </row>
    <row r="19" spans="1:6" ht="14.25" customHeight="1">
      <c r="A19" s="1840">
        <v>15</v>
      </c>
      <c r="B19" s="1809" t="s">
        <v>269</v>
      </c>
      <c r="C19" s="2072">
        <f>特殊行业准备金审核表!C19</f>
        <v>0</v>
      </c>
      <c r="D19" s="2072">
        <f>特殊行业准备金审核表!D19</f>
        <v>0</v>
      </c>
      <c r="E19" s="2072">
        <f>特殊行业准备金审核表!E19</f>
        <v>0</v>
      </c>
      <c r="F19" s="1968"/>
    </row>
    <row r="20" spans="1:6" ht="14.25" customHeight="1">
      <c r="A20" s="1840">
        <v>16</v>
      </c>
      <c r="B20" s="1809" t="s">
        <v>5466</v>
      </c>
      <c r="C20" s="2072">
        <f>特殊行业准备金审核表!C20</f>
        <v>0</v>
      </c>
      <c r="D20" s="2072">
        <f>特殊行业准备金审核表!D20</f>
        <v>0</v>
      </c>
      <c r="E20" s="2072">
        <f>特殊行业准备金审核表!E20</f>
        <v>0</v>
      </c>
      <c r="F20" s="1968"/>
    </row>
    <row r="21" spans="1:6" ht="14.25" customHeight="1">
      <c r="A21" s="1840">
        <v>17</v>
      </c>
      <c r="B21" s="1809" t="s">
        <v>5467</v>
      </c>
      <c r="C21" s="2072">
        <f>特殊行业准备金审核表!C21</f>
        <v>0</v>
      </c>
      <c r="D21" s="2072">
        <f>特殊行业准备金审核表!D21</f>
        <v>0</v>
      </c>
      <c r="E21" s="2072">
        <f>特殊行业准备金审核表!E21</f>
        <v>0</v>
      </c>
      <c r="F21" s="1968"/>
    </row>
    <row r="22" spans="1:6" ht="14.25" customHeight="1">
      <c r="A22" s="1840">
        <v>18</v>
      </c>
      <c r="B22" s="1809" t="s">
        <v>5468</v>
      </c>
      <c r="C22" s="2072">
        <f>特殊行业准备金审核表!C22</f>
        <v>0</v>
      </c>
      <c r="D22" s="2072">
        <f>特殊行业准备金审核表!D22</f>
        <v>0</v>
      </c>
      <c r="E22" s="2072">
        <f>特殊行业准备金审核表!E22</f>
        <v>0</v>
      </c>
      <c r="F22" s="1968"/>
    </row>
    <row r="23" spans="1:6" ht="14.25" customHeight="1">
      <c r="A23" s="1840">
        <v>19</v>
      </c>
      <c r="B23" s="1809" t="s">
        <v>5469</v>
      </c>
      <c r="C23" s="2072">
        <f>特殊行业准备金审核表!C23</f>
        <v>0</v>
      </c>
      <c r="D23" s="2072">
        <f>特殊行业准备金审核表!D23</f>
        <v>0</v>
      </c>
      <c r="E23" s="2072">
        <f>特殊行业准备金审核表!E23</f>
        <v>0</v>
      </c>
      <c r="F23" s="1968"/>
    </row>
    <row r="24" spans="1:6" ht="14.25" customHeight="1">
      <c r="A24" s="1840">
        <v>20</v>
      </c>
      <c r="B24" s="1809" t="s">
        <v>269</v>
      </c>
      <c r="C24" s="2072">
        <f>特殊行业准备金审核表!C24</f>
        <v>0</v>
      </c>
      <c r="D24" s="2072">
        <f>特殊行业准备金审核表!D24</f>
        <v>0</v>
      </c>
      <c r="E24" s="2072">
        <f>特殊行业准备金审核表!E24</f>
        <v>0</v>
      </c>
      <c r="F24" s="1968"/>
    </row>
    <row r="25" spans="1:6" ht="14.25" customHeight="1">
      <c r="A25" s="1840">
        <v>21</v>
      </c>
      <c r="B25" s="1809" t="s">
        <v>5470</v>
      </c>
      <c r="C25" s="2072">
        <f>特殊行业准备金审核表!C25</f>
        <v>0</v>
      </c>
      <c r="D25" s="2072">
        <f>特殊行业准备金审核表!D25</f>
        <v>0</v>
      </c>
      <c r="E25" s="2072">
        <f>特殊行业准备金审核表!E25</f>
        <v>0</v>
      </c>
      <c r="F25" s="1968"/>
    </row>
    <row r="26" spans="1:6" ht="14.25" customHeight="1">
      <c r="A26" s="1840">
        <v>22</v>
      </c>
      <c r="B26" s="1809" t="s">
        <v>5471</v>
      </c>
      <c r="C26" s="2072">
        <f>特殊行业准备金审核表!C26</f>
        <v>0</v>
      </c>
      <c r="D26" s="2072">
        <f>特殊行业准备金审核表!D26</f>
        <v>0</v>
      </c>
      <c r="E26" s="2072">
        <f>特殊行业准备金审核表!E26</f>
        <v>0</v>
      </c>
      <c r="F26" s="1968"/>
    </row>
    <row r="27" spans="1:6" ht="14.25" customHeight="1">
      <c r="A27" s="1840">
        <v>23</v>
      </c>
      <c r="B27" s="1809" t="s">
        <v>5472</v>
      </c>
      <c r="C27" s="2072">
        <f>特殊行业准备金审核表!C27</f>
        <v>0</v>
      </c>
      <c r="D27" s="2072">
        <f>特殊行业准备金审核表!D27</f>
        <v>0</v>
      </c>
      <c r="E27" s="2072">
        <f>特殊行业准备金审核表!E27</f>
        <v>0</v>
      </c>
      <c r="F27" s="1968"/>
    </row>
    <row r="28" spans="1:6" ht="14.25" customHeight="1">
      <c r="A28" s="1840">
        <v>24</v>
      </c>
      <c r="B28" s="1809" t="s">
        <v>5202</v>
      </c>
      <c r="C28" s="2072">
        <f>特殊行业准备金审核表!C28</f>
        <v>0</v>
      </c>
      <c r="D28" s="2072">
        <f>特殊行业准备金审核表!D28</f>
        <v>0</v>
      </c>
      <c r="E28" s="2072">
        <f>特殊行业准备金审核表!E28</f>
        <v>0</v>
      </c>
      <c r="F28" s="1968"/>
    </row>
    <row r="29" spans="1:6" ht="14.25" customHeight="1">
      <c r="A29" s="1840">
        <v>25</v>
      </c>
      <c r="B29" s="1809" t="s">
        <v>5473</v>
      </c>
      <c r="C29" s="2072">
        <f>特殊行业准备金审核表!C29</f>
        <v>0</v>
      </c>
      <c r="D29" s="2072">
        <f>特殊行业准备金审核表!D29</f>
        <v>0</v>
      </c>
      <c r="E29" s="2072">
        <f>特殊行业准备金审核表!E29</f>
        <v>0</v>
      </c>
      <c r="F29" s="1968"/>
    </row>
    <row r="30" spans="1:6" ht="14.25" customHeight="1">
      <c r="A30" s="1840">
        <v>26</v>
      </c>
      <c r="B30" s="1811" t="s">
        <v>5474</v>
      </c>
      <c r="C30" s="2072">
        <f>特殊行业准备金审核表!C30</f>
        <v>0</v>
      </c>
      <c r="D30" s="2072">
        <f>特殊行业准备金审核表!D30</f>
        <v>0</v>
      </c>
      <c r="E30" s="2072">
        <f>特殊行业准备金审核表!E30</f>
        <v>0</v>
      </c>
      <c r="F30" s="1968"/>
    </row>
    <row r="31" spans="1:6" ht="14.25" customHeight="1">
      <c r="A31" s="1840">
        <v>27</v>
      </c>
      <c r="B31" s="1809" t="s">
        <v>5475</v>
      </c>
      <c r="C31" s="2072">
        <f>特殊行业准备金审核表!C31</f>
        <v>0</v>
      </c>
      <c r="D31" s="2072">
        <f>特殊行业准备金审核表!D31</f>
        <v>0</v>
      </c>
      <c r="E31" s="2072">
        <f>特殊行业准备金审核表!E31</f>
        <v>0</v>
      </c>
      <c r="F31" s="1968"/>
    </row>
    <row r="32" spans="1:6" ht="14.25" customHeight="1">
      <c r="A32" s="1840">
        <v>28</v>
      </c>
      <c r="B32" s="1811" t="s">
        <v>5202</v>
      </c>
      <c r="C32" s="2072">
        <f>特殊行业准备金审核表!C32</f>
        <v>0</v>
      </c>
      <c r="D32" s="2072">
        <f>特殊行业准备金审核表!D32</f>
        <v>0</v>
      </c>
      <c r="E32" s="2072">
        <f>特殊行业准备金审核表!E32</f>
        <v>0</v>
      </c>
      <c r="F32" s="1968"/>
    </row>
    <row r="33" spans="1:8" ht="14.25" customHeight="1">
      <c r="A33" s="1840">
        <v>29</v>
      </c>
      <c r="B33" s="1809" t="s">
        <v>5419</v>
      </c>
      <c r="C33" s="2072">
        <f>特殊行业准备金审核表!C33</f>
        <v>0</v>
      </c>
      <c r="D33" s="2072">
        <f>特殊行业准备金审核表!D33</f>
        <v>0</v>
      </c>
      <c r="E33" s="2072">
        <f>特殊行业准备金审核表!E33</f>
        <v>0</v>
      </c>
      <c r="F33" s="1968"/>
    </row>
    <row r="34" spans="1:8" ht="168.75" customHeight="1">
      <c r="A34" s="1840">
        <v>30</v>
      </c>
      <c r="B34" s="1818" t="s">
        <v>5476</v>
      </c>
      <c r="C34" s="2072">
        <f>特殊行业准备金审核表!C34</f>
        <v>0</v>
      </c>
      <c r="D34" s="2072">
        <f>特殊行业准备金审核表!D34</f>
        <v>0</v>
      </c>
      <c r="E34" s="2072">
        <f>特殊行业准备金审核表!E34</f>
        <v>0</v>
      </c>
      <c r="F34" s="1819" t="s">
        <v>5477</v>
      </c>
      <c r="H34" s="1581"/>
    </row>
  </sheetData>
  <mergeCells count="5">
    <mergeCell ref="F3:F4"/>
    <mergeCell ref="A1:E1"/>
    <mergeCell ref="A2:E2"/>
    <mergeCell ref="A3:A4"/>
    <mergeCell ref="B3:B4"/>
  </mergeCells>
  <phoneticPr fontId="51" type="noConversion"/>
  <hyperlinks>
    <hyperlink ref="G13" location="特殊行业准备金审核表!A1" display="特殊行业准备金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1:O12"/>
  <sheetViews>
    <sheetView workbookViewId="0">
      <selection activeCell="D11" sqref="D11"/>
    </sheetView>
  </sheetViews>
  <sheetFormatPr defaultColWidth="12.3984375" defaultRowHeight="15.6"/>
  <cols>
    <col min="1" max="1" width="4" style="1532" customWidth="1"/>
    <col min="2" max="2" width="7.19921875" style="1532" customWidth="1"/>
    <col min="3" max="3" width="6.09765625" style="1532" customWidth="1"/>
    <col min="4" max="13" width="11.5" style="1532" customWidth="1"/>
    <col min="14" max="14" width="14.69921875" style="1532" customWidth="1"/>
    <col min="15" max="256" width="12.3984375" style="1532"/>
    <col min="257" max="257" width="5.09765625" style="1532" customWidth="1"/>
    <col min="258" max="258" width="8" style="1532" customWidth="1"/>
    <col min="259" max="259" width="6.19921875" style="1532" customWidth="1"/>
    <col min="260" max="260" width="8.8984375" style="1532" customWidth="1"/>
    <col min="261" max="261" width="9.8984375" style="1532" customWidth="1"/>
    <col min="262" max="262" width="8.69921875" style="1532" customWidth="1"/>
    <col min="263" max="263" width="8.59765625" style="1532" customWidth="1"/>
    <col min="264" max="264" width="8.5" style="1532" customWidth="1"/>
    <col min="265" max="265" width="8.09765625" style="1532" customWidth="1"/>
    <col min="266" max="266" width="8.3984375" style="1532" customWidth="1"/>
    <col min="267" max="267" width="7" style="1532" customWidth="1"/>
    <col min="268" max="269" width="9.8984375" style="1532" customWidth="1"/>
    <col min="270" max="270" width="14.69921875" style="1532" customWidth="1"/>
    <col min="271" max="512" width="12.3984375" style="1532"/>
    <col min="513" max="513" width="5.09765625" style="1532" customWidth="1"/>
    <col min="514" max="514" width="8" style="1532" customWidth="1"/>
    <col min="515" max="515" width="6.19921875" style="1532" customWidth="1"/>
    <col min="516" max="516" width="8.8984375" style="1532" customWidth="1"/>
    <col min="517" max="517" width="9.8984375" style="1532" customWidth="1"/>
    <col min="518" max="518" width="8.69921875" style="1532" customWidth="1"/>
    <col min="519" max="519" width="8.59765625" style="1532" customWidth="1"/>
    <col min="520" max="520" width="8.5" style="1532" customWidth="1"/>
    <col min="521" max="521" width="8.09765625" style="1532" customWidth="1"/>
    <col min="522" max="522" width="8.3984375" style="1532" customWidth="1"/>
    <col min="523" max="523" width="7" style="1532" customWidth="1"/>
    <col min="524" max="525" width="9.8984375" style="1532" customWidth="1"/>
    <col min="526" max="526" width="14.69921875" style="1532" customWidth="1"/>
    <col min="527" max="768" width="12.3984375" style="1532"/>
    <col min="769" max="769" width="5.09765625" style="1532" customWidth="1"/>
    <col min="770" max="770" width="8" style="1532" customWidth="1"/>
    <col min="771" max="771" width="6.19921875" style="1532" customWidth="1"/>
    <col min="772" max="772" width="8.8984375" style="1532" customWidth="1"/>
    <col min="773" max="773" width="9.8984375" style="1532" customWidth="1"/>
    <col min="774" max="774" width="8.69921875" style="1532" customWidth="1"/>
    <col min="775" max="775" width="8.59765625" style="1532" customWidth="1"/>
    <col min="776" max="776" width="8.5" style="1532" customWidth="1"/>
    <col min="777" max="777" width="8.09765625" style="1532" customWidth="1"/>
    <col min="778" max="778" width="8.3984375" style="1532" customWidth="1"/>
    <col min="779" max="779" width="7" style="1532" customWidth="1"/>
    <col min="780" max="781" width="9.8984375" style="1532" customWidth="1"/>
    <col min="782" max="782" width="14.69921875" style="1532" customWidth="1"/>
    <col min="783" max="1024" width="12.3984375" style="1532"/>
    <col min="1025" max="1025" width="5.09765625" style="1532" customWidth="1"/>
    <col min="1026" max="1026" width="8" style="1532" customWidth="1"/>
    <col min="1027" max="1027" width="6.19921875" style="1532" customWidth="1"/>
    <col min="1028" max="1028" width="8.8984375" style="1532" customWidth="1"/>
    <col min="1029" max="1029" width="9.8984375" style="1532" customWidth="1"/>
    <col min="1030" max="1030" width="8.69921875" style="1532" customWidth="1"/>
    <col min="1031" max="1031" width="8.59765625" style="1532" customWidth="1"/>
    <col min="1032" max="1032" width="8.5" style="1532" customWidth="1"/>
    <col min="1033" max="1033" width="8.09765625" style="1532" customWidth="1"/>
    <col min="1034" max="1034" width="8.3984375" style="1532" customWidth="1"/>
    <col min="1035" max="1035" width="7" style="1532" customWidth="1"/>
    <col min="1036" max="1037" width="9.8984375" style="1532" customWidth="1"/>
    <col min="1038" max="1038" width="14.69921875" style="1532" customWidth="1"/>
    <col min="1039" max="1280" width="12.3984375" style="1532"/>
    <col min="1281" max="1281" width="5.09765625" style="1532" customWidth="1"/>
    <col min="1282" max="1282" width="8" style="1532" customWidth="1"/>
    <col min="1283" max="1283" width="6.19921875" style="1532" customWidth="1"/>
    <col min="1284" max="1284" width="8.8984375" style="1532" customWidth="1"/>
    <col min="1285" max="1285" width="9.8984375" style="1532" customWidth="1"/>
    <col min="1286" max="1286" width="8.69921875" style="1532" customWidth="1"/>
    <col min="1287" max="1287" width="8.59765625" style="1532" customWidth="1"/>
    <col min="1288" max="1288" width="8.5" style="1532" customWidth="1"/>
    <col min="1289" max="1289" width="8.09765625" style="1532" customWidth="1"/>
    <col min="1290" max="1290" width="8.3984375" style="1532" customWidth="1"/>
    <col min="1291" max="1291" width="7" style="1532" customWidth="1"/>
    <col min="1292" max="1293" width="9.8984375" style="1532" customWidth="1"/>
    <col min="1294" max="1294" width="14.69921875" style="1532" customWidth="1"/>
    <col min="1295" max="1536" width="12.3984375" style="1532"/>
    <col min="1537" max="1537" width="5.09765625" style="1532" customWidth="1"/>
    <col min="1538" max="1538" width="8" style="1532" customWidth="1"/>
    <col min="1539" max="1539" width="6.19921875" style="1532" customWidth="1"/>
    <col min="1540" max="1540" width="8.8984375" style="1532" customWidth="1"/>
    <col min="1541" max="1541" width="9.8984375" style="1532" customWidth="1"/>
    <col min="1542" max="1542" width="8.69921875" style="1532" customWidth="1"/>
    <col min="1543" max="1543" width="8.59765625" style="1532" customWidth="1"/>
    <col min="1544" max="1544" width="8.5" style="1532" customWidth="1"/>
    <col min="1545" max="1545" width="8.09765625" style="1532" customWidth="1"/>
    <col min="1546" max="1546" width="8.3984375" style="1532" customWidth="1"/>
    <col min="1547" max="1547" width="7" style="1532" customWidth="1"/>
    <col min="1548" max="1549" width="9.8984375" style="1532" customWidth="1"/>
    <col min="1550" max="1550" width="14.69921875" style="1532" customWidth="1"/>
    <col min="1551" max="1792" width="12.3984375" style="1532"/>
    <col min="1793" max="1793" width="5.09765625" style="1532" customWidth="1"/>
    <col min="1794" max="1794" width="8" style="1532" customWidth="1"/>
    <col min="1795" max="1795" width="6.19921875" style="1532" customWidth="1"/>
    <col min="1796" max="1796" width="8.8984375" style="1532" customWidth="1"/>
    <col min="1797" max="1797" width="9.8984375" style="1532" customWidth="1"/>
    <col min="1798" max="1798" width="8.69921875" style="1532" customWidth="1"/>
    <col min="1799" max="1799" width="8.59765625" style="1532" customWidth="1"/>
    <col min="1800" max="1800" width="8.5" style="1532" customWidth="1"/>
    <col min="1801" max="1801" width="8.09765625" style="1532" customWidth="1"/>
    <col min="1802" max="1802" width="8.3984375" style="1532" customWidth="1"/>
    <col min="1803" max="1803" width="7" style="1532" customWidth="1"/>
    <col min="1804" max="1805" width="9.8984375" style="1532" customWidth="1"/>
    <col min="1806" max="1806" width="14.69921875" style="1532" customWidth="1"/>
    <col min="1807" max="2048" width="12.3984375" style="1532"/>
    <col min="2049" max="2049" width="5.09765625" style="1532" customWidth="1"/>
    <col min="2050" max="2050" width="8" style="1532" customWidth="1"/>
    <col min="2051" max="2051" width="6.19921875" style="1532" customWidth="1"/>
    <col min="2052" max="2052" width="8.8984375" style="1532" customWidth="1"/>
    <col min="2053" max="2053" width="9.8984375" style="1532" customWidth="1"/>
    <col min="2054" max="2054" width="8.69921875" style="1532" customWidth="1"/>
    <col min="2055" max="2055" width="8.59765625" style="1532" customWidth="1"/>
    <col min="2056" max="2056" width="8.5" style="1532" customWidth="1"/>
    <col min="2057" max="2057" width="8.09765625" style="1532" customWidth="1"/>
    <col min="2058" max="2058" width="8.3984375" style="1532" customWidth="1"/>
    <col min="2059" max="2059" width="7" style="1532" customWidth="1"/>
    <col min="2060" max="2061" width="9.8984375" style="1532" customWidth="1"/>
    <col min="2062" max="2062" width="14.69921875" style="1532" customWidth="1"/>
    <col min="2063" max="2304" width="12.3984375" style="1532"/>
    <col min="2305" max="2305" width="5.09765625" style="1532" customWidth="1"/>
    <col min="2306" max="2306" width="8" style="1532" customWidth="1"/>
    <col min="2307" max="2307" width="6.19921875" style="1532" customWidth="1"/>
    <col min="2308" max="2308" width="8.8984375" style="1532" customWidth="1"/>
    <col min="2309" max="2309" width="9.8984375" style="1532" customWidth="1"/>
    <col min="2310" max="2310" width="8.69921875" style="1532" customWidth="1"/>
    <col min="2311" max="2311" width="8.59765625" style="1532" customWidth="1"/>
    <col min="2312" max="2312" width="8.5" style="1532" customWidth="1"/>
    <col min="2313" max="2313" width="8.09765625" style="1532" customWidth="1"/>
    <col min="2314" max="2314" width="8.3984375" style="1532" customWidth="1"/>
    <col min="2315" max="2315" width="7" style="1532" customWidth="1"/>
    <col min="2316" max="2317" width="9.8984375" style="1532" customWidth="1"/>
    <col min="2318" max="2318" width="14.69921875" style="1532" customWidth="1"/>
    <col min="2319" max="2560" width="12.3984375" style="1532"/>
    <col min="2561" max="2561" width="5.09765625" style="1532" customWidth="1"/>
    <col min="2562" max="2562" width="8" style="1532" customWidth="1"/>
    <col min="2563" max="2563" width="6.19921875" style="1532" customWidth="1"/>
    <col min="2564" max="2564" width="8.8984375" style="1532" customWidth="1"/>
    <col min="2565" max="2565" width="9.8984375" style="1532" customWidth="1"/>
    <col min="2566" max="2566" width="8.69921875" style="1532" customWidth="1"/>
    <col min="2567" max="2567" width="8.59765625" style="1532" customWidth="1"/>
    <col min="2568" max="2568" width="8.5" style="1532" customWidth="1"/>
    <col min="2569" max="2569" width="8.09765625" style="1532" customWidth="1"/>
    <col min="2570" max="2570" width="8.3984375" style="1532" customWidth="1"/>
    <col min="2571" max="2571" width="7" style="1532" customWidth="1"/>
    <col min="2572" max="2573" width="9.8984375" style="1532" customWidth="1"/>
    <col min="2574" max="2574" width="14.69921875" style="1532" customWidth="1"/>
    <col min="2575" max="2816" width="12.3984375" style="1532"/>
    <col min="2817" max="2817" width="5.09765625" style="1532" customWidth="1"/>
    <col min="2818" max="2818" width="8" style="1532" customWidth="1"/>
    <col min="2819" max="2819" width="6.19921875" style="1532" customWidth="1"/>
    <col min="2820" max="2820" width="8.8984375" style="1532" customWidth="1"/>
    <col min="2821" max="2821" width="9.8984375" style="1532" customWidth="1"/>
    <col min="2822" max="2822" width="8.69921875" style="1532" customWidth="1"/>
    <col min="2823" max="2823" width="8.59765625" style="1532" customWidth="1"/>
    <col min="2824" max="2824" width="8.5" style="1532" customWidth="1"/>
    <col min="2825" max="2825" width="8.09765625" style="1532" customWidth="1"/>
    <col min="2826" max="2826" width="8.3984375" style="1532" customWidth="1"/>
    <col min="2827" max="2827" width="7" style="1532" customWidth="1"/>
    <col min="2828" max="2829" width="9.8984375" style="1532" customWidth="1"/>
    <col min="2830" max="2830" width="14.69921875" style="1532" customWidth="1"/>
    <col min="2831" max="3072" width="12.3984375" style="1532"/>
    <col min="3073" max="3073" width="5.09765625" style="1532" customWidth="1"/>
    <col min="3074" max="3074" width="8" style="1532" customWidth="1"/>
    <col min="3075" max="3075" width="6.19921875" style="1532" customWidth="1"/>
    <col min="3076" max="3076" width="8.8984375" style="1532" customWidth="1"/>
    <col min="3077" max="3077" width="9.8984375" style="1532" customWidth="1"/>
    <col min="3078" max="3078" width="8.69921875" style="1532" customWidth="1"/>
    <col min="3079" max="3079" width="8.59765625" style="1532" customWidth="1"/>
    <col min="3080" max="3080" width="8.5" style="1532" customWidth="1"/>
    <col min="3081" max="3081" width="8.09765625" style="1532" customWidth="1"/>
    <col min="3082" max="3082" width="8.3984375" style="1532" customWidth="1"/>
    <col min="3083" max="3083" width="7" style="1532" customWidth="1"/>
    <col min="3084" max="3085" width="9.8984375" style="1532" customWidth="1"/>
    <col min="3086" max="3086" width="14.69921875" style="1532" customWidth="1"/>
    <col min="3087" max="3328" width="12.3984375" style="1532"/>
    <col min="3329" max="3329" width="5.09765625" style="1532" customWidth="1"/>
    <col min="3330" max="3330" width="8" style="1532" customWidth="1"/>
    <col min="3331" max="3331" width="6.19921875" style="1532" customWidth="1"/>
    <col min="3332" max="3332" width="8.8984375" style="1532" customWidth="1"/>
    <col min="3333" max="3333" width="9.8984375" style="1532" customWidth="1"/>
    <col min="3334" max="3334" width="8.69921875" style="1532" customWidth="1"/>
    <col min="3335" max="3335" width="8.59765625" style="1532" customWidth="1"/>
    <col min="3336" max="3336" width="8.5" style="1532" customWidth="1"/>
    <col min="3337" max="3337" width="8.09765625" style="1532" customWidth="1"/>
    <col min="3338" max="3338" width="8.3984375" style="1532" customWidth="1"/>
    <col min="3339" max="3339" width="7" style="1532" customWidth="1"/>
    <col min="3340" max="3341" width="9.8984375" style="1532" customWidth="1"/>
    <col min="3342" max="3342" width="14.69921875" style="1532" customWidth="1"/>
    <col min="3343" max="3584" width="12.3984375" style="1532"/>
    <col min="3585" max="3585" width="5.09765625" style="1532" customWidth="1"/>
    <col min="3586" max="3586" width="8" style="1532" customWidth="1"/>
    <col min="3587" max="3587" width="6.19921875" style="1532" customWidth="1"/>
    <col min="3588" max="3588" width="8.8984375" style="1532" customWidth="1"/>
    <col min="3589" max="3589" width="9.8984375" style="1532" customWidth="1"/>
    <col min="3590" max="3590" width="8.69921875" style="1532" customWidth="1"/>
    <col min="3591" max="3591" width="8.59765625" style="1532" customWidth="1"/>
    <col min="3592" max="3592" width="8.5" style="1532" customWidth="1"/>
    <col min="3593" max="3593" width="8.09765625" style="1532" customWidth="1"/>
    <col min="3594" max="3594" width="8.3984375" style="1532" customWidth="1"/>
    <col min="3595" max="3595" width="7" style="1532" customWidth="1"/>
    <col min="3596" max="3597" width="9.8984375" style="1532" customWidth="1"/>
    <col min="3598" max="3598" width="14.69921875" style="1532" customWidth="1"/>
    <col min="3599" max="3840" width="12.3984375" style="1532"/>
    <col min="3841" max="3841" width="5.09765625" style="1532" customWidth="1"/>
    <col min="3842" max="3842" width="8" style="1532" customWidth="1"/>
    <col min="3843" max="3843" width="6.19921875" style="1532" customWidth="1"/>
    <col min="3844" max="3844" width="8.8984375" style="1532" customWidth="1"/>
    <col min="3845" max="3845" width="9.8984375" style="1532" customWidth="1"/>
    <col min="3846" max="3846" width="8.69921875" style="1532" customWidth="1"/>
    <col min="3847" max="3847" width="8.59765625" style="1532" customWidth="1"/>
    <col min="3848" max="3848" width="8.5" style="1532" customWidth="1"/>
    <col min="3849" max="3849" width="8.09765625" style="1532" customWidth="1"/>
    <col min="3850" max="3850" width="8.3984375" style="1532" customWidth="1"/>
    <col min="3851" max="3851" width="7" style="1532" customWidth="1"/>
    <col min="3852" max="3853" width="9.8984375" style="1532" customWidth="1"/>
    <col min="3854" max="3854" width="14.69921875" style="1532" customWidth="1"/>
    <col min="3855" max="4096" width="12.3984375" style="1532"/>
    <col min="4097" max="4097" width="5.09765625" style="1532" customWidth="1"/>
    <col min="4098" max="4098" width="8" style="1532" customWidth="1"/>
    <col min="4099" max="4099" width="6.19921875" style="1532" customWidth="1"/>
    <col min="4100" max="4100" width="8.8984375" style="1532" customWidth="1"/>
    <col min="4101" max="4101" width="9.8984375" style="1532" customWidth="1"/>
    <col min="4102" max="4102" width="8.69921875" style="1532" customWidth="1"/>
    <col min="4103" max="4103" width="8.59765625" style="1532" customWidth="1"/>
    <col min="4104" max="4104" width="8.5" style="1532" customWidth="1"/>
    <col min="4105" max="4105" width="8.09765625" style="1532" customWidth="1"/>
    <col min="4106" max="4106" width="8.3984375" style="1532" customWidth="1"/>
    <col min="4107" max="4107" width="7" style="1532" customWidth="1"/>
    <col min="4108" max="4109" width="9.8984375" style="1532" customWidth="1"/>
    <col min="4110" max="4110" width="14.69921875" style="1532" customWidth="1"/>
    <col min="4111" max="4352" width="12.3984375" style="1532"/>
    <col min="4353" max="4353" width="5.09765625" style="1532" customWidth="1"/>
    <col min="4354" max="4354" width="8" style="1532" customWidth="1"/>
    <col min="4355" max="4355" width="6.19921875" style="1532" customWidth="1"/>
    <col min="4356" max="4356" width="8.8984375" style="1532" customWidth="1"/>
    <col min="4357" max="4357" width="9.8984375" style="1532" customWidth="1"/>
    <col min="4358" max="4358" width="8.69921875" style="1532" customWidth="1"/>
    <col min="4359" max="4359" width="8.59765625" style="1532" customWidth="1"/>
    <col min="4360" max="4360" width="8.5" style="1532" customWidth="1"/>
    <col min="4361" max="4361" width="8.09765625" style="1532" customWidth="1"/>
    <col min="4362" max="4362" width="8.3984375" style="1532" customWidth="1"/>
    <col min="4363" max="4363" width="7" style="1532" customWidth="1"/>
    <col min="4364" max="4365" width="9.8984375" style="1532" customWidth="1"/>
    <col min="4366" max="4366" width="14.69921875" style="1532" customWidth="1"/>
    <col min="4367" max="4608" width="12.3984375" style="1532"/>
    <col min="4609" max="4609" width="5.09765625" style="1532" customWidth="1"/>
    <col min="4610" max="4610" width="8" style="1532" customWidth="1"/>
    <col min="4611" max="4611" width="6.19921875" style="1532" customWidth="1"/>
    <col min="4612" max="4612" width="8.8984375" style="1532" customWidth="1"/>
    <col min="4613" max="4613" width="9.8984375" style="1532" customWidth="1"/>
    <col min="4614" max="4614" width="8.69921875" style="1532" customWidth="1"/>
    <col min="4615" max="4615" width="8.59765625" style="1532" customWidth="1"/>
    <col min="4616" max="4616" width="8.5" style="1532" customWidth="1"/>
    <col min="4617" max="4617" width="8.09765625" style="1532" customWidth="1"/>
    <col min="4618" max="4618" width="8.3984375" style="1532" customWidth="1"/>
    <col min="4619" max="4619" width="7" style="1532" customWidth="1"/>
    <col min="4620" max="4621" width="9.8984375" style="1532" customWidth="1"/>
    <col min="4622" max="4622" width="14.69921875" style="1532" customWidth="1"/>
    <col min="4623" max="4864" width="12.3984375" style="1532"/>
    <col min="4865" max="4865" width="5.09765625" style="1532" customWidth="1"/>
    <col min="4866" max="4866" width="8" style="1532" customWidth="1"/>
    <col min="4867" max="4867" width="6.19921875" style="1532" customWidth="1"/>
    <col min="4868" max="4868" width="8.8984375" style="1532" customWidth="1"/>
    <col min="4869" max="4869" width="9.8984375" style="1532" customWidth="1"/>
    <col min="4870" max="4870" width="8.69921875" style="1532" customWidth="1"/>
    <col min="4871" max="4871" width="8.59765625" style="1532" customWidth="1"/>
    <col min="4872" max="4872" width="8.5" style="1532" customWidth="1"/>
    <col min="4873" max="4873" width="8.09765625" style="1532" customWidth="1"/>
    <col min="4874" max="4874" width="8.3984375" style="1532" customWidth="1"/>
    <col min="4875" max="4875" width="7" style="1532" customWidth="1"/>
    <col min="4876" max="4877" width="9.8984375" style="1532" customWidth="1"/>
    <col min="4878" max="4878" width="14.69921875" style="1532" customWidth="1"/>
    <col min="4879" max="5120" width="12.3984375" style="1532"/>
    <col min="5121" max="5121" width="5.09765625" style="1532" customWidth="1"/>
    <col min="5122" max="5122" width="8" style="1532" customWidth="1"/>
    <col min="5123" max="5123" width="6.19921875" style="1532" customWidth="1"/>
    <col min="5124" max="5124" width="8.8984375" style="1532" customWidth="1"/>
    <col min="5125" max="5125" width="9.8984375" style="1532" customWidth="1"/>
    <col min="5126" max="5126" width="8.69921875" style="1532" customWidth="1"/>
    <col min="5127" max="5127" width="8.59765625" style="1532" customWidth="1"/>
    <col min="5128" max="5128" width="8.5" style="1532" customWidth="1"/>
    <col min="5129" max="5129" width="8.09765625" style="1532" customWidth="1"/>
    <col min="5130" max="5130" width="8.3984375" style="1532" customWidth="1"/>
    <col min="5131" max="5131" width="7" style="1532" customWidth="1"/>
    <col min="5132" max="5133" width="9.8984375" style="1532" customWidth="1"/>
    <col min="5134" max="5134" width="14.69921875" style="1532" customWidth="1"/>
    <col min="5135" max="5376" width="12.3984375" style="1532"/>
    <col min="5377" max="5377" width="5.09765625" style="1532" customWidth="1"/>
    <col min="5378" max="5378" width="8" style="1532" customWidth="1"/>
    <col min="5379" max="5379" width="6.19921875" style="1532" customWidth="1"/>
    <col min="5380" max="5380" width="8.8984375" style="1532" customWidth="1"/>
    <col min="5381" max="5381" width="9.8984375" style="1532" customWidth="1"/>
    <col min="5382" max="5382" width="8.69921875" style="1532" customWidth="1"/>
    <col min="5383" max="5383" width="8.59765625" style="1532" customWidth="1"/>
    <col min="5384" max="5384" width="8.5" style="1532" customWidth="1"/>
    <col min="5385" max="5385" width="8.09765625" style="1532" customWidth="1"/>
    <col min="5386" max="5386" width="8.3984375" style="1532" customWidth="1"/>
    <col min="5387" max="5387" width="7" style="1532" customWidth="1"/>
    <col min="5388" max="5389" width="9.8984375" style="1532" customWidth="1"/>
    <col min="5390" max="5390" width="14.69921875" style="1532" customWidth="1"/>
    <col min="5391" max="5632" width="12.3984375" style="1532"/>
    <col min="5633" max="5633" width="5.09765625" style="1532" customWidth="1"/>
    <col min="5634" max="5634" width="8" style="1532" customWidth="1"/>
    <col min="5635" max="5635" width="6.19921875" style="1532" customWidth="1"/>
    <col min="5636" max="5636" width="8.8984375" style="1532" customWidth="1"/>
    <col min="5637" max="5637" width="9.8984375" style="1532" customWidth="1"/>
    <col min="5638" max="5638" width="8.69921875" style="1532" customWidth="1"/>
    <col min="5639" max="5639" width="8.59765625" style="1532" customWidth="1"/>
    <col min="5640" max="5640" width="8.5" style="1532" customWidth="1"/>
    <col min="5641" max="5641" width="8.09765625" style="1532" customWidth="1"/>
    <col min="5642" max="5642" width="8.3984375" style="1532" customWidth="1"/>
    <col min="5643" max="5643" width="7" style="1532" customWidth="1"/>
    <col min="5644" max="5645" width="9.8984375" style="1532" customWidth="1"/>
    <col min="5646" max="5646" width="14.69921875" style="1532" customWidth="1"/>
    <col min="5647" max="5888" width="12.3984375" style="1532"/>
    <col min="5889" max="5889" width="5.09765625" style="1532" customWidth="1"/>
    <col min="5890" max="5890" width="8" style="1532" customWidth="1"/>
    <col min="5891" max="5891" width="6.19921875" style="1532" customWidth="1"/>
    <col min="5892" max="5892" width="8.8984375" style="1532" customWidth="1"/>
    <col min="5893" max="5893" width="9.8984375" style="1532" customWidth="1"/>
    <col min="5894" max="5894" width="8.69921875" style="1532" customWidth="1"/>
    <col min="5895" max="5895" width="8.59765625" style="1532" customWidth="1"/>
    <col min="5896" max="5896" width="8.5" style="1532" customWidth="1"/>
    <col min="5897" max="5897" width="8.09765625" style="1532" customWidth="1"/>
    <col min="5898" max="5898" width="8.3984375" style="1532" customWidth="1"/>
    <col min="5899" max="5899" width="7" style="1532" customWidth="1"/>
    <col min="5900" max="5901" width="9.8984375" style="1532" customWidth="1"/>
    <col min="5902" max="5902" width="14.69921875" style="1532" customWidth="1"/>
    <col min="5903" max="6144" width="12.3984375" style="1532"/>
    <col min="6145" max="6145" width="5.09765625" style="1532" customWidth="1"/>
    <col min="6146" max="6146" width="8" style="1532" customWidth="1"/>
    <col min="6147" max="6147" width="6.19921875" style="1532" customWidth="1"/>
    <col min="6148" max="6148" width="8.8984375" style="1532" customWidth="1"/>
    <col min="6149" max="6149" width="9.8984375" style="1532" customWidth="1"/>
    <col min="6150" max="6150" width="8.69921875" style="1532" customWidth="1"/>
    <col min="6151" max="6151" width="8.59765625" style="1532" customWidth="1"/>
    <col min="6152" max="6152" width="8.5" style="1532" customWidth="1"/>
    <col min="6153" max="6153" width="8.09765625" style="1532" customWidth="1"/>
    <col min="6154" max="6154" width="8.3984375" style="1532" customWidth="1"/>
    <col min="6155" max="6155" width="7" style="1532" customWidth="1"/>
    <col min="6156" max="6157" width="9.8984375" style="1532" customWidth="1"/>
    <col min="6158" max="6158" width="14.69921875" style="1532" customWidth="1"/>
    <col min="6159" max="6400" width="12.3984375" style="1532"/>
    <col min="6401" max="6401" width="5.09765625" style="1532" customWidth="1"/>
    <col min="6402" max="6402" width="8" style="1532" customWidth="1"/>
    <col min="6403" max="6403" width="6.19921875" style="1532" customWidth="1"/>
    <col min="6404" max="6404" width="8.8984375" style="1532" customWidth="1"/>
    <col min="6405" max="6405" width="9.8984375" style="1532" customWidth="1"/>
    <col min="6406" max="6406" width="8.69921875" style="1532" customWidth="1"/>
    <col min="6407" max="6407" width="8.59765625" style="1532" customWidth="1"/>
    <col min="6408" max="6408" width="8.5" style="1532" customWidth="1"/>
    <col min="6409" max="6409" width="8.09765625" style="1532" customWidth="1"/>
    <col min="6410" max="6410" width="8.3984375" style="1532" customWidth="1"/>
    <col min="6411" max="6411" width="7" style="1532" customWidth="1"/>
    <col min="6412" max="6413" width="9.8984375" style="1532" customWidth="1"/>
    <col min="6414" max="6414" width="14.69921875" style="1532" customWidth="1"/>
    <col min="6415" max="6656" width="12.3984375" style="1532"/>
    <col min="6657" max="6657" width="5.09765625" style="1532" customWidth="1"/>
    <col min="6658" max="6658" width="8" style="1532" customWidth="1"/>
    <col min="6659" max="6659" width="6.19921875" style="1532" customWidth="1"/>
    <col min="6660" max="6660" width="8.8984375" style="1532" customWidth="1"/>
    <col min="6661" max="6661" width="9.8984375" style="1532" customWidth="1"/>
    <col min="6662" max="6662" width="8.69921875" style="1532" customWidth="1"/>
    <col min="6663" max="6663" width="8.59765625" style="1532" customWidth="1"/>
    <col min="6664" max="6664" width="8.5" style="1532" customWidth="1"/>
    <col min="6665" max="6665" width="8.09765625" style="1532" customWidth="1"/>
    <col min="6666" max="6666" width="8.3984375" style="1532" customWidth="1"/>
    <col min="6667" max="6667" width="7" style="1532" customWidth="1"/>
    <col min="6668" max="6669" width="9.8984375" style="1532" customWidth="1"/>
    <col min="6670" max="6670" width="14.69921875" style="1532" customWidth="1"/>
    <col min="6671" max="6912" width="12.3984375" style="1532"/>
    <col min="6913" max="6913" width="5.09765625" style="1532" customWidth="1"/>
    <col min="6914" max="6914" width="8" style="1532" customWidth="1"/>
    <col min="6915" max="6915" width="6.19921875" style="1532" customWidth="1"/>
    <col min="6916" max="6916" width="8.8984375" style="1532" customWidth="1"/>
    <col min="6917" max="6917" width="9.8984375" style="1532" customWidth="1"/>
    <col min="6918" max="6918" width="8.69921875" style="1532" customWidth="1"/>
    <col min="6919" max="6919" width="8.59765625" style="1532" customWidth="1"/>
    <col min="6920" max="6920" width="8.5" style="1532" customWidth="1"/>
    <col min="6921" max="6921" width="8.09765625" style="1532" customWidth="1"/>
    <col min="6922" max="6922" width="8.3984375" style="1532" customWidth="1"/>
    <col min="6923" max="6923" width="7" style="1532" customWidth="1"/>
    <col min="6924" max="6925" width="9.8984375" style="1532" customWidth="1"/>
    <col min="6926" max="6926" width="14.69921875" style="1532" customWidth="1"/>
    <col min="6927" max="7168" width="12.3984375" style="1532"/>
    <col min="7169" max="7169" width="5.09765625" style="1532" customWidth="1"/>
    <col min="7170" max="7170" width="8" style="1532" customWidth="1"/>
    <col min="7171" max="7171" width="6.19921875" style="1532" customWidth="1"/>
    <col min="7172" max="7172" width="8.8984375" style="1532" customWidth="1"/>
    <col min="7173" max="7173" width="9.8984375" style="1532" customWidth="1"/>
    <col min="7174" max="7174" width="8.69921875" style="1532" customWidth="1"/>
    <col min="7175" max="7175" width="8.59765625" style="1532" customWidth="1"/>
    <col min="7176" max="7176" width="8.5" style="1532" customWidth="1"/>
    <col min="7177" max="7177" width="8.09765625" style="1532" customWidth="1"/>
    <col min="7178" max="7178" width="8.3984375" style="1532" customWidth="1"/>
    <col min="7179" max="7179" width="7" style="1532" customWidth="1"/>
    <col min="7180" max="7181" width="9.8984375" style="1532" customWidth="1"/>
    <col min="7182" max="7182" width="14.69921875" style="1532" customWidth="1"/>
    <col min="7183" max="7424" width="12.3984375" style="1532"/>
    <col min="7425" max="7425" width="5.09765625" style="1532" customWidth="1"/>
    <col min="7426" max="7426" width="8" style="1532" customWidth="1"/>
    <col min="7427" max="7427" width="6.19921875" style="1532" customWidth="1"/>
    <col min="7428" max="7428" width="8.8984375" style="1532" customWidth="1"/>
    <col min="7429" max="7429" width="9.8984375" style="1532" customWidth="1"/>
    <col min="7430" max="7430" width="8.69921875" style="1532" customWidth="1"/>
    <col min="7431" max="7431" width="8.59765625" style="1532" customWidth="1"/>
    <col min="7432" max="7432" width="8.5" style="1532" customWidth="1"/>
    <col min="7433" max="7433" width="8.09765625" style="1532" customWidth="1"/>
    <col min="7434" max="7434" width="8.3984375" style="1532" customWidth="1"/>
    <col min="7435" max="7435" width="7" style="1532" customWidth="1"/>
    <col min="7436" max="7437" width="9.8984375" style="1532" customWidth="1"/>
    <col min="7438" max="7438" width="14.69921875" style="1532" customWidth="1"/>
    <col min="7439" max="7680" width="12.3984375" style="1532"/>
    <col min="7681" max="7681" width="5.09765625" style="1532" customWidth="1"/>
    <col min="7682" max="7682" width="8" style="1532" customWidth="1"/>
    <col min="7683" max="7683" width="6.19921875" style="1532" customWidth="1"/>
    <col min="7684" max="7684" width="8.8984375" style="1532" customWidth="1"/>
    <col min="7685" max="7685" width="9.8984375" style="1532" customWidth="1"/>
    <col min="7686" max="7686" width="8.69921875" style="1532" customWidth="1"/>
    <col min="7687" max="7687" width="8.59765625" style="1532" customWidth="1"/>
    <col min="7688" max="7688" width="8.5" style="1532" customWidth="1"/>
    <col min="7689" max="7689" width="8.09765625" style="1532" customWidth="1"/>
    <col min="7690" max="7690" width="8.3984375" style="1532" customWidth="1"/>
    <col min="7691" max="7691" width="7" style="1532" customWidth="1"/>
    <col min="7692" max="7693" width="9.8984375" style="1532" customWidth="1"/>
    <col min="7694" max="7694" width="14.69921875" style="1532" customWidth="1"/>
    <col min="7695" max="7936" width="12.3984375" style="1532"/>
    <col min="7937" max="7937" width="5.09765625" style="1532" customWidth="1"/>
    <col min="7938" max="7938" width="8" style="1532" customWidth="1"/>
    <col min="7939" max="7939" width="6.19921875" style="1532" customWidth="1"/>
    <col min="7940" max="7940" width="8.8984375" style="1532" customWidth="1"/>
    <col min="7941" max="7941" width="9.8984375" style="1532" customWidth="1"/>
    <col min="7942" max="7942" width="8.69921875" style="1532" customWidth="1"/>
    <col min="7943" max="7943" width="8.59765625" style="1532" customWidth="1"/>
    <col min="7944" max="7944" width="8.5" style="1532" customWidth="1"/>
    <col min="7945" max="7945" width="8.09765625" style="1532" customWidth="1"/>
    <col min="7946" max="7946" width="8.3984375" style="1532" customWidth="1"/>
    <col min="7947" max="7947" width="7" style="1532" customWidth="1"/>
    <col min="7948" max="7949" width="9.8984375" style="1532" customWidth="1"/>
    <col min="7950" max="7950" width="14.69921875" style="1532" customWidth="1"/>
    <col min="7951" max="8192" width="12.3984375" style="1532"/>
    <col min="8193" max="8193" width="5.09765625" style="1532" customWidth="1"/>
    <col min="8194" max="8194" width="8" style="1532" customWidth="1"/>
    <col min="8195" max="8195" width="6.19921875" style="1532" customWidth="1"/>
    <col min="8196" max="8196" width="8.8984375" style="1532" customWidth="1"/>
    <col min="8197" max="8197" width="9.8984375" style="1532" customWidth="1"/>
    <col min="8198" max="8198" width="8.69921875" style="1532" customWidth="1"/>
    <col min="8199" max="8199" width="8.59765625" style="1532" customWidth="1"/>
    <col min="8200" max="8200" width="8.5" style="1532" customWidth="1"/>
    <col min="8201" max="8201" width="8.09765625" style="1532" customWidth="1"/>
    <col min="8202" max="8202" width="8.3984375" style="1532" customWidth="1"/>
    <col min="8203" max="8203" width="7" style="1532" customWidth="1"/>
    <col min="8204" max="8205" width="9.8984375" style="1532" customWidth="1"/>
    <col min="8206" max="8206" width="14.69921875" style="1532" customWidth="1"/>
    <col min="8207" max="8448" width="12.3984375" style="1532"/>
    <col min="8449" max="8449" width="5.09765625" style="1532" customWidth="1"/>
    <col min="8450" max="8450" width="8" style="1532" customWidth="1"/>
    <col min="8451" max="8451" width="6.19921875" style="1532" customWidth="1"/>
    <col min="8452" max="8452" width="8.8984375" style="1532" customWidth="1"/>
    <col min="8453" max="8453" width="9.8984375" style="1532" customWidth="1"/>
    <col min="8454" max="8454" width="8.69921875" style="1532" customWidth="1"/>
    <col min="8455" max="8455" width="8.59765625" style="1532" customWidth="1"/>
    <col min="8456" max="8456" width="8.5" style="1532" customWidth="1"/>
    <col min="8457" max="8457" width="8.09765625" style="1532" customWidth="1"/>
    <col min="8458" max="8458" width="8.3984375" style="1532" customWidth="1"/>
    <col min="8459" max="8459" width="7" style="1532" customWidth="1"/>
    <col min="8460" max="8461" width="9.8984375" style="1532" customWidth="1"/>
    <col min="8462" max="8462" width="14.69921875" style="1532" customWidth="1"/>
    <col min="8463" max="8704" width="12.3984375" style="1532"/>
    <col min="8705" max="8705" width="5.09765625" style="1532" customWidth="1"/>
    <col min="8706" max="8706" width="8" style="1532" customWidth="1"/>
    <col min="8707" max="8707" width="6.19921875" style="1532" customWidth="1"/>
    <col min="8708" max="8708" width="8.8984375" style="1532" customWidth="1"/>
    <col min="8709" max="8709" width="9.8984375" style="1532" customWidth="1"/>
    <col min="8710" max="8710" width="8.69921875" style="1532" customWidth="1"/>
    <col min="8711" max="8711" width="8.59765625" style="1532" customWidth="1"/>
    <col min="8712" max="8712" width="8.5" style="1532" customWidth="1"/>
    <col min="8713" max="8713" width="8.09765625" style="1532" customWidth="1"/>
    <col min="8714" max="8714" width="8.3984375" style="1532" customWidth="1"/>
    <col min="8715" max="8715" width="7" style="1532" customWidth="1"/>
    <col min="8716" max="8717" width="9.8984375" style="1532" customWidth="1"/>
    <col min="8718" max="8718" width="14.69921875" style="1532" customWidth="1"/>
    <col min="8719" max="8960" width="12.3984375" style="1532"/>
    <col min="8961" max="8961" width="5.09765625" style="1532" customWidth="1"/>
    <col min="8962" max="8962" width="8" style="1532" customWidth="1"/>
    <col min="8963" max="8963" width="6.19921875" style="1532" customWidth="1"/>
    <col min="8964" max="8964" width="8.8984375" style="1532" customWidth="1"/>
    <col min="8965" max="8965" width="9.8984375" style="1532" customWidth="1"/>
    <col min="8966" max="8966" width="8.69921875" style="1532" customWidth="1"/>
    <col min="8967" max="8967" width="8.59765625" style="1532" customWidth="1"/>
    <col min="8968" max="8968" width="8.5" style="1532" customWidth="1"/>
    <col min="8969" max="8969" width="8.09765625" style="1532" customWidth="1"/>
    <col min="8970" max="8970" width="8.3984375" style="1532" customWidth="1"/>
    <col min="8971" max="8971" width="7" style="1532" customWidth="1"/>
    <col min="8972" max="8973" width="9.8984375" style="1532" customWidth="1"/>
    <col min="8974" max="8974" width="14.69921875" style="1532" customWidth="1"/>
    <col min="8975" max="9216" width="12.3984375" style="1532"/>
    <col min="9217" max="9217" width="5.09765625" style="1532" customWidth="1"/>
    <col min="9218" max="9218" width="8" style="1532" customWidth="1"/>
    <col min="9219" max="9219" width="6.19921875" style="1532" customWidth="1"/>
    <col min="9220" max="9220" width="8.8984375" style="1532" customWidth="1"/>
    <col min="9221" max="9221" width="9.8984375" style="1532" customWidth="1"/>
    <col min="9222" max="9222" width="8.69921875" style="1532" customWidth="1"/>
    <col min="9223" max="9223" width="8.59765625" style="1532" customWidth="1"/>
    <col min="9224" max="9224" width="8.5" style="1532" customWidth="1"/>
    <col min="9225" max="9225" width="8.09765625" style="1532" customWidth="1"/>
    <col min="9226" max="9226" width="8.3984375" style="1532" customWidth="1"/>
    <col min="9227" max="9227" width="7" style="1532" customWidth="1"/>
    <col min="9228" max="9229" width="9.8984375" style="1532" customWidth="1"/>
    <col min="9230" max="9230" width="14.69921875" style="1532" customWidth="1"/>
    <col min="9231" max="9472" width="12.3984375" style="1532"/>
    <col min="9473" max="9473" width="5.09765625" style="1532" customWidth="1"/>
    <col min="9474" max="9474" width="8" style="1532" customWidth="1"/>
    <col min="9475" max="9475" width="6.19921875" style="1532" customWidth="1"/>
    <col min="9476" max="9476" width="8.8984375" style="1532" customWidth="1"/>
    <col min="9477" max="9477" width="9.8984375" style="1532" customWidth="1"/>
    <col min="9478" max="9478" width="8.69921875" style="1532" customWidth="1"/>
    <col min="9479" max="9479" width="8.59765625" style="1532" customWidth="1"/>
    <col min="9480" max="9480" width="8.5" style="1532" customWidth="1"/>
    <col min="9481" max="9481" width="8.09765625" style="1532" customWidth="1"/>
    <col min="9482" max="9482" width="8.3984375" style="1532" customWidth="1"/>
    <col min="9483" max="9483" width="7" style="1532" customWidth="1"/>
    <col min="9484" max="9485" width="9.8984375" style="1532" customWidth="1"/>
    <col min="9486" max="9486" width="14.69921875" style="1532" customWidth="1"/>
    <col min="9487" max="9728" width="12.3984375" style="1532"/>
    <col min="9729" max="9729" width="5.09765625" style="1532" customWidth="1"/>
    <col min="9730" max="9730" width="8" style="1532" customWidth="1"/>
    <col min="9731" max="9731" width="6.19921875" style="1532" customWidth="1"/>
    <col min="9732" max="9732" width="8.8984375" style="1532" customWidth="1"/>
    <col min="9733" max="9733" width="9.8984375" style="1532" customWidth="1"/>
    <col min="9734" max="9734" width="8.69921875" style="1532" customWidth="1"/>
    <col min="9735" max="9735" width="8.59765625" style="1532" customWidth="1"/>
    <col min="9736" max="9736" width="8.5" style="1532" customWidth="1"/>
    <col min="9737" max="9737" width="8.09765625" style="1532" customWidth="1"/>
    <col min="9738" max="9738" width="8.3984375" style="1532" customWidth="1"/>
    <col min="9739" max="9739" width="7" style="1532" customWidth="1"/>
    <col min="9740" max="9741" width="9.8984375" style="1532" customWidth="1"/>
    <col min="9742" max="9742" width="14.69921875" style="1532" customWidth="1"/>
    <col min="9743" max="9984" width="12.3984375" style="1532"/>
    <col min="9985" max="9985" width="5.09765625" style="1532" customWidth="1"/>
    <col min="9986" max="9986" width="8" style="1532" customWidth="1"/>
    <col min="9987" max="9987" width="6.19921875" style="1532" customWidth="1"/>
    <col min="9988" max="9988" width="8.8984375" style="1532" customWidth="1"/>
    <col min="9989" max="9989" width="9.8984375" style="1532" customWidth="1"/>
    <col min="9990" max="9990" width="8.69921875" style="1532" customWidth="1"/>
    <col min="9991" max="9991" width="8.59765625" style="1532" customWidth="1"/>
    <col min="9992" max="9992" width="8.5" style="1532" customWidth="1"/>
    <col min="9993" max="9993" width="8.09765625" style="1532" customWidth="1"/>
    <col min="9994" max="9994" width="8.3984375" style="1532" customWidth="1"/>
    <col min="9995" max="9995" width="7" style="1532" customWidth="1"/>
    <col min="9996" max="9997" width="9.8984375" style="1532" customWidth="1"/>
    <col min="9998" max="9998" width="14.69921875" style="1532" customWidth="1"/>
    <col min="9999" max="10240" width="12.3984375" style="1532"/>
    <col min="10241" max="10241" width="5.09765625" style="1532" customWidth="1"/>
    <col min="10242" max="10242" width="8" style="1532" customWidth="1"/>
    <col min="10243" max="10243" width="6.19921875" style="1532" customWidth="1"/>
    <col min="10244" max="10244" width="8.8984375" style="1532" customWidth="1"/>
    <col min="10245" max="10245" width="9.8984375" style="1532" customWidth="1"/>
    <col min="10246" max="10246" width="8.69921875" style="1532" customWidth="1"/>
    <col min="10247" max="10247" width="8.59765625" style="1532" customWidth="1"/>
    <col min="10248" max="10248" width="8.5" style="1532" customWidth="1"/>
    <col min="10249" max="10249" width="8.09765625" style="1532" customWidth="1"/>
    <col min="10250" max="10250" width="8.3984375" style="1532" customWidth="1"/>
    <col min="10251" max="10251" width="7" style="1532" customWidth="1"/>
    <col min="10252" max="10253" width="9.8984375" style="1532" customWidth="1"/>
    <col min="10254" max="10254" width="14.69921875" style="1532" customWidth="1"/>
    <col min="10255" max="10496" width="12.3984375" style="1532"/>
    <col min="10497" max="10497" width="5.09765625" style="1532" customWidth="1"/>
    <col min="10498" max="10498" width="8" style="1532" customWidth="1"/>
    <col min="10499" max="10499" width="6.19921875" style="1532" customWidth="1"/>
    <col min="10500" max="10500" width="8.8984375" style="1532" customWidth="1"/>
    <col min="10501" max="10501" width="9.8984375" style="1532" customWidth="1"/>
    <col min="10502" max="10502" width="8.69921875" style="1532" customWidth="1"/>
    <col min="10503" max="10503" width="8.59765625" style="1532" customWidth="1"/>
    <col min="10504" max="10504" width="8.5" style="1532" customWidth="1"/>
    <col min="10505" max="10505" width="8.09765625" style="1532" customWidth="1"/>
    <col min="10506" max="10506" width="8.3984375" style="1532" customWidth="1"/>
    <col min="10507" max="10507" width="7" style="1532" customWidth="1"/>
    <col min="10508" max="10509" width="9.8984375" style="1532" customWidth="1"/>
    <col min="10510" max="10510" width="14.69921875" style="1532" customWidth="1"/>
    <col min="10511" max="10752" width="12.3984375" style="1532"/>
    <col min="10753" max="10753" width="5.09765625" style="1532" customWidth="1"/>
    <col min="10754" max="10754" width="8" style="1532" customWidth="1"/>
    <col min="10755" max="10755" width="6.19921875" style="1532" customWidth="1"/>
    <col min="10756" max="10756" width="8.8984375" style="1532" customWidth="1"/>
    <col min="10757" max="10757" width="9.8984375" style="1532" customWidth="1"/>
    <col min="10758" max="10758" width="8.69921875" style="1532" customWidth="1"/>
    <col min="10759" max="10759" width="8.59765625" style="1532" customWidth="1"/>
    <col min="10760" max="10760" width="8.5" style="1532" customWidth="1"/>
    <col min="10761" max="10761" width="8.09765625" style="1532" customWidth="1"/>
    <col min="10762" max="10762" width="8.3984375" style="1532" customWidth="1"/>
    <col min="10763" max="10763" width="7" style="1532" customWidth="1"/>
    <col min="10764" max="10765" width="9.8984375" style="1532" customWidth="1"/>
    <col min="10766" max="10766" width="14.69921875" style="1532" customWidth="1"/>
    <col min="10767" max="11008" width="12.3984375" style="1532"/>
    <col min="11009" max="11009" width="5.09765625" style="1532" customWidth="1"/>
    <col min="11010" max="11010" width="8" style="1532" customWidth="1"/>
    <col min="11011" max="11011" width="6.19921875" style="1532" customWidth="1"/>
    <col min="11012" max="11012" width="8.8984375" style="1532" customWidth="1"/>
    <col min="11013" max="11013" width="9.8984375" style="1532" customWidth="1"/>
    <col min="11014" max="11014" width="8.69921875" style="1532" customWidth="1"/>
    <col min="11015" max="11015" width="8.59765625" style="1532" customWidth="1"/>
    <col min="11016" max="11016" width="8.5" style="1532" customWidth="1"/>
    <col min="11017" max="11017" width="8.09765625" style="1532" customWidth="1"/>
    <col min="11018" max="11018" width="8.3984375" style="1532" customWidth="1"/>
    <col min="11019" max="11019" width="7" style="1532" customWidth="1"/>
    <col min="11020" max="11021" width="9.8984375" style="1532" customWidth="1"/>
    <col min="11022" max="11022" width="14.69921875" style="1532" customWidth="1"/>
    <col min="11023" max="11264" width="12.3984375" style="1532"/>
    <col min="11265" max="11265" width="5.09765625" style="1532" customWidth="1"/>
    <col min="11266" max="11266" width="8" style="1532" customWidth="1"/>
    <col min="11267" max="11267" width="6.19921875" style="1532" customWidth="1"/>
    <col min="11268" max="11268" width="8.8984375" style="1532" customWidth="1"/>
    <col min="11269" max="11269" width="9.8984375" style="1532" customWidth="1"/>
    <col min="11270" max="11270" width="8.69921875" style="1532" customWidth="1"/>
    <col min="11271" max="11271" width="8.59765625" style="1532" customWidth="1"/>
    <col min="11272" max="11272" width="8.5" style="1532" customWidth="1"/>
    <col min="11273" max="11273" width="8.09765625" style="1532" customWidth="1"/>
    <col min="11274" max="11274" width="8.3984375" style="1532" customWidth="1"/>
    <col min="11275" max="11275" width="7" style="1532" customWidth="1"/>
    <col min="11276" max="11277" width="9.8984375" style="1532" customWidth="1"/>
    <col min="11278" max="11278" width="14.69921875" style="1532" customWidth="1"/>
    <col min="11279" max="11520" width="12.3984375" style="1532"/>
    <col min="11521" max="11521" width="5.09765625" style="1532" customWidth="1"/>
    <col min="11522" max="11522" width="8" style="1532" customWidth="1"/>
    <col min="11523" max="11523" width="6.19921875" style="1532" customWidth="1"/>
    <col min="11524" max="11524" width="8.8984375" style="1532" customWidth="1"/>
    <col min="11525" max="11525" width="9.8984375" style="1532" customWidth="1"/>
    <col min="11526" max="11526" width="8.69921875" style="1532" customWidth="1"/>
    <col min="11527" max="11527" width="8.59765625" style="1532" customWidth="1"/>
    <col min="11528" max="11528" width="8.5" style="1532" customWidth="1"/>
    <col min="11529" max="11529" width="8.09765625" style="1532" customWidth="1"/>
    <col min="11530" max="11530" width="8.3984375" style="1532" customWidth="1"/>
    <col min="11531" max="11531" width="7" style="1532" customWidth="1"/>
    <col min="11532" max="11533" width="9.8984375" style="1532" customWidth="1"/>
    <col min="11534" max="11534" width="14.69921875" style="1532" customWidth="1"/>
    <col min="11535" max="11776" width="12.3984375" style="1532"/>
    <col min="11777" max="11777" width="5.09765625" style="1532" customWidth="1"/>
    <col min="11778" max="11778" width="8" style="1532" customWidth="1"/>
    <col min="11779" max="11779" width="6.19921875" style="1532" customWidth="1"/>
    <col min="11780" max="11780" width="8.8984375" style="1532" customWidth="1"/>
    <col min="11781" max="11781" width="9.8984375" style="1532" customWidth="1"/>
    <col min="11782" max="11782" width="8.69921875" style="1532" customWidth="1"/>
    <col min="11783" max="11783" width="8.59765625" style="1532" customWidth="1"/>
    <col min="11784" max="11784" width="8.5" style="1532" customWidth="1"/>
    <col min="11785" max="11785" width="8.09765625" style="1532" customWidth="1"/>
    <col min="11786" max="11786" width="8.3984375" style="1532" customWidth="1"/>
    <col min="11787" max="11787" width="7" style="1532" customWidth="1"/>
    <col min="11788" max="11789" width="9.8984375" style="1532" customWidth="1"/>
    <col min="11790" max="11790" width="14.69921875" style="1532" customWidth="1"/>
    <col min="11791" max="12032" width="12.3984375" style="1532"/>
    <col min="12033" max="12033" width="5.09765625" style="1532" customWidth="1"/>
    <col min="12034" max="12034" width="8" style="1532" customWidth="1"/>
    <col min="12035" max="12035" width="6.19921875" style="1532" customWidth="1"/>
    <col min="12036" max="12036" width="8.8984375" style="1532" customWidth="1"/>
    <col min="12037" max="12037" width="9.8984375" style="1532" customWidth="1"/>
    <col min="12038" max="12038" width="8.69921875" style="1532" customWidth="1"/>
    <col min="12039" max="12039" width="8.59765625" style="1532" customWidth="1"/>
    <col min="12040" max="12040" width="8.5" style="1532" customWidth="1"/>
    <col min="12041" max="12041" width="8.09765625" style="1532" customWidth="1"/>
    <col min="12042" max="12042" width="8.3984375" style="1532" customWidth="1"/>
    <col min="12043" max="12043" width="7" style="1532" customWidth="1"/>
    <col min="12044" max="12045" width="9.8984375" style="1532" customWidth="1"/>
    <col min="12046" max="12046" width="14.69921875" style="1532" customWidth="1"/>
    <col min="12047" max="12288" width="12.3984375" style="1532"/>
    <col min="12289" max="12289" width="5.09765625" style="1532" customWidth="1"/>
    <col min="12290" max="12290" width="8" style="1532" customWidth="1"/>
    <col min="12291" max="12291" width="6.19921875" style="1532" customWidth="1"/>
    <col min="12292" max="12292" width="8.8984375" style="1532" customWidth="1"/>
    <col min="12293" max="12293" width="9.8984375" style="1532" customWidth="1"/>
    <col min="12294" max="12294" width="8.69921875" style="1532" customWidth="1"/>
    <col min="12295" max="12295" width="8.59765625" style="1532" customWidth="1"/>
    <col min="12296" max="12296" width="8.5" style="1532" customWidth="1"/>
    <col min="12297" max="12297" width="8.09765625" style="1532" customWidth="1"/>
    <col min="12298" max="12298" width="8.3984375" style="1532" customWidth="1"/>
    <col min="12299" max="12299" width="7" style="1532" customWidth="1"/>
    <col min="12300" max="12301" width="9.8984375" style="1532" customWidth="1"/>
    <col min="12302" max="12302" width="14.69921875" style="1532" customWidth="1"/>
    <col min="12303" max="12544" width="12.3984375" style="1532"/>
    <col min="12545" max="12545" width="5.09765625" style="1532" customWidth="1"/>
    <col min="12546" max="12546" width="8" style="1532" customWidth="1"/>
    <col min="12547" max="12547" width="6.19921875" style="1532" customWidth="1"/>
    <col min="12548" max="12548" width="8.8984375" style="1532" customWidth="1"/>
    <col min="12549" max="12549" width="9.8984375" style="1532" customWidth="1"/>
    <col min="12550" max="12550" width="8.69921875" style="1532" customWidth="1"/>
    <col min="12551" max="12551" width="8.59765625" style="1532" customWidth="1"/>
    <col min="12552" max="12552" width="8.5" style="1532" customWidth="1"/>
    <col min="12553" max="12553" width="8.09765625" style="1532" customWidth="1"/>
    <col min="12554" max="12554" width="8.3984375" style="1532" customWidth="1"/>
    <col min="12555" max="12555" width="7" style="1532" customWidth="1"/>
    <col min="12556" max="12557" width="9.8984375" style="1532" customWidth="1"/>
    <col min="12558" max="12558" width="14.69921875" style="1532" customWidth="1"/>
    <col min="12559" max="12800" width="12.3984375" style="1532"/>
    <col min="12801" max="12801" width="5.09765625" style="1532" customWidth="1"/>
    <col min="12802" max="12802" width="8" style="1532" customWidth="1"/>
    <col min="12803" max="12803" width="6.19921875" style="1532" customWidth="1"/>
    <col min="12804" max="12804" width="8.8984375" style="1532" customWidth="1"/>
    <col min="12805" max="12805" width="9.8984375" style="1532" customWidth="1"/>
    <col min="12806" max="12806" width="8.69921875" style="1532" customWidth="1"/>
    <col min="12807" max="12807" width="8.59765625" style="1532" customWidth="1"/>
    <col min="12808" max="12808" width="8.5" style="1532" customWidth="1"/>
    <col min="12809" max="12809" width="8.09765625" style="1532" customWidth="1"/>
    <col min="12810" max="12810" width="8.3984375" style="1532" customWidth="1"/>
    <col min="12811" max="12811" width="7" style="1532" customWidth="1"/>
    <col min="12812" max="12813" width="9.8984375" style="1532" customWidth="1"/>
    <col min="12814" max="12814" width="14.69921875" style="1532" customWidth="1"/>
    <col min="12815" max="13056" width="12.3984375" style="1532"/>
    <col min="13057" max="13057" width="5.09765625" style="1532" customWidth="1"/>
    <col min="13058" max="13058" width="8" style="1532" customWidth="1"/>
    <col min="13059" max="13059" width="6.19921875" style="1532" customWidth="1"/>
    <col min="13060" max="13060" width="8.8984375" style="1532" customWidth="1"/>
    <col min="13061" max="13061" width="9.8984375" style="1532" customWidth="1"/>
    <col min="13062" max="13062" width="8.69921875" style="1532" customWidth="1"/>
    <col min="13063" max="13063" width="8.59765625" style="1532" customWidth="1"/>
    <col min="13064" max="13064" width="8.5" style="1532" customWidth="1"/>
    <col min="13065" max="13065" width="8.09765625" style="1532" customWidth="1"/>
    <col min="13066" max="13066" width="8.3984375" style="1532" customWidth="1"/>
    <col min="13067" max="13067" width="7" style="1532" customWidth="1"/>
    <col min="13068" max="13069" width="9.8984375" style="1532" customWidth="1"/>
    <col min="13070" max="13070" width="14.69921875" style="1532" customWidth="1"/>
    <col min="13071" max="13312" width="12.3984375" style="1532"/>
    <col min="13313" max="13313" width="5.09765625" style="1532" customWidth="1"/>
    <col min="13314" max="13314" width="8" style="1532" customWidth="1"/>
    <col min="13315" max="13315" width="6.19921875" style="1532" customWidth="1"/>
    <col min="13316" max="13316" width="8.8984375" style="1532" customWidth="1"/>
    <col min="13317" max="13317" width="9.8984375" style="1532" customWidth="1"/>
    <col min="13318" max="13318" width="8.69921875" style="1532" customWidth="1"/>
    <col min="13319" max="13319" width="8.59765625" style="1532" customWidth="1"/>
    <col min="13320" max="13320" width="8.5" style="1532" customWidth="1"/>
    <col min="13321" max="13321" width="8.09765625" style="1532" customWidth="1"/>
    <col min="13322" max="13322" width="8.3984375" style="1532" customWidth="1"/>
    <col min="13323" max="13323" width="7" style="1532" customWidth="1"/>
    <col min="13324" max="13325" width="9.8984375" style="1532" customWidth="1"/>
    <col min="13326" max="13326" width="14.69921875" style="1532" customWidth="1"/>
    <col min="13327" max="13568" width="12.3984375" style="1532"/>
    <col min="13569" max="13569" width="5.09765625" style="1532" customWidth="1"/>
    <col min="13570" max="13570" width="8" style="1532" customWidth="1"/>
    <col min="13571" max="13571" width="6.19921875" style="1532" customWidth="1"/>
    <col min="13572" max="13572" width="8.8984375" style="1532" customWidth="1"/>
    <col min="13573" max="13573" width="9.8984375" style="1532" customWidth="1"/>
    <col min="13574" max="13574" width="8.69921875" style="1532" customWidth="1"/>
    <col min="13575" max="13575" width="8.59765625" style="1532" customWidth="1"/>
    <col min="13576" max="13576" width="8.5" style="1532" customWidth="1"/>
    <col min="13577" max="13577" width="8.09765625" style="1532" customWidth="1"/>
    <col min="13578" max="13578" width="8.3984375" style="1532" customWidth="1"/>
    <col min="13579" max="13579" width="7" style="1532" customWidth="1"/>
    <col min="13580" max="13581" width="9.8984375" style="1532" customWidth="1"/>
    <col min="13582" max="13582" width="14.69921875" style="1532" customWidth="1"/>
    <col min="13583" max="13824" width="12.3984375" style="1532"/>
    <col min="13825" max="13825" width="5.09765625" style="1532" customWidth="1"/>
    <col min="13826" max="13826" width="8" style="1532" customWidth="1"/>
    <col min="13827" max="13827" width="6.19921875" style="1532" customWidth="1"/>
    <col min="13828" max="13828" width="8.8984375" style="1532" customWidth="1"/>
    <col min="13829" max="13829" width="9.8984375" style="1532" customWidth="1"/>
    <col min="13830" max="13830" width="8.69921875" style="1532" customWidth="1"/>
    <col min="13831" max="13831" width="8.59765625" style="1532" customWidth="1"/>
    <col min="13832" max="13832" width="8.5" style="1532" customWidth="1"/>
    <col min="13833" max="13833" width="8.09765625" style="1532" customWidth="1"/>
    <col min="13834" max="13834" width="8.3984375" style="1532" customWidth="1"/>
    <col min="13835" max="13835" width="7" style="1532" customWidth="1"/>
    <col min="13836" max="13837" width="9.8984375" style="1532" customWidth="1"/>
    <col min="13838" max="13838" width="14.69921875" style="1532" customWidth="1"/>
    <col min="13839" max="14080" width="12.3984375" style="1532"/>
    <col min="14081" max="14081" width="5.09765625" style="1532" customWidth="1"/>
    <col min="14082" max="14082" width="8" style="1532" customWidth="1"/>
    <col min="14083" max="14083" width="6.19921875" style="1532" customWidth="1"/>
    <col min="14084" max="14084" width="8.8984375" style="1532" customWidth="1"/>
    <col min="14085" max="14085" width="9.8984375" style="1532" customWidth="1"/>
    <col min="14086" max="14086" width="8.69921875" style="1532" customWidth="1"/>
    <col min="14087" max="14087" width="8.59765625" style="1532" customWidth="1"/>
    <col min="14088" max="14088" width="8.5" style="1532" customWidth="1"/>
    <col min="14089" max="14089" width="8.09765625" style="1532" customWidth="1"/>
    <col min="14090" max="14090" width="8.3984375" style="1532" customWidth="1"/>
    <col min="14091" max="14091" width="7" style="1532" customWidth="1"/>
    <col min="14092" max="14093" width="9.8984375" style="1532" customWidth="1"/>
    <col min="14094" max="14094" width="14.69921875" style="1532" customWidth="1"/>
    <col min="14095" max="14336" width="12.3984375" style="1532"/>
    <col min="14337" max="14337" width="5.09765625" style="1532" customWidth="1"/>
    <col min="14338" max="14338" width="8" style="1532" customWidth="1"/>
    <col min="14339" max="14339" width="6.19921875" style="1532" customWidth="1"/>
    <col min="14340" max="14340" width="8.8984375" style="1532" customWidth="1"/>
    <col min="14341" max="14341" width="9.8984375" style="1532" customWidth="1"/>
    <col min="14342" max="14342" width="8.69921875" style="1532" customWidth="1"/>
    <col min="14343" max="14343" width="8.59765625" style="1532" customWidth="1"/>
    <col min="14344" max="14344" width="8.5" style="1532" customWidth="1"/>
    <col min="14345" max="14345" width="8.09765625" style="1532" customWidth="1"/>
    <col min="14346" max="14346" width="8.3984375" style="1532" customWidth="1"/>
    <col min="14347" max="14347" width="7" style="1532" customWidth="1"/>
    <col min="14348" max="14349" width="9.8984375" style="1532" customWidth="1"/>
    <col min="14350" max="14350" width="14.69921875" style="1532" customWidth="1"/>
    <col min="14351" max="14592" width="12.3984375" style="1532"/>
    <col min="14593" max="14593" width="5.09765625" style="1532" customWidth="1"/>
    <col min="14594" max="14594" width="8" style="1532" customWidth="1"/>
    <col min="14595" max="14595" width="6.19921875" style="1532" customWidth="1"/>
    <col min="14596" max="14596" width="8.8984375" style="1532" customWidth="1"/>
    <col min="14597" max="14597" width="9.8984375" style="1532" customWidth="1"/>
    <col min="14598" max="14598" width="8.69921875" style="1532" customWidth="1"/>
    <col min="14599" max="14599" width="8.59765625" style="1532" customWidth="1"/>
    <col min="14600" max="14600" width="8.5" style="1532" customWidth="1"/>
    <col min="14601" max="14601" width="8.09765625" style="1532" customWidth="1"/>
    <col min="14602" max="14602" width="8.3984375" style="1532" customWidth="1"/>
    <col min="14603" max="14603" width="7" style="1532" customWidth="1"/>
    <col min="14604" max="14605" width="9.8984375" style="1532" customWidth="1"/>
    <col min="14606" max="14606" width="14.69921875" style="1532" customWidth="1"/>
    <col min="14607" max="14848" width="12.3984375" style="1532"/>
    <col min="14849" max="14849" width="5.09765625" style="1532" customWidth="1"/>
    <col min="14850" max="14850" width="8" style="1532" customWidth="1"/>
    <col min="14851" max="14851" width="6.19921875" style="1532" customWidth="1"/>
    <col min="14852" max="14852" width="8.8984375" style="1532" customWidth="1"/>
    <col min="14853" max="14853" width="9.8984375" style="1532" customWidth="1"/>
    <col min="14854" max="14854" width="8.69921875" style="1532" customWidth="1"/>
    <col min="14855" max="14855" width="8.59765625" style="1532" customWidth="1"/>
    <col min="14856" max="14856" width="8.5" style="1532" customWidth="1"/>
    <col min="14857" max="14857" width="8.09765625" style="1532" customWidth="1"/>
    <col min="14858" max="14858" width="8.3984375" style="1532" customWidth="1"/>
    <col min="14859" max="14859" width="7" style="1532" customWidth="1"/>
    <col min="14860" max="14861" width="9.8984375" style="1532" customWidth="1"/>
    <col min="14862" max="14862" width="14.69921875" style="1532" customWidth="1"/>
    <col min="14863" max="15104" width="12.3984375" style="1532"/>
    <col min="15105" max="15105" width="5.09765625" style="1532" customWidth="1"/>
    <col min="15106" max="15106" width="8" style="1532" customWidth="1"/>
    <col min="15107" max="15107" width="6.19921875" style="1532" customWidth="1"/>
    <col min="15108" max="15108" width="8.8984375" style="1532" customWidth="1"/>
    <col min="15109" max="15109" width="9.8984375" style="1532" customWidth="1"/>
    <col min="15110" max="15110" width="8.69921875" style="1532" customWidth="1"/>
    <col min="15111" max="15111" width="8.59765625" style="1532" customWidth="1"/>
    <col min="15112" max="15112" width="8.5" style="1532" customWidth="1"/>
    <col min="15113" max="15113" width="8.09765625" style="1532" customWidth="1"/>
    <col min="15114" max="15114" width="8.3984375" style="1532" customWidth="1"/>
    <col min="15115" max="15115" width="7" style="1532" customWidth="1"/>
    <col min="15116" max="15117" width="9.8984375" style="1532" customWidth="1"/>
    <col min="15118" max="15118" width="14.69921875" style="1532" customWidth="1"/>
    <col min="15119" max="15360" width="12.3984375" style="1532"/>
    <col min="15361" max="15361" width="5.09765625" style="1532" customWidth="1"/>
    <col min="15362" max="15362" width="8" style="1532" customWidth="1"/>
    <col min="15363" max="15363" width="6.19921875" style="1532" customWidth="1"/>
    <col min="15364" max="15364" width="8.8984375" style="1532" customWidth="1"/>
    <col min="15365" max="15365" width="9.8984375" style="1532" customWidth="1"/>
    <col min="15366" max="15366" width="8.69921875" style="1532" customWidth="1"/>
    <col min="15367" max="15367" width="8.59765625" style="1532" customWidth="1"/>
    <col min="15368" max="15368" width="8.5" style="1532" customWidth="1"/>
    <col min="15369" max="15369" width="8.09765625" style="1532" customWidth="1"/>
    <col min="15370" max="15370" width="8.3984375" style="1532" customWidth="1"/>
    <col min="15371" max="15371" width="7" style="1532" customWidth="1"/>
    <col min="15372" max="15373" width="9.8984375" style="1532" customWidth="1"/>
    <col min="15374" max="15374" width="14.69921875" style="1532" customWidth="1"/>
    <col min="15375" max="15616" width="12.3984375" style="1532"/>
    <col min="15617" max="15617" width="5.09765625" style="1532" customWidth="1"/>
    <col min="15618" max="15618" width="8" style="1532" customWidth="1"/>
    <col min="15619" max="15619" width="6.19921875" style="1532" customWidth="1"/>
    <col min="15620" max="15620" width="8.8984375" style="1532" customWidth="1"/>
    <col min="15621" max="15621" width="9.8984375" style="1532" customWidth="1"/>
    <col min="15622" max="15622" width="8.69921875" style="1532" customWidth="1"/>
    <col min="15623" max="15623" width="8.59765625" style="1532" customWidth="1"/>
    <col min="15624" max="15624" width="8.5" style="1532" customWidth="1"/>
    <col min="15625" max="15625" width="8.09765625" style="1532" customWidth="1"/>
    <col min="15626" max="15626" width="8.3984375" style="1532" customWidth="1"/>
    <col min="15627" max="15627" width="7" style="1532" customWidth="1"/>
    <col min="15628" max="15629" width="9.8984375" style="1532" customWidth="1"/>
    <col min="15630" max="15630" width="14.69921875" style="1532" customWidth="1"/>
    <col min="15631" max="15872" width="12.3984375" style="1532"/>
    <col min="15873" max="15873" width="5.09765625" style="1532" customWidth="1"/>
    <col min="15874" max="15874" width="8" style="1532" customWidth="1"/>
    <col min="15875" max="15875" width="6.19921875" style="1532" customWidth="1"/>
    <col min="15876" max="15876" width="8.8984375" style="1532" customWidth="1"/>
    <col min="15877" max="15877" width="9.8984375" style="1532" customWidth="1"/>
    <col min="15878" max="15878" width="8.69921875" style="1532" customWidth="1"/>
    <col min="15879" max="15879" width="8.59765625" style="1532" customWidth="1"/>
    <col min="15880" max="15880" width="8.5" style="1532" customWidth="1"/>
    <col min="15881" max="15881" width="8.09765625" style="1532" customWidth="1"/>
    <col min="15882" max="15882" width="8.3984375" style="1532" customWidth="1"/>
    <col min="15883" max="15883" width="7" style="1532" customWidth="1"/>
    <col min="15884" max="15885" width="9.8984375" style="1532" customWidth="1"/>
    <col min="15886" max="15886" width="14.69921875" style="1532" customWidth="1"/>
    <col min="15887" max="16128" width="12.3984375" style="1532"/>
    <col min="16129" max="16129" width="5.09765625" style="1532" customWidth="1"/>
    <col min="16130" max="16130" width="8" style="1532" customWidth="1"/>
    <col min="16131" max="16131" width="6.19921875" style="1532" customWidth="1"/>
    <col min="16132" max="16132" width="8.8984375" style="1532" customWidth="1"/>
    <col min="16133" max="16133" width="9.8984375" style="1532" customWidth="1"/>
    <col min="16134" max="16134" width="8.69921875" style="1532" customWidth="1"/>
    <col min="16135" max="16135" width="8.59765625" style="1532" customWidth="1"/>
    <col min="16136" max="16136" width="8.5" style="1532" customWidth="1"/>
    <col min="16137" max="16137" width="8.09765625" style="1532" customWidth="1"/>
    <col min="16138" max="16138" width="8.3984375" style="1532" customWidth="1"/>
    <col min="16139" max="16139" width="7" style="1532" customWidth="1"/>
    <col min="16140" max="16141" width="9.8984375" style="1532" customWidth="1"/>
    <col min="16142" max="16142" width="14.69921875" style="1532" customWidth="1"/>
    <col min="16143" max="16384" width="12.3984375" style="1532"/>
  </cols>
  <sheetData>
    <row r="1" spans="1:15" s="1533" customFormat="1" ht="20.100000000000001" customHeight="1">
      <c r="A1" s="3400" t="s">
        <v>5478</v>
      </c>
      <c r="B1" s="3400"/>
      <c r="C1" s="3400"/>
      <c r="D1" s="3400"/>
      <c r="E1" s="3400"/>
      <c r="F1" s="3400"/>
      <c r="G1" s="3400"/>
      <c r="H1" s="3400"/>
      <c r="I1" s="3400"/>
      <c r="J1" s="3400"/>
      <c r="K1" s="3400"/>
      <c r="L1" s="3400"/>
      <c r="M1" s="3400"/>
      <c r="N1" s="2018"/>
    </row>
    <row r="2" spans="1:15" s="1536" customFormat="1" ht="25.5" customHeight="1">
      <c r="A2" s="3401" t="s">
        <v>1347</v>
      </c>
      <c r="B2" s="3401"/>
      <c r="C2" s="3401"/>
      <c r="D2" s="3401"/>
      <c r="E2" s="3401"/>
      <c r="F2" s="3401"/>
      <c r="G2" s="3401"/>
      <c r="H2" s="3401"/>
      <c r="I2" s="3401"/>
      <c r="J2" s="3401"/>
      <c r="K2" s="3401"/>
      <c r="L2" s="3401"/>
      <c r="M2" s="3401"/>
      <c r="N2" s="1935"/>
    </row>
    <row r="3" spans="1:15" s="1537" customFormat="1" ht="14.25" customHeight="1">
      <c r="A3" s="3402" t="s">
        <v>1853</v>
      </c>
      <c r="B3" s="3402" t="s">
        <v>665</v>
      </c>
      <c r="C3" s="3402" t="s">
        <v>16</v>
      </c>
      <c r="D3" s="3405" t="s">
        <v>1621</v>
      </c>
      <c r="E3" s="3405" t="s">
        <v>5479</v>
      </c>
      <c r="F3" s="3405" t="s">
        <v>5480</v>
      </c>
      <c r="G3" s="3399" t="s">
        <v>5481</v>
      </c>
      <c r="H3" s="3399"/>
      <c r="I3" s="3399"/>
      <c r="J3" s="3399"/>
      <c r="K3" s="3399"/>
      <c r="L3" s="3405" t="s">
        <v>1861</v>
      </c>
      <c r="M3" s="3405" t="s">
        <v>1862</v>
      </c>
      <c r="N3" s="3405" t="s">
        <v>4899</v>
      </c>
    </row>
    <row r="4" spans="1:15" s="1537" customFormat="1" ht="41.25" customHeight="1">
      <c r="A4" s="3403"/>
      <c r="B4" s="3403"/>
      <c r="C4" s="3403"/>
      <c r="D4" s="3409"/>
      <c r="E4" s="3409"/>
      <c r="F4" s="3409"/>
      <c r="G4" s="1846" t="s">
        <v>1348</v>
      </c>
      <c r="H4" s="1846" t="s">
        <v>1349</v>
      </c>
      <c r="I4" s="1846" t="s">
        <v>1350</v>
      </c>
      <c r="J4" s="1846" t="s">
        <v>1351</v>
      </c>
      <c r="K4" s="1846" t="s">
        <v>5482</v>
      </c>
      <c r="L4" s="3409"/>
      <c r="M4" s="3409"/>
      <c r="N4" s="3409"/>
    </row>
    <row r="5" spans="1:15" s="1537" customFormat="1" ht="33.75" customHeight="1">
      <c r="A5" s="3404"/>
      <c r="B5" s="3404"/>
      <c r="C5" s="1846">
        <v>1</v>
      </c>
      <c r="D5" s="1846">
        <v>2</v>
      </c>
      <c r="E5" s="1846">
        <v>3</v>
      </c>
      <c r="F5" s="2185">
        <v>4</v>
      </c>
      <c r="G5" s="1846">
        <v>5</v>
      </c>
      <c r="H5" s="1846">
        <v>6</v>
      </c>
      <c r="I5" s="1846">
        <v>7</v>
      </c>
      <c r="J5" s="1846">
        <v>8</v>
      </c>
      <c r="K5" s="1846">
        <v>9</v>
      </c>
      <c r="L5" s="1846">
        <v>10</v>
      </c>
      <c r="M5" s="1846">
        <v>11</v>
      </c>
      <c r="N5" s="1829"/>
    </row>
    <row r="6" spans="1:15" s="1537" customFormat="1" ht="14.25" customHeight="1">
      <c r="A6" s="1846">
        <v>1</v>
      </c>
      <c r="B6" s="1846" t="s">
        <v>6629</v>
      </c>
      <c r="C6" s="1855">
        <f>C7-1</f>
        <v>2011</v>
      </c>
      <c r="D6" s="2072">
        <f>补亏!C12-补亏!D12</f>
        <v>0</v>
      </c>
      <c r="E6" s="2072">
        <f>补亏!E12</f>
        <v>0</v>
      </c>
      <c r="F6" s="2072">
        <f>IF(D6&gt;0,E6,补亏!F12)</f>
        <v>0</v>
      </c>
      <c r="G6" s="2075">
        <f>IF(补亏!F12&gt;=0,0,IF(补亏!F13&lt;=0,0,IF((补亏!F13+补亏!F12)&gt;=0,-补亏!F12,补亏!F13)))</f>
        <v>0</v>
      </c>
      <c r="H6" s="2075">
        <f>IF(补亏!F14&lt;=0,0,IF(补亏!F12&gt;=0,0,IF(-补亏!F12-G6-补亏!F14&gt;=0,补亏!F14,-补亏!F12-G6)))</f>
        <v>0</v>
      </c>
      <c r="I6" s="2075">
        <f>IF(补亏!F15&lt;=0,0,IF(补亏!F12&gt;=0,0,IF(补亏!F15-(-补亏!F12-G6-H6)&gt;0,(-补亏!F12-G6-H6),补亏!F15)))</f>
        <v>0</v>
      </c>
      <c r="J6" s="2075">
        <f>IF(补亏!F16&lt;=0,0,IF(补亏!F12&gt;=0,0,IF(补亏!F16&gt;-补亏!F12-G6-H6-I6,-补亏!F12-G6-H6-I6,补亏!F16)))</f>
        <v>0</v>
      </c>
      <c r="K6" s="2075">
        <f>SUM(G6:J6)</f>
        <v>0</v>
      </c>
      <c r="L6" s="2075">
        <f ca="1">IF(补亏!F17&lt;0,0,IF(补亏!F12&gt;0,0,IF((ABS(补亏!F12)-K6)&gt;'A100000中华人民共和国企业所得税年度纳税申报表（A类）'!D22,'A100000中华人民共和国企业所得税年度纳税申报表（A类）'!D22,ABS(补亏!F12)-K6)))</f>
        <v>0</v>
      </c>
      <c r="M6" s="1954" t="s">
        <v>1859</v>
      </c>
      <c r="N6" s="1829"/>
    </row>
    <row r="7" spans="1:15" s="1537" customFormat="1" ht="14.25" customHeight="1">
      <c r="A7" s="1846">
        <v>2</v>
      </c>
      <c r="B7" s="1846" t="s">
        <v>1348</v>
      </c>
      <c r="C7" s="1855">
        <f>C8-1</f>
        <v>2012</v>
      </c>
      <c r="D7" s="2072">
        <f>补亏!C13-补亏!D13</f>
        <v>0</v>
      </c>
      <c r="E7" s="2072">
        <f>补亏!E13</f>
        <v>0</v>
      </c>
      <c r="F7" s="2186">
        <f>IF(D7&gt;0,E7,补亏!F13)</f>
        <v>0</v>
      </c>
      <c r="G7" s="1954" t="s">
        <v>1859</v>
      </c>
      <c r="H7" s="2075">
        <f>IF(补亏!F14&lt;=0,0,IF(补亏!F13&gt;=0,0,IF(补亏!F14-H6+补亏!F13&gt;0,-补亏!F13,补亏!F14-H6)))</f>
        <v>0</v>
      </c>
      <c r="I7" s="2075">
        <f>IF(补亏!F15&lt;=0,0,IF(补亏!F13&gt;=0,0,IF(-SUMIF(一至三年,"&lt;0")-G6-H6-I6-H7&gt;=0,IF(补亏!F15-I6-(-补亏!F13-H7)&gt;=0,-补亏!F13-H7,补亏!F15-I6),0)))</f>
        <v>0</v>
      </c>
      <c r="J7" s="2075">
        <f>IF(补亏!F16&lt;=0,0,IF(补亏!F13&gt;=0,0,IF(-SUMIF(补亏!F13:F16,"&lt;0")-K6-I7-I8-H7&gt;0,IF(补亏!F16-J6&gt;-补亏!F13-H7-I7,-补亏!F13-H7-I7,补亏!F16-J6),0)))</f>
        <v>0</v>
      </c>
      <c r="K7" s="2075">
        <f>SUM(G7:J7)</f>
        <v>0</v>
      </c>
      <c r="L7" s="2075">
        <f ca="1">IF(补亏!F17-L6&lt;0,0,IF(补亏!F13&gt;0,0,IF((补亏!F17-L6)&gt;(-补亏!F13-K7),-补亏!F13-K7,补亏!F17-L6)))</f>
        <v>0</v>
      </c>
      <c r="M7" s="2075">
        <f ca="1">IF(补亏!F13&gt;0,0,ABS(补亏!F13)-K7-L7)</f>
        <v>0</v>
      </c>
      <c r="N7" s="1829"/>
    </row>
    <row r="8" spans="1:15" s="1537" customFormat="1" ht="14.25" customHeight="1">
      <c r="A8" s="1846">
        <v>3</v>
      </c>
      <c r="B8" s="1846" t="s">
        <v>1349</v>
      </c>
      <c r="C8" s="1855">
        <f>C9-1</f>
        <v>2013</v>
      </c>
      <c r="D8" s="2072">
        <f>补亏!C14-补亏!D14</f>
        <v>0</v>
      </c>
      <c r="E8" s="2072">
        <f>补亏!E14</f>
        <v>0</v>
      </c>
      <c r="F8" s="2186">
        <f>IF(D8&gt;0,E8,补亏!F14)</f>
        <v>0</v>
      </c>
      <c r="G8" s="1954" t="s">
        <v>1859</v>
      </c>
      <c r="H8" s="1954" t="s">
        <v>1859</v>
      </c>
      <c r="I8" s="2075">
        <f>IF(补亏!F15&lt;=0,0,IF(补亏!F14&gt;=0,0,IF(-SUMIF(一至三年,"&lt;0")-G6-H6-I6-H7-I7&gt;0,IF(补亏!F15-I6-I7+补亏!F14&gt;0,-补亏!F14,补亏!F15-I6-I7),0)))</f>
        <v>0</v>
      </c>
      <c r="J8" s="2075">
        <f>IF(补亏!F16&lt;=0,0,IF(补亏!F14&gt;=0,0,IF(-SUMIF(补亏!F13:F16,"&lt;0")&gt;K6+K7+I8,IF(补亏!F16-J6-J7&gt;-补亏!F14-I8,-补亏!F14-I8,补亏!F16-J6-J7),0)))</f>
        <v>0</v>
      </c>
      <c r="K8" s="2075">
        <f>SUM(G8:J8)</f>
        <v>0</v>
      </c>
      <c r="L8" s="2075">
        <f ca="1">IF(补亏!F17-L6-L7&lt;0,0,IF(补亏!F14&gt;0,0,IF(-补亏!F14-K8&gt;补亏!F17-L6-L7,补亏!F17-L6-L7,-补亏!F14-K8)))</f>
        <v>0</v>
      </c>
      <c r="M8" s="2075">
        <f ca="1">IF(补亏!F14&gt;0,0,ABS(补亏!F14)-K8-L8)</f>
        <v>0</v>
      </c>
      <c r="N8" s="1829"/>
    </row>
    <row r="9" spans="1:15" s="1537" customFormat="1" ht="14.25" customHeight="1">
      <c r="A9" s="1846">
        <v>4</v>
      </c>
      <c r="B9" s="1846" t="s">
        <v>1350</v>
      </c>
      <c r="C9" s="1855">
        <f>C10-1</f>
        <v>2014</v>
      </c>
      <c r="D9" s="2072">
        <f>补亏!C15-补亏!D15</f>
        <v>0</v>
      </c>
      <c r="E9" s="2072">
        <f>补亏!E15</f>
        <v>0</v>
      </c>
      <c r="F9" s="2186">
        <f>IF(D9&gt;0,E9,补亏!F15)</f>
        <v>0</v>
      </c>
      <c r="G9" s="1954" t="s">
        <v>1859</v>
      </c>
      <c r="H9" s="1954" t="s">
        <v>1859</v>
      </c>
      <c r="I9" s="1954" t="s">
        <v>1859</v>
      </c>
      <c r="J9" s="2075">
        <f>IF(补亏!F16&lt;=0,0,IF(补亏!F15&gt;=0,0,IF(-SUMIF(补亏!F13:F16,"&lt;0")-K6-K7-K8&gt;0,IF(补亏!F16-J6-J7-J8&gt;-补亏!F15,-补亏!F15,补亏!F16-J6-J7-J8),0)))</f>
        <v>0</v>
      </c>
      <c r="K9" s="2075">
        <f>SUM(G9:J9)</f>
        <v>0</v>
      </c>
      <c r="L9" s="2075">
        <f ca="1">IF(补亏!F17-L6-L7-L8&lt;0,0,IF(补亏!F15&gt;0,0,IF((补亏!F17-L6-L7-L8)&gt;-补亏!F15-K9,-补亏!F15-K9,补亏!F17-L6-L7-L8)))</f>
        <v>0</v>
      </c>
      <c r="M9" s="2075">
        <f ca="1">IF(补亏!F15&gt;0,0,ABS(补亏!F15)-K9-L9)</f>
        <v>0</v>
      </c>
      <c r="N9" s="1829"/>
    </row>
    <row r="10" spans="1:15" s="1537" customFormat="1" ht="14.25" customHeight="1">
      <c r="A10" s="1846">
        <v>5</v>
      </c>
      <c r="B10" s="1846" t="s">
        <v>1351</v>
      </c>
      <c r="C10" s="1855">
        <f>C11-1</f>
        <v>2015</v>
      </c>
      <c r="D10" s="2072">
        <f>补亏!C16-补亏!D16</f>
        <v>0</v>
      </c>
      <c r="E10" s="2072">
        <f>补亏!E16</f>
        <v>0</v>
      </c>
      <c r="F10" s="2186">
        <f>IF(D10&gt;0,E10,补亏!F16)</f>
        <v>0</v>
      </c>
      <c r="G10" s="1954" t="s">
        <v>1859</v>
      </c>
      <c r="H10" s="1954" t="s">
        <v>1859</v>
      </c>
      <c r="I10" s="1954" t="s">
        <v>1859</v>
      </c>
      <c r="J10" s="1954" t="s">
        <v>1859</v>
      </c>
      <c r="K10" s="2075">
        <f>SUM(G10:J10)</f>
        <v>0</v>
      </c>
      <c r="L10" s="2075">
        <f ca="1">IF(补亏!F17-L6-L7-L8-L9&lt;0,0,IF(补亏!F16&gt;0,0,IF((-补亏!F16-K10)&gt;(补亏!F17-L6-L7-L8-L9),(补亏!F17-L6-L7-L8-L9),-补亏!F16-K10)))</f>
        <v>0</v>
      </c>
      <c r="M10" s="2075">
        <f ca="1">IF(补亏!F16&gt;0,0,ABS(补亏!F16)-K10-L10)</f>
        <v>0</v>
      </c>
      <c r="N10" s="1829"/>
    </row>
    <row r="11" spans="1:15" s="1537" customFormat="1" ht="14.25" customHeight="1">
      <c r="A11" s="1846">
        <v>6</v>
      </c>
      <c r="B11" s="1846" t="s">
        <v>5483</v>
      </c>
      <c r="C11" s="1855">
        <f>基本情况!B4</f>
        <v>2016</v>
      </c>
      <c r="D11" s="2072">
        <f ca="1">'A100000中华人民共和国企业所得税年度纳税申报表（A类）'!D22</f>
        <v>0</v>
      </c>
      <c r="E11" s="2072">
        <f>补亏!E17</f>
        <v>0</v>
      </c>
      <c r="F11" s="2075">
        <f ca="1">IF(D11&lt;0,D11+E11,E11)</f>
        <v>0</v>
      </c>
      <c r="G11" s="1954" t="s">
        <v>1859</v>
      </c>
      <c r="H11" s="1954" t="s">
        <v>1859</v>
      </c>
      <c r="I11" s="1954" t="s">
        <v>1859</v>
      </c>
      <c r="J11" s="1954" t="s">
        <v>1859</v>
      </c>
      <c r="K11" s="1954" t="s">
        <v>1859</v>
      </c>
      <c r="L11" s="2075">
        <f ca="1">SUM(L6:L10)</f>
        <v>0</v>
      </c>
      <c r="M11" s="2075">
        <f ca="1">IF(补亏!F17&gt;0,0,ABS(补亏!F17)-L11)</f>
        <v>0</v>
      </c>
      <c r="N11" s="1829"/>
    </row>
    <row r="12" spans="1:15" s="1537" customFormat="1" ht="225" customHeight="1">
      <c r="A12" s="1954">
        <v>7</v>
      </c>
      <c r="B12" s="3958" t="s">
        <v>5484</v>
      </c>
      <c r="C12" s="3486"/>
      <c r="D12" s="3486"/>
      <c r="E12" s="3486"/>
      <c r="F12" s="3486"/>
      <c r="G12" s="3486"/>
      <c r="H12" s="3486"/>
      <c r="I12" s="3486"/>
      <c r="J12" s="3486"/>
      <c r="K12" s="3486"/>
      <c r="L12" s="3937"/>
      <c r="M12" s="2075">
        <f ca="1">SUM(M7:M11)</f>
        <v>0</v>
      </c>
      <c r="N12" s="1996" t="s">
        <v>5485</v>
      </c>
      <c r="O12" s="1565"/>
    </row>
  </sheetData>
  <mergeCells count="13">
    <mergeCell ref="N3:N4"/>
    <mergeCell ref="B12:L12"/>
    <mergeCell ref="M3:M4"/>
    <mergeCell ref="A1:M1"/>
    <mergeCell ref="A2:M2"/>
    <mergeCell ref="A3:A5"/>
    <mergeCell ref="B3:B5"/>
    <mergeCell ref="C3:C4"/>
    <mergeCell ref="D3:D4"/>
    <mergeCell ref="E3:E4"/>
    <mergeCell ref="F3:F4"/>
    <mergeCell ref="G3:K3"/>
    <mergeCell ref="L3:L4"/>
  </mergeCells>
  <phoneticPr fontId="51" type="noConversion"/>
  <printOptions horizontalCentered="1"/>
  <pageMargins left="0.78740157480314998" right="0.35433070866141703" top="0.511811023622047" bottom="0.11811023622047198" header="0.511811023622047" footer="0.511811023622047"/>
  <pageSetup paperSize="9" orientation="landscape" cellComments="asDisplayed"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rgb="FFFFFF00"/>
  </sheetPr>
  <dimension ref="A1:E30"/>
  <sheetViews>
    <sheetView workbookViewId="0">
      <selection sqref="A1:C1"/>
    </sheetView>
  </sheetViews>
  <sheetFormatPr defaultColWidth="56.3984375" defaultRowHeight="15.6"/>
  <cols>
    <col min="1" max="1" width="4.09765625" style="1570" customWidth="1"/>
    <col min="2" max="2" width="55.5" style="1570" customWidth="1"/>
    <col min="3" max="3" width="12.3984375" style="1570" customWidth="1"/>
    <col min="4" max="4" width="15" style="1570" customWidth="1"/>
    <col min="5" max="256" width="56.3984375" style="1570"/>
    <col min="257" max="257" width="4.09765625" style="1570" customWidth="1"/>
    <col min="258" max="258" width="55.5" style="1570" customWidth="1"/>
    <col min="259" max="259" width="6.3984375" style="1570" customWidth="1"/>
    <col min="260" max="260" width="15" style="1570" customWidth="1"/>
    <col min="261" max="512" width="56.3984375" style="1570"/>
    <col min="513" max="513" width="4.09765625" style="1570" customWidth="1"/>
    <col min="514" max="514" width="55.5" style="1570" customWidth="1"/>
    <col min="515" max="515" width="6.3984375" style="1570" customWidth="1"/>
    <col min="516" max="516" width="15" style="1570" customWidth="1"/>
    <col min="517" max="768" width="56.3984375" style="1570"/>
    <col min="769" max="769" width="4.09765625" style="1570" customWidth="1"/>
    <col min="770" max="770" width="55.5" style="1570" customWidth="1"/>
    <col min="771" max="771" width="6.3984375" style="1570" customWidth="1"/>
    <col min="772" max="772" width="15" style="1570" customWidth="1"/>
    <col min="773" max="1024" width="56.3984375" style="1570"/>
    <col min="1025" max="1025" width="4.09765625" style="1570" customWidth="1"/>
    <col min="1026" max="1026" width="55.5" style="1570" customWidth="1"/>
    <col min="1027" max="1027" width="6.3984375" style="1570" customWidth="1"/>
    <col min="1028" max="1028" width="15" style="1570" customWidth="1"/>
    <col min="1029" max="1280" width="56.3984375" style="1570"/>
    <col min="1281" max="1281" width="4.09765625" style="1570" customWidth="1"/>
    <col min="1282" max="1282" width="55.5" style="1570" customWidth="1"/>
    <col min="1283" max="1283" width="6.3984375" style="1570" customWidth="1"/>
    <col min="1284" max="1284" width="15" style="1570" customWidth="1"/>
    <col min="1285" max="1536" width="56.3984375" style="1570"/>
    <col min="1537" max="1537" width="4.09765625" style="1570" customWidth="1"/>
    <col min="1538" max="1538" width="55.5" style="1570" customWidth="1"/>
    <col min="1539" max="1539" width="6.3984375" style="1570" customWidth="1"/>
    <col min="1540" max="1540" width="15" style="1570" customWidth="1"/>
    <col min="1541" max="1792" width="56.3984375" style="1570"/>
    <col min="1793" max="1793" width="4.09765625" style="1570" customWidth="1"/>
    <col min="1794" max="1794" width="55.5" style="1570" customWidth="1"/>
    <col min="1795" max="1795" width="6.3984375" style="1570" customWidth="1"/>
    <col min="1796" max="1796" width="15" style="1570" customWidth="1"/>
    <col min="1797" max="2048" width="56.3984375" style="1570"/>
    <col min="2049" max="2049" width="4.09765625" style="1570" customWidth="1"/>
    <col min="2050" max="2050" width="55.5" style="1570" customWidth="1"/>
    <col min="2051" max="2051" width="6.3984375" style="1570" customWidth="1"/>
    <col min="2052" max="2052" width="15" style="1570" customWidth="1"/>
    <col min="2053" max="2304" width="56.3984375" style="1570"/>
    <col min="2305" max="2305" width="4.09765625" style="1570" customWidth="1"/>
    <col min="2306" max="2306" width="55.5" style="1570" customWidth="1"/>
    <col min="2307" max="2307" width="6.3984375" style="1570" customWidth="1"/>
    <col min="2308" max="2308" width="15" style="1570" customWidth="1"/>
    <col min="2309" max="2560" width="56.3984375" style="1570"/>
    <col min="2561" max="2561" width="4.09765625" style="1570" customWidth="1"/>
    <col min="2562" max="2562" width="55.5" style="1570" customWidth="1"/>
    <col min="2563" max="2563" width="6.3984375" style="1570" customWidth="1"/>
    <col min="2564" max="2564" width="15" style="1570" customWidth="1"/>
    <col min="2565" max="2816" width="56.3984375" style="1570"/>
    <col min="2817" max="2817" width="4.09765625" style="1570" customWidth="1"/>
    <col min="2818" max="2818" width="55.5" style="1570" customWidth="1"/>
    <col min="2819" max="2819" width="6.3984375" style="1570" customWidth="1"/>
    <col min="2820" max="2820" width="15" style="1570" customWidth="1"/>
    <col min="2821" max="3072" width="56.3984375" style="1570"/>
    <col min="3073" max="3073" width="4.09765625" style="1570" customWidth="1"/>
    <col min="3074" max="3074" width="55.5" style="1570" customWidth="1"/>
    <col min="3075" max="3075" width="6.3984375" style="1570" customWidth="1"/>
    <col min="3076" max="3076" width="15" style="1570" customWidth="1"/>
    <col min="3077" max="3328" width="56.3984375" style="1570"/>
    <col min="3329" max="3329" width="4.09765625" style="1570" customWidth="1"/>
    <col min="3330" max="3330" width="55.5" style="1570" customWidth="1"/>
    <col min="3331" max="3331" width="6.3984375" style="1570" customWidth="1"/>
    <col min="3332" max="3332" width="15" style="1570" customWidth="1"/>
    <col min="3333" max="3584" width="56.3984375" style="1570"/>
    <col min="3585" max="3585" width="4.09765625" style="1570" customWidth="1"/>
    <col min="3586" max="3586" width="55.5" style="1570" customWidth="1"/>
    <col min="3587" max="3587" width="6.3984375" style="1570" customWidth="1"/>
    <col min="3588" max="3588" width="15" style="1570" customWidth="1"/>
    <col min="3589" max="3840" width="56.3984375" style="1570"/>
    <col min="3841" max="3841" width="4.09765625" style="1570" customWidth="1"/>
    <col min="3842" max="3842" width="55.5" style="1570" customWidth="1"/>
    <col min="3843" max="3843" width="6.3984375" style="1570" customWidth="1"/>
    <col min="3844" max="3844" width="15" style="1570" customWidth="1"/>
    <col min="3845" max="4096" width="56.3984375" style="1570"/>
    <col min="4097" max="4097" width="4.09765625" style="1570" customWidth="1"/>
    <col min="4098" max="4098" width="55.5" style="1570" customWidth="1"/>
    <col min="4099" max="4099" width="6.3984375" style="1570" customWidth="1"/>
    <col min="4100" max="4100" width="15" style="1570" customWidth="1"/>
    <col min="4101" max="4352" width="56.3984375" style="1570"/>
    <col min="4353" max="4353" width="4.09765625" style="1570" customWidth="1"/>
    <col min="4354" max="4354" width="55.5" style="1570" customWidth="1"/>
    <col min="4355" max="4355" width="6.3984375" style="1570" customWidth="1"/>
    <col min="4356" max="4356" width="15" style="1570" customWidth="1"/>
    <col min="4357" max="4608" width="56.3984375" style="1570"/>
    <col min="4609" max="4609" width="4.09765625" style="1570" customWidth="1"/>
    <col min="4610" max="4610" width="55.5" style="1570" customWidth="1"/>
    <col min="4611" max="4611" width="6.3984375" style="1570" customWidth="1"/>
    <col min="4612" max="4612" width="15" style="1570" customWidth="1"/>
    <col min="4613" max="4864" width="56.3984375" style="1570"/>
    <col min="4865" max="4865" width="4.09765625" style="1570" customWidth="1"/>
    <col min="4866" max="4866" width="55.5" style="1570" customWidth="1"/>
    <col min="4867" max="4867" width="6.3984375" style="1570" customWidth="1"/>
    <col min="4868" max="4868" width="15" style="1570" customWidth="1"/>
    <col min="4869" max="5120" width="56.3984375" style="1570"/>
    <col min="5121" max="5121" width="4.09765625" style="1570" customWidth="1"/>
    <col min="5122" max="5122" width="55.5" style="1570" customWidth="1"/>
    <col min="5123" max="5123" width="6.3984375" style="1570" customWidth="1"/>
    <col min="5124" max="5124" width="15" style="1570" customWidth="1"/>
    <col min="5125" max="5376" width="56.3984375" style="1570"/>
    <col min="5377" max="5377" width="4.09765625" style="1570" customWidth="1"/>
    <col min="5378" max="5378" width="55.5" style="1570" customWidth="1"/>
    <col min="5379" max="5379" width="6.3984375" style="1570" customWidth="1"/>
    <col min="5380" max="5380" width="15" style="1570" customWidth="1"/>
    <col min="5381" max="5632" width="56.3984375" style="1570"/>
    <col min="5633" max="5633" width="4.09765625" style="1570" customWidth="1"/>
    <col min="5634" max="5634" width="55.5" style="1570" customWidth="1"/>
    <col min="5635" max="5635" width="6.3984375" style="1570" customWidth="1"/>
    <col min="5636" max="5636" width="15" style="1570" customWidth="1"/>
    <col min="5637" max="5888" width="56.3984375" style="1570"/>
    <col min="5889" max="5889" width="4.09765625" style="1570" customWidth="1"/>
    <col min="5890" max="5890" width="55.5" style="1570" customWidth="1"/>
    <col min="5891" max="5891" width="6.3984375" style="1570" customWidth="1"/>
    <col min="5892" max="5892" width="15" style="1570" customWidth="1"/>
    <col min="5893" max="6144" width="56.3984375" style="1570"/>
    <col min="6145" max="6145" width="4.09765625" style="1570" customWidth="1"/>
    <col min="6146" max="6146" width="55.5" style="1570" customWidth="1"/>
    <col min="6147" max="6147" width="6.3984375" style="1570" customWidth="1"/>
    <col min="6148" max="6148" width="15" style="1570" customWidth="1"/>
    <col min="6149" max="6400" width="56.3984375" style="1570"/>
    <col min="6401" max="6401" width="4.09765625" style="1570" customWidth="1"/>
    <col min="6402" max="6402" width="55.5" style="1570" customWidth="1"/>
    <col min="6403" max="6403" width="6.3984375" style="1570" customWidth="1"/>
    <col min="6404" max="6404" width="15" style="1570" customWidth="1"/>
    <col min="6405" max="6656" width="56.3984375" style="1570"/>
    <col min="6657" max="6657" width="4.09765625" style="1570" customWidth="1"/>
    <col min="6658" max="6658" width="55.5" style="1570" customWidth="1"/>
    <col min="6659" max="6659" width="6.3984375" style="1570" customWidth="1"/>
    <col min="6660" max="6660" width="15" style="1570" customWidth="1"/>
    <col min="6661" max="6912" width="56.3984375" style="1570"/>
    <col min="6913" max="6913" width="4.09765625" style="1570" customWidth="1"/>
    <col min="6914" max="6914" width="55.5" style="1570" customWidth="1"/>
    <col min="6915" max="6915" width="6.3984375" style="1570" customWidth="1"/>
    <col min="6916" max="6916" width="15" style="1570" customWidth="1"/>
    <col min="6917" max="7168" width="56.3984375" style="1570"/>
    <col min="7169" max="7169" width="4.09765625" style="1570" customWidth="1"/>
    <col min="7170" max="7170" width="55.5" style="1570" customWidth="1"/>
    <col min="7171" max="7171" width="6.3984375" style="1570" customWidth="1"/>
    <col min="7172" max="7172" width="15" style="1570" customWidth="1"/>
    <col min="7173" max="7424" width="56.3984375" style="1570"/>
    <col min="7425" max="7425" width="4.09765625" style="1570" customWidth="1"/>
    <col min="7426" max="7426" width="55.5" style="1570" customWidth="1"/>
    <col min="7427" max="7427" width="6.3984375" style="1570" customWidth="1"/>
    <col min="7428" max="7428" width="15" style="1570" customWidth="1"/>
    <col min="7429" max="7680" width="56.3984375" style="1570"/>
    <col min="7681" max="7681" width="4.09765625" style="1570" customWidth="1"/>
    <col min="7682" max="7682" width="55.5" style="1570" customWidth="1"/>
    <col min="7683" max="7683" width="6.3984375" style="1570" customWidth="1"/>
    <col min="7684" max="7684" width="15" style="1570" customWidth="1"/>
    <col min="7685" max="7936" width="56.3984375" style="1570"/>
    <col min="7937" max="7937" width="4.09765625" style="1570" customWidth="1"/>
    <col min="7938" max="7938" width="55.5" style="1570" customWidth="1"/>
    <col min="7939" max="7939" width="6.3984375" style="1570" customWidth="1"/>
    <col min="7940" max="7940" width="15" style="1570" customWidth="1"/>
    <col min="7941" max="8192" width="56.3984375" style="1570"/>
    <col min="8193" max="8193" width="4.09765625" style="1570" customWidth="1"/>
    <col min="8194" max="8194" width="55.5" style="1570" customWidth="1"/>
    <col min="8195" max="8195" width="6.3984375" style="1570" customWidth="1"/>
    <col min="8196" max="8196" width="15" style="1570" customWidth="1"/>
    <col min="8197" max="8448" width="56.3984375" style="1570"/>
    <col min="8449" max="8449" width="4.09765625" style="1570" customWidth="1"/>
    <col min="8450" max="8450" width="55.5" style="1570" customWidth="1"/>
    <col min="8451" max="8451" width="6.3984375" style="1570" customWidth="1"/>
    <col min="8452" max="8452" width="15" style="1570" customWidth="1"/>
    <col min="8453" max="8704" width="56.3984375" style="1570"/>
    <col min="8705" max="8705" width="4.09765625" style="1570" customWidth="1"/>
    <col min="8706" max="8706" width="55.5" style="1570" customWidth="1"/>
    <col min="8707" max="8707" width="6.3984375" style="1570" customWidth="1"/>
    <col min="8708" max="8708" width="15" style="1570" customWidth="1"/>
    <col min="8709" max="8960" width="56.3984375" style="1570"/>
    <col min="8961" max="8961" width="4.09765625" style="1570" customWidth="1"/>
    <col min="8962" max="8962" width="55.5" style="1570" customWidth="1"/>
    <col min="8963" max="8963" width="6.3984375" style="1570" customWidth="1"/>
    <col min="8964" max="8964" width="15" style="1570" customWidth="1"/>
    <col min="8965" max="9216" width="56.3984375" style="1570"/>
    <col min="9217" max="9217" width="4.09765625" style="1570" customWidth="1"/>
    <col min="9218" max="9218" width="55.5" style="1570" customWidth="1"/>
    <col min="9219" max="9219" width="6.3984375" style="1570" customWidth="1"/>
    <col min="9220" max="9220" width="15" style="1570" customWidth="1"/>
    <col min="9221" max="9472" width="56.3984375" style="1570"/>
    <col min="9473" max="9473" width="4.09765625" style="1570" customWidth="1"/>
    <col min="9474" max="9474" width="55.5" style="1570" customWidth="1"/>
    <col min="9475" max="9475" width="6.3984375" style="1570" customWidth="1"/>
    <col min="9476" max="9476" width="15" style="1570" customWidth="1"/>
    <col min="9477" max="9728" width="56.3984375" style="1570"/>
    <col min="9729" max="9729" width="4.09765625" style="1570" customWidth="1"/>
    <col min="9730" max="9730" width="55.5" style="1570" customWidth="1"/>
    <col min="9731" max="9731" width="6.3984375" style="1570" customWidth="1"/>
    <col min="9732" max="9732" width="15" style="1570" customWidth="1"/>
    <col min="9733" max="9984" width="56.3984375" style="1570"/>
    <col min="9985" max="9985" width="4.09765625" style="1570" customWidth="1"/>
    <col min="9986" max="9986" width="55.5" style="1570" customWidth="1"/>
    <col min="9987" max="9987" width="6.3984375" style="1570" customWidth="1"/>
    <col min="9988" max="9988" width="15" style="1570" customWidth="1"/>
    <col min="9989" max="10240" width="56.3984375" style="1570"/>
    <col min="10241" max="10241" width="4.09765625" style="1570" customWidth="1"/>
    <col min="10242" max="10242" width="55.5" style="1570" customWidth="1"/>
    <col min="10243" max="10243" width="6.3984375" style="1570" customWidth="1"/>
    <col min="10244" max="10244" width="15" style="1570" customWidth="1"/>
    <col min="10245" max="10496" width="56.3984375" style="1570"/>
    <col min="10497" max="10497" width="4.09765625" style="1570" customWidth="1"/>
    <col min="10498" max="10498" width="55.5" style="1570" customWidth="1"/>
    <col min="10499" max="10499" width="6.3984375" style="1570" customWidth="1"/>
    <col min="10500" max="10500" width="15" style="1570" customWidth="1"/>
    <col min="10501" max="10752" width="56.3984375" style="1570"/>
    <col min="10753" max="10753" width="4.09765625" style="1570" customWidth="1"/>
    <col min="10754" max="10754" width="55.5" style="1570" customWidth="1"/>
    <col min="10755" max="10755" width="6.3984375" style="1570" customWidth="1"/>
    <col min="10756" max="10756" width="15" style="1570" customWidth="1"/>
    <col min="10757" max="11008" width="56.3984375" style="1570"/>
    <col min="11009" max="11009" width="4.09765625" style="1570" customWidth="1"/>
    <col min="11010" max="11010" width="55.5" style="1570" customWidth="1"/>
    <col min="11011" max="11011" width="6.3984375" style="1570" customWidth="1"/>
    <col min="11012" max="11012" width="15" style="1570" customWidth="1"/>
    <col min="11013" max="11264" width="56.3984375" style="1570"/>
    <col min="11265" max="11265" width="4.09765625" style="1570" customWidth="1"/>
    <col min="11266" max="11266" width="55.5" style="1570" customWidth="1"/>
    <col min="11267" max="11267" width="6.3984375" style="1570" customWidth="1"/>
    <col min="11268" max="11268" width="15" style="1570" customWidth="1"/>
    <col min="11269" max="11520" width="56.3984375" style="1570"/>
    <col min="11521" max="11521" width="4.09765625" style="1570" customWidth="1"/>
    <col min="11522" max="11522" width="55.5" style="1570" customWidth="1"/>
    <col min="11523" max="11523" width="6.3984375" style="1570" customWidth="1"/>
    <col min="11524" max="11524" width="15" style="1570" customWidth="1"/>
    <col min="11525" max="11776" width="56.3984375" style="1570"/>
    <col min="11777" max="11777" width="4.09765625" style="1570" customWidth="1"/>
    <col min="11778" max="11778" width="55.5" style="1570" customWidth="1"/>
    <col min="11779" max="11779" width="6.3984375" style="1570" customWidth="1"/>
    <col min="11780" max="11780" width="15" style="1570" customWidth="1"/>
    <col min="11781" max="12032" width="56.3984375" style="1570"/>
    <col min="12033" max="12033" width="4.09765625" style="1570" customWidth="1"/>
    <col min="12034" max="12034" width="55.5" style="1570" customWidth="1"/>
    <col min="12035" max="12035" width="6.3984375" style="1570" customWidth="1"/>
    <col min="12036" max="12036" width="15" style="1570" customWidth="1"/>
    <col min="12037" max="12288" width="56.3984375" style="1570"/>
    <col min="12289" max="12289" width="4.09765625" style="1570" customWidth="1"/>
    <col min="12290" max="12290" width="55.5" style="1570" customWidth="1"/>
    <col min="12291" max="12291" width="6.3984375" style="1570" customWidth="1"/>
    <col min="12292" max="12292" width="15" style="1570" customWidth="1"/>
    <col min="12293" max="12544" width="56.3984375" style="1570"/>
    <col min="12545" max="12545" width="4.09765625" style="1570" customWidth="1"/>
    <col min="12546" max="12546" width="55.5" style="1570" customWidth="1"/>
    <col min="12547" max="12547" width="6.3984375" style="1570" customWidth="1"/>
    <col min="12548" max="12548" width="15" style="1570" customWidth="1"/>
    <col min="12549" max="12800" width="56.3984375" style="1570"/>
    <col min="12801" max="12801" width="4.09765625" style="1570" customWidth="1"/>
    <col min="12802" max="12802" width="55.5" style="1570" customWidth="1"/>
    <col min="12803" max="12803" width="6.3984375" style="1570" customWidth="1"/>
    <col min="12804" max="12804" width="15" style="1570" customWidth="1"/>
    <col min="12805" max="13056" width="56.3984375" style="1570"/>
    <col min="13057" max="13057" width="4.09765625" style="1570" customWidth="1"/>
    <col min="13058" max="13058" width="55.5" style="1570" customWidth="1"/>
    <col min="13059" max="13059" width="6.3984375" style="1570" customWidth="1"/>
    <col min="13060" max="13060" width="15" style="1570" customWidth="1"/>
    <col min="13061" max="13312" width="56.3984375" style="1570"/>
    <col min="13313" max="13313" width="4.09765625" style="1570" customWidth="1"/>
    <col min="13314" max="13314" width="55.5" style="1570" customWidth="1"/>
    <col min="13315" max="13315" width="6.3984375" style="1570" customWidth="1"/>
    <col min="13316" max="13316" width="15" style="1570" customWidth="1"/>
    <col min="13317" max="13568" width="56.3984375" style="1570"/>
    <col min="13569" max="13569" width="4.09765625" style="1570" customWidth="1"/>
    <col min="13570" max="13570" width="55.5" style="1570" customWidth="1"/>
    <col min="13571" max="13571" width="6.3984375" style="1570" customWidth="1"/>
    <col min="13572" max="13572" width="15" style="1570" customWidth="1"/>
    <col min="13573" max="13824" width="56.3984375" style="1570"/>
    <col min="13825" max="13825" width="4.09765625" style="1570" customWidth="1"/>
    <col min="13826" max="13826" width="55.5" style="1570" customWidth="1"/>
    <col min="13827" max="13827" width="6.3984375" style="1570" customWidth="1"/>
    <col min="13828" max="13828" width="15" style="1570" customWidth="1"/>
    <col min="13829" max="14080" width="56.3984375" style="1570"/>
    <col min="14081" max="14081" width="4.09765625" style="1570" customWidth="1"/>
    <col min="14082" max="14082" width="55.5" style="1570" customWidth="1"/>
    <col min="14083" max="14083" width="6.3984375" style="1570" customWidth="1"/>
    <col min="14084" max="14084" width="15" style="1570" customWidth="1"/>
    <col min="14085" max="14336" width="56.3984375" style="1570"/>
    <col min="14337" max="14337" width="4.09765625" style="1570" customWidth="1"/>
    <col min="14338" max="14338" width="55.5" style="1570" customWidth="1"/>
    <col min="14339" max="14339" width="6.3984375" style="1570" customWidth="1"/>
    <col min="14340" max="14340" width="15" style="1570" customWidth="1"/>
    <col min="14341" max="14592" width="56.3984375" style="1570"/>
    <col min="14593" max="14593" width="4.09765625" style="1570" customWidth="1"/>
    <col min="14594" max="14594" width="55.5" style="1570" customWidth="1"/>
    <col min="14595" max="14595" width="6.3984375" style="1570" customWidth="1"/>
    <col min="14596" max="14596" width="15" style="1570" customWidth="1"/>
    <col min="14597" max="14848" width="56.3984375" style="1570"/>
    <col min="14849" max="14849" width="4.09765625" style="1570" customWidth="1"/>
    <col min="14850" max="14850" width="55.5" style="1570" customWidth="1"/>
    <col min="14851" max="14851" width="6.3984375" style="1570" customWidth="1"/>
    <col min="14852" max="14852" width="15" style="1570" customWidth="1"/>
    <col min="14853" max="15104" width="56.3984375" style="1570"/>
    <col min="15105" max="15105" width="4.09765625" style="1570" customWidth="1"/>
    <col min="15106" max="15106" width="55.5" style="1570" customWidth="1"/>
    <col min="15107" max="15107" width="6.3984375" style="1570" customWidth="1"/>
    <col min="15108" max="15108" width="15" style="1570" customWidth="1"/>
    <col min="15109" max="15360" width="56.3984375" style="1570"/>
    <col min="15361" max="15361" width="4.09765625" style="1570" customWidth="1"/>
    <col min="15362" max="15362" width="55.5" style="1570" customWidth="1"/>
    <col min="15363" max="15363" width="6.3984375" style="1570" customWidth="1"/>
    <col min="15364" max="15364" width="15" style="1570" customWidth="1"/>
    <col min="15365" max="15616" width="56.3984375" style="1570"/>
    <col min="15617" max="15617" width="4.09765625" style="1570" customWidth="1"/>
    <col min="15618" max="15618" width="55.5" style="1570" customWidth="1"/>
    <col min="15619" max="15619" width="6.3984375" style="1570" customWidth="1"/>
    <col min="15620" max="15620" width="15" style="1570" customWidth="1"/>
    <col min="15621" max="15872" width="56.3984375" style="1570"/>
    <col min="15873" max="15873" width="4.09765625" style="1570" customWidth="1"/>
    <col min="15874" max="15874" width="55.5" style="1570" customWidth="1"/>
    <col min="15875" max="15875" width="6.3984375" style="1570" customWidth="1"/>
    <col min="15876" max="15876" width="15" style="1570" customWidth="1"/>
    <col min="15877" max="16128" width="56.3984375" style="1570"/>
    <col min="16129" max="16129" width="4.09765625" style="1570" customWidth="1"/>
    <col min="16130" max="16130" width="55.5" style="1570" customWidth="1"/>
    <col min="16131" max="16131" width="6.3984375" style="1570" customWidth="1"/>
    <col min="16132" max="16132" width="15" style="1570" customWidth="1"/>
    <col min="16133" max="16384" width="56.3984375" style="1570"/>
  </cols>
  <sheetData>
    <row r="1" spans="1:5" ht="20.100000000000001" customHeight="1">
      <c r="A1" s="3400" t="s">
        <v>5486</v>
      </c>
      <c r="B1" s="3400"/>
      <c r="C1" s="3400"/>
      <c r="D1" s="2015"/>
    </row>
    <row r="2" spans="1:5" ht="25.5" customHeight="1">
      <c r="A2" s="3401" t="s">
        <v>5487</v>
      </c>
      <c r="B2" s="3401"/>
      <c r="C2" s="3401"/>
      <c r="D2" s="1834"/>
    </row>
    <row r="3" spans="1:5">
      <c r="A3" s="1835" t="s">
        <v>1853</v>
      </c>
      <c r="B3" s="1835" t="s">
        <v>1627</v>
      </c>
      <c r="C3" s="1835" t="s">
        <v>5014</v>
      </c>
      <c r="D3" s="1835" t="s">
        <v>5488</v>
      </c>
    </row>
    <row r="4" spans="1:5">
      <c r="A4" s="1835">
        <v>1</v>
      </c>
      <c r="B4" s="1836" t="s">
        <v>5489</v>
      </c>
      <c r="C4" s="2072">
        <f>免税、减计收入及加计扣除优惠审核表!C4</f>
        <v>0</v>
      </c>
      <c r="D4" s="1974"/>
      <c r="E4" s="1575"/>
    </row>
    <row r="5" spans="1:5">
      <c r="A5" s="1835">
        <v>2</v>
      </c>
      <c r="B5" s="1836" t="s">
        <v>5490</v>
      </c>
      <c r="C5" s="2072">
        <f>免税、减计收入及加计扣除优惠审核表!C5</f>
        <v>0</v>
      </c>
      <c r="D5" s="1974"/>
      <c r="E5" s="1575"/>
    </row>
    <row r="6" spans="1:5" ht="32.25" customHeight="1">
      <c r="A6" s="1837">
        <v>3</v>
      </c>
      <c r="B6" s="1838" t="s">
        <v>5491</v>
      </c>
      <c r="C6" s="2072">
        <f>免税、减计收入及加计扣除优惠审核表!C6</f>
        <v>0</v>
      </c>
      <c r="D6" s="1976" t="s">
        <v>5492</v>
      </c>
    </row>
    <row r="7" spans="1:5">
      <c r="A7" s="1835">
        <v>4</v>
      </c>
      <c r="B7" s="1836" t="s">
        <v>5493</v>
      </c>
      <c r="C7" s="2072">
        <f>免税、减计收入及加计扣除优惠审核表!C7</f>
        <v>0</v>
      </c>
      <c r="D7" s="1977"/>
    </row>
    <row r="8" spans="1:5">
      <c r="A8" s="1835">
        <v>5</v>
      </c>
      <c r="B8" s="1836" t="s">
        <v>5494</v>
      </c>
      <c r="C8" s="2072">
        <f>免税、减计收入及加计扣除优惠审核表!C8</f>
        <v>0</v>
      </c>
      <c r="D8" s="1977"/>
    </row>
    <row r="9" spans="1:5">
      <c r="A9" s="1835">
        <v>6</v>
      </c>
      <c r="B9" s="1836" t="s">
        <v>5495</v>
      </c>
      <c r="C9" s="2072">
        <f>免税、减计收入及加计扣除优惠审核表!C9</f>
        <v>0</v>
      </c>
      <c r="D9" s="1977"/>
    </row>
    <row r="10" spans="1:5">
      <c r="A10" s="1835">
        <v>7</v>
      </c>
      <c r="B10" s="1836" t="s">
        <v>5496</v>
      </c>
      <c r="C10" s="2072">
        <f>免税、减计收入及加计扣除优惠审核表!C10</f>
        <v>0</v>
      </c>
      <c r="D10" s="1977"/>
    </row>
    <row r="11" spans="1:5">
      <c r="A11" s="1835">
        <v>8</v>
      </c>
      <c r="B11" s="1836" t="s">
        <v>5497</v>
      </c>
      <c r="C11" s="2072">
        <f>免税、减计收入及加计扣除优惠审核表!C11</f>
        <v>0</v>
      </c>
      <c r="D11" s="1977"/>
    </row>
    <row r="12" spans="1:5">
      <c r="A12" s="1835">
        <v>9</v>
      </c>
      <c r="B12" s="1836" t="s">
        <v>5498</v>
      </c>
      <c r="C12" s="2072">
        <f>免税、减计收入及加计扣除优惠审核表!C12</f>
        <v>0</v>
      </c>
      <c r="D12" s="1977"/>
      <c r="E12" s="1675" t="s">
        <v>6455</v>
      </c>
    </row>
    <row r="13" spans="1:5">
      <c r="A13" s="1835">
        <v>10</v>
      </c>
      <c r="B13" s="1836" t="s">
        <v>5499</v>
      </c>
      <c r="C13" s="2072">
        <f>免税、减计收入及加计扣除优惠审核表!C13</f>
        <v>0</v>
      </c>
      <c r="D13" s="1977"/>
    </row>
    <row r="14" spans="1:5">
      <c r="A14" s="1835">
        <v>11</v>
      </c>
      <c r="B14" s="1836" t="s">
        <v>5500</v>
      </c>
      <c r="C14" s="2072">
        <f>免税、减计收入及加计扣除优惠审核表!C14</f>
        <v>0</v>
      </c>
      <c r="D14" s="1977"/>
    </row>
    <row r="15" spans="1:5">
      <c r="A15" s="1835">
        <v>12</v>
      </c>
      <c r="B15" s="1836" t="s">
        <v>5501</v>
      </c>
      <c r="C15" s="2072">
        <f>免税、减计收入及加计扣除优惠审核表!C15</f>
        <v>0</v>
      </c>
      <c r="D15" s="1977"/>
    </row>
    <row r="16" spans="1:5">
      <c r="A16" s="1835">
        <v>13</v>
      </c>
      <c r="B16" s="1836" t="s">
        <v>5502</v>
      </c>
      <c r="C16" s="2072">
        <f>免税、减计收入及加计扣除优惠审核表!C16</f>
        <v>0</v>
      </c>
      <c r="D16" s="1977"/>
    </row>
    <row r="17" spans="1:4">
      <c r="A17" s="1835">
        <v>14</v>
      </c>
      <c r="B17" s="1836" t="s">
        <v>5503</v>
      </c>
      <c r="C17" s="2072">
        <f>免税、减计收入及加计扣除优惠审核表!C17</f>
        <v>0</v>
      </c>
      <c r="D17" s="1977"/>
    </row>
    <row r="18" spans="1:4">
      <c r="A18" s="1835">
        <v>15</v>
      </c>
      <c r="B18" s="1836" t="s">
        <v>5504</v>
      </c>
      <c r="C18" s="2072">
        <f>免税、减计收入及加计扣除优惠审核表!C18</f>
        <v>0</v>
      </c>
      <c r="D18" s="1977"/>
    </row>
    <row r="19" spans="1:4" ht="27.75" customHeight="1">
      <c r="A19" s="1835">
        <v>16</v>
      </c>
      <c r="B19" s="1836" t="s">
        <v>5505</v>
      </c>
      <c r="C19" s="2072">
        <f>免税、减计收入及加计扣除优惠审核表!C19</f>
        <v>0</v>
      </c>
      <c r="D19" s="1976" t="s">
        <v>5506</v>
      </c>
    </row>
    <row r="20" spans="1:4">
      <c r="A20" s="1835">
        <v>17</v>
      </c>
      <c r="B20" s="1836" t="s">
        <v>5507</v>
      </c>
      <c r="C20" s="2072">
        <f>免税、减计收入及加计扣除优惠审核表!C20</f>
        <v>0</v>
      </c>
      <c r="D20" s="1978"/>
    </row>
    <row r="21" spans="1:4" ht="24">
      <c r="A21" s="1835">
        <v>18</v>
      </c>
      <c r="B21" s="1836" t="s">
        <v>5508</v>
      </c>
      <c r="C21" s="2072">
        <f>免税、减计收入及加计扣除优惠审核表!C21</f>
        <v>0</v>
      </c>
      <c r="D21" s="1976" t="s">
        <v>5509</v>
      </c>
    </row>
    <row r="22" spans="1:4">
      <c r="A22" s="1835">
        <v>19</v>
      </c>
      <c r="B22" s="1836" t="s">
        <v>5510</v>
      </c>
      <c r="C22" s="2072">
        <f>免税、减计收入及加计扣除优惠审核表!C22</f>
        <v>0</v>
      </c>
      <c r="D22" s="1977"/>
    </row>
    <row r="23" spans="1:4">
      <c r="A23" s="1835">
        <v>20</v>
      </c>
      <c r="B23" s="1836" t="s">
        <v>5511</v>
      </c>
      <c r="C23" s="2072">
        <f>免税、减计收入及加计扣除优惠审核表!C23</f>
        <v>0</v>
      </c>
      <c r="D23" s="1977"/>
    </row>
    <row r="24" spans="1:4">
      <c r="A24" s="1835">
        <v>21</v>
      </c>
      <c r="B24" s="1836" t="s">
        <v>5512</v>
      </c>
      <c r="C24" s="2072">
        <f>免税、减计收入及加计扣除优惠审核表!C24</f>
        <v>0</v>
      </c>
      <c r="D24" s="1977"/>
    </row>
    <row r="25" spans="1:4" ht="36">
      <c r="A25" s="1837">
        <v>22</v>
      </c>
      <c r="B25" s="1838" t="s">
        <v>5513</v>
      </c>
      <c r="C25" s="2072">
        <f>免税、减计收入及加计扣除优惠审核表!C25</f>
        <v>0</v>
      </c>
      <c r="D25" s="1976" t="s">
        <v>5514</v>
      </c>
    </row>
    <row r="26" spans="1:4" ht="24">
      <c r="A26" s="1835">
        <v>23</v>
      </c>
      <c r="B26" s="1839" t="s">
        <v>5515</v>
      </c>
      <c r="C26" s="2072">
        <f>免税、减计收入及加计扣除优惠审核表!C26</f>
        <v>0</v>
      </c>
      <c r="D26" s="1977"/>
    </row>
    <row r="27" spans="1:4">
      <c r="A27" s="1835">
        <v>24</v>
      </c>
      <c r="B27" s="1836" t="s">
        <v>5516</v>
      </c>
      <c r="C27" s="2072">
        <f>免税、减计收入及加计扣除优惠审核表!C27</f>
        <v>0</v>
      </c>
      <c r="D27" s="1977"/>
    </row>
    <row r="28" spans="1:4">
      <c r="A28" s="1835">
        <v>25</v>
      </c>
      <c r="B28" s="1836" t="s">
        <v>5517</v>
      </c>
      <c r="C28" s="2072">
        <f>免税、减计收入及加计扣除优惠审核表!C28</f>
        <v>0</v>
      </c>
      <c r="D28" s="1977"/>
    </row>
    <row r="29" spans="1:4">
      <c r="A29" s="1835">
        <v>26</v>
      </c>
      <c r="B29" s="1836" t="s">
        <v>5518</v>
      </c>
      <c r="C29" s="2072">
        <f>免税、减计收入及加计扣除优惠审核表!C29</f>
        <v>0</v>
      </c>
      <c r="D29" s="1977"/>
    </row>
    <row r="30" spans="1:4" ht="24">
      <c r="A30" s="1835">
        <v>27</v>
      </c>
      <c r="B30" s="1836" t="s">
        <v>5519</v>
      </c>
      <c r="C30" s="2072">
        <f>免税、减计收入及加计扣除优惠审核表!C30</f>
        <v>0</v>
      </c>
      <c r="D30" s="1978" t="s">
        <v>5520</v>
      </c>
    </row>
  </sheetData>
  <mergeCells count="2">
    <mergeCell ref="A1:C1"/>
    <mergeCell ref="A2:C2"/>
  </mergeCells>
  <phoneticPr fontId="51" type="noConversion"/>
  <hyperlinks>
    <hyperlink ref="E12" location="免税、减计收入及加计扣除优惠审核表!A1" display="免税、减计收入及加计扣除优惠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rgb="FFFFFF00"/>
  </sheetPr>
  <dimension ref="A1:S15"/>
  <sheetViews>
    <sheetView topLeftCell="B1" workbookViewId="0">
      <selection activeCell="F11" sqref="F11"/>
    </sheetView>
  </sheetViews>
  <sheetFormatPr defaultRowHeight="15.6"/>
  <cols>
    <col min="1" max="1" width="4.19921875" style="1584" hidden="1" customWidth="1"/>
    <col min="2" max="2" width="18.3984375" style="1584" customWidth="1"/>
    <col min="3" max="3" width="6.5" style="1584" customWidth="1"/>
    <col min="4" max="4" width="10.19921875" style="1584" customWidth="1"/>
    <col min="5" max="5" width="5.3984375" style="1584" customWidth="1"/>
    <col min="6" max="6" width="9.5" style="1584" customWidth="1"/>
    <col min="7" max="11" width="10.19921875" style="1584" customWidth="1"/>
    <col min="12" max="12" width="6.3984375" style="1584" customWidth="1"/>
    <col min="13" max="17" width="10.19921875" style="1584" customWidth="1"/>
    <col min="18" max="18" width="8.3984375" style="1584" customWidth="1"/>
    <col min="19" max="256" width="9" style="1584"/>
    <col min="257" max="257" width="0" style="1584" hidden="1" customWidth="1"/>
    <col min="258" max="258" width="6.09765625" style="1584" customWidth="1"/>
    <col min="259" max="260" width="5.09765625" style="1584" customWidth="1"/>
    <col min="261" max="261" width="5.3984375" style="1584" customWidth="1"/>
    <col min="262" max="263" width="9.5" style="1584" customWidth="1"/>
    <col min="264" max="264" width="6.3984375" style="1584" customWidth="1"/>
    <col min="265" max="265" width="8.59765625" style="1584" customWidth="1"/>
    <col min="266" max="266" width="7.5" style="1584" customWidth="1"/>
    <col min="267" max="267" width="8.3984375" style="1584" customWidth="1"/>
    <col min="268" max="268" width="6.3984375" style="1584" customWidth="1"/>
    <col min="269" max="269" width="6.09765625" style="1584" customWidth="1"/>
    <col min="270" max="270" width="7.19921875" style="1584" customWidth="1"/>
    <col min="271" max="271" width="9" style="1584"/>
    <col min="272" max="272" width="6.5" style="1584" customWidth="1"/>
    <col min="273" max="273" width="9.3984375" style="1584" customWidth="1"/>
    <col min="274" max="274" width="8.3984375" style="1584" customWidth="1"/>
    <col min="275" max="512" width="9" style="1584"/>
    <col min="513" max="513" width="0" style="1584" hidden="1" customWidth="1"/>
    <col min="514" max="514" width="6.09765625" style="1584" customWidth="1"/>
    <col min="515" max="516" width="5.09765625" style="1584" customWidth="1"/>
    <col min="517" max="517" width="5.3984375" style="1584" customWidth="1"/>
    <col min="518" max="519" width="9.5" style="1584" customWidth="1"/>
    <col min="520" max="520" width="6.3984375" style="1584" customWidth="1"/>
    <col min="521" max="521" width="8.59765625" style="1584" customWidth="1"/>
    <col min="522" max="522" width="7.5" style="1584" customWidth="1"/>
    <col min="523" max="523" width="8.3984375" style="1584" customWidth="1"/>
    <col min="524" max="524" width="6.3984375" style="1584" customWidth="1"/>
    <col min="525" max="525" width="6.09765625" style="1584" customWidth="1"/>
    <col min="526" max="526" width="7.19921875" style="1584" customWidth="1"/>
    <col min="527" max="527" width="9" style="1584"/>
    <col min="528" max="528" width="6.5" style="1584" customWidth="1"/>
    <col min="529" max="529" width="9.3984375" style="1584" customWidth="1"/>
    <col min="530" max="530" width="8.3984375" style="1584" customWidth="1"/>
    <col min="531" max="768" width="9" style="1584"/>
    <col min="769" max="769" width="0" style="1584" hidden="1" customWidth="1"/>
    <col min="770" max="770" width="6.09765625" style="1584" customWidth="1"/>
    <col min="771" max="772" width="5.09765625" style="1584" customWidth="1"/>
    <col min="773" max="773" width="5.3984375" style="1584" customWidth="1"/>
    <col min="774" max="775" width="9.5" style="1584" customWidth="1"/>
    <col min="776" max="776" width="6.3984375" style="1584" customWidth="1"/>
    <col min="777" max="777" width="8.59765625" style="1584" customWidth="1"/>
    <col min="778" max="778" width="7.5" style="1584" customWidth="1"/>
    <col min="779" max="779" width="8.3984375" style="1584" customWidth="1"/>
    <col min="780" max="780" width="6.3984375" style="1584" customWidth="1"/>
    <col min="781" max="781" width="6.09765625" style="1584" customWidth="1"/>
    <col min="782" max="782" width="7.19921875" style="1584" customWidth="1"/>
    <col min="783" max="783" width="9" style="1584"/>
    <col min="784" max="784" width="6.5" style="1584" customWidth="1"/>
    <col min="785" max="785" width="9.3984375" style="1584" customWidth="1"/>
    <col min="786" max="786" width="8.3984375" style="1584" customWidth="1"/>
    <col min="787" max="1024" width="9" style="1584"/>
    <col min="1025" max="1025" width="0" style="1584" hidden="1" customWidth="1"/>
    <col min="1026" max="1026" width="6.09765625" style="1584" customWidth="1"/>
    <col min="1027" max="1028" width="5.09765625" style="1584" customWidth="1"/>
    <col min="1029" max="1029" width="5.3984375" style="1584" customWidth="1"/>
    <col min="1030" max="1031" width="9.5" style="1584" customWidth="1"/>
    <col min="1032" max="1032" width="6.3984375" style="1584" customWidth="1"/>
    <col min="1033" max="1033" width="8.59765625" style="1584" customWidth="1"/>
    <col min="1034" max="1034" width="7.5" style="1584" customWidth="1"/>
    <col min="1035" max="1035" width="8.3984375" style="1584" customWidth="1"/>
    <col min="1036" max="1036" width="6.3984375" style="1584" customWidth="1"/>
    <col min="1037" max="1037" width="6.09765625" style="1584" customWidth="1"/>
    <col min="1038" max="1038" width="7.19921875" style="1584" customWidth="1"/>
    <col min="1039" max="1039" width="9" style="1584"/>
    <col min="1040" max="1040" width="6.5" style="1584" customWidth="1"/>
    <col min="1041" max="1041" width="9.3984375" style="1584" customWidth="1"/>
    <col min="1042" max="1042" width="8.3984375" style="1584" customWidth="1"/>
    <col min="1043" max="1280" width="9" style="1584"/>
    <col min="1281" max="1281" width="0" style="1584" hidden="1" customWidth="1"/>
    <col min="1282" max="1282" width="6.09765625" style="1584" customWidth="1"/>
    <col min="1283" max="1284" width="5.09765625" style="1584" customWidth="1"/>
    <col min="1285" max="1285" width="5.3984375" style="1584" customWidth="1"/>
    <col min="1286" max="1287" width="9.5" style="1584" customWidth="1"/>
    <col min="1288" max="1288" width="6.3984375" style="1584" customWidth="1"/>
    <col min="1289" max="1289" width="8.59765625" style="1584" customWidth="1"/>
    <col min="1290" max="1290" width="7.5" style="1584" customWidth="1"/>
    <col min="1291" max="1291" width="8.3984375" style="1584" customWidth="1"/>
    <col min="1292" max="1292" width="6.3984375" style="1584" customWidth="1"/>
    <col min="1293" max="1293" width="6.09765625" style="1584" customWidth="1"/>
    <col min="1294" max="1294" width="7.19921875" style="1584" customWidth="1"/>
    <col min="1295" max="1295" width="9" style="1584"/>
    <col min="1296" max="1296" width="6.5" style="1584" customWidth="1"/>
    <col min="1297" max="1297" width="9.3984375" style="1584" customWidth="1"/>
    <col min="1298" max="1298" width="8.3984375" style="1584" customWidth="1"/>
    <col min="1299" max="1536" width="9" style="1584"/>
    <col min="1537" max="1537" width="0" style="1584" hidden="1" customWidth="1"/>
    <col min="1538" max="1538" width="6.09765625" style="1584" customWidth="1"/>
    <col min="1539" max="1540" width="5.09765625" style="1584" customWidth="1"/>
    <col min="1541" max="1541" width="5.3984375" style="1584" customWidth="1"/>
    <col min="1542" max="1543" width="9.5" style="1584" customWidth="1"/>
    <col min="1544" max="1544" width="6.3984375" style="1584" customWidth="1"/>
    <col min="1545" max="1545" width="8.59765625" style="1584" customWidth="1"/>
    <col min="1546" max="1546" width="7.5" style="1584" customWidth="1"/>
    <col min="1547" max="1547" width="8.3984375" style="1584" customWidth="1"/>
    <col min="1548" max="1548" width="6.3984375" style="1584" customWidth="1"/>
    <col min="1549" max="1549" width="6.09765625" style="1584" customWidth="1"/>
    <col min="1550" max="1550" width="7.19921875" style="1584" customWidth="1"/>
    <col min="1551" max="1551" width="9" style="1584"/>
    <col min="1552" max="1552" width="6.5" style="1584" customWidth="1"/>
    <col min="1553" max="1553" width="9.3984375" style="1584" customWidth="1"/>
    <col min="1554" max="1554" width="8.3984375" style="1584" customWidth="1"/>
    <col min="1555" max="1792" width="9" style="1584"/>
    <col min="1793" max="1793" width="0" style="1584" hidden="1" customWidth="1"/>
    <col min="1794" max="1794" width="6.09765625" style="1584" customWidth="1"/>
    <col min="1795" max="1796" width="5.09765625" style="1584" customWidth="1"/>
    <col min="1797" max="1797" width="5.3984375" style="1584" customWidth="1"/>
    <col min="1798" max="1799" width="9.5" style="1584" customWidth="1"/>
    <col min="1800" max="1800" width="6.3984375" style="1584" customWidth="1"/>
    <col min="1801" max="1801" width="8.59765625" style="1584" customWidth="1"/>
    <col min="1802" max="1802" width="7.5" style="1584" customWidth="1"/>
    <col min="1803" max="1803" width="8.3984375" style="1584" customWidth="1"/>
    <col min="1804" max="1804" width="6.3984375" style="1584" customWidth="1"/>
    <col min="1805" max="1805" width="6.09765625" style="1584" customWidth="1"/>
    <col min="1806" max="1806" width="7.19921875" style="1584" customWidth="1"/>
    <col min="1807" max="1807" width="9" style="1584"/>
    <col min="1808" max="1808" width="6.5" style="1584" customWidth="1"/>
    <col min="1809" max="1809" width="9.3984375" style="1584" customWidth="1"/>
    <col min="1810" max="1810" width="8.3984375" style="1584" customWidth="1"/>
    <col min="1811" max="2048" width="9" style="1584"/>
    <col min="2049" max="2049" width="0" style="1584" hidden="1" customWidth="1"/>
    <col min="2050" max="2050" width="6.09765625" style="1584" customWidth="1"/>
    <col min="2051" max="2052" width="5.09765625" style="1584" customWidth="1"/>
    <col min="2053" max="2053" width="5.3984375" style="1584" customWidth="1"/>
    <col min="2054" max="2055" width="9.5" style="1584" customWidth="1"/>
    <col min="2056" max="2056" width="6.3984375" style="1584" customWidth="1"/>
    <col min="2057" max="2057" width="8.59765625" style="1584" customWidth="1"/>
    <col min="2058" max="2058" width="7.5" style="1584" customWidth="1"/>
    <col min="2059" max="2059" width="8.3984375" style="1584" customWidth="1"/>
    <col min="2060" max="2060" width="6.3984375" style="1584" customWidth="1"/>
    <col min="2061" max="2061" width="6.09765625" style="1584" customWidth="1"/>
    <col min="2062" max="2062" width="7.19921875" style="1584" customWidth="1"/>
    <col min="2063" max="2063" width="9" style="1584"/>
    <col min="2064" max="2064" width="6.5" style="1584" customWidth="1"/>
    <col min="2065" max="2065" width="9.3984375" style="1584" customWidth="1"/>
    <col min="2066" max="2066" width="8.3984375" style="1584" customWidth="1"/>
    <col min="2067" max="2304" width="9" style="1584"/>
    <col min="2305" max="2305" width="0" style="1584" hidden="1" customWidth="1"/>
    <col min="2306" max="2306" width="6.09765625" style="1584" customWidth="1"/>
    <col min="2307" max="2308" width="5.09765625" style="1584" customWidth="1"/>
    <col min="2309" max="2309" width="5.3984375" style="1584" customWidth="1"/>
    <col min="2310" max="2311" width="9.5" style="1584" customWidth="1"/>
    <col min="2312" max="2312" width="6.3984375" style="1584" customWidth="1"/>
    <col min="2313" max="2313" width="8.59765625" style="1584" customWidth="1"/>
    <col min="2314" max="2314" width="7.5" style="1584" customWidth="1"/>
    <col min="2315" max="2315" width="8.3984375" style="1584" customWidth="1"/>
    <col min="2316" max="2316" width="6.3984375" style="1584" customWidth="1"/>
    <col min="2317" max="2317" width="6.09765625" style="1584" customWidth="1"/>
    <col min="2318" max="2318" width="7.19921875" style="1584" customWidth="1"/>
    <col min="2319" max="2319" width="9" style="1584"/>
    <col min="2320" max="2320" width="6.5" style="1584" customWidth="1"/>
    <col min="2321" max="2321" width="9.3984375" style="1584" customWidth="1"/>
    <col min="2322" max="2322" width="8.3984375" style="1584" customWidth="1"/>
    <col min="2323" max="2560" width="9" style="1584"/>
    <col min="2561" max="2561" width="0" style="1584" hidden="1" customWidth="1"/>
    <col min="2562" max="2562" width="6.09765625" style="1584" customWidth="1"/>
    <col min="2563" max="2564" width="5.09765625" style="1584" customWidth="1"/>
    <col min="2565" max="2565" width="5.3984375" style="1584" customWidth="1"/>
    <col min="2566" max="2567" width="9.5" style="1584" customWidth="1"/>
    <col min="2568" max="2568" width="6.3984375" style="1584" customWidth="1"/>
    <col min="2569" max="2569" width="8.59765625" style="1584" customWidth="1"/>
    <col min="2570" max="2570" width="7.5" style="1584" customWidth="1"/>
    <col min="2571" max="2571" width="8.3984375" style="1584" customWidth="1"/>
    <col min="2572" max="2572" width="6.3984375" style="1584" customWidth="1"/>
    <col min="2573" max="2573" width="6.09765625" style="1584" customWidth="1"/>
    <col min="2574" max="2574" width="7.19921875" style="1584" customWidth="1"/>
    <col min="2575" max="2575" width="9" style="1584"/>
    <col min="2576" max="2576" width="6.5" style="1584" customWidth="1"/>
    <col min="2577" max="2577" width="9.3984375" style="1584" customWidth="1"/>
    <col min="2578" max="2578" width="8.3984375" style="1584" customWidth="1"/>
    <col min="2579" max="2816" width="9" style="1584"/>
    <col min="2817" max="2817" width="0" style="1584" hidden="1" customWidth="1"/>
    <col min="2818" max="2818" width="6.09765625" style="1584" customWidth="1"/>
    <col min="2819" max="2820" width="5.09765625" style="1584" customWidth="1"/>
    <col min="2821" max="2821" width="5.3984375" style="1584" customWidth="1"/>
    <col min="2822" max="2823" width="9.5" style="1584" customWidth="1"/>
    <col min="2824" max="2824" width="6.3984375" style="1584" customWidth="1"/>
    <col min="2825" max="2825" width="8.59765625" style="1584" customWidth="1"/>
    <col min="2826" max="2826" width="7.5" style="1584" customWidth="1"/>
    <col min="2827" max="2827" width="8.3984375" style="1584" customWidth="1"/>
    <col min="2828" max="2828" width="6.3984375" style="1584" customWidth="1"/>
    <col min="2829" max="2829" width="6.09765625" style="1584" customWidth="1"/>
    <col min="2830" max="2830" width="7.19921875" style="1584" customWidth="1"/>
    <col min="2831" max="2831" width="9" style="1584"/>
    <col min="2832" max="2832" width="6.5" style="1584" customWidth="1"/>
    <col min="2833" max="2833" width="9.3984375" style="1584" customWidth="1"/>
    <col min="2834" max="2834" width="8.3984375" style="1584" customWidth="1"/>
    <col min="2835" max="3072" width="9" style="1584"/>
    <col min="3073" max="3073" width="0" style="1584" hidden="1" customWidth="1"/>
    <col min="3074" max="3074" width="6.09765625" style="1584" customWidth="1"/>
    <col min="3075" max="3076" width="5.09765625" style="1584" customWidth="1"/>
    <col min="3077" max="3077" width="5.3984375" style="1584" customWidth="1"/>
    <col min="3078" max="3079" width="9.5" style="1584" customWidth="1"/>
    <col min="3080" max="3080" width="6.3984375" style="1584" customWidth="1"/>
    <col min="3081" max="3081" width="8.59765625" style="1584" customWidth="1"/>
    <col min="3082" max="3082" width="7.5" style="1584" customWidth="1"/>
    <col min="3083" max="3083" width="8.3984375" style="1584" customWidth="1"/>
    <col min="3084" max="3084" width="6.3984375" style="1584" customWidth="1"/>
    <col min="3085" max="3085" width="6.09765625" style="1584" customWidth="1"/>
    <col min="3086" max="3086" width="7.19921875" style="1584" customWidth="1"/>
    <col min="3087" max="3087" width="9" style="1584"/>
    <col min="3088" max="3088" width="6.5" style="1584" customWidth="1"/>
    <col min="3089" max="3089" width="9.3984375" style="1584" customWidth="1"/>
    <col min="3090" max="3090" width="8.3984375" style="1584" customWidth="1"/>
    <col min="3091" max="3328" width="9" style="1584"/>
    <col min="3329" max="3329" width="0" style="1584" hidden="1" customWidth="1"/>
    <col min="3330" max="3330" width="6.09765625" style="1584" customWidth="1"/>
    <col min="3331" max="3332" width="5.09765625" style="1584" customWidth="1"/>
    <col min="3333" max="3333" width="5.3984375" style="1584" customWidth="1"/>
    <col min="3334" max="3335" width="9.5" style="1584" customWidth="1"/>
    <col min="3336" max="3336" width="6.3984375" style="1584" customWidth="1"/>
    <col min="3337" max="3337" width="8.59765625" style="1584" customWidth="1"/>
    <col min="3338" max="3338" width="7.5" style="1584" customWidth="1"/>
    <col min="3339" max="3339" width="8.3984375" style="1584" customWidth="1"/>
    <col min="3340" max="3340" width="6.3984375" style="1584" customWidth="1"/>
    <col min="3341" max="3341" width="6.09765625" style="1584" customWidth="1"/>
    <col min="3342" max="3342" width="7.19921875" style="1584" customWidth="1"/>
    <col min="3343" max="3343" width="9" style="1584"/>
    <col min="3344" max="3344" width="6.5" style="1584" customWidth="1"/>
    <col min="3345" max="3345" width="9.3984375" style="1584" customWidth="1"/>
    <col min="3346" max="3346" width="8.3984375" style="1584" customWidth="1"/>
    <col min="3347" max="3584" width="9" style="1584"/>
    <col min="3585" max="3585" width="0" style="1584" hidden="1" customWidth="1"/>
    <col min="3586" max="3586" width="6.09765625" style="1584" customWidth="1"/>
    <col min="3587" max="3588" width="5.09765625" style="1584" customWidth="1"/>
    <col min="3589" max="3589" width="5.3984375" style="1584" customWidth="1"/>
    <col min="3590" max="3591" width="9.5" style="1584" customWidth="1"/>
    <col min="3592" max="3592" width="6.3984375" style="1584" customWidth="1"/>
    <col min="3593" max="3593" width="8.59765625" style="1584" customWidth="1"/>
    <col min="3594" max="3594" width="7.5" style="1584" customWidth="1"/>
    <col min="3595" max="3595" width="8.3984375" style="1584" customWidth="1"/>
    <col min="3596" max="3596" width="6.3984375" style="1584" customWidth="1"/>
    <col min="3597" max="3597" width="6.09765625" style="1584" customWidth="1"/>
    <col min="3598" max="3598" width="7.19921875" style="1584" customWidth="1"/>
    <col min="3599" max="3599" width="9" style="1584"/>
    <col min="3600" max="3600" width="6.5" style="1584" customWidth="1"/>
    <col min="3601" max="3601" width="9.3984375" style="1584" customWidth="1"/>
    <col min="3602" max="3602" width="8.3984375" style="1584" customWidth="1"/>
    <col min="3603" max="3840" width="9" style="1584"/>
    <col min="3841" max="3841" width="0" style="1584" hidden="1" customWidth="1"/>
    <col min="3842" max="3842" width="6.09765625" style="1584" customWidth="1"/>
    <col min="3843" max="3844" width="5.09765625" style="1584" customWidth="1"/>
    <col min="3845" max="3845" width="5.3984375" style="1584" customWidth="1"/>
    <col min="3846" max="3847" width="9.5" style="1584" customWidth="1"/>
    <col min="3848" max="3848" width="6.3984375" style="1584" customWidth="1"/>
    <col min="3849" max="3849" width="8.59765625" style="1584" customWidth="1"/>
    <col min="3850" max="3850" width="7.5" style="1584" customWidth="1"/>
    <col min="3851" max="3851" width="8.3984375" style="1584" customWidth="1"/>
    <col min="3852" max="3852" width="6.3984375" style="1584" customWidth="1"/>
    <col min="3853" max="3853" width="6.09765625" style="1584" customWidth="1"/>
    <col min="3854" max="3854" width="7.19921875" style="1584" customWidth="1"/>
    <col min="3855" max="3855" width="9" style="1584"/>
    <col min="3856" max="3856" width="6.5" style="1584" customWidth="1"/>
    <col min="3857" max="3857" width="9.3984375" style="1584" customWidth="1"/>
    <col min="3858" max="3858" width="8.3984375" style="1584" customWidth="1"/>
    <col min="3859" max="4096" width="9" style="1584"/>
    <col min="4097" max="4097" width="0" style="1584" hidden="1" customWidth="1"/>
    <col min="4098" max="4098" width="6.09765625" style="1584" customWidth="1"/>
    <col min="4099" max="4100" width="5.09765625" style="1584" customWidth="1"/>
    <col min="4101" max="4101" width="5.3984375" style="1584" customWidth="1"/>
    <col min="4102" max="4103" width="9.5" style="1584" customWidth="1"/>
    <col min="4104" max="4104" width="6.3984375" style="1584" customWidth="1"/>
    <col min="4105" max="4105" width="8.59765625" style="1584" customWidth="1"/>
    <col min="4106" max="4106" width="7.5" style="1584" customWidth="1"/>
    <col min="4107" max="4107" width="8.3984375" style="1584" customWidth="1"/>
    <col min="4108" max="4108" width="6.3984375" style="1584" customWidth="1"/>
    <col min="4109" max="4109" width="6.09765625" style="1584" customWidth="1"/>
    <col min="4110" max="4110" width="7.19921875" style="1584" customWidth="1"/>
    <col min="4111" max="4111" width="9" style="1584"/>
    <col min="4112" max="4112" width="6.5" style="1584" customWidth="1"/>
    <col min="4113" max="4113" width="9.3984375" style="1584" customWidth="1"/>
    <col min="4114" max="4114" width="8.3984375" style="1584" customWidth="1"/>
    <col min="4115" max="4352" width="9" style="1584"/>
    <col min="4353" max="4353" width="0" style="1584" hidden="1" customWidth="1"/>
    <col min="4354" max="4354" width="6.09765625" style="1584" customWidth="1"/>
    <col min="4355" max="4356" width="5.09765625" style="1584" customWidth="1"/>
    <col min="4357" max="4357" width="5.3984375" style="1584" customWidth="1"/>
    <col min="4358" max="4359" width="9.5" style="1584" customWidth="1"/>
    <col min="4360" max="4360" width="6.3984375" style="1584" customWidth="1"/>
    <col min="4361" max="4361" width="8.59765625" style="1584" customWidth="1"/>
    <col min="4362" max="4362" width="7.5" style="1584" customWidth="1"/>
    <col min="4363" max="4363" width="8.3984375" style="1584" customWidth="1"/>
    <col min="4364" max="4364" width="6.3984375" style="1584" customWidth="1"/>
    <col min="4365" max="4365" width="6.09765625" style="1584" customWidth="1"/>
    <col min="4366" max="4366" width="7.19921875" style="1584" customWidth="1"/>
    <col min="4367" max="4367" width="9" style="1584"/>
    <col min="4368" max="4368" width="6.5" style="1584" customWidth="1"/>
    <col min="4369" max="4369" width="9.3984375" style="1584" customWidth="1"/>
    <col min="4370" max="4370" width="8.3984375" style="1584" customWidth="1"/>
    <col min="4371" max="4608" width="9" style="1584"/>
    <col min="4609" max="4609" width="0" style="1584" hidden="1" customWidth="1"/>
    <col min="4610" max="4610" width="6.09765625" style="1584" customWidth="1"/>
    <col min="4611" max="4612" width="5.09765625" style="1584" customWidth="1"/>
    <col min="4613" max="4613" width="5.3984375" style="1584" customWidth="1"/>
    <col min="4614" max="4615" width="9.5" style="1584" customWidth="1"/>
    <col min="4616" max="4616" width="6.3984375" style="1584" customWidth="1"/>
    <col min="4617" max="4617" width="8.59765625" style="1584" customWidth="1"/>
    <col min="4618" max="4618" width="7.5" style="1584" customWidth="1"/>
    <col min="4619" max="4619" width="8.3984375" style="1584" customWidth="1"/>
    <col min="4620" max="4620" width="6.3984375" style="1584" customWidth="1"/>
    <col min="4621" max="4621" width="6.09765625" style="1584" customWidth="1"/>
    <col min="4622" max="4622" width="7.19921875" style="1584" customWidth="1"/>
    <col min="4623" max="4623" width="9" style="1584"/>
    <col min="4624" max="4624" width="6.5" style="1584" customWidth="1"/>
    <col min="4625" max="4625" width="9.3984375" style="1584" customWidth="1"/>
    <col min="4626" max="4626" width="8.3984375" style="1584" customWidth="1"/>
    <col min="4627" max="4864" width="9" style="1584"/>
    <col min="4865" max="4865" width="0" style="1584" hidden="1" customWidth="1"/>
    <col min="4866" max="4866" width="6.09765625" style="1584" customWidth="1"/>
    <col min="4867" max="4868" width="5.09765625" style="1584" customWidth="1"/>
    <col min="4869" max="4869" width="5.3984375" style="1584" customWidth="1"/>
    <col min="4870" max="4871" width="9.5" style="1584" customWidth="1"/>
    <col min="4872" max="4872" width="6.3984375" style="1584" customWidth="1"/>
    <col min="4873" max="4873" width="8.59765625" style="1584" customWidth="1"/>
    <col min="4874" max="4874" width="7.5" style="1584" customWidth="1"/>
    <col min="4875" max="4875" width="8.3984375" style="1584" customWidth="1"/>
    <col min="4876" max="4876" width="6.3984375" style="1584" customWidth="1"/>
    <col min="4877" max="4877" width="6.09765625" style="1584" customWidth="1"/>
    <col min="4878" max="4878" width="7.19921875" style="1584" customWidth="1"/>
    <col min="4879" max="4879" width="9" style="1584"/>
    <col min="4880" max="4880" width="6.5" style="1584" customWidth="1"/>
    <col min="4881" max="4881" width="9.3984375" style="1584" customWidth="1"/>
    <col min="4882" max="4882" width="8.3984375" style="1584" customWidth="1"/>
    <col min="4883" max="5120" width="9" style="1584"/>
    <col min="5121" max="5121" width="0" style="1584" hidden="1" customWidth="1"/>
    <col min="5122" max="5122" width="6.09765625" style="1584" customWidth="1"/>
    <col min="5123" max="5124" width="5.09765625" style="1584" customWidth="1"/>
    <col min="5125" max="5125" width="5.3984375" style="1584" customWidth="1"/>
    <col min="5126" max="5127" width="9.5" style="1584" customWidth="1"/>
    <col min="5128" max="5128" width="6.3984375" style="1584" customWidth="1"/>
    <col min="5129" max="5129" width="8.59765625" style="1584" customWidth="1"/>
    <col min="5130" max="5130" width="7.5" style="1584" customWidth="1"/>
    <col min="5131" max="5131" width="8.3984375" style="1584" customWidth="1"/>
    <col min="5132" max="5132" width="6.3984375" style="1584" customWidth="1"/>
    <col min="5133" max="5133" width="6.09765625" style="1584" customWidth="1"/>
    <col min="5134" max="5134" width="7.19921875" style="1584" customWidth="1"/>
    <col min="5135" max="5135" width="9" style="1584"/>
    <col min="5136" max="5136" width="6.5" style="1584" customWidth="1"/>
    <col min="5137" max="5137" width="9.3984375" style="1584" customWidth="1"/>
    <col min="5138" max="5138" width="8.3984375" style="1584" customWidth="1"/>
    <col min="5139" max="5376" width="9" style="1584"/>
    <col min="5377" max="5377" width="0" style="1584" hidden="1" customWidth="1"/>
    <col min="5378" max="5378" width="6.09765625" style="1584" customWidth="1"/>
    <col min="5379" max="5380" width="5.09765625" style="1584" customWidth="1"/>
    <col min="5381" max="5381" width="5.3984375" style="1584" customWidth="1"/>
    <col min="5382" max="5383" width="9.5" style="1584" customWidth="1"/>
    <col min="5384" max="5384" width="6.3984375" style="1584" customWidth="1"/>
    <col min="5385" max="5385" width="8.59765625" style="1584" customWidth="1"/>
    <col min="5386" max="5386" width="7.5" style="1584" customWidth="1"/>
    <col min="5387" max="5387" width="8.3984375" style="1584" customWidth="1"/>
    <col min="5388" max="5388" width="6.3984375" style="1584" customWidth="1"/>
    <col min="5389" max="5389" width="6.09765625" style="1584" customWidth="1"/>
    <col min="5390" max="5390" width="7.19921875" style="1584" customWidth="1"/>
    <col min="5391" max="5391" width="9" style="1584"/>
    <col min="5392" max="5392" width="6.5" style="1584" customWidth="1"/>
    <col min="5393" max="5393" width="9.3984375" style="1584" customWidth="1"/>
    <col min="5394" max="5394" width="8.3984375" style="1584" customWidth="1"/>
    <col min="5395" max="5632" width="9" style="1584"/>
    <col min="5633" max="5633" width="0" style="1584" hidden="1" customWidth="1"/>
    <col min="5634" max="5634" width="6.09765625" style="1584" customWidth="1"/>
    <col min="5635" max="5636" width="5.09765625" style="1584" customWidth="1"/>
    <col min="5637" max="5637" width="5.3984375" style="1584" customWidth="1"/>
    <col min="5638" max="5639" width="9.5" style="1584" customWidth="1"/>
    <col min="5640" max="5640" width="6.3984375" style="1584" customWidth="1"/>
    <col min="5641" max="5641" width="8.59765625" style="1584" customWidth="1"/>
    <col min="5642" max="5642" width="7.5" style="1584" customWidth="1"/>
    <col min="5643" max="5643" width="8.3984375" style="1584" customWidth="1"/>
    <col min="5644" max="5644" width="6.3984375" style="1584" customWidth="1"/>
    <col min="5645" max="5645" width="6.09765625" style="1584" customWidth="1"/>
    <col min="5646" max="5646" width="7.19921875" style="1584" customWidth="1"/>
    <col min="5647" max="5647" width="9" style="1584"/>
    <col min="5648" max="5648" width="6.5" style="1584" customWidth="1"/>
    <col min="5649" max="5649" width="9.3984375" style="1584" customWidth="1"/>
    <col min="5650" max="5650" width="8.3984375" style="1584" customWidth="1"/>
    <col min="5651" max="5888" width="9" style="1584"/>
    <col min="5889" max="5889" width="0" style="1584" hidden="1" customWidth="1"/>
    <col min="5890" max="5890" width="6.09765625" style="1584" customWidth="1"/>
    <col min="5891" max="5892" width="5.09765625" style="1584" customWidth="1"/>
    <col min="5893" max="5893" width="5.3984375" style="1584" customWidth="1"/>
    <col min="5894" max="5895" width="9.5" style="1584" customWidth="1"/>
    <col min="5896" max="5896" width="6.3984375" style="1584" customWidth="1"/>
    <col min="5897" max="5897" width="8.59765625" style="1584" customWidth="1"/>
    <col min="5898" max="5898" width="7.5" style="1584" customWidth="1"/>
    <col min="5899" max="5899" width="8.3984375" style="1584" customWidth="1"/>
    <col min="5900" max="5900" width="6.3984375" style="1584" customWidth="1"/>
    <col min="5901" max="5901" width="6.09765625" style="1584" customWidth="1"/>
    <col min="5902" max="5902" width="7.19921875" style="1584" customWidth="1"/>
    <col min="5903" max="5903" width="9" style="1584"/>
    <col min="5904" max="5904" width="6.5" style="1584" customWidth="1"/>
    <col min="5905" max="5905" width="9.3984375" style="1584" customWidth="1"/>
    <col min="5906" max="5906" width="8.3984375" style="1584" customWidth="1"/>
    <col min="5907" max="6144" width="9" style="1584"/>
    <col min="6145" max="6145" width="0" style="1584" hidden="1" customWidth="1"/>
    <col min="6146" max="6146" width="6.09765625" style="1584" customWidth="1"/>
    <col min="6147" max="6148" width="5.09765625" style="1584" customWidth="1"/>
    <col min="6149" max="6149" width="5.3984375" style="1584" customWidth="1"/>
    <col min="6150" max="6151" width="9.5" style="1584" customWidth="1"/>
    <col min="6152" max="6152" width="6.3984375" style="1584" customWidth="1"/>
    <col min="6153" max="6153" width="8.59765625" style="1584" customWidth="1"/>
    <col min="6154" max="6154" width="7.5" style="1584" customWidth="1"/>
    <col min="6155" max="6155" width="8.3984375" style="1584" customWidth="1"/>
    <col min="6156" max="6156" width="6.3984375" style="1584" customWidth="1"/>
    <col min="6157" max="6157" width="6.09765625" style="1584" customWidth="1"/>
    <col min="6158" max="6158" width="7.19921875" style="1584" customWidth="1"/>
    <col min="6159" max="6159" width="9" style="1584"/>
    <col min="6160" max="6160" width="6.5" style="1584" customWidth="1"/>
    <col min="6161" max="6161" width="9.3984375" style="1584" customWidth="1"/>
    <col min="6162" max="6162" width="8.3984375" style="1584" customWidth="1"/>
    <col min="6163" max="6400" width="9" style="1584"/>
    <col min="6401" max="6401" width="0" style="1584" hidden="1" customWidth="1"/>
    <col min="6402" max="6402" width="6.09765625" style="1584" customWidth="1"/>
    <col min="6403" max="6404" width="5.09765625" style="1584" customWidth="1"/>
    <col min="6405" max="6405" width="5.3984375" style="1584" customWidth="1"/>
    <col min="6406" max="6407" width="9.5" style="1584" customWidth="1"/>
    <col min="6408" max="6408" width="6.3984375" style="1584" customWidth="1"/>
    <col min="6409" max="6409" width="8.59765625" style="1584" customWidth="1"/>
    <col min="6410" max="6410" width="7.5" style="1584" customWidth="1"/>
    <col min="6411" max="6411" width="8.3984375" style="1584" customWidth="1"/>
    <col min="6412" max="6412" width="6.3984375" style="1584" customWidth="1"/>
    <col min="6413" max="6413" width="6.09765625" style="1584" customWidth="1"/>
    <col min="6414" max="6414" width="7.19921875" style="1584" customWidth="1"/>
    <col min="6415" max="6415" width="9" style="1584"/>
    <col min="6416" max="6416" width="6.5" style="1584" customWidth="1"/>
    <col min="6417" max="6417" width="9.3984375" style="1584" customWidth="1"/>
    <col min="6418" max="6418" width="8.3984375" style="1584" customWidth="1"/>
    <col min="6419" max="6656" width="9" style="1584"/>
    <col min="6657" max="6657" width="0" style="1584" hidden="1" customWidth="1"/>
    <col min="6658" max="6658" width="6.09765625" style="1584" customWidth="1"/>
    <col min="6659" max="6660" width="5.09765625" style="1584" customWidth="1"/>
    <col min="6661" max="6661" width="5.3984375" style="1584" customWidth="1"/>
    <col min="6662" max="6663" width="9.5" style="1584" customWidth="1"/>
    <col min="6664" max="6664" width="6.3984375" style="1584" customWidth="1"/>
    <col min="6665" max="6665" width="8.59765625" style="1584" customWidth="1"/>
    <col min="6666" max="6666" width="7.5" style="1584" customWidth="1"/>
    <col min="6667" max="6667" width="8.3984375" style="1584" customWidth="1"/>
    <col min="6668" max="6668" width="6.3984375" style="1584" customWidth="1"/>
    <col min="6669" max="6669" width="6.09765625" style="1584" customWidth="1"/>
    <col min="6670" max="6670" width="7.19921875" style="1584" customWidth="1"/>
    <col min="6671" max="6671" width="9" style="1584"/>
    <col min="6672" max="6672" width="6.5" style="1584" customWidth="1"/>
    <col min="6673" max="6673" width="9.3984375" style="1584" customWidth="1"/>
    <col min="6674" max="6674" width="8.3984375" style="1584" customWidth="1"/>
    <col min="6675" max="6912" width="9" style="1584"/>
    <col min="6913" max="6913" width="0" style="1584" hidden="1" customWidth="1"/>
    <col min="6914" max="6914" width="6.09765625" style="1584" customWidth="1"/>
    <col min="6915" max="6916" width="5.09765625" style="1584" customWidth="1"/>
    <col min="6917" max="6917" width="5.3984375" style="1584" customWidth="1"/>
    <col min="6918" max="6919" width="9.5" style="1584" customWidth="1"/>
    <col min="6920" max="6920" width="6.3984375" style="1584" customWidth="1"/>
    <col min="6921" max="6921" width="8.59765625" style="1584" customWidth="1"/>
    <col min="6922" max="6922" width="7.5" style="1584" customWidth="1"/>
    <col min="6923" max="6923" width="8.3984375" style="1584" customWidth="1"/>
    <col min="6924" max="6924" width="6.3984375" style="1584" customWidth="1"/>
    <col min="6925" max="6925" width="6.09765625" style="1584" customWidth="1"/>
    <col min="6926" max="6926" width="7.19921875" style="1584" customWidth="1"/>
    <col min="6927" max="6927" width="9" style="1584"/>
    <col min="6928" max="6928" width="6.5" style="1584" customWidth="1"/>
    <col min="6929" max="6929" width="9.3984375" style="1584" customWidth="1"/>
    <col min="6930" max="6930" width="8.3984375" style="1584" customWidth="1"/>
    <col min="6931" max="7168" width="9" style="1584"/>
    <col min="7169" max="7169" width="0" style="1584" hidden="1" customWidth="1"/>
    <col min="7170" max="7170" width="6.09765625" style="1584" customWidth="1"/>
    <col min="7171" max="7172" width="5.09765625" style="1584" customWidth="1"/>
    <col min="7173" max="7173" width="5.3984375" style="1584" customWidth="1"/>
    <col min="7174" max="7175" width="9.5" style="1584" customWidth="1"/>
    <col min="7176" max="7176" width="6.3984375" style="1584" customWidth="1"/>
    <col min="7177" max="7177" width="8.59765625" style="1584" customWidth="1"/>
    <col min="7178" max="7178" width="7.5" style="1584" customWidth="1"/>
    <col min="7179" max="7179" width="8.3984375" style="1584" customWidth="1"/>
    <col min="7180" max="7180" width="6.3984375" style="1584" customWidth="1"/>
    <col min="7181" max="7181" width="6.09765625" style="1584" customWidth="1"/>
    <col min="7182" max="7182" width="7.19921875" style="1584" customWidth="1"/>
    <col min="7183" max="7183" width="9" style="1584"/>
    <col min="7184" max="7184" width="6.5" style="1584" customWidth="1"/>
    <col min="7185" max="7185" width="9.3984375" style="1584" customWidth="1"/>
    <col min="7186" max="7186" width="8.3984375" style="1584" customWidth="1"/>
    <col min="7187" max="7424" width="9" style="1584"/>
    <col min="7425" max="7425" width="0" style="1584" hidden="1" customWidth="1"/>
    <col min="7426" max="7426" width="6.09765625" style="1584" customWidth="1"/>
    <col min="7427" max="7428" width="5.09765625" style="1584" customWidth="1"/>
    <col min="7429" max="7429" width="5.3984375" style="1584" customWidth="1"/>
    <col min="7430" max="7431" width="9.5" style="1584" customWidth="1"/>
    <col min="7432" max="7432" width="6.3984375" style="1584" customWidth="1"/>
    <col min="7433" max="7433" width="8.59765625" style="1584" customWidth="1"/>
    <col min="7434" max="7434" width="7.5" style="1584" customWidth="1"/>
    <col min="7435" max="7435" width="8.3984375" style="1584" customWidth="1"/>
    <col min="7436" max="7436" width="6.3984375" style="1584" customWidth="1"/>
    <col min="7437" max="7437" width="6.09765625" style="1584" customWidth="1"/>
    <col min="7438" max="7438" width="7.19921875" style="1584" customWidth="1"/>
    <col min="7439" max="7439" width="9" style="1584"/>
    <col min="7440" max="7440" width="6.5" style="1584" customWidth="1"/>
    <col min="7441" max="7441" width="9.3984375" style="1584" customWidth="1"/>
    <col min="7442" max="7442" width="8.3984375" style="1584" customWidth="1"/>
    <col min="7443" max="7680" width="9" style="1584"/>
    <col min="7681" max="7681" width="0" style="1584" hidden="1" customWidth="1"/>
    <col min="7682" max="7682" width="6.09765625" style="1584" customWidth="1"/>
    <col min="7683" max="7684" width="5.09765625" style="1584" customWidth="1"/>
    <col min="7685" max="7685" width="5.3984375" style="1584" customWidth="1"/>
    <col min="7686" max="7687" width="9.5" style="1584" customWidth="1"/>
    <col min="7688" max="7688" width="6.3984375" style="1584" customWidth="1"/>
    <col min="7689" max="7689" width="8.59765625" style="1584" customWidth="1"/>
    <col min="7690" max="7690" width="7.5" style="1584" customWidth="1"/>
    <col min="7691" max="7691" width="8.3984375" style="1584" customWidth="1"/>
    <col min="7692" max="7692" width="6.3984375" style="1584" customWidth="1"/>
    <col min="7693" max="7693" width="6.09765625" style="1584" customWidth="1"/>
    <col min="7694" max="7694" width="7.19921875" style="1584" customWidth="1"/>
    <col min="7695" max="7695" width="9" style="1584"/>
    <col min="7696" max="7696" width="6.5" style="1584" customWidth="1"/>
    <col min="7697" max="7697" width="9.3984375" style="1584" customWidth="1"/>
    <col min="7698" max="7698" width="8.3984375" style="1584" customWidth="1"/>
    <col min="7699" max="7936" width="9" style="1584"/>
    <col min="7937" max="7937" width="0" style="1584" hidden="1" customWidth="1"/>
    <col min="7938" max="7938" width="6.09765625" style="1584" customWidth="1"/>
    <col min="7939" max="7940" width="5.09765625" style="1584" customWidth="1"/>
    <col min="7941" max="7941" width="5.3984375" style="1584" customWidth="1"/>
    <col min="7942" max="7943" width="9.5" style="1584" customWidth="1"/>
    <col min="7944" max="7944" width="6.3984375" style="1584" customWidth="1"/>
    <col min="7945" max="7945" width="8.59765625" style="1584" customWidth="1"/>
    <col min="7946" max="7946" width="7.5" style="1584" customWidth="1"/>
    <col min="7947" max="7947" width="8.3984375" style="1584" customWidth="1"/>
    <col min="7948" max="7948" width="6.3984375" style="1584" customWidth="1"/>
    <col min="7949" max="7949" width="6.09765625" style="1584" customWidth="1"/>
    <col min="7950" max="7950" width="7.19921875" style="1584" customWidth="1"/>
    <col min="7951" max="7951" width="9" style="1584"/>
    <col min="7952" max="7952" width="6.5" style="1584" customWidth="1"/>
    <col min="7953" max="7953" width="9.3984375" style="1584" customWidth="1"/>
    <col min="7954" max="7954" width="8.3984375" style="1584" customWidth="1"/>
    <col min="7955" max="8192" width="9" style="1584"/>
    <col min="8193" max="8193" width="0" style="1584" hidden="1" customWidth="1"/>
    <col min="8194" max="8194" width="6.09765625" style="1584" customWidth="1"/>
    <col min="8195" max="8196" width="5.09765625" style="1584" customWidth="1"/>
    <col min="8197" max="8197" width="5.3984375" style="1584" customWidth="1"/>
    <col min="8198" max="8199" width="9.5" style="1584" customWidth="1"/>
    <col min="8200" max="8200" width="6.3984375" style="1584" customWidth="1"/>
    <col min="8201" max="8201" width="8.59765625" style="1584" customWidth="1"/>
    <col min="8202" max="8202" width="7.5" style="1584" customWidth="1"/>
    <col min="8203" max="8203" width="8.3984375" style="1584" customWidth="1"/>
    <col min="8204" max="8204" width="6.3984375" style="1584" customWidth="1"/>
    <col min="8205" max="8205" width="6.09765625" style="1584" customWidth="1"/>
    <col min="8206" max="8206" width="7.19921875" style="1584" customWidth="1"/>
    <col min="8207" max="8207" width="9" style="1584"/>
    <col min="8208" max="8208" width="6.5" style="1584" customWidth="1"/>
    <col min="8209" max="8209" width="9.3984375" style="1584" customWidth="1"/>
    <col min="8210" max="8210" width="8.3984375" style="1584" customWidth="1"/>
    <col min="8211" max="8448" width="9" style="1584"/>
    <col min="8449" max="8449" width="0" style="1584" hidden="1" customWidth="1"/>
    <col min="8450" max="8450" width="6.09765625" style="1584" customWidth="1"/>
    <col min="8451" max="8452" width="5.09765625" style="1584" customWidth="1"/>
    <col min="8453" max="8453" width="5.3984375" style="1584" customWidth="1"/>
    <col min="8454" max="8455" width="9.5" style="1584" customWidth="1"/>
    <col min="8456" max="8456" width="6.3984375" style="1584" customWidth="1"/>
    <col min="8457" max="8457" width="8.59765625" style="1584" customWidth="1"/>
    <col min="8458" max="8458" width="7.5" style="1584" customWidth="1"/>
    <col min="8459" max="8459" width="8.3984375" style="1584" customWidth="1"/>
    <col min="8460" max="8460" width="6.3984375" style="1584" customWidth="1"/>
    <col min="8461" max="8461" width="6.09765625" style="1584" customWidth="1"/>
    <col min="8462" max="8462" width="7.19921875" style="1584" customWidth="1"/>
    <col min="8463" max="8463" width="9" style="1584"/>
    <col min="8464" max="8464" width="6.5" style="1584" customWidth="1"/>
    <col min="8465" max="8465" width="9.3984375" style="1584" customWidth="1"/>
    <col min="8466" max="8466" width="8.3984375" style="1584" customWidth="1"/>
    <col min="8467" max="8704" width="9" style="1584"/>
    <col min="8705" max="8705" width="0" style="1584" hidden="1" customWidth="1"/>
    <col min="8706" max="8706" width="6.09765625" style="1584" customWidth="1"/>
    <col min="8707" max="8708" width="5.09765625" style="1584" customWidth="1"/>
    <col min="8709" max="8709" width="5.3984375" style="1584" customWidth="1"/>
    <col min="8710" max="8711" width="9.5" style="1584" customWidth="1"/>
    <col min="8712" max="8712" width="6.3984375" style="1584" customWidth="1"/>
    <col min="8713" max="8713" width="8.59765625" style="1584" customWidth="1"/>
    <col min="8714" max="8714" width="7.5" style="1584" customWidth="1"/>
    <col min="8715" max="8715" width="8.3984375" style="1584" customWidth="1"/>
    <col min="8716" max="8716" width="6.3984375" style="1584" customWidth="1"/>
    <col min="8717" max="8717" width="6.09765625" style="1584" customWidth="1"/>
    <col min="8718" max="8718" width="7.19921875" style="1584" customWidth="1"/>
    <col min="8719" max="8719" width="9" style="1584"/>
    <col min="8720" max="8720" width="6.5" style="1584" customWidth="1"/>
    <col min="8721" max="8721" width="9.3984375" style="1584" customWidth="1"/>
    <col min="8722" max="8722" width="8.3984375" style="1584" customWidth="1"/>
    <col min="8723" max="8960" width="9" style="1584"/>
    <col min="8961" max="8961" width="0" style="1584" hidden="1" customWidth="1"/>
    <col min="8962" max="8962" width="6.09765625" style="1584" customWidth="1"/>
    <col min="8963" max="8964" width="5.09765625" style="1584" customWidth="1"/>
    <col min="8965" max="8965" width="5.3984375" style="1584" customWidth="1"/>
    <col min="8966" max="8967" width="9.5" style="1584" customWidth="1"/>
    <col min="8968" max="8968" width="6.3984375" style="1584" customWidth="1"/>
    <col min="8969" max="8969" width="8.59765625" style="1584" customWidth="1"/>
    <col min="8970" max="8970" width="7.5" style="1584" customWidth="1"/>
    <col min="8971" max="8971" width="8.3984375" style="1584" customWidth="1"/>
    <col min="8972" max="8972" width="6.3984375" style="1584" customWidth="1"/>
    <col min="8973" max="8973" width="6.09765625" style="1584" customWidth="1"/>
    <col min="8974" max="8974" width="7.19921875" style="1584" customWidth="1"/>
    <col min="8975" max="8975" width="9" style="1584"/>
    <col min="8976" max="8976" width="6.5" style="1584" customWidth="1"/>
    <col min="8977" max="8977" width="9.3984375" style="1584" customWidth="1"/>
    <col min="8978" max="8978" width="8.3984375" style="1584" customWidth="1"/>
    <col min="8979" max="9216" width="9" style="1584"/>
    <col min="9217" max="9217" width="0" style="1584" hidden="1" customWidth="1"/>
    <col min="9218" max="9218" width="6.09765625" style="1584" customWidth="1"/>
    <col min="9219" max="9220" width="5.09765625" style="1584" customWidth="1"/>
    <col min="9221" max="9221" width="5.3984375" style="1584" customWidth="1"/>
    <col min="9222" max="9223" width="9.5" style="1584" customWidth="1"/>
    <col min="9224" max="9224" width="6.3984375" style="1584" customWidth="1"/>
    <col min="9225" max="9225" width="8.59765625" style="1584" customWidth="1"/>
    <col min="9226" max="9226" width="7.5" style="1584" customWidth="1"/>
    <col min="9227" max="9227" width="8.3984375" style="1584" customWidth="1"/>
    <col min="9228" max="9228" width="6.3984375" style="1584" customWidth="1"/>
    <col min="9229" max="9229" width="6.09765625" style="1584" customWidth="1"/>
    <col min="9230" max="9230" width="7.19921875" style="1584" customWidth="1"/>
    <col min="9231" max="9231" width="9" style="1584"/>
    <col min="9232" max="9232" width="6.5" style="1584" customWidth="1"/>
    <col min="9233" max="9233" width="9.3984375" style="1584" customWidth="1"/>
    <col min="9234" max="9234" width="8.3984375" style="1584" customWidth="1"/>
    <col min="9235" max="9472" width="9" style="1584"/>
    <col min="9473" max="9473" width="0" style="1584" hidden="1" customWidth="1"/>
    <col min="9474" max="9474" width="6.09765625" style="1584" customWidth="1"/>
    <col min="9475" max="9476" width="5.09765625" style="1584" customWidth="1"/>
    <col min="9477" max="9477" width="5.3984375" style="1584" customWidth="1"/>
    <col min="9478" max="9479" width="9.5" style="1584" customWidth="1"/>
    <col min="9480" max="9480" width="6.3984375" style="1584" customWidth="1"/>
    <col min="9481" max="9481" width="8.59765625" style="1584" customWidth="1"/>
    <col min="9482" max="9482" width="7.5" style="1584" customWidth="1"/>
    <col min="9483" max="9483" width="8.3984375" style="1584" customWidth="1"/>
    <col min="9484" max="9484" width="6.3984375" style="1584" customWidth="1"/>
    <col min="9485" max="9485" width="6.09765625" style="1584" customWidth="1"/>
    <col min="9486" max="9486" width="7.19921875" style="1584" customWidth="1"/>
    <col min="9487" max="9487" width="9" style="1584"/>
    <col min="9488" max="9488" width="6.5" style="1584" customWidth="1"/>
    <col min="9489" max="9489" width="9.3984375" style="1584" customWidth="1"/>
    <col min="9490" max="9490" width="8.3984375" style="1584" customWidth="1"/>
    <col min="9491" max="9728" width="9" style="1584"/>
    <col min="9729" max="9729" width="0" style="1584" hidden="1" customWidth="1"/>
    <col min="9730" max="9730" width="6.09765625" style="1584" customWidth="1"/>
    <col min="9731" max="9732" width="5.09765625" style="1584" customWidth="1"/>
    <col min="9733" max="9733" width="5.3984375" style="1584" customWidth="1"/>
    <col min="9734" max="9735" width="9.5" style="1584" customWidth="1"/>
    <col min="9736" max="9736" width="6.3984375" style="1584" customWidth="1"/>
    <col min="9737" max="9737" width="8.59765625" style="1584" customWidth="1"/>
    <col min="9738" max="9738" width="7.5" style="1584" customWidth="1"/>
    <col min="9739" max="9739" width="8.3984375" style="1584" customWidth="1"/>
    <col min="9740" max="9740" width="6.3984375" style="1584" customWidth="1"/>
    <col min="9741" max="9741" width="6.09765625" style="1584" customWidth="1"/>
    <col min="9742" max="9742" width="7.19921875" style="1584" customWidth="1"/>
    <col min="9743" max="9743" width="9" style="1584"/>
    <col min="9744" max="9744" width="6.5" style="1584" customWidth="1"/>
    <col min="9745" max="9745" width="9.3984375" style="1584" customWidth="1"/>
    <col min="9746" max="9746" width="8.3984375" style="1584" customWidth="1"/>
    <col min="9747" max="9984" width="9" style="1584"/>
    <col min="9985" max="9985" width="0" style="1584" hidden="1" customWidth="1"/>
    <col min="9986" max="9986" width="6.09765625" style="1584" customWidth="1"/>
    <col min="9987" max="9988" width="5.09765625" style="1584" customWidth="1"/>
    <col min="9989" max="9989" width="5.3984375" style="1584" customWidth="1"/>
    <col min="9990" max="9991" width="9.5" style="1584" customWidth="1"/>
    <col min="9992" max="9992" width="6.3984375" style="1584" customWidth="1"/>
    <col min="9993" max="9993" width="8.59765625" style="1584" customWidth="1"/>
    <col min="9994" max="9994" width="7.5" style="1584" customWidth="1"/>
    <col min="9995" max="9995" width="8.3984375" style="1584" customWidth="1"/>
    <col min="9996" max="9996" width="6.3984375" style="1584" customWidth="1"/>
    <col min="9997" max="9997" width="6.09765625" style="1584" customWidth="1"/>
    <col min="9998" max="9998" width="7.19921875" style="1584" customWidth="1"/>
    <col min="9999" max="9999" width="9" style="1584"/>
    <col min="10000" max="10000" width="6.5" style="1584" customWidth="1"/>
    <col min="10001" max="10001" width="9.3984375" style="1584" customWidth="1"/>
    <col min="10002" max="10002" width="8.3984375" style="1584" customWidth="1"/>
    <col min="10003" max="10240" width="9" style="1584"/>
    <col min="10241" max="10241" width="0" style="1584" hidden="1" customWidth="1"/>
    <col min="10242" max="10242" width="6.09765625" style="1584" customWidth="1"/>
    <col min="10243" max="10244" width="5.09765625" style="1584" customWidth="1"/>
    <col min="10245" max="10245" width="5.3984375" style="1584" customWidth="1"/>
    <col min="10246" max="10247" width="9.5" style="1584" customWidth="1"/>
    <col min="10248" max="10248" width="6.3984375" style="1584" customWidth="1"/>
    <col min="10249" max="10249" width="8.59765625" style="1584" customWidth="1"/>
    <col min="10250" max="10250" width="7.5" style="1584" customWidth="1"/>
    <col min="10251" max="10251" width="8.3984375" style="1584" customWidth="1"/>
    <col min="10252" max="10252" width="6.3984375" style="1584" customWidth="1"/>
    <col min="10253" max="10253" width="6.09765625" style="1584" customWidth="1"/>
    <col min="10254" max="10254" width="7.19921875" style="1584" customWidth="1"/>
    <col min="10255" max="10255" width="9" style="1584"/>
    <col min="10256" max="10256" width="6.5" style="1584" customWidth="1"/>
    <col min="10257" max="10257" width="9.3984375" style="1584" customWidth="1"/>
    <col min="10258" max="10258" width="8.3984375" style="1584" customWidth="1"/>
    <col min="10259" max="10496" width="9" style="1584"/>
    <col min="10497" max="10497" width="0" style="1584" hidden="1" customWidth="1"/>
    <col min="10498" max="10498" width="6.09765625" style="1584" customWidth="1"/>
    <col min="10499" max="10500" width="5.09765625" style="1584" customWidth="1"/>
    <col min="10501" max="10501" width="5.3984375" style="1584" customWidth="1"/>
    <col min="10502" max="10503" width="9.5" style="1584" customWidth="1"/>
    <col min="10504" max="10504" width="6.3984375" style="1584" customWidth="1"/>
    <col min="10505" max="10505" width="8.59765625" style="1584" customWidth="1"/>
    <col min="10506" max="10506" width="7.5" style="1584" customWidth="1"/>
    <col min="10507" max="10507" width="8.3984375" style="1584" customWidth="1"/>
    <col min="10508" max="10508" width="6.3984375" style="1584" customWidth="1"/>
    <col min="10509" max="10509" width="6.09765625" style="1584" customWidth="1"/>
    <col min="10510" max="10510" width="7.19921875" style="1584" customWidth="1"/>
    <col min="10511" max="10511" width="9" style="1584"/>
    <col min="10512" max="10512" width="6.5" style="1584" customWidth="1"/>
    <col min="10513" max="10513" width="9.3984375" style="1584" customWidth="1"/>
    <col min="10514" max="10514" width="8.3984375" style="1584" customWidth="1"/>
    <col min="10515" max="10752" width="9" style="1584"/>
    <col min="10753" max="10753" width="0" style="1584" hidden="1" customWidth="1"/>
    <col min="10754" max="10754" width="6.09765625" style="1584" customWidth="1"/>
    <col min="10755" max="10756" width="5.09765625" style="1584" customWidth="1"/>
    <col min="10757" max="10757" width="5.3984375" style="1584" customWidth="1"/>
    <col min="10758" max="10759" width="9.5" style="1584" customWidth="1"/>
    <col min="10760" max="10760" width="6.3984375" style="1584" customWidth="1"/>
    <col min="10761" max="10761" width="8.59765625" style="1584" customWidth="1"/>
    <col min="10762" max="10762" width="7.5" style="1584" customWidth="1"/>
    <col min="10763" max="10763" width="8.3984375" style="1584" customWidth="1"/>
    <col min="10764" max="10764" width="6.3984375" style="1584" customWidth="1"/>
    <col min="10765" max="10765" width="6.09765625" style="1584" customWidth="1"/>
    <col min="10766" max="10766" width="7.19921875" style="1584" customWidth="1"/>
    <col min="10767" max="10767" width="9" style="1584"/>
    <col min="10768" max="10768" width="6.5" style="1584" customWidth="1"/>
    <col min="10769" max="10769" width="9.3984375" style="1584" customWidth="1"/>
    <col min="10770" max="10770" width="8.3984375" style="1584" customWidth="1"/>
    <col min="10771" max="11008" width="9" style="1584"/>
    <col min="11009" max="11009" width="0" style="1584" hidden="1" customWidth="1"/>
    <col min="11010" max="11010" width="6.09765625" style="1584" customWidth="1"/>
    <col min="11011" max="11012" width="5.09765625" style="1584" customWidth="1"/>
    <col min="11013" max="11013" width="5.3984375" style="1584" customWidth="1"/>
    <col min="11014" max="11015" width="9.5" style="1584" customWidth="1"/>
    <col min="11016" max="11016" width="6.3984375" style="1584" customWidth="1"/>
    <col min="11017" max="11017" width="8.59765625" style="1584" customWidth="1"/>
    <col min="11018" max="11018" width="7.5" style="1584" customWidth="1"/>
    <col min="11019" max="11019" width="8.3984375" style="1584" customWidth="1"/>
    <col min="11020" max="11020" width="6.3984375" style="1584" customWidth="1"/>
    <col min="11021" max="11021" width="6.09765625" style="1584" customWidth="1"/>
    <col min="11022" max="11022" width="7.19921875" style="1584" customWidth="1"/>
    <col min="11023" max="11023" width="9" style="1584"/>
    <col min="11024" max="11024" width="6.5" style="1584" customWidth="1"/>
    <col min="11025" max="11025" width="9.3984375" style="1584" customWidth="1"/>
    <col min="11026" max="11026" width="8.3984375" style="1584" customWidth="1"/>
    <col min="11027" max="11264" width="9" style="1584"/>
    <col min="11265" max="11265" width="0" style="1584" hidden="1" customWidth="1"/>
    <col min="11266" max="11266" width="6.09765625" style="1584" customWidth="1"/>
    <col min="11267" max="11268" width="5.09765625" style="1584" customWidth="1"/>
    <col min="11269" max="11269" width="5.3984375" style="1584" customWidth="1"/>
    <col min="11270" max="11271" width="9.5" style="1584" customWidth="1"/>
    <col min="11272" max="11272" width="6.3984375" style="1584" customWidth="1"/>
    <col min="11273" max="11273" width="8.59765625" style="1584" customWidth="1"/>
    <col min="11274" max="11274" width="7.5" style="1584" customWidth="1"/>
    <col min="11275" max="11275" width="8.3984375" style="1584" customWidth="1"/>
    <col min="11276" max="11276" width="6.3984375" style="1584" customWidth="1"/>
    <col min="11277" max="11277" width="6.09765625" style="1584" customWidth="1"/>
    <col min="11278" max="11278" width="7.19921875" style="1584" customWidth="1"/>
    <col min="11279" max="11279" width="9" style="1584"/>
    <col min="11280" max="11280" width="6.5" style="1584" customWidth="1"/>
    <col min="11281" max="11281" width="9.3984375" style="1584" customWidth="1"/>
    <col min="11282" max="11282" width="8.3984375" style="1584" customWidth="1"/>
    <col min="11283" max="11520" width="9" style="1584"/>
    <col min="11521" max="11521" width="0" style="1584" hidden="1" customWidth="1"/>
    <col min="11522" max="11522" width="6.09765625" style="1584" customWidth="1"/>
    <col min="11523" max="11524" width="5.09765625" style="1584" customWidth="1"/>
    <col min="11525" max="11525" width="5.3984375" style="1584" customWidth="1"/>
    <col min="11526" max="11527" width="9.5" style="1584" customWidth="1"/>
    <col min="11528" max="11528" width="6.3984375" style="1584" customWidth="1"/>
    <col min="11529" max="11529" width="8.59765625" style="1584" customWidth="1"/>
    <col min="11530" max="11530" width="7.5" style="1584" customWidth="1"/>
    <col min="11531" max="11531" width="8.3984375" style="1584" customWidth="1"/>
    <col min="11532" max="11532" width="6.3984375" style="1584" customWidth="1"/>
    <col min="11533" max="11533" width="6.09765625" style="1584" customWidth="1"/>
    <col min="11534" max="11534" width="7.19921875" style="1584" customWidth="1"/>
    <col min="11535" max="11535" width="9" style="1584"/>
    <col min="11536" max="11536" width="6.5" style="1584" customWidth="1"/>
    <col min="11537" max="11537" width="9.3984375" style="1584" customWidth="1"/>
    <col min="11538" max="11538" width="8.3984375" style="1584" customWidth="1"/>
    <col min="11539" max="11776" width="9" style="1584"/>
    <col min="11777" max="11777" width="0" style="1584" hidden="1" customWidth="1"/>
    <col min="11778" max="11778" width="6.09765625" style="1584" customWidth="1"/>
    <col min="11779" max="11780" width="5.09765625" style="1584" customWidth="1"/>
    <col min="11781" max="11781" width="5.3984375" style="1584" customWidth="1"/>
    <col min="11782" max="11783" width="9.5" style="1584" customWidth="1"/>
    <col min="11784" max="11784" width="6.3984375" style="1584" customWidth="1"/>
    <col min="11785" max="11785" width="8.59765625" style="1584" customWidth="1"/>
    <col min="11786" max="11786" width="7.5" style="1584" customWidth="1"/>
    <col min="11787" max="11787" width="8.3984375" style="1584" customWidth="1"/>
    <col min="11788" max="11788" width="6.3984375" style="1584" customWidth="1"/>
    <col min="11789" max="11789" width="6.09765625" style="1584" customWidth="1"/>
    <col min="11790" max="11790" width="7.19921875" style="1584" customWidth="1"/>
    <col min="11791" max="11791" width="9" style="1584"/>
    <col min="11792" max="11792" width="6.5" style="1584" customWidth="1"/>
    <col min="11793" max="11793" width="9.3984375" style="1584" customWidth="1"/>
    <col min="11794" max="11794" width="8.3984375" style="1584" customWidth="1"/>
    <col min="11795" max="12032" width="9" style="1584"/>
    <col min="12033" max="12033" width="0" style="1584" hidden="1" customWidth="1"/>
    <col min="12034" max="12034" width="6.09765625" style="1584" customWidth="1"/>
    <col min="12035" max="12036" width="5.09765625" style="1584" customWidth="1"/>
    <col min="12037" max="12037" width="5.3984375" style="1584" customWidth="1"/>
    <col min="12038" max="12039" width="9.5" style="1584" customWidth="1"/>
    <col min="12040" max="12040" width="6.3984375" style="1584" customWidth="1"/>
    <col min="12041" max="12041" width="8.59765625" style="1584" customWidth="1"/>
    <col min="12042" max="12042" width="7.5" style="1584" customWidth="1"/>
    <col min="12043" max="12043" width="8.3984375" style="1584" customWidth="1"/>
    <col min="12044" max="12044" width="6.3984375" style="1584" customWidth="1"/>
    <col min="12045" max="12045" width="6.09765625" style="1584" customWidth="1"/>
    <col min="12046" max="12046" width="7.19921875" style="1584" customWidth="1"/>
    <col min="12047" max="12047" width="9" style="1584"/>
    <col min="12048" max="12048" width="6.5" style="1584" customWidth="1"/>
    <col min="12049" max="12049" width="9.3984375" style="1584" customWidth="1"/>
    <col min="12050" max="12050" width="8.3984375" style="1584" customWidth="1"/>
    <col min="12051" max="12288" width="9" style="1584"/>
    <col min="12289" max="12289" width="0" style="1584" hidden="1" customWidth="1"/>
    <col min="12290" max="12290" width="6.09765625" style="1584" customWidth="1"/>
    <col min="12291" max="12292" width="5.09765625" style="1584" customWidth="1"/>
    <col min="12293" max="12293" width="5.3984375" style="1584" customWidth="1"/>
    <col min="12294" max="12295" width="9.5" style="1584" customWidth="1"/>
    <col min="12296" max="12296" width="6.3984375" style="1584" customWidth="1"/>
    <col min="12297" max="12297" width="8.59765625" style="1584" customWidth="1"/>
    <col min="12298" max="12298" width="7.5" style="1584" customWidth="1"/>
    <col min="12299" max="12299" width="8.3984375" style="1584" customWidth="1"/>
    <col min="12300" max="12300" width="6.3984375" style="1584" customWidth="1"/>
    <col min="12301" max="12301" width="6.09765625" style="1584" customWidth="1"/>
    <col min="12302" max="12302" width="7.19921875" style="1584" customWidth="1"/>
    <col min="12303" max="12303" width="9" style="1584"/>
    <col min="12304" max="12304" width="6.5" style="1584" customWidth="1"/>
    <col min="12305" max="12305" width="9.3984375" style="1584" customWidth="1"/>
    <col min="12306" max="12306" width="8.3984375" style="1584" customWidth="1"/>
    <col min="12307" max="12544" width="9" style="1584"/>
    <col min="12545" max="12545" width="0" style="1584" hidden="1" customWidth="1"/>
    <col min="12546" max="12546" width="6.09765625" style="1584" customWidth="1"/>
    <col min="12547" max="12548" width="5.09765625" style="1584" customWidth="1"/>
    <col min="12549" max="12549" width="5.3984375" style="1584" customWidth="1"/>
    <col min="12550" max="12551" width="9.5" style="1584" customWidth="1"/>
    <col min="12552" max="12552" width="6.3984375" style="1584" customWidth="1"/>
    <col min="12553" max="12553" width="8.59765625" style="1584" customWidth="1"/>
    <col min="12554" max="12554" width="7.5" style="1584" customWidth="1"/>
    <col min="12555" max="12555" width="8.3984375" style="1584" customWidth="1"/>
    <col min="12556" max="12556" width="6.3984375" style="1584" customWidth="1"/>
    <col min="12557" max="12557" width="6.09765625" style="1584" customWidth="1"/>
    <col min="12558" max="12558" width="7.19921875" style="1584" customWidth="1"/>
    <col min="12559" max="12559" width="9" style="1584"/>
    <col min="12560" max="12560" width="6.5" style="1584" customWidth="1"/>
    <col min="12561" max="12561" width="9.3984375" style="1584" customWidth="1"/>
    <col min="12562" max="12562" width="8.3984375" style="1584" customWidth="1"/>
    <col min="12563" max="12800" width="9" style="1584"/>
    <col min="12801" max="12801" width="0" style="1584" hidden="1" customWidth="1"/>
    <col min="12802" max="12802" width="6.09765625" style="1584" customWidth="1"/>
    <col min="12803" max="12804" width="5.09765625" style="1584" customWidth="1"/>
    <col min="12805" max="12805" width="5.3984375" style="1584" customWidth="1"/>
    <col min="12806" max="12807" width="9.5" style="1584" customWidth="1"/>
    <col min="12808" max="12808" width="6.3984375" style="1584" customWidth="1"/>
    <col min="12809" max="12809" width="8.59765625" style="1584" customWidth="1"/>
    <col min="12810" max="12810" width="7.5" style="1584" customWidth="1"/>
    <col min="12811" max="12811" width="8.3984375" style="1584" customWidth="1"/>
    <col min="12812" max="12812" width="6.3984375" style="1584" customWidth="1"/>
    <col min="12813" max="12813" width="6.09765625" style="1584" customWidth="1"/>
    <col min="12814" max="12814" width="7.19921875" style="1584" customWidth="1"/>
    <col min="12815" max="12815" width="9" style="1584"/>
    <col min="12816" max="12816" width="6.5" style="1584" customWidth="1"/>
    <col min="12817" max="12817" width="9.3984375" style="1584" customWidth="1"/>
    <col min="12818" max="12818" width="8.3984375" style="1584" customWidth="1"/>
    <col min="12819" max="13056" width="9" style="1584"/>
    <col min="13057" max="13057" width="0" style="1584" hidden="1" customWidth="1"/>
    <col min="13058" max="13058" width="6.09765625" style="1584" customWidth="1"/>
    <col min="13059" max="13060" width="5.09765625" style="1584" customWidth="1"/>
    <col min="13061" max="13061" width="5.3984375" style="1584" customWidth="1"/>
    <col min="13062" max="13063" width="9.5" style="1584" customWidth="1"/>
    <col min="13064" max="13064" width="6.3984375" style="1584" customWidth="1"/>
    <col min="13065" max="13065" width="8.59765625" style="1584" customWidth="1"/>
    <col min="13066" max="13066" width="7.5" style="1584" customWidth="1"/>
    <col min="13067" max="13067" width="8.3984375" style="1584" customWidth="1"/>
    <col min="13068" max="13068" width="6.3984375" style="1584" customWidth="1"/>
    <col min="13069" max="13069" width="6.09765625" style="1584" customWidth="1"/>
    <col min="13070" max="13070" width="7.19921875" style="1584" customWidth="1"/>
    <col min="13071" max="13071" width="9" style="1584"/>
    <col min="13072" max="13072" width="6.5" style="1584" customWidth="1"/>
    <col min="13073" max="13073" width="9.3984375" style="1584" customWidth="1"/>
    <col min="13074" max="13074" width="8.3984375" style="1584" customWidth="1"/>
    <col min="13075" max="13312" width="9" style="1584"/>
    <col min="13313" max="13313" width="0" style="1584" hidden="1" customWidth="1"/>
    <col min="13314" max="13314" width="6.09765625" style="1584" customWidth="1"/>
    <col min="13315" max="13316" width="5.09765625" style="1584" customWidth="1"/>
    <col min="13317" max="13317" width="5.3984375" style="1584" customWidth="1"/>
    <col min="13318" max="13319" width="9.5" style="1584" customWidth="1"/>
    <col min="13320" max="13320" width="6.3984375" style="1584" customWidth="1"/>
    <col min="13321" max="13321" width="8.59765625" style="1584" customWidth="1"/>
    <col min="13322" max="13322" width="7.5" style="1584" customWidth="1"/>
    <col min="13323" max="13323" width="8.3984375" style="1584" customWidth="1"/>
    <col min="13324" max="13324" width="6.3984375" style="1584" customWidth="1"/>
    <col min="13325" max="13325" width="6.09765625" style="1584" customWidth="1"/>
    <col min="13326" max="13326" width="7.19921875" style="1584" customWidth="1"/>
    <col min="13327" max="13327" width="9" style="1584"/>
    <col min="13328" max="13328" width="6.5" style="1584" customWidth="1"/>
    <col min="13329" max="13329" width="9.3984375" style="1584" customWidth="1"/>
    <col min="13330" max="13330" width="8.3984375" style="1584" customWidth="1"/>
    <col min="13331" max="13568" width="9" style="1584"/>
    <col min="13569" max="13569" width="0" style="1584" hidden="1" customWidth="1"/>
    <col min="13570" max="13570" width="6.09765625" style="1584" customWidth="1"/>
    <col min="13571" max="13572" width="5.09765625" style="1584" customWidth="1"/>
    <col min="13573" max="13573" width="5.3984375" style="1584" customWidth="1"/>
    <col min="13574" max="13575" width="9.5" style="1584" customWidth="1"/>
    <col min="13576" max="13576" width="6.3984375" style="1584" customWidth="1"/>
    <col min="13577" max="13577" width="8.59765625" style="1584" customWidth="1"/>
    <col min="13578" max="13578" width="7.5" style="1584" customWidth="1"/>
    <col min="13579" max="13579" width="8.3984375" style="1584" customWidth="1"/>
    <col min="13580" max="13580" width="6.3984375" style="1584" customWidth="1"/>
    <col min="13581" max="13581" width="6.09765625" style="1584" customWidth="1"/>
    <col min="13582" max="13582" width="7.19921875" style="1584" customWidth="1"/>
    <col min="13583" max="13583" width="9" style="1584"/>
    <col min="13584" max="13584" width="6.5" style="1584" customWidth="1"/>
    <col min="13585" max="13585" width="9.3984375" style="1584" customWidth="1"/>
    <col min="13586" max="13586" width="8.3984375" style="1584" customWidth="1"/>
    <col min="13587" max="13824" width="9" style="1584"/>
    <col min="13825" max="13825" width="0" style="1584" hidden="1" customWidth="1"/>
    <col min="13826" max="13826" width="6.09765625" style="1584" customWidth="1"/>
    <col min="13827" max="13828" width="5.09765625" style="1584" customWidth="1"/>
    <col min="13829" max="13829" width="5.3984375" style="1584" customWidth="1"/>
    <col min="13830" max="13831" width="9.5" style="1584" customWidth="1"/>
    <col min="13832" max="13832" width="6.3984375" style="1584" customWidth="1"/>
    <col min="13833" max="13833" width="8.59765625" style="1584" customWidth="1"/>
    <col min="13834" max="13834" width="7.5" style="1584" customWidth="1"/>
    <col min="13835" max="13835" width="8.3984375" style="1584" customWidth="1"/>
    <col min="13836" max="13836" width="6.3984375" style="1584" customWidth="1"/>
    <col min="13837" max="13837" width="6.09765625" style="1584" customWidth="1"/>
    <col min="13838" max="13838" width="7.19921875" style="1584" customWidth="1"/>
    <col min="13839" max="13839" width="9" style="1584"/>
    <col min="13840" max="13840" width="6.5" style="1584" customWidth="1"/>
    <col min="13841" max="13841" width="9.3984375" style="1584" customWidth="1"/>
    <col min="13842" max="13842" width="8.3984375" style="1584" customWidth="1"/>
    <col min="13843" max="14080" width="9" style="1584"/>
    <col min="14081" max="14081" width="0" style="1584" hidden="1" customWidth="1"/>
    <col min="14082" max="14082" width="6.09765625" style="1584" customWidth="1"/>
    <col min="14083" max="14084" width="5.09765625" style="1584" customWidth="1"/>
    <col min="14085" max="14085" width="5.3984375" style="1584" customWidth="1"/>
    <col min="14086" max="14087" width="9.5" style="1584" customWidth="1"/>
    <col min="14088" max="14088" width="6.3984375" style="1584" customWidth="1"/>
    <col min="14089" max="14089" width="8.59765625" style="1584" customWidth="1"/>
    <col min="14090" max="14090" width="7.5" style="1584" customWidth="1"/>
    <col min="14091" max="14091" width="8.3984375" style="1584" customWidth="1"/>
    <col min="14092" max="14092" width="6.3984375" style="1584" customWidth="1"/>
    <col min="14093" max="14093" width="6.09765625" style="1584" customWidth="1"/>
    <col min="14094" max="14094" width="7.19921875" style="1584" customWidth="1"/>
    <col min="14095" max="14095" width="9" style="1584"/>
    <col min="14096" max="14096" width="6.5" style="1584" customWidth="1"/>
    <col min="14097" max="14097" width="9.3984375" style="1584" customWidth="1"/>
    <col min="14098" max="14098" width="8.3984375" style="1584" customWidth="1"/>
    <col min="14099" max="14336" width="9" style="1584"/>
    <col min="14337" max="14337" width="0" style="1584" hidden="1" customWidth="1"/>
    <col min="14338" max="14338" width="6.09765625" style="1584" customWidth="1"/>
    <col min="14339" max="14340" width="5.09765625" style="1584" customWidth="1"/>
    <col min="14341" max="14341" width="5.3984375" style="1584" customWidth="1"/>
    <col min="14342" max="14343" width="9.5" style="1584" customWidth="1"/>
    <col min="14344" max="14344" width="6.3984375" style="1584" customWidth="1"/>
    <col min="14345" max="14345" width="8.59765625" style="1584" customWidth="1"/>
    <col min="14346" max="14346" width="7.5" style="1584" customWidth="1"/>
    <col min="14347" max="14347" width="8.3984375" style="1584" customWidth="1"/>
    <col min="14348" max="14348" width="6.3984375" style="1584" customWidth="1"/>
    <col min="14349" max="14349" width="6.09765625" style="1584" customWidth="1"/>
    <col min="14350" max="14350" width="7.19921875" style="1584" customWidth="1"/>
    <col min="14351" max="14351" width="9" style="1584"/>
    <col min="14352" max="14352" width="6.5" style="1584" customWidth="1"/>
    <col min="14353" max="14353" width="9.3984375" style="1584" customWidth="1"/>
    <col min="14354" max="14354" width="8.3984375" style="1584" customWidth="1"/>
    <col min="14355" max="14592" width="9" style="1584"/>
    <col min="14593" max="14593" width="0" style="1584" hidden="1" customWidth="1"/>
    <col min="14594" max="14594" width="6.09765625" style="1584" customWidth="1"/>
    <col min="14595" max="14596" width="5.09765625" style="1584" customWidth="1"/>
    <col min="14597" max="14597" width="5.3984375" style="1584" customWidth="1"/>
    <col min="14598" max="14599" width="9.5" style="1584" customWidth="1"/>
    <col min="14600" max="14600" width="6.3984375" style="1584" customWidth="1"/>
    <col min="14601" max="14601" width="8.59765625" style="1584" customWidth="1"/>
    <col min="14602" max="14602" width="7.5" style="1584" customWidth="1"/>
    <col min="14603" max="14603" width="8.3984375" style="1584" customWidth="1"/>
    <col min="14604" max="14604" width="6.3984375" style="1584" customWidth="1"/>
    <col min="14605" max="14605" width="6.09765625" style="1584" customWidth="1"/>
    <col min="14606" max="14606" width="7.19921875" style="1584" customWidth="1"/>
    <col min="14607" max="14607" width="9" style="1584"/>
    <col min="14608" max="14608" width="6.5" style="1584" customWidth="1"/>
    <col min="14609" max="14609" width="9.3984375" style="1584" customWidth="1"/>
    <col min="14610" max="14610" width="8.3984375" style="1584" customWidth="1"/>
    <col min="14611" max="14848" width="9" style="1584"/>
    <col min="14849" max="14849" width="0" style="1584" hidden="1" customWidth="1"/>
    <col min="14850" max="14850" width="6.09765625" style="1584" customWidth="1"/>
    <col min="14851" max="14852" width="5.09765625" style="1584" customWidth="1"/>
    <col min="14853" max="14853" width="5.3984375" style="1584" customWidth="1"/>
    <col min="14854" max="14855" width="9.5" style="1584" customWidth="1"/>
    <col min="14856" max="14856" width="6.3984375" style="1584" customWidth="1"/>
    <col min="14857" max="14857" width="8.59765625" style="1584" customWidth="1"/>
    <col min="14858" max="14858" width="7.5" style="1584" customWidth="1"/>
    <col min="14859" max="14859" width="8.3984375" style="1584" customWidth="1"/>
    <col min="14860" max="14860" width="6.3984375" style="1584" customWidth="1"/>
    <col min="14861" max="14861" width="6.09765625" style="1584" customWidth="1"/>
    <col min="14862" max="14862" width="7.19921875" style="1584" customWidth="1"/>
    <col min="14863" max="14863" width="9" style="1584"/>
    <col min="14864" max="14864" width="6.5" style="1584" customWidth="1"/>
    <col min="14865" max="14865" width="9.3984375" style="1584" customWidth="1"/>
    <col min="14866" max="14866" width="8.3984375" style="1584" customWidth="1"/>
    <col min="14867" max="15104" width="9" style="1584"/>
    <col min="15105" max="15105" width="0" style="1584" hidden="1" customWidth="1"/>
    <col min="15106" max="15106" width="6.09765625" style="1584" customWidth="1"/>
    <col min="15107" max="15108" width="5.09765625" style="1584" customWidth="1"/>
    <col min="15109" max="15109" width="5.3984375" style="1584" customWidth="1"/>
    <col min="15110" max="15111" width="9.5" style="1584" customWidth="1"/>
    <col min="15112" max="15112" width="6.3984375" style="1584" customWidth="1"/>
    <col min="15113" max="15113" width="8.59765625" style="1584" customWidth="1"/>
    <col min="15114" max="15114" width="7.5" style="1584" customWidth="1"/>
    <col min="15115" max="15115" width="8.3984375" style="1584" customWidth="1"/>
    <col min="15116" max="15116" width="6.3984375" style="1584" customWidth="1"/>
    <col min="15117" max="15117" width="6.09765625" style="1584" customWidth="1"/>
    <col min="15118" max="15118" width="7.19921875" style="1584" customWidth="1"/>
    <col min="15119" max="15119" width="9" style="1584"/>
    <col min="15120" max="15120" width="6.5" style="1584" customWidth="1"/>
    <col min="15121" max="15121" width="9.3984375" style="1584" customWidth="1"/>
    <col min="15122" max="15122" width="8.3984375" style="1584" customWidth="1"/>
    <col min="15123" max="15360" width="9" style="1584"/>
    <col min="15361" max="15361" width="0" style="1584" hidden="1" customWidth="1"/>
    <col min="15362" max="15362" width="6.09765625" style="1584" customWidth="1"/>
    <col min="15363" max="15364" width="5.09765625" style="1584" customWidth="1"/>
    <col min="15365" max="15365" width="5.3984375" style="1584" customWidth="1"/>
    <col min="15366" max="15367" width="9.5" style="1584" customWidth="1"/>
    <col min="15368" max="15368" width="6.3984375" style="1584" customWidth="1"/>
    <col min="15369" max="15369" width="8.59765625" style="1584" customWidth="1"/>
    <col min="15370" max="15370" width="7.5" style="1584" customWidth="1"/>
    <col min="15371" max="15371" width="8.3984375" style="1584" customWidth="1"/>
    <col min="15372" max="15372" width="6.3984375" style="1584" customWidth="1"/>
    <col min="15373" max="15373" width="6.09765625" style="1584" customWidth="1"/>
    <col min="15374" max="15374" width="7.19921875" style="1584" customWidth="1"/>
    <col min="15375" max="15375" width="9" style="1584"/>
    <col min="15376" max="15376" width="6.5" style="1584" customWidth="1"/>
    <col min="15377" max="15377" width="9.3984375" style="1584" customWidth="1"/>
    <col min="15378" max="15378" width="8.3984375" style="1584" customWidth="1"/>
    <col min="15379" max="15616" width="9" style="1584"/>
    <col min="15617" max="15617" width="0" style="1584" hidden="1" customWidth="1"/>
    <col min="15618" max="15618" width="6.09765625" style="1584" customWidth="1"/>
    <col min="15619" max="15620" width="5.09765625" style="1584" customWidth="1"/>
    <col min="15621" max="15621" width="5.3984375" style="1584" customWidth="1"/>
    <col min="15622" max="15623" width="9.5" style="1584" customWidth="1"/>
    <col min="15624" max="15624" width="6.3984375" style="1584" customWidth="1"/>
    <col min="15625" max="15625" width="8.59765625" style="1584" customWidth="1"/>
    <col min="15626" max="15626" width="7.5" style="1584" customWidth="1"/>
    <col min="15627" max="15627" width="8.3984375" style="1584" customWidth="1"/>
    <col min="15628" max="15628" width="6.3984375" style="1584" customWidth="1"/>
    <col min="15629" max="15629" width="6.09765625" style="1584" customWidth="1"/>
    <col min="15630" max="15630" width="7.19921875" style="1584" customWidth="1"/>
    <col min="15631" max="15631" width="9" style="1584"/>
    <col min="15632" max="15632" width="6.5" style="1584" customWidth="1"/>
    <col min="15633" max="15633" width="9.3984375" style="1584" customWidth="1"/>
    <col min="15634" max="15634" width="8.3984375" style="1584" customWidth="1"/>
    <col min="15635" max="15872" width="9" style="1584"/>
    <col min="15873" max="15873" width="0" style="1584" hidden="1" customWidth="1"/>
    <col min="15874" max="15874" width="6.09765625" style="1584" customWidth="1"/>
    <col min="15875" max="15876" width="5.09765625" style="1584" customWidth="1"/>
    <col min="15877" max="15877" width="5.3984375" style="1584" customWidth="1"/>
    <col min="15878" max="15879" width="9.5" style="1584" customWidth="1"/>
    <col min="15880" max="15880" width="6.3984375" style="1584" customWidth="1"/>
    <col min="15881" max="15881" width="8.59765625" style="1584" customWidth="1"/>
    <col min="15882" max="15882" width="7.5" style="1584" customWidth="1"/>
    <col min="15883" max="15883" width="8.3984375" style="1584" customWidth="1"/>
    <col min="15884" max="15884" width="6.3984375" style="1584" customWidth="1"/>
    <col min="15885" max="15885" width="6.09765625" style="1584" customWidth="1"/>
    <col min="15886" max="15886" width="7.19921875" style="1584" customWidth="1"/>
    <col min="15887" max="15887" width="9" style="1584"/>
    <col min="15888" max="15888" width="6.5" style="1584" customWidth="1"/>
    <col min="15889" max="15889" width="9.3984375" style="1584" customWidth="1"/>
    <col min="15890" max="15890" width="8.3984375" style="1584" customWidth="1"/>
    <col min="15891" max="16128" width="9" style="1584"/>
    <col min="16129" max="16129" width="0" style="1584" hidden="1" customWidth="1"/>
    <col min="16130" max="16130" width="6.09765625" style="1584" customWidth="1"/>
    <col min="16131" max="16132" width="5.09765625" style="1584" customWidth="1"/>
    <col min="16133" max="16133" width="5.3984375" style="1584" customWidth="1"/>
    <col min="16134" max="16135" width="9.5" style="1584" customWidth="1"/>
    <col min="16136" max="16136" width="6.3984375" style="1584" customWidth="1"/>
    <col min="16137" max="16137" width="8.59765625" style="1584" customWidth="1"/>
    <col min="16138" max="16138" width="7.5" style="1584" customWidth="1"/>
    <col min="16139" max="16139" width="8.3984375" style="1584" customWidth="1"/>
    <col min="16140" max="16140" width="6.3984375" style="1584" customWidth="1"/>
    <col min="16141" max="16141" width="6.09765625" style="1584" customWidth="1"/>
    <col min="16142" max="16142" width="7.19921875" style="1584" customWidth="1"/>
    <col min="16143" max="16143" width="9" style="1584"/>
    <col min="16144" max="16144" width="6.5" style="1584" customWidth="1"/>
    <col min="16145" max="16145" width="9.3984375" style="1584" customWidth="1"/>
    <col min="16146" max="16146" width="8.3984375" style="1584" customWidth="1"/>
    <col min="16147" max="16384" width="9" style="1584"/>
  </cols>
  <sheetData>
    <row r="1" spans="1:19" s="1583" customFormat="1" ht="17.25" customHeight="1">
      <c r="A1" s="3400" t="s">
        <v>5521</v>
      </c>
      <c r="B1" s="3400"/>
      <c r="C1" s="3400"/>
      <c r="D1" s="3400"/>
      <c r="E1" s="3400"/>
      <c r="F1" s="3400"/>
      <c r="G1" s="3400"/>
      <c r="H1" s="3400"/>
      <c r="I1" s="3400"/>
      <c r="J1" s="3400"/>
      <c r="K1" s="3400"/>
      <c r="L1" s="3400"/>
      <c r="M1" s="3400"/>
      <c r="N1" s="3400"/>
      <c r="O1" s="3400"/>
      <c r="P1" s="3400"/>
      <c r="Q1" s="3400"/>
      <c r="R1" s="3959"/>
    </row>
    <row r="2" spans="1:19" ht="36.75" customHeight="1">
      <c r="A2" s="3401" t="s">
        <v>5522</v>
      </c>
      <c r="B2" s="3401"/>
      <c r="C2" s="3401"/>
      <c r="D2" s="3401"/>
      <c r="E2" s="3401"/>
      <c r="F2" s="3401"/>
      <c r="G2" s="3401"/>
      <c r="H2" s="3401"/>
      <c r="I2" s="3401"/>
      <c r="J2" s="3401"/>
      <c r="K2" s="3401"/>
      <c r="L2" s="3401"/>
      <c r="M2" s="3401"/>
      <c r="N2" s="3401"/>
      <c r="O2" s="3401"/>
      <c r="P2" s="3401"/>
      <c r="Q2" s="3401"/>
      <c r="R2" s="3470"/>
    </row>
    <row r="3" spans="1:19" s="1585" customFormat="1" ht="42.75" customHeight="1">
      <c r="A3" s="3471" t="s">
        <v>645</v>
      </c>
      <c r="B3" s="3407" t="s">
        <v>953</v>
      </c>
      <c r="C3" s="3407" t="s">
        <v>5523</v>
      </c>
      <c r="D3" s="3407" t="s">
        <v>954</v>
      </c>
      <c r="E3" s="3407" t="s">
        <v>7690</v>
      </c>
      <c r="F3" s="3407" t="s">
        <v>5524</v>
      </c>
      <c r="G3" s="3407"/>
      <c r="H3" s="3407" t="s">
        <v>5525</v>
      </c>
      <c r="I3" s="3407"/>
      <c r="J3" s="3407"/>
      <c r="K3" s="3407" t="s">
        <v>5526</v>
      </c>
      <c r="L3" s="3407"/>
      <c r="M3" s="3407"/>
      <c r="N3" s="3407"/>
      <c r="O3" s="3407"/>
      <c r="P3" s="3407"/>
      <c r="Q3" s="3405" t="s">
        <v>5482</v>
      </c>
      <c r="R3" s="3407" t="s">
        <v>4899</v>
      </c>
    </row>
    <row r="4" spans="1:19" s="1585" customFormat="1" ht="78" customHeight="1">
      <c r="A4" s="3472"/>
      <c r="B4" s="3407"/>
      <c r="C4" s="3407"/>
      <c r="D4" s="3407"/>
      <c r="E4" s="3407"/>
      <c r="F4" s="1848" t="s">
        <v>5527</v>
      </c>
      <c r="G4" s="1848" t="s">
        <v>5528</v>
      </c>
      <c r="H4" s="1848" t="s">
        <v>5529</v>
      </c>
      <c r="I4" s="1848" t="s">
        <v>5530</v>
      </c>
      <c r="J4" s="1848" t="s">
        <v>5531</v>
      </c>
      <c r="K4" s="1848" t="s">
        <v>5532</v>
      </c>
      <c r="L4" s="1848" t="s">
        <v>7691</v>
      </c>
      <c r="M4" s="1848" t="s">
        <v>5533</v>
      </c>
      <c r="N4" s="1848" t="s">
        <v>5534</v>
      </c>
      <c r="O4" s="1848" t="s">
        <v>5535</v>
      </c>
      <c r="P4" s="1848" t="s">
        <v>5531</v>
      </c>
      <c r="Q4" s="3406"/>
      <c r="R4" s="3407"/>
    </row>
    <row r="5" spans="1:19" ht="46.5" customHeight="1">
      <c r="A5" s="3472"/>
      <c r="B5" s="1837">
        <v>1</v>
      </c>
      <c r="C5" s="1863">
        <v>2</v>
      </c>
      <c r="D5" s="1863">
        <v>3</v>
      </c>
      <c r="E5" s="1863">
        <v>4</v>
      </c>
      <c r="F5" s="1863">
        <v>5</v>
      </c>
      <c r="G5" s="1863">
        <v>6</v>
      </c>
      <c r="H5" s="1863">
        <v>7</v>
      </c>
      <c r="I5" s="1863">
        <v>8</v>
      </c>
      <c r="J5" s="1863" t="s">
        <v>5536</v>
      </c>
      <c r="K5" s="1863">
        <v>10</v>
      </c>
      <c r="L5" s="1863">
        <v>11</v>
      </c>
      <c r="M5" s="1863" t="s">
        <v>5537</v>
      </c>
      <c r="N5" s="1863" t="s">
        <v>5538</v>
      </c>
      <c r="O5" s="1863">
        <v>14</v>
      </c>
      <c r="P5" s="1863" t="s">
        <v>5539</v>
      </c>
      <c r="Q5" s="1864" t="s">
        <v>5540</v>
      </c>
      <c r="R5" s="1958"/>
      <c r="S5" s="1586"/>
    </row>
    <row r="6" spans="1:19" ht="14.25" customHeight="1">
      <c r="A6" s="1582">
        <v>1</v>
      </c>
      <c r="B6" s="1869" t="str">
        <f>IF(股息红利优惠审核表!B6=0,"",股息红利优惠审核表!B6)</f>
        <v/>
      </c>
      <c r="C6" s="1869" t="str">
        <f>IF(股息红利优惠审核表!C6=0,"",股息红利优惠审核表!C6)</f>
        <v/>
      </c>
      <c r="D6" s="2072">
        <f>股息红利优惠审核表!D6</f>
        <v>0</v>
      </c>
      <c r="E6" s="2072">
        <f>股息红利优惠审核表!E6</f>
        <v>0</v>
      </c>
      <c r="F6" s="1869" t="str">
        <f>IF(B6="","",TEXT(股息红利优惠审核表!F6,"yyyy-mm-dd"))</f>
        <v/>
      </c>
      <c r="G6" s="2072">
        <f>股息红利优惠审核表!G6</f>
        <v>0</v>
      </c>
      <c r="H6" s="2072">
        <f>股息红利优惠审核表!H6</f>
        <v>0</v>
      </c>
      <c r="I6" s="2072">
        <f>股息红利优惠审核表!I6</f>
        <v>0</v>
      </c>
      <c r="J6" s="2072">
        <f>股息红利优惠审核表!J6</f>
        <v>0</v>
      </c>
      <c r="K6" s="2072">
        <f>股息红利优惠审核表!K6</f>
        <v>0</v>
      </c>
      <c r="L6" s="2072">
        <f>股息红利优惠审核表!L6</f>
        <v>0</v>
      </c>
      <c r="M6" s="2072">
        <f>股息红利优惠审核表!M6</f>
        <v>0</v>
      </c>
      <c r="N6" s="2072">
        <f>股息红利优惠审核表!N6</f>
        <v>0</v>
      </c>
      <c r="O6" s="2072">
        <f>股息红利优惠审核表!O6</f>
        <v>0</v>
      </c>
      <c r="P6" s="2072">
        <f>股息红利优惠审核表!P6</f>
        <v>0</v>
      </c>
      <c r="Q6" s="2072">
        <f>股息红利优惠审核表!Q6</f>
        <v>0</v>
      </c>
      <c r="R6" s="1979"/>
    </row>
    <row r="7" spans="1:19" ht="14.25" customHeight="1">
      <c r="A7" s="1582">
        <v>2</v>
      </c>
      <c r="B7" s="1869" t="str">
        <f>IF(股息红利优惠审核表!B7=0,"",股息红利优惠审核表!B7)</f>
        <v/>
      </c>
      <c r="C7" s="1869" t="str">
        <f>IF(股息红利优惠审核表!C7=0,"",股息红利优惠审核表!C7)</f>
        <v/>
      </c>
      <c r="D7" s="2072">
        <f>股息红利优惠审核表!D7</f>
        <v>0</v>
      </c>
      <c r="E7" s="2072">
        <f>股息红利优惠审核表!E7</f>
        <v>0</v>
      </c>
      <c r="F7" s="1869" t="str">
        <f>IF(B7="","",TEXT(股息红利优惠审核表!F7,"yyyy-mm-dd"))</f>
        <v/>
      </c>
      <c r="G7" s="2072">
        <f>股息红利优惠审核表!G7</f>
        <v>0</v>
      </c>
      <c r="H7" s="2072">
        <f>股息红利优惠审核表!H7</f>
        <v>0</v>
      </c>
      <c r="I7" s="2072">
        <f>股息红利优惠审核表!I7</f>
        <v>0</v>
      </c>
      <c r="J7" s="2072">
        <f>股息红利优惠审核表!J7</f>
        <v>0</v>
      </c>
      <c r="K7" s="2072">
        <f>股息红利优惠审核表!K7</f>
        <v>0</v>
      </c>
      <c r="L7" s="2072">
        <f>股息红利优惠审核表!L7</f>
        <v>0</v>
      </c>
      <c r="M7" s="2072">
        <f>股息红利优惠审核表!M7</f>
        <v>0</v>
      </c>
      <c r="N7" s="2072">
        <f>股息红利优惠审核表!N7</f>
        <v>0</v>
      </c>
      <c r="O7" s="2072">
        <f>股息红利优惠审核表!O7</f>
        <v>0</v>
      </c>
      <c r="P7" s="2072">
        <f>股息红利优惠审核表!P7</f>
        <v>0</v>
      </c>
      <c r="Q7" s="2072">
        <f>股息红利优惠审核表!Q7</f>
        <v>0</v>
      </c>
      <c r="R7" s="1979"/>
    </row>
    <row r="8" spans="1:19" ht="14.25" customHeight="1">
      <c r="A8" s="1582">
        <v>3</v>
      </c>
      <c r="B8" s="1869" t="str">
        <f>IF(股息红利优惠审核表!B8=0,"",股息红利优惠审核表!B8)</f>
        <v/>
      </c>
      <c r="C8" s="1869" t="str">
        <f>IF(股息红利优惠审核表!C8=0,"",股息红利优惠审核表!C8)</f>
        <v/>
      </c>
      <c r="D8" s="2072">
        <f>股息红利优惠审核表!D8</f>
        <v>0</v>
      </c>
      <c r="E8" s="2072">
        <f>股息红利优惠审核表!E8</f>
        <v>0</v>
      </c>
      <c r="F8" s="1869" t="str">
        <f>IF(B8="","",TEXT(股息红利优惠审核表!F8,"yyyy-mm-dd"))</f>
        <v/>
      </c>
      <c r="G8" s="2072">
        <f>股息红利优惠审核表!G8</f>
        <v>0</v>
      </c>
      <c r="H8" s="2072">
        <f>股息红利优惠审核表!H8</f>
        <v>0</v>
      </c>
      <c r="I8" s="2072">
        <f>股息红利优惠审核表!I8</f>
        <v>0</v>
      </c>
      <c r="J8" s="2072">
        <f>股息红利优惠审核表!J8</f>
        <v>0</v>
      </c>
      <c r="K8" s="2072">
        <f>股息红利优惠审核表!K8</f>
        <v>0</v>
      </c>
      <c r="L8" s="2072">
        <f>股息红利优惠审核表!L8</f>
        <v>0</v>
      </c>
      <c r="M8" s="2072">
        <f>股息红利优惠审核表!M8</f>
        <v>0</v>
      </c>
      <c r="N8" s="2072">
        <f>股息红利优惠审核表!N8</f>
        <v>0</v>
      </c>
      <c r="O8" s="2072">
        <f>股息红利优惠审核表!O8</f>
        <v>0</v>
      </c>
      <c r="P8" s="2072">
        <f>股息红利优惠审核表!P8</f>
        <v>0</v>
      </c>
      <c r="Q8" s="2072">
        <f>股息红利优惠审核表!Q8</f>
        <v>0</v>
      </c>
      <c r="R8" s="1979"/>
      <c r="S8" s="1770" t="s">
        <v>6457</v>
      </c>
    </row>
    <row r="9" spans="1:19" ht="14.25" customHeight="1">
      <c r="A9" s="1582">
        <v>4</v>
      </c>
      <c r="B9" s="1869" t="str">
        <f>IF(股息红利优惠审核表!B9=0,"",股息红利优惠审核表!B9)</f>
        <v/>
      </c>
      <c r="C9" s="1869" t="str">
        <f>IF(股息红利优惠审核表!C9=0,"",股息红利优惠审核表!C9)</f>
        <v/>
      </c>
      <c r="D9" s="2072">
        <f>股息红利优惠审核表!D9</f>
        <v>0</v>
      </c>
      <c r="E9" s="2072">
        <f>股息红利优惠审核表!E9</f>
        <v>0</v>
      </c>
      <c r="F9" s="1869" t="str">
        <f>IF(B9="","",TEXT(股息红利优惠审核表!F9,"yyyy-mm-dd"))</f>
        <v/>
      </c>
      <c r="G9" s="2072">
        <f>股息红利优惠审核表!G9</f>
        <v>0</v>
      </c>
      <c r="H9" s="2072">
        <f>股息红利优惠审核表!H9</f>
        <v>0</v>
      </c>
      <c r="I9" s="2072">
        <f>股息红利优惠审核表!I9</f>
        <v>0</v>
      </c>
      <c r="J9" s="2072">
        <f>股息红利优惠审核表!J9</f>
        <v>0</v>
      </c>
      <c r="K9" s="2072">
        <f>股息红利优惠审核表!K9</f>
        <v>0</v>
      </c>
      <c r="L9" s="2072">
        <f>股息红利优惠审核表!L9</f>
        <v>0</v>
      </c>
      <c r="M9" s="2072">
        <f>股息红利优惠审核表!M9</f>
        <v>0</v>
      </c>
      <c r="N9" s="2072">
        <f>股息红利优惠审核表!N9</f>
        <v>0</v>
      </c>
      <c r="O9" s="2072">
        <f>股息红利优惠审核表!O9</f>
        <v>0</v>
      </c>
      <c r="P9" s="2072">
        <f>股息红利优惠审核表!P9</f>
        <v>0</v>
      </c>
      <c r="Q9" s="2072">
        <f>股息红利优惠审核表!Q9</f>
        <v>0</v>
      </c>
      <c r="R9" s="1979"/>
    </row>
    <row r="10" spans="1:19" ht="14.25" customHeight="1">
      <c r="A10" s="1582">
        <v>5</v>
      </c>
      <c r="B10" s="1869" t="str">
        <f>IF(股息红利优惠审核表!B10=0,"",股息红利优惠审核表!B10)</f>
        <v/>
      </c>
      <c r="C10" s="1869" t="str">
        <f>IF(股息红利优惠审核表!C10=0,"",股息红利优惠审核表!C10)</f>
        <v/>
      </c>
      <c r="D10" s="2072">
        <f>股息红利优惠审核表!D10</f>
        <v>0</v>
      </c>
      <c r="E10" s="2072">
        <f>股息红利优惠审核表!E10</f>
        <v>0</v>
      </c>
      <c r="F10" s="1869" t="str">
        <f>IF(B10="","",TEXT(股息红利优惠审核表!F10,"yyyy-mm-dd"))</f>
        <v/>
      </c>
      <c r="G10" s="2072">
        <f>股息红利优惠审核表!G10</f>
        <v>0</v>
      </c>
      <c r="H10" s="2072">
        <f>股息红利优惠审核表!H10</f>
        <v>0</v>
      </c>
      <c r="I10" s="2072">
        <f>股息红利优惠审核表!I10</f>
        <v>0</v>
      </c>
      <c r="J10" s="2072">
        <f>股息红利优惠审核表!J10</f>
        <v>0</v>
      </c>
      <c r="K10" s="2072">
        <f>股息红利优惠审核表!K10</f>
        <v>0</v>
      </c>
      <c r="L10" s="2072">
        <f>股息红利优惠审核表!L10</f>
        <v>0</v>
      </c>
      <c r="M10" s="2072">
        <f>股息红利优惠审核表!M10</f>
        <v>0</v>
      </c>
      <c r="N10" s="2072">
        <f>股息红利优惠审核表!N10</f>
        <v>0</v>
      </c>
      <c r="O10" s="2072">
        <f>股息红利优惠审核表!O10</f>
        <v>0</v>
      </c>
      <c r="P10" s="2072">
        <f>股息红利优惠审核表!P10</f>
        <v>0</v>
      </c>
      <c r="Q10" s="2072">
        <f>股息红利优惠审核表!Q10</f>
        <v>0</v>
      </c>
      <c r="R10" s="1979"/>
    </row>
    <row r="11" spans="1:19" ht="14.25" customHeight="1">
      <c r="A11" s="1582">
        <v>6</v>
      </c>
      <c r="B11" s="1869" t="str">
        <f>IF(股息红利优惠审核表!B11=0,"",股息红利优惠审核表!B11)</f>
        <v/>
      </c>
      <c r="C11" s="1869" t="str">
        <f>IF(股息红利优惠审核表!C11=0,"",股息红利优惠审核表!C11)</f>
        <v/>
      </c>
      <c r="D11" s="2072">
        <f>股息红利优惠审核表!D11</f>
        <v>0</v>
      </c>
      <c r="E11" s="2072">
        <f>股息红利优惠审核表!E11</f>
        <v>0</v>
      </c>
      <c r="F11" s="1869" t="str">
        <f>IF(B11="","",TEXT(股息红利优惠审核表!F11,"yyyy-mm-dd"))</f>
        <v/>
      </c>
      <c r="G11" s="2072">
        <f>股息红利优惠审核表!G11</f>
        <v>0</v>
      </c>
      <c r="H11" s="2072">
        <f>股息红利优惠审核表!H11</f>
        <v>0</v>
      </c>
      <c r="I11" s="2072">
        <f>股息红利优惠审核表!I11</f>
        <v>0</v>
      </c>
      <c r="J11" s="2072">
        <f>股息红利优惠审核表!J11</f>
        <v>0</v>
      </c>
      <c r="K11" s="2072">
        <f>股息红利优惠审核表!K11</f>
        <v>0</v>
      </c>
      <c r="L11" s="2072">
        <f>股息红利优惠审核表!L11</f>
        <v>0</v>
      </c>
      <c r="M11" s="2072">
        <f>股息红利优惠审核表!M11</f>
        <v>0</v>
      </c>
      <c r="N11" s="2072">
        <f>股息红利优惠审核表!N11</f>
        <v>0</v>
      </c>
      <c r="O11" s="2072">
        <f>股息红利优惠审核表!O11</f>
        <v>0</v>
      </c>
      <c r="P11" s="2072">
        <f>股息红利优惠审核表!P11</f>
        <v>0</v>
      </c>
      <c r="Q11" s="2072">
        <f>股息红利优惠审核表!Q11</f>
        <v>0</v>
      </c>
      <c r="R11" s="1979"/>
    </row>
    <row r="12" spans="1:19" ht="14.25" customHeight="1">
      <c r="A12" s="1582">
        <v>7</v>
      </c>
      <c r="B12" s="1869" t="str">
        <f>IF(股息红利优惠审核表!B12=0,"",股息红利优惠审核表!B12)</f>
        <v/>
      </c>
      <c r="C12" s="1869" t="str">
        <f>IF(股息红利优惠审核表!C12=0,"",股息红利优惠审核表!C12)</f>
        <v/>
      </c>
      <c r="D12" s="2072">
        <f>股息红利优惠审核表!D12</f>
        <v>0</v>
      </c>
      <c r="E12" s="2072">
        <f>股息红利优惠审核表!E12</f>
        <v>0</v>
      </c>
      <c r="F12" s="1869" t="str">
        <f>IF(B12="","",TEXT(股息红利优惠审核表!F12,"yyyy-mm-dd"))</f>
        <v/>
      </c>
      <c r="G12" s="2072">
        <f>股息红利优惠审核表!G12</f>
        <v>0</v>
      </c>
      <c r="H12" s="2072">
        <f>股息红利优惠审核表!H12</f>
        <v>0</v>
      </c>
      <c r="I12" s="2072">
        <f>股息红利优惠审核表!I12</f>
        <v>0</v>
      </c>
      <c r="J12" s="2072">
        <f>股息红利优惠审核表!J12</f>
        <v>0</v>
      </c>
      <c r="K12" s="2072">
        <f>股息红利优惠审核表!K12</f>
        <v>0</v>
      </c>
      <c r="L12" s="2072">
        <f>股息红利优惠审核表!L12</f>
        <v>0</v>
      </c>
      <c r="M12" s="2072">
        <f>股息红利优惠审核表!M12</f>
        <v>0</v>
      </c>
      <c r="N12" s="2072">
        <f>股息红利优惠审核表!N12</f>
        <v>0</v>
      </c>
      <c r="O12" s="2072">
        <f>股息红利优惠审核表!O12</f>
        <v>0</v>
      </c>
      <c r="P12" s="2072">
        <f>股息红利优惠审核表!P12</f>
        <v>0</v>
      </c>
      <c r="Q12" s="2072">
        <f>股息红利优惠审核表!Q12</f>
        <v>0</v>
      </c>
      <c r="R12" s="1979"/>
    </row>
    <row r="13" spans="1:19" ht="14.25" customHeight="1">
      <c r="A13" s="1582">
        <v>8</v>
      </c>
      <c r="B13" s="1869" t="str">
        <f>IF(股息红利优惠审核表!B13=0,"",股息红利优惠审核表!B13)</f>
        <v/>
      </c>
      <c r="C13" s="1869" t="str">
        <f>IF(股息红利优惠审核表!C13=0,"",股息红利优惠审核表!C13)</f>
        <v/>
      </c>
      <c r="D13" s="2072">
        <f>股息红利优惠审核表!D13</f>
        <v>0</v>
      </c>
      <c r="E13" s="2072">
        <f>股息红利优惠审核表!E13</f>
        <v>0</v>
      </c>
      <c r="F13" s="1869" t="str">
        <f>IF(B13="","",TEXT(股息红利优惠审核表!F13,"yyyy-mm-dd"))</f>
        <v/>
      </c>
      <c r="G13" s="2072">
        <f>股息红利优惠审核表!G13</f>
        <v>0</v>
      </c>
      <c r="H13" s="2072">
        <f>股息红利优惠审核表!H13</f>
        <v>0</v>
      </c>
      <c r="I13" s="2072">
        <f>股息红利优惠审核表!I13</f>
        <v>0</v>
      </c>
      <c r="J13" s="2072">
        <f>股息红利优惠审核表!J13</f>
        <v>0</v>
      </c>
      <c r="K13" s="2072">
        <f>股息红利优惠审核表!K13</f>
        <v>0</v>
      </c>
      <c r="L13" s="2072">
        <f>股息红利优惠审核表!L13</f>
        <v>0</v>
      </c>
      <c r="M13" s="2072">
        <f>股息红利优惠审核表!M13</f>
        <v>0</v>
      </c>
      <c r="N13" s="2072">
        <f>股息红利优惠审核表!N13</f>
        <v>0</v>
      </c>
      <c r="O13" s="2072">
        <f>股息红利优惠审核表!O13</f>
        <v>0</v>
      </c>
      <c r="P13" s="2072">
        <f>股息红利优惠审核表!P13</f>
        <v>0</v>
      </c>
      <c r="Q13" s="2072">
        <f>股息红利优惠审核表!Q13</f>
        <v>0</v>
      </c>
      <c r="R13" s="1979"/>
    </row>
    <row r="14" spans="1:19" ht="14.25" customHeight="1">
      <c r="A14" s="1582">
        <v>9</v>
      </c>
      <c r="B14" s="1869" t="str">
        <f>IF(股息红利优惠审核表!B14=0,"",股息红利优惠审核表!B14)</f>
        <v/>
      </c>
      <c r="C14" s="1869" t="str">
        <f>IF(股息红利优惠审核表!C14=0,"",股息红利优惠审核表!C14)</f>
        <v/>
      </c>
      <c r="D14" s="2072">
        <f>股息红利优惠审核表!D14</f>
        <v>0</v>
      </c>
      <c r="E14" s="2072">
        <f>股息红利优惠审核表!E14</f>
        <v>0</v>
      </c>
      <c r="F14" s="1869" t="str">
        <f>IF(B14="","",TEXT(股息红利优惠审核表!F14,"yyyy-mm-dd"))</f>
        <v/>
      </c>
      <c r="G14" s="2072">
        <f>股息红利优惠审核表!G14</f>
        <v>0</v>
      </c>
      <c r="H14" s="2072">
        <f>股息红利优惠审核表!H14</f>
        <v>0</v>
      </c>
      <c r="I14" s="2072">
        <f>股息红利优惠审核表!I14</f>
        <v>0</v>
      </c>
      <c r="J14" s="2072">
        <f>股息红利优惠审核表!J14</f>
        <v>0</v>
      </c>
      <c r="K14" s="2072">
        <f>股息红利优惠审核表!K14</f>
        <v>0</v>
      </c>
      <c r="L14" s="2072">
        <f>股息红利优惠审核表!L14</f>
        <v>0</v>
      </c>
      <c r="M14" s="2072">
        <f>股息红利优惠审核表!M14</f>
        <v>0</v>
      </c>
      <c r="N14" s="2072">
        <f>股息红利优惠审核表!N14</f>
        <v>0</v>
      </c>
      <c r="O14" s="2072">
        <f>股息红利优惠审核表!O14</f>
        <v>0</v>
      </c>
      <c r="P14" s="2072">
        <f>股息红利优惠审核表!P14</f>
        <v>0</v>
      </c>
      <c r="Q14" s="2072">
        <f>股息红利优惠审核表!Q14</f>
        <v>0</v>
      </c>
      <c r="R14" s="1979"/>
    </row>
    <row r="15" spans="1:19" ht="89.25" customHeight="1">
      <c r="A15" s="1588" t="s">
        <v>5541</v>
      </c>
      <c r="B15" s="1836" t="str">
        <f>股息红利优惠审核表!B15</f>
        <v>合计</v>
      </c>
      <c r="C15" s="1959" t="s">
        <v>5542</v>
      </c>
      <c r="D15" s="1959" t="s">
        <v>5542</v>
      </c>
      <c r="E15" s="1959" t="s">
        <v>5542</v>
      </c>
      <c r="F15" s="1959" t="s">
        <v>5542</v>
      </c>
      <c r="G15" s="2072">
        <f>股息红利优惠审核表!G15</f>
        <v>0</v>
      </c>
      <c r="H15" s="1959" t="s">
        <v>5542</v>
      </c>
      <c r="I15" s="1959" t="s">
        <v>5542</v>
      </c>
      <c r="J15" s="2072">
        <f>股息红利优惠审核表!J15</f>
        <v>0</v>
      </c>
      <c r="K15" s="1959" t="s">
        <v>5542</v>
      </c>
      <c r="L15" s="1959" t="s">
        <v>5542</v>
      </c>
      <c r="M15" s="1959" t="s">
        <v>5542</v>
      </c>
      <c r="N15" s="1959" t="s">
        <v>5542</v>
      </c>
      <c r="O15" s="1959" t="s">
        <v>5542</v>
      </c>
      <c r="P15" s="2072">
        <f>股息红利优惠审核表!P15</f>
        <v>0</v>
      </c>
      <c r="Q15" s="2072">
        <f>股息红利优惠审核表!Q15</f>
        <v>0</v>
      </c>
      <c r="R15" s="1978" t="s">
        <v>5543</v>
      </c>
    </row>
  </sheetData>
  <mergeCells count="12">
    <mergeCell ref="Q3:Q4"/>
    <mergeCell ref="R3:R4"/>
    <mergeCell ref="A1:R1"/>
    <mergeCell ref="A2:R2"/>
    <mergeCell ref="A3:A5"/>
    <mergeCell ref="B3:B4"/>
    <mergeCell ref="C3:C4"/>
    <mergeCell ref="D3:D4"/>
    <mergeCell ref="E3:E4"/>
    <mergeCell ref="F3:G3"/>
    <mergeCell ref="H3:J3"/>
    <mergeCell ref="K3:P3"/>
  </mergeCells>
  <phoneticPr fontId="51" type="noConversion"/>
  <hyperlinks>
    <hyperlink ref="S8" location="股息红利优惠审核表!A1" display="股息红利优惠审核表!A1"/>
  </hyperlinks>
  <printOptions horizontalCentered="1" verticalCentered="1"/>
  <pageMargins left="0.78740157480314998" right="0.35433070866141703" top="0.511811023622047" bottom="0.11811023622047198" header="0.511811023622047" footer="0.511811023622047"/>
  <pageSetup paperSize="9" orientation="landscape"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tabColor rgb="FFFFFF00"/>
  </sheetPr>
  <dimension ref="A1:N16"/>
  <sheetViews>
    <sheetView workbookViewId="0">
      <selection activeCell="J9" sqref="J9"/>
    </sheetView>
  </sheetViews>
  <sheetFormatPr defaultRowHeight="15.6"/>
  <cols>
    <col min="1" max="1" width="5.69921875" style="1590" customWidth="1"/>
    <col min="2" max="2" width="14.8984375" style="1590" customWidth="1"/>
    <col min="3" max="7" width="11.5" style="1590" customWidth="1"/>
    <col min="8" max="8" width="7.3984375" style="1590" customWidth="1"/>
    <col min="9" max="11" width="11.5" style="1590" customWidth="1"/>
    <col min="12" max="12" width="8" style="1590" customWidth="1"/>
    <col min="13" max="256" width="9" style="1590"/>
    <col min="257" max="257" width="5.69921875" style="1590" customWidth="1"/>
    <col min="258" max="258" width="8.19921875" style="1590" customWidth="1"/>
    <col min="259" max="261" width="11.59765625" style="1590" customWidth="1"/>
    <col min="262" max="262" width="10.69921875" style="1590" customWidth="1"/>
    <col min="263" max="263" width="9" style="1590"/>
    <col min="264" max="264" width="10" style="1590" customWidth="1"/>
    <col min="265" max="265" width="10.69921875" style="1590" customWidth="1"/>
    <col min="266" max="266" width="10.8984375" style="1590" customWidth="1"/>
    <col min="267" max="267" width="10.5" style="1590" customWidth="1"/>
    <col min="268" max="268" width="11.19921875" style="1590" customWidth="1"/>
    <col min="269" max="512" width="9" style="1590"/>
    <col min="513" max="513" width="5.69921875" style="1590" customWidth="1"/>
    <col min="514" max="514" width="8.19921875" style="1590" customWidth="1"/>
    <col min="515" max="517" width="11.59765625" style="1590" customWidth="1"/>
    <col min="518" max="518" width="10.69921875" style="1590" customWidth="1"/>
    <col min="519" max="519" width="9" style="1590"/>
    <col min="520" max="520" width="10" style="1590" customWidth="1"/>
    <col min="521" max="521" width="10.69921875" style="1590" customWidth="1"/>
    <col min="522" max="522" width="10.8984375" style="1590" customWidth="1"/>
    <col min="523" max="523" width="10.5" style="1590" customWidth="1"/>
    <col min="524" max="524" width="11.19921875" style="1590" customWidth="1"/>
    <col min="525" max="768" width="9" style="1590"/>
    <col min="769" max="769" width="5.69921875" style="1590" customWidth="1"/>
    <col min="770" max="770" width="8.19921875" style="1590" customWidth="1"/>
    <col min="771" max="773" width="11.59765625" style="1590" customWidth="1"/>
    <col min="774" max="774" width="10.69921875" style="1590" customWidth="1"/>
    <col min="775" max="775" width="9" style="1590"/>
    <col min="776" max="776" width="10" style="1590" customWidth="1"/>
    <col min="777" max="777" width="10.69921875" style="1590" customWidth="1"/>
    <col min="778" max="778" width="10.8984375" style="1590" customWidth="1"/>
    <col min="779" max="779" width="10.5" style="1590" customWidth="1"/>
    <col min="780" max="780" width="11.19921875" style="1590" customWidth="1"/>
    <col min="781" max="1024" width="9" style="1590"/>
    <col min="1025" max="1025" width="5.69921875" style="1590" customWidth="1"/>
    <col min="1026" max="1026" width="8.19921875" style="1590" customWidth="1"/>
    <col min="1027" max="1029" width="11.59765625" style="1590" customWidth="1"/>
    <col min="1030" max="1030" width="10.69921875" style="1590" customWidth="1"/>
    <col min="1031" max="1031" width="9" style="1590"/>
    <col min="1032" max="1032" width="10" style="1590" customWidth="1"/>
    <col min="1033" max="1033" width="10.69921875" style="1590" customWidth="1"/>
    <col min="1034" max="1034" width="10.8984375" style="1590" customWidth="1"/>
    <col min="1035" max="1035" width="10.5" style="1590" customWidth="1"/>
    <col min="1036" max="1036" width="11.19921875" style="1590" customWidth="1"/>
    <col min="1037" max="1280" width="9" style="1590"/>
    <col min="1281" max="1281" width="5.69921875" style="1590" customWidth="1"/>
    <col min="1282" max="1282" width="8.19921875" style="1590" customWidth="1"/>
    <col min="1283" max="1285" width="11.59765625" style="1590" customWidth="1"/>
    <col min="1286" max="1286" width="10.69921875" style="1590" customWidth="1"/>
    <col min="1287" max="1287" width="9" style="1590"/>
    <col min="1288" max="1288" width="10" style="1590" customWidth="1"/>
    <col min="1289" max="1289" width="10.69921875" style="1590" customWidth="1"/>
    <col min="1290" max="1290" width="10.8984375" style="1590" customWidth="1"/>
    <col min="1291" max="1291" width="10.5" style="1590" customWidth="1"/>
    <col min="1292" max="1292" width="11.19921875" style="1590" customWidth="1"/>
    <col min="1293" max="1536" width="9" style="1590"/>
    <col min="1537" max="1537" width="5.69921875" style="1590" customWidth="1"/>
    <col min="1538" max="1538" width="8.19921875" style="1590" customWidth="1"/>
    <col min="1539" max="1541" width="11.59765625" style="1590" customWidth="1"/>
    <col min="1542" max="1542" width="10.69921875" style="1590" customWidth="1"/>
    <col min="1543" max="1543" width="9" style="1590"/>
    <col min="1544" max="1544" width="10" style="1590" customWidth="1"/>
    <col min="1545" max="1545" width="10.69921875" style="1590" customWidth="1"/>
    <col min="1546" max="1546" width="10.8984375" style="1590" customWidth="1"/>
    <col min="1547" max="1547" width="10.5" style="1590" customWidth="1"/>
    <col min="1548" max="1548" width="11.19921875" style="1590" customWidth="1"/>
    <col min="1549" max="1792" width="9" style="1590"/>
    <col min="1793" max="1793" width="5.69921875" style="1590" customWidth="1"/>
    <col min="1794" max="1794" width="8.19921875" style="1590" customWidth="1"/>
    <col min="1795" max="1797" width="11.59765625" style="1590" customWidth="1"/>
    <col min="1798" max="1798" width="10.69921875" style="1590" customWidth="1"/>
    <col min="1799" max="1799" width="9" style="1590"/>
    <col min="1800" max="1800" width="10" style="1590" customWidth="1"/>
    <col min="1801" max="1801" width="10.69921875" style="1590" customWidth="1"/>
    <col min="1802" max="1802" width="10.8984375" style="1590" customWidth="1"/>
    <col min="1803" max="1803" width="10.5" style="1590" customWidth="1"/>
    <col min="1804" max="1804" width="11.19921875" style="1590" customWidth="1"/>
    <col min="1805" max="2048" width="9" style="1590"/>
    <col min="2049" max="2049" width="5.69921875" style="1590" customWidth="1"/>
    <col min="2050" max="2050" width="8.19921875" style="1590" customWidth="1"/>
    <col min="2051" max="2053" width="11.59765625" style="1590" customWidth="1"/>
    <col min="2054" max="2054" width="10.69921875" style="1590" customWidth="1"/>
    <col min="2055" max="2055" width="9" style="1590"/>
    <col min="2056" max="2056" width="10" style="1590" customWidth="1"/>
    <col min="2057" max="2057" width="10.69921875" style="1590" customWidth="1"/>
    <col min="2058" max="2058" width="10.8984375" style="1590" customWidth="1"/>
    <col min="2059" max="2059" width="10.5" style="1590" customWidth="1"/>
    <col min="2060" max="2060" width="11.19921875" style="1590" customWidth="1"/>
    <col min="2061" max="2304" width="9" style="1590"/>
    <col min="2305" max="2305" width="5.69921875" style="1590" customWidth="1"/>
    <col min="2306" max="2306" width="8.19921875" style="1590" customWidth="1"/>
    <col min="2307" max="2309" width="11.59765625" style="1590" customWidth="1"/>
    <col min="2310" max="2310" width="10.69921875" style="1590" customWidth="1"/>
    <col min="2311" max="2311" width="9" style="1590"/>
    <col min="2312" max="2312" width="10" style="1590" customWidth="1"/>
    <col min="2313" max="2313" width="10.69921875" style="1590" customWidth="1"/>
    <col min="2314" max="2314" width="10.8984375" style="1590" customWidth="1"/>
    <col min="2315" max="2315" width="10.5" style="1590" customWidth="1"/>
    <col min="2316" max="2316" width="11.19921875" style="1590" customWidth="1"/>
    <col min="2317" max="2560" width="9" style="1590"/>
    <col min="2561" max="2561" width="5.69921875" style="1590" customWidth="1"/>
    <col min="2562" max="2562" width="8.19921875" style="1590" customWidth="1"/>
    <col min="2563" max="2565" width="11.59765625" style="1590" customWidth="1"/>
    <col min="2566" max="2566" width="10.69921875" style="1590" customWidth="1"/>
    <col min="2567" max="2567" width="9" style="1590"/>
    <col min="2568" max="2568" width="10" style="1590" customWidth="1"/>
    <col min="2569" max="2569" width="10.69921875" style="1590" customWidth="1"/>
    <col min="2570" max="2570" width="10.8984375" style="1590" customWidth="1"/>
    <col min="2571" max="2571" width="10.5" style="1590" customWidth="1"/>
    <col min="2572" max="2572" width="11.19921875" style="1590" customWidth="1"/>
    <col min="2573" max="2816" width="9" style="1590"/>
    <col min="2817" max="2817" width="5.69921875" style="1590" customWidth="1"/>
    <col min="2818" max="2818" width="8.19921875" style="1590" customWidth="1"/>
    <col min="2819" max="2821" width="11.59765625" style="1590" customWidth="1"/>
    <col min="2822" max="2822" width="10.69921875" style="1590" customWidth="1"/>
    <col min="2823" max="2823" width="9" style="1590"/>
    <col min="2824" max="2824" width="10" style="1590" customWidth="1"/>
    <col min="2825" max="2825" width="10.69921875" style="1590" customWidth="1"/>
    <col min="2826" max="2826" width="10.8984375" style="1590" customWidth="1"/>
    <col min="2827" max="2827" width="10.5" style="1590" customWidth="1"/>
    <col min="2828" max="2828" width="11.19921875" style="1590" customWidth="1"/>
    <col min="2829" max="3072" width="9" style="1590"/>
    <col min="3073" max="3073" width="5.69921875" style="1590" customWidth="1"/>
    <col min="3074" max="3074" width="8.19921875" style="1590" customWidth="1"/>
    <col min="3075" max="3077" width="11.59765625" style="1590" customWidth="1"/>
    <col min="3078" max="3078" width="10.69921875" style="1590" customWidth="1"/>
    <col min="3079" max="3079" width="9" style="1590"/>
    <col min="3080" max="3080" width="10" style="1590" customWidth="1"/>
    <col min="3081" max="3081" width="10.69921875" style="1590" customWidth="1"/>
    <col min="3082" max="3082" width="10.8984375" style="1590" customWidth="1"/>
    <col min="3083" max="3083" width="10.5" style="1590" customWidth="1"/>
    <col min="3084" max="3084" width="11.19921875" style="1590" customWidth="1"/>
    <col min="3085" max="3328" width="9" style="1590"/>
    <col min="3329" max="3329" width="5.69921875" style="1590" customWidth="1"/>
    <col min="3330" max="3330" width="8.19921875" style="1590" customWidth="1"/>
    <col min="3331" max="3333" width="11.59765625" style="1590" customWidth="1"/>
    <col min="3334" max="3334" width="10.69921875" style="1590" customWidth="1"/>
    <col min="3335" max="3335" width="9" style="1590"/>
    <col min="3336" max="3336" width="10" style="1590" customWidth="1"/>
    <col min="3337" max="3337" width="10.69921875" style="1590" customWidth="1"/>
    <col min="3338" max="3338" width="10.8984375" style="1590" customWidth="1"/>
    <col min="3339" max="3339" width="10.5" style="1590" customWidth="1"/>
    <col min="3340" max="3340" width="11.19921875" style="1590" customWidth="1"/>
    <col min="3341" max="3584" width="9" style="1590"/>
    <col min="3585" max="3585" width="5.69921875" style="1590" customWidth="1"/>
    <col min="3586" max="3586" width="8.19921875" style="1590" customWidth="1"/>
    <col min="3587" max="3589" width="11.59765625" style="1590" customWidth="1"/>
    <col min="3590" max="3590" width="10.69921875" style="1590" customWidth="1"/>
    <col min="3591" max="3591" width="9" style="1590"/>
    <col min="3592" max="3592" width="10" style="1590" customWidth="1"/>
    <col min="3593" max="3593" width="10.69921875" style="1590" customWidth="1"/>
    <col min="3594" max="3594" width="10.8984375" style="1590" customWidth="1"/>
    <col min="3595" max="3595" width="10.5" style="1590" customWidth="1"/>
    <col min="3596" max="3596" width="11.19921875" style="1590" customWidth="1"/>
    <col min="3597" max="3840" width="9" style="1590"/>
    <col min="3841" max="3841" width="5.69921875" style="1590" customWidth="1"/>
    <col min="3842" max="3842" width="8.19921875" style="1590" customWidth="1"/>
    <col min="3843" max="3845" width="11.59765625" style="1590" customWidth="1"/>
    <col min="3846" max="3846" width="10.69921875" style="1590" customWidth="1"/>
    <col min="3847" max="3847" width="9" style="1590"/>
    <col min="3848" max="3848" width="10" style="1590" customWidth="1"/>
    <col min="3849" max="3849" width="10.69921875" style="1590" customWidth="1"/>
    <col min="3850" max="3850" width="10.8984375" style="1590" customWidth="1"/>
    <col min="3851" max="3851" width="10.5" style="1590" customWidth="1"/>
    <col min="3852" max="3852" width="11.19921875" style="1590" customWidth="1"/>
    <col min="3853" max="4096" width="9" style="1590"/>
    <col min="4097" max="4097" width="5.69921875" style="1590" customWidth="1"/>
    <col min="4098" max="4098" width="8.19921875" style="1590" customWidth="1"/>
    <col min="4099" max="4101" width="11.59765625" style="1590" customWidth="1"/>
    <col min="4102" max="4102" width="10.69921875" style="1590" customWidth="1"/>
    <col min="4103" max="4103" width="9" style="1590"/>
    <col min="4104" max="4104" width="10" style="1590" customWidth="1"/>
    <col min="4105" max="4105" width="10.69921875" style="1590" customWidth="1"/>
    <col min="4106" max="4106" width="10.8984375" style="1590" customWidth="1"/>
    <col min="4107" max="4107" width="10.5" style="1590" customWidth="1"/>
    <col min="4108" max="4108" width="11.19921875" style="1590" customWidth="1"/>
    <col min="4109" max="4352" width="9" style="1590"/>
    <col min="4353" max="4353" width="5.69921875" style="1590" customWidth="1"/>
    <col min="4354" max="4354" width="8.19921875" style="1590" customWidth="1"/>
    <col min="4355" max="4357" width="11.59765625" style="1590" customWidth="1"/>
    <col min="4358" max="4358" width="10.69921875" style="1590" customWidth="1"/>
    <col min="4359" max="4359" width="9" style="1590"/>
    <col min="4360" max="4360" width="10" style="1590" customWidth="1"/>
    <col min="4361" max="4361" width="10.69921875" style="1590" customWidth="1"/>
    <col min="4362" max="4362" width="10.8984375" style="1590" customWidth="1"/>
    <col min="4363" max="4363" width="10.5" style="1590" customWidth="1"/>
    <col min="4364" max="4364" width="11.19921875" style="1590" customWidth="1"/>
    <col min="4365" max="4608" width="9" style="1590"/>
    <col min="4609" max="4609" width="5.69921875" style="1590" customWidth="1"/>
    <col min="4610" max="4610" width="8.19921875" style="1590" customWidth="1"/>
    <col min="4611" max="4613" width="11.59765625" style="1590" customWidth="1"/>
    <col min="4614" max="4614" width="10.69921875" style="1590" customWidth="1"/>
    <col min="4615" max="4615" width="9" style="1590"/>
    <col min="4616" max="4616" width="10" style="1590" customWidth="1"/>
    <col min="4617" max="4617" width="10.69921875" style="1590" customWidth="1"/>
    <col min="4618" max="4618" width="10.8984375" style="1590" customWidth="1"/>
    <col min="4619" max="4619" width="10.5" style="1590" customWidth="1"/>
    <col min="4620" max="4620" width="11.19921875" style="1590" customWidth="1"/>
    <col min="4621" max="4864" width="9" style="1590"/>
    <col min="4865" max="4865" width="5.69921875" style="1590" customWidth="1"/>
    <col min="4866" max="4866" width="8.19921875" style="1590" customWidth="1"/>
    <col min="4867" max="4869" width="11.59765625" style="1590" customWidth="1"/>
    <col min="4870" max="4870" width="10.69921875" style="1590" customWidth="1"/>
    <col min="4871" max="4871" width="9" style="1590"/>
    <col min="4872" max="4872" width="10" style="1590" customWidth="1"/>
    <col min="4873" max="4873" width="10.69921875" style="1590" customWidth="1"/>
    <col min="4874" max="4874" width="10.8984375" style="1590" customWidth="1"/>
    <col min="4875" max="4875" width="10.5" style="1590" customWidth="1"/>
    <col min="4876" max="4876" width="11.19921875" style="1590" customWidth="1"/>
    <col min="4877" max="5120" width="9" style="1590"/>
    <col min="5121" max="5121" width="5.69921875" style="1590" customWidth="1"/>
    <col min="5122" max="5122" width="8.19921875" style="1590" customWidth="1"/>
    <col min="5123" max="5125" width="11.59765625" style="1590" customWidth="1"/>
    <col min="5126" max="5126" width="10.69921875" style="1590" customWidth="1"/>
    <col min="5127" max="5127" width="9" style="1590"/>
    <col min="5128" max="5128" width="10" style="1590" customWidth="1"/>
    <col min="5129" max="5129" width="10.69921875" style="1590" customWidth="1"/>
    <col min="5130" max="5130" width="10.8984375" style="1590" customWidth="1"/>
    <col min="5131" max="5131" width="10.5" style="1590" customWidth="1"/>
    <col min="5132" max="5132" width="11.19921875" style="1590" customWidth="1"/>
    <col min="5133" max="5376" width="9" style="1590"/>
    <col min="5377" max="5377" width="5.69921875" style="1590" customWidth="1"/>
    <col min="5378" max="5378" width="8.19921875" style="1590" customWidth="1"/>
    <col min="5379" max="5381" width="11.59765625" style="1590" customWidth="1"/>
    <col min="5382" max="5382" width="10.69921875" style="1590" customWidth="1"/>
    <col min="5383" max="5383" width="9" style="1590"/>
    <col min="5384" max="5384" width="10" style="1590" customWidth="1"/>
    <col min="5385" max="5385" width="10.69921875" style="1590" customWidth="1"/>
    <col min="5386" max="5386" width="10.8984375" style="1590" customWidth="1"/>
    <col min="5387" max="5387" width="10.5" style="1590" customWidth="1"/>
    <col min="5388" max="5388" width="11.19921875" style="1590" customWidth="1"/>
    <col min="5389" max="5632" width="9" style="1590"/>
    <col min="5633" max="5633" width="5.69921875" style="1590" customWidth="1"/>
    <col min="5634" max="5634" width="8.19921875" style="1590" customWidth="1"/>
    <col min="5635" max="5637" width="11.59765625" style="1590" customWidth="1"/>
    <col min="5638" max="5638" width="10.69921875" style="1590" customWidth="1"/>
    <col min="5639" max="5639" width="9" style="1590"/>
    <col min="5640" max="5640" width="10" style="1590" customWidth="1"/>
    <col min="5641" max="5641" width="10.69921875" style="1590" customWidth="1"/>
    <col min="5642" max="5642" width="10.8984375" style="1590" customWidth="1"/>
    <col min="5643" max="5643" width="10.5" style="1590" customWidth="1"/>
    <col min="5644" max="5644" width="11.19921875" style="1590" customWidth="1"/>
    <col min="5645" max="5888" width="9" style="1590"/>
    <col min="5889" max="5889" width="5.69921875" style="1590" customWidth="1"/>
    <col min="5890" max="5890" width="8.19921875" style="1590" customWidth="1"/>
    <col min="5891" max="5893" width="11.59765625" style="1590" customWidth="1"/>
    <col min="5894" max="5894" width="10.69921875" style="1590" customWidth="1"/>
    <col min="5895" max="5895" width="9" style="1590"/>
    <col min="5896" max="5896" width="10" style="1590" customWidth="1"/>
    <col min="5897" max="5897" width="10.69921875" style="1590" customWidth="1"/>
    <col min="5898" max="5898" width="10.8984375" style="1590" customWidth="1"/>
    <col min="5899" max="5899" width="10.5" style="1590" customWidth="1"/>
    <col min="5900" max="5900" width="11.19921875" style="1590" customWidth="1"/>
    <col min="5901" max="6144" width="9" style="1590"/>
    <col min="6145" max="6145" width="5.69921875" style="1590" customWidth="1"/>
    <col min="6146" max="6146" width="8.19921875" style="1590" customWidth="1"/>
    <col min="6147" max="6149" width="11.59765625" style="1590" customWidth="1"/>
    <col min="6150" max="6150" width="10.69921875" style="1590" customWidth="1"/>
    <col min="6151" max="6151" width="9" style="1590"/>
    <col min="6152" max="6152" width="10" style="1590" customWidth="1"/>
    <col min="6153" max="6153" width="10.69921875" style="1590" customWidth="1"/>
    <col min="6154" max="6154" width="10.8984375" style="1590" customWidth="1"/>
    <col min="6155" max="6155" width="10.5" style="1590" customWidth="1"/>
    <col min="6156" max="6156" width="11.19921875" style="1590" customWidth="1"/>
    <col min="6157" max="6400" width="9" style="1590"/>
    <col min="6401" max="6401" width="5.69921875" style="1590" customWidth="1"/>
    <col min="6402" max="6402" width="8.19921875" style="1590" customWidth="1"/>
    <col min="6403" max="6405" width="11.59765625" style="1590" customWidth="1"/>
    <col min="6406" max="6406" width="10.69921875" style="1590" customWidth="1"/>
    <col min="6407" max="6407" width="9" style="1590"/>
    <col min="6408" max="6408" width="10" style="1590" customWidth="1"/>
    <col min="6409" max="6409" width="10.69921875" style="1590" customWidth="1"/>
    <col min="6410" max="6410" width="10.8984375" style="1590" customWidth="1"/>
    <col min="6411" max="6411" width="10.5" style="1590" customWidth="1"/>
    <col min="6412" max="6412" width="11.19921875" style="1590" customWidth="1"/>
    <col min="6413" max="6656" width="9" style="1590"/>
    <col min="6657" max="6657" width="5.69921875" style="1590" customWidth="1"/>
    <col min="6658" max="6658" width="8.19921875" style="1590" customWidth="1"/>
    <col min="6659" max="6661" width="11.59765625" style="1590" customWidth="1"/>
    <col min="6662" max="6662" width="10.69921875" style="1590" customWidth="1"/>
    <col min="6663" max="6663" width="9" style="1590"/>
    <col min="6664" max="6664" width="10" style="1590" customWidth="1"/>
    <col min="6665" max="6665" width="10.69921875" style="1590" customWidth="1"/>
    <col min="6666" max="6666" width="10.8984375" style="1590" customWidth="1"/>
    <col min="6667" max="6667" width="10.5" style="1590" customWidth="1"/>
    <col min="6668" max="6668" width="11.19921875" style="1590" customWidth="1"/>
    <col min="6669" max="6912" width="9" style="1590"/>
    <col min="6913" max="6913" width="5.69921875" style="1590" customWidth="1"/>
    <col min="6914" max="6914" width="8.19921875" style="1590" customWidth="1"/>
    <col min="6915" max="6917" width="11.59765625" style="1590" customWidth="1"/>
    <col min="6918" max="6918" width="10.69921875" style="1590" customWidth="1"/>
    <col min="6919" max="6919" width="9" style="1590"/>
    <col min="6920" max="6920" width="10" style="1590" customWidth="1"/>
    <col min="6921" max="6921" width="10.69921875" style="1590" customWidth="1"/>
    <col min="6922" max="6922" width="10.8984375" style="1590" customWidth="1"/>
    <col min="6923" max="6923" width="10.5" style="1590" customWidth="1"/>
    <col min="6924" max="6924" width="11.19921875" style="1590" customWidth="1"/>
    <col min="6925" max="7168" width="9" style="1590"/>
    <col min="7169" max="7169" width="5.69921875" style="1590" customWidth="1"/>
    <col min="7170" max="7170" width="8.19921875" style="1590" customWidth="1"/>
    <col min="7171" max="7173" width="11.59765625" style="1590" customWidth="1"/>
    <col min="7174" max="7174" width="10.69921875" style="1590" customWidth="1"/>
    <col min="7175" max="7175" width="9" style="1590"/>
    <col min="7176" max="7176" width="10" style="1590" customWidth="1"/>
    <col min="7177" max="7177" width="10.69921875" style="1590" customWidth="1"/>
    <col min="7178" max="7178" width="10.8984375" style="1590" customWidth="1"/>
    <col min="7179" max="7179" width="10.5" style="1590" customWidth="1"/>
    <col min="7180" max="7180" width="11.19921875" style="1590" customWidth="1"/>
    <col min="7181" max="7424" width="9" style="1590"/>
    <col min="7425" max="7425" width="5.69921875" style="1590" customWidth="1"/>
    <col min="7426" max="7426" width="8.19921875" style="1590" customWidth="1"/>
    <col min="7427" max="7429" width="11.59765625" style="1590" customWidth="1"/>
    <col min="7430" max="7430" width="10.69921875" style="1590" customWidth="1"/>
    <col min="7431" max="7431" width="9" style="1590"/>
    <col min="7432" max="7432" width="10" style="1590" customWidth="1"/>
    <col min="7433" max="7433" width="10.69921875" style="1590" customWidth="1"/>
    <col min="7434" max="7434" width="10.8984375" style="1590" customWidth="1"/>
    <col min="7435" max="7435" width="10.5" style="1590" customWidth="1"/>
    <col min="7436" max="7436" width="11.19921875" style="1590" customWidth="1"/>
    <col min="7437" max="7680" width="9" style="1590"/>
    <col min="7681" max="7681" width="5.69921875" style="1590" customWidth="1"/>
    <col min="7682" max="7682" width="8.19921875" style="1590" customWidth="1"/>
    <col min="7683" max="7685" width="11.59765625" style="1590" customWidth="1"/>
    <col min="7686" max="7686" width="10.69921875" style="1590" customWidth="1"/>
    <col min="7687" max="7687" width="9" style="1590"/>
    <col min="7688" max="7688" width="10" style="1590" customWidth="1"/>
    <col min="7689" max="7689" width="10.69921875" style="1590" customWidth="1"/>
    <col min="7690" max="7690" width="10.8984375" style="1590" customWidth="1"/>
    <col min="7691" max="7691" width="10.5" style="1590" customWidth="1"/>
    <col min="7692" max="7692" width="11.19921875" style="1590" customWidth="1"/>
    <col min="7693" max="7936" width="9" style="1590"/>
    <col min="7937" max="7937" width="5.69921875" style="1590" customWidth="1"/>
    <col min="7938" max="7938" width="8.19921875" style="1590" customWidth="1"/>
    <col min="7939" max="7941" width="11.59765625" style="1590" customWidth="1"/>
    <col min="7942" max="7942" width="10.69921875" style="1590" customWidth="1"/>
    <col min="7943" max="7943" width="9" style="1590"/>
    <col min="7944" max="7944" width="10" style="1590" customWidth="1"/>
    <col min="7945" max="7945" width="10.69921875" style="1590" customWidth="1"/>
    <col min="7946" max="7946" width="10.8984375" style="1590" customWidth="1"/>
    <col min="7947" max="7947" width="10.5" style="1590" customWidth="1"/>
    <col min="7948" max="7948" width="11.19921875" style="1590" customWidth="1"/>
    <col min="7949" max="8192" width="9" style="1590"/>
    <col min="8193" max="8193" width="5.69921875" style="1590" customWidth="1"/>
    <col min="8194" max="8194" width="8.19921875" style="1590" customWidth="1"/>
    <col min="8195" max="8197" width="11.59765625" style="1590" customWidth="1"/>
    <col min="8198" max="8198" width="10.69921875" style="1590" customWidth="1"/>
    <col min="8199" max="8199" width="9" style="1590"/>
    <col min="8200" max="8200" width="10" style="1590" customWidth="1"/>
    <col min="8201" max="8201" width="10.69921875" style="1590" customWidth="1"/>
    <col min="8202" max="8202" width="10.8984375" style="1590" customWidth="1"/>
    <col min="8203" max="8203" width="10.5" style="1590" customWidth="1"/>
    <col min="8204" max="8204" width="11.19921875" style="1590" customWidth="1"/>
    <col min="8205" max="8448" width="9" style="1590"/>
    <col min="8449" max="8449" width="5.69921875" style="1590" customWidth="1"/>
    <col min="8450" max="8450" width="8.19921875" style="1590" customWidth="1"/>
    <col min="8451" max="8453" width="11.59765625" style="1590" customWidth="1"/>
    <col min="8454" max="8454" width="10.69921875" style="1590" customWidth="1"/>
    <col min="8455" max="8455" width="9" style="1590"/>
    <col min="8456" max="8456" width="10" style="1590" customWidth="1"/>
    <col min="8457" max="8457" width="10.69921875" style="1590" customWidth="1"/>
    <col min="8458" max="8458" width="10.8984375" style="1590" customWidth="1"/>
    <col min="8459" max="8459" width="10.5" style="1590" customWidth="1"/>
    <col min="8460" max="8460" width="11.19921875" style="1590" customWidth="1"/>
    <col min="8461" max="8704" width="9" style="1590"/>
    <col min="8705" max="8705" width="5.69921875" style="1590" customWidth="1"/>
    <col min="8706" max="8706" width="8.19921875" style="1590" customWidth="1"/>
    <col min="8707" max="8709" width="11.59765625" style="1590" customWidth="1"/>
    <col min="8710" max="8710" width="10.69921875" style="1590" customWidth="1"/>
    <col min="8711" max="8711" width="9" style="1590"/>
    <col min="8712" max="8712" width="10" style="1590" customWidth="1"/>
    <col min="8713" max="8713" width="10.69921875" style="1590" customWidth="1"/>
    <col min="8714" max="8714" width="10.8984375" style="1590" customWidth="1"/>
    <col min="8715" max="8715" width="10.5" style="1590" customWidth="1"/>
    <col min="8716" max="8716" width="11.19921875" style="1590" customWidth="1"/>
    <col min="8717" max="8960" width="9" style="1590"/>
    <col min="8961" max="8961" width="5.69921875" style="1590" customWidth="1"/>
    <col min="8962" max="8962" width="8.19921875" style="1590" customWidth="1"/>
    <col min="8963" max="8965" width="11.59765625" style="1590" customWidth="1"/>
    <col min="8966" max="8966" width="10.69921875" style="1590" customWidth="1"/>
    <col min="8967" max="8967" width="9" style="1590"/>
    <col min="8968" max="8968" width="10" style="1590" customWidth="1"/>
    <col min="8969" max="8969" width="10.69921875" style="1590" customWidth="1"/>
    <col min="8970" max="8970" width="10.8984375" style="1590" customWidth="1"/>
    <col min="8971" max="8971" width="10.5" style="1590" customWidth="1"/>
    <col min="8972" max="8972" width="11.19921875" style="1590" customWidth="1"/>
    <col min="8973" max="9216" width="9" style="1590"/>
    <col min="9217" max="9217" width="5.69921875" style="1590" customWidth="1"/>
    <col min="9218" max="9218" width="8.19921875" style="1590" customWidth="1"/>
    <col min="9219" max="9221" width="11.59765625" style="1590" customWidth="1"/>
    <col min="9222" max="9222" width="10.69921875" style="1590" customWidth="1"/>
    <col min="9223" max="9223" width="9" style="1590"/>
    <col min="9224" max="9224" width="10" style="1590" customWidth="1"/>
    <col min="9225" max="9225" width="10.69921875" style="1590" customWidth="1"/>
    <col min="9226" max="9226" width="10.8984375" style="1590" customWidth="1"/>
    <col min="9227" max="9227" width="10.5" style="1590" customWidth="1"/>
    <col min="9228" max="9228" width="11.19921875" style="1590" customWidth="1"/>
    <col min="9229" max="9472" width="9" style="1590"/>
    <col min="9473" max="9473" width="5.69921875" style="1590" customWidth="1"/>
    <col min="9474" max="9474" width="8.19921875" style="1590" customWidth="1"/>
    <col min="9475" max="9477" width="11.59765625" style="1590" customWidth="1"/>
    <col min="9478" max="9478" width="10.69921875" style="1590" customWidth="1"/>
    <col min="9479" max="9479" width="9" style="1590"/>
    <col min="9480" max="9480" width="10" style="1590" customWidth="1"/>
    <col min="9481" max="9481" width="10.69921875" style="1590" customWidth="1"/>
    <col min="9482" max="9482" width="10.8984375" style="1590" customWidth="1"/>
    <col min="9483" max="9483" width="10.5" style="1590" customWidth="1"/>
    <col min="9484" max="9484" width="11.19921875" style="1590" customWidth="1"/>
    <col min="9485" max="9728" width="9" style="1590"/>
    <col min="9729" max="9729" width="5.69921875" style="1590" customWidth="1"/>
    <col min="9730" max="9730" width="8.19921875" style="1590" customWidth="1"/>
    <col min="9731" max="9733" width="11.59765625" style="1590" customWidth="1"/>
    <col min="9734" max="9734" width="10.69921875" style="1590" customWidth="1"/>
    <col min="9735" max="9735" width="9" style="1590"/>
    <col min="9736" max="9736" width="10" style="1590" customWidth="1"/>
    <col min="9737" max="9737" width="10.69921875" style="1590" customWidth="1"/>
    <col min="9738" max="9738" width="10.8984375" style="1590" customWidth="1"/>
    <col min="9739" max="9739" width="10.5" style="1590" customWidth="1"/>
    <col min="9740" max="9740" width="11.19921875" style="1590" customWidth="1"/>
    <col min="9741" max="9984" width="9" style="1590"/>
    <col min="9985" max="9985" width="5.69921875" style="1590" customWidth="1"/>
    <col min="9986" max="9986" width="8.19921875" style="1590" customWidth="1"/>
    <col min="9987" max="9989" width="11.59765625" style="1590" customWidth="1"/>
    <col min="9990" max="9990" width="10.69921875" style="1590" customWidth="1"/>
    <col min="9991" max="9991" width="9" style="1590"/>
    <col min="9992" max="9992" width="10" style="1590" customWidth="1"/>
    <col min="9993" max="9993" width="10.69921875" style="1590" customWidth="1"/>
    <col min="9994" max="9994" width="10.8984375" style="1590" customWidth="1"/>
    <col min="9995" max="9995" width="10.5" style="1590" customWidth="1"/>
    <col min="9996" max="9996" width="11.19921875" style="1590" customWidth="1"/>
    <col min="9997" max="10240" width="9" style="1590"/>
    <col min="10241" max="10241" width="5.69921875" style="1590" customWidth="1"/>
    <col min="10242" max="10242" width="8.19921875" style="1590" customWidth="1"/>
    <col min="10243" max="10245" width="11.59765625" style="1590" customWidth="1"/>
    <col min="10246" max="10246" width="10.69921875" style="1590" customWidth="1"/>
    <col min="10247" max="10247" width="9" style="1590"/>
    <col min="10248" max="10248" width="10" style="1590" customWidth="1"/>
    <col min="10249" max="10249" width="10.69921875" style="1590" customWidth="1"/>
    <col min="10250" max="10250" width="10.8984375" style="1590" customWidth="1"/>
    <col min="10251" max="10251" width="10.5" style="1590" customWidth="1"/>
    <col min="10252" max="10252" width="11.19921875" style="1590" customWidth="1"/>
    <col min="10253" max="10496" width="9" style="1590"/>
    <col min="10497" max="10497" width="5.69921875" style="1590" customWidth="1"/>
    <col min="10498" max="10498" width="8.19921875" style="1590" customWidth="1"/>
    <col min="10499" max="10501" width="11.59765625" style="1590" customWidth="1"/>
    <col min="10502" max="10502" width="10.69921875" style="1590" customWidth="1"/>
    <col min="10503" max="10503" width="9" style="1590"/>
    <col min="10504" max="10504" width="10" style="1590" customWidth="1"/>
    <col min="10505" max="10505" width="10.69921875" style="1590" customWidth="1"/>
    <col min="10506" max="10506" width="10.8984375" style="1590" customWidth="1"/>
    <col min="10507" max="10507" width="10.5" style="1590" customWidth="1"/>
    <col min="10508" max="10508" width="11.19921875" style="1590" customWidth="1"/>
    <col min="10509" max="10752" width="9" style="1590"/>
    <col min="10753" max="10753" width="5.69921875" style="1590" customWidth="1"/>
    <col min="10754" max="10754" width="8.19921875" style="1590" customWidth="1"/>
    <col min="10755" max="10757" width="11.59765625" style="1590" customWidth="1"/>
    <col min="10758" max="10758" width="10.69921875" style="1590" customWidth="1"/>
    <col min="10759" max="10759" width="9" style="1590"/>
    <col min="10760" max="10760" width="10" style="1590" customWidth="1"/>
    <col min="10761" max="10761" width="10.69921875" style="1590" customWidth="1"/>
    <col min="10762" max="10762" width="10.8984375" style="1590" customWidth="1"/>
    <col min="10763" max="10763" width="10.5" style="1590" customWidth="1"/>
    <col min="10764" max="10764" width="11.19921875" style="1590" customWidth="1"/>
    <col min="10765" max="11008" width="9" style="1590"/>
    <col min="11009" max="11009" width="5.69921875" style="1590" customWidth="1"/>
    <col min="11010" max="11010" width="8.19921875" style="1590" customWidth="1"/>
    <col min="11011" max="11013" width="11.59765625" style="1590" customWidth="1"/>
    <col min="11014" max="11014" width="10.69921875" style="1590" customWidth="1"/>
    <col min="11015" max="11015" width="9" style="1590"/>
    <col min="11016" max="11016" width="10" style="1590" customWidth="1"/>
    <col min="11017" max="11017" width="10.69921875" style="1590" customWidth="1"/>
    <col min="11018" max="11018" width="10.8984375" style="1590" customWidth="1"/>
    <col min="11019" max="11019" width="10.5" style="1590" customWidth="1"/>
    <col min="11020" max="11020" width="11.19921875" style="1590" customWidth="1"/>
    <col min="11021" max="11264" width="9" style="1590"/>
    <col min="11265" max="11265" width="5.69921875" style="1590" customWidth="1"/>
    <col min="11266" max="11266" width="8.19921875" style="1590" customWidth="1"/>
    <col min="11267" max="11269" width="11.59765625" style="1590" customWidth="1"/>
    <col min="11270" max="11270" width="10.69921875" style="1590" customWidth="1"/>
    <col min="11271" max="11271" width="9" style="1590"/>
    <col min="11272" max="11272" width="10" style="1590" customWidth="1"/>
    <col min="11273" max="11273" width="10.69921875" style="1590" customWidth="1"/>
    <col min="11274" max="11274" width="10.8984375" style="1590" customWidth="1"/>
    <col min="11275" max="11275" width="10.5" style="1590" customWidth="1"/>
    <col min="11276" max="11276" width="11.19921875" style="1590" customWidth="1"/>
    <col min="11277" max="11520" width="9" style="1590"/>
    <col min="11521" max="11521" width="5.69921875" style="1590" customWidth="1"/>
    <col min="11522" max="11522" width="8.19921875" style="1590" customWidth="1"/>
    <col min="11523" max="11525" width="11.59765625" style="1590" customWidth="1"/>
    <col min="11526" max="11526" width="10.69921875" style="1590" customWidth="1"/>
    <col min="11527" max="11527" width="9" style="1590"/>
    <col min="11528" max="11528" width="10" style="1590" customWidth="1"/>
    <col min="11529" max="11529" width="10.69921875" style="1590" customWidth="1"/>
    <col min="11530" max="11530" width="10.8984375" style="1590" customWidth="1"/>
    <col min="11531" max="11531" width="10.5" style="1590" customWidth="1"/>
    <col min="11532" max="11532" width="11.19921875" style="1590" customWidth="1"/>
    <col min="11533" max="11776" width="9" style="1590"/>
    <col min="11777" max="11777" width="5.69921875" style="1590" customWidth="1"/>
    <col min="11778" max="11778" width="8.19921875" style="1590" customWidth="1"/>
    <col min="11779" max="11781" width="11.59765625" style="1590" customWidth="1"/>
    <col min="11782" max="11782" width="10.69921875" style="1590" customWidth="1"/>
    <col min="11783" max="11783" width="9" style="1590"/>
    <col min="11784" max="11784" width="10" style="1590" customWidth="1"/>
    <col min="11785" max="11785" width="10.69921875" style="1590" customWidth="1"/>
    <col min="11786" max="11786" width="10.8984375" style="1590" customWidth="1"/>
    <col min="11787" max="11787" width="10.5" style="1590" customWidth="1"/>
    <col min="11788" max="11788" width="11.19921875" style="1590" customWidth="1"/>
    <col min="11789" max="12032" width="9" style="1590"/>
    <col min="12033" max="12033" width="5.69921875" style="1590" customWidth="1"/>
    <col min="12034" max="12034" width="8.19921875" style="1590" customWidth="1"/>
    <col min="12035" max="12037" width="11.59765625" style="1590" customWidth="1"/>
    <col min="12038" max="12038" width="10.69921875" style="1590" customWidth="1"/>
    <col min="12039" max="12039" width="9" style="1590"/>
    <col min="12040" max="12040" width="10" style="1590" customWidth="1"/>
    <col min="12041" max="12041" width="10.69921875" style="1590" customWidth="1"/>
    <col min="12042" max="12042" width="10.8984375" style="1590" customWidth="1"/>
    <col min="12043" max="12043" width="10.5" style="1590" customWidth="1"/>
    <col min="12044" max="12044" width="11.19921875" style="1590" customWidth="1"/>
    <col min="12045" max="12288" width="9" style="1590"/>
    <col min="12289" max="12289" width="5.69921875" style="1590" customWidth="1"/>
    <col min="12290" max="12290" width="8.19921875" style="1590" customWidth="1"/>
    <col min="12291" max="12293" width="11.59765625" style="1590" customWidth="1"/>
    <col min="12294" max="12294" width="10.69921875" style="1590" customWidth="1"/>
    <col min="12295" max="12295" width="9" style="1590"/>
    <col min="12296" max="12296" width="10" style="1590" customWidth="1"/>
    <col min="12297" max="12297" width="10.69921875" style="1590" customWidth="1"/>
    <col min="12298" max="12298" width="10.8984375" style="1590" customWidth="1"/>
    <col min="12299" max="12299" width="10.5" style="1590" customWidth="1"/>
    <col min="12300" max="12300" width="11.19921875" style="1590" customWidth="1"/>
    <col min="12301" max="12544" width="9" style="1590"/>
    <col min="12545" max="12545" width="5.69921875" style="1590" customWidth="1"/>
    <col min="12546" max="12546" width="8.19921875" style="1590" customWidth="1"/>
    <col min="12547" max="12549" width="11.59765625" style="1590" customWidth="1"/>
    <col min="12550" max="12550" width="10.69921875" style="1590" customWidth="1"/>
    <col min="12551" max="12551" width="9" style="1590"/>
    <col min="12552" max="12552" width="10" style="1590" customWidth="1"/>
    <col min="12553" max="12553" width="10.69921875" style="1590" customWidth="1"/>
    <col min="12554" max="12554" width="10.8984375" style="1590" customWidth="1"/>
    <col min="12555" max="12555" width="10.5" style="1590" customWidth="1"/>
    <col min="12556" max="12556" width="11.19921875" style="1590" customWidth="1"/>
    <col min="12557" max="12800" width="9" style="1590"/>
    <col min="12801" max="12801" width="5.69921875" style="1590" customWidth="1"/>
    <col min="12802" max="12802" width="8.19921875" style="1590" customWidth="1"/>
    <col min="12803" max="12805" width="11.59765625" style="1590" customWidth="1"/>
    <col min="12806" max="12806" width="10.69921875" style="1590" customWidth="1"/>
    <col min="12807" max="12807" width="9" style="1590"/>
    <col min="12808" max="12808" width="10" style="1590" customWidth="1"/>
    <col min="12809" max="12809" width="10.69921875" style="1590" customWidth="1"/>
    <col min="12810" max="12810" width="10.8984375" style="1590" customWidth="1"/>
    <col min="12811" max="12811" width="10.5" style="1590" customWidth="1"/>
    <col min="12812" max="12812" width="11.19921875" style="1590" customWidth="1"/>
    <col min="12813" max="13056" width="9" style="1590"/>
    <col min="13057" max="13057" width="5.69921875" style="1590" customWidth="1"/>
    <col min="13058" max="13058" width="8.19921875" style="1590" customWidth="1"/>
    <col min="13059" max="13061" width="11.59765625" style="1590" customWidth="1"/>
    <col min="13062" max="13062" width="10.69921875" style="1590" customWidth="1"/>
    <col min="13063" max="13063" width="9" style="1590"/>
    <col min="13064" max="13064" width="10" style="1590" customWidth="1"/>
    <col min="13065" max="13065" width="10.69921875" style="1590" customWidth="1"/>
    <col min="13066" max="13066" width="10.8984375" style="1590" customWidth="1"/>
    <col min="13067" max="13067" width="10.5" style="1590" customWidth="1"/>
    <col min="13068" max="13068" width="11.19921875" style="1590" customWidth="1"/>
    <col min="13069" max="13312" width="9" style="1590"/>
    <col min="13313" max="13313" width="5.69921875" style="1590" customWidth="1"/>
    <col min="13314" max="13314" width="8.19921875" style="1590" customWidth="1"/>
    <col min="13315" max="13317" width="11.59765625" style="1590" customWidth="1"/>
    <col min="13318" max="13318" width="10.69921875" style="1590" customWidth="1"/>
    <col min="13319" max="13319" width="9" style="1590"/>
    <col min="13320" max="13320" width="10" style="1590" customWidth="1"/>
    <col min="13321" max="13321" width="10.69921875" style="1590" customWidth="1"/>
    <col min="13322" max="13322" width="10.8984375" style="1590" customWidth="1"/>
    <col min="13323" max="13323" width="10.5" style="1590" customWidth="1"/>
    <col min="13324" max="13324" width="11.19921875" style="1590" customWidth="1"/>
    <col min="13325" max="13568" width="9" style="1590"/>
    <col min="13569" max="13569" width="5.69921875" style="1590" customWidth="1"/>
    <col min="13570" max="13570" width="8.19921875" style="1590" customWidth="1"/>
    <col min="13571" max="13573" width="11.59765625" style="1590" customWidth="1"/>
    <col min="13574" max="13574" width="10.69921875" style="1590" customWidth="1"/>
    <col min="13575" max="13575" width="9" style="1590"/>
    <col min="13576" max="13576" width="10" style="1590" customWidth="1"/>
    <col min="13577" max="13577" width="10.69921875" style="1590" customWidth="1"/>
    <col min="13578" max="13578" width="10.8984375" style="1590" customWidth="1"/>
    <col min="13579" max="13579" width="10.5" style="1590" customWidth="1"/>
    <col min="13580" max="13580" width="11.19921875" style="1590" customWidth="1"/>
    <col min="13581" max="13824" width="9" style="1590"/>
    <col min="13825" max="13825" width="5.69921875" style="1590" customWidth="1"/>
    <col min="13826" max="13826" width="8.19921875" style="1590" customWidth="1"/>
    <col min="13827" max="13829" width="11.59765625" style="1590" customWidth="1"/>
    <col min="13830" max="13830" width="10.69921875" style="1590" customWidth="1"/>
    <col min="13831" max="13831" width="9" style="1590"/>
    <col min="13832" max="13832" width="10" style="1590" customWidth="1"/>
    <col min="13833" max="13833" width="10.69921875" style="1590" customWidth="1"/>
    <col min="13834" max="13834" width="10.8984375" style="1590" customWidth="1"/>
    <col min="13835" max="13835" width="10.5" style="1590" customWidth="1"/>
    <col min="13836" max="13836" width="11.19921875" style="1590" customWidth="1"/>
    <col min="13837" max="14080" width="9" style="1590"/>
    <col min="14081" max="14081" width="5.69921875" style="1590" customWidth="1"/>
    <col min="14082" max="14082" width="8.19921875" style="1590" customWidth="1"/>
    <col min="14083" max="14085" width="11.59765625" style="1590" customWidth="1"/>
    <col min="14086" max="14086" width="10.69921875" style="1590" customWidth="1"/>
    <col min="14087" max="14087" width="9" style="1590"/>
    <col min="14088" max="14088" width="10" style="1590" customWidth="1"/>
    <col min="14089" max="14089" width="10.69921875" style="1590" customWidth="1"/>
    <col min="14090" max="14090" width="10.8984375" style="1590" customWidth="1"/>
    <col min="14091" max="14091" width="10.5" style="1590" customWidth="1"/>
    <col min="14092" max="14092" width="11.19921875" style="1590" customWidth="1"/>
    <col min="14093" max="14336" width="9" style="1590"/>
    <col min="14337" max="14337" width="5.69921875" style="1590" customWidth="1"/>
    <col min="14338" max="14338" width="8.19921875" style="1590" customWidth="1"/>
    <col min="14339" max="14341" width="11.59765625" style="1590" customWidth="1"/>
    <col min="14342" max="14342" width="10.69921875" style="1590" customWidth="1"/>
    <col min="14343" max="14343" width="9" style="1590"/>
    <col min="14344" max="14344" width="10" style="1590" customWidth="1"/>
    <col min="14345" max="14345" width="10.69921875" style="1590" customWidth="1"/>
    <col min="14346" max="14346" width="10.8984375" style="1590" customWidth="1"/>
    <col min="14347" max="14347" width="10.5" style="1590" customWidth="1"/>
    <col min="14348" max="14348" width="11.19921875" style="1590" customWidth="1"/>
    <col min="14349" max="14592" width="9" style="1590"/>
    <col min="14593" max="14593" width="5.69921875" style="1590" customWidth="1"/>
    <col min="14594" max="14594" width="8.19921875" style="1590" customWidth="1"/>
    <col min="14595" max="14597" width="11.59765625" style="1590" customWidth="1"/>
    <col min="14598" max="14598" width="10.69921875" style="1590" customWidth="1"/>
    <col min="14599" max="14599" width="9" style="1590"/>
    <col min="14600" max="14600" width="10" style="1590" customWidth="1"/>
    <col min="14601" max="14601" width="10.69921875" style="1590" customWidth="1"/>
    <col min="14602" max="14602" width="10.8984375" style="1590" customWidth="1"/>
    <col min="14603" max="14603" width="10.5" style="1590" customWidth="1"/>
    <col min="14604" max="14604" width="11.19921875" style="1590" customWidth="1"/>
    <col min="14605" max="14848" width="9" style="1590"/>
    <col min="14849" max="14849" width="5.69921875" style="1590" customWidth="1"/>
    <col min="14850" max="14850" width="8.19921875" style="1590" customWidth="1"/>
    <col min="14851" max="14853" width="11.59765625" style="1590" customWidth="1"/>
    <col min="14854" max="14854" width="10.69921875" style="1590" customWidth="1"/>
    <col min="14855" max="14855" width="9" style="1590"/>
    <col min="14856" max="14856" width="10" style="1590" customWidth="1"/>
    <col min="14857" max="14857" width="10.69921875" style="1590" customWidth="1"/>
    <col min="14858" max="14858" width="10.8984375" style="1590" customWidth="1"/>
    <col min="14859" max="14859" width="10.5" style="1590" customWidth="1"/>
    <col min="14860" max="14860" width="11.19921875" style="1590" customWidth="1"/>
    <col min="14861" max="15104" width="9" style="1590"/>
    <col min="15105" max="15105" width="5.69921875" style="1590" customWidth="1"/>
    <col min="15106" max="15106" width="8.19921875" style="1590" customWidth="1"/>
    <col min="15107" max="15109" width="11.59765625" style="1590" customWidth="1"/>
    <col min="15110" max="15110" width="10.69921875" style="1590" customWidth="1"/>
    <col min="15111" max="15111" width="9" style="1590"/>
    <col min="15112" max="15112" width="10" style="1590" customWidth="1"/>
    <col min="15113" max="15113" width="10.69921875" style="1590" customWidth="1"/>
    <col min="15114" max="15114" width="10.8984375" style="1590" customWidth="1"/>
    <col min="15115" max="15115" width="10.5" style="1590" customWidth="1"/>
    <col min="15116" max="15116" width="11.19921875" style="1590" customWidth="1"/>
    <col min="15117" max="15360" width="9" style="1590"/>
    <col min="15361" max="15361" width="5.69921875" style="1590" customWidth="1"/>
    <col min="15362" max="15362" width="8.19921875" style="1590" customWidth="1"/>
    <col min="15363" max="15365" width="11.59765625" style="1590" customWidth="1"/>
    <col min="15366" max="15366" width="10.69921875" style="1590" customWidth="1"/>
    <col min="15367" max="15367" width="9" style="1590"/>
    <col min="15368" max="15368" width="10" style="1590" customWidth="1"/>
    <col min="15369" max="15369" width="10.69921875" style="1590" customWidth="1"/>
    <col min="15370" max="15370" width="10.8984375" style="1590" customWidth="1"/>
    <col min="15371" max="15371" width="10.5" style="1590" customWidth="1"/>
    <col min="15372" max="15372" width="11.19921875" style="1590" customWidth="1"/>
    <col min="15373" max="15616" width="9" style="1590"/>
    <col min="15617" max="15617" width="5.69921875" style="1590" customWidth="1"/>
    <col min="15618" max="15618" width="8.19921875" style="1590" customWidth="1"/>
    <col min="15619" max="15621" width="11.59765625" style="1590" customWidth="1"/>
    <col min="15622" max="15622" width="10.69921875" style="1590" customWidth="1"/>
    <col min="15623" max="15623" width="9" style="1590"/>
    <col min="15624" max="15624" width="10" style="1590" customWidth="1"/>
    <col min="15625" max="15625" width="10.69921875" style="1590" customWidth="1"/>
    <col min="15626" max="15626" width="10.8984375" style="1590" customWidth="1"/>
    <col min="15627" max="15627" width="10.5" style="1590" customWidth="1"/>
    <col min="15628" max="15628" width="11.19921875" style="1590" customWidth="1"/>
    <col min="15629" max="15872" width="9" style="1590"/>
    <col min="15873" max="15873" width="5.69921875" style="1590" customWidth="1"/>
    <col min="15874" max="15874" width="8.19921875" style="1590" customWidth="1"/>
    <col min="15875" max="15877" width="11.59765625" style="1590" customWidth="1"/>
    <col min="15878" max="15878" width="10.69921875" style="1590" customWidth="1"/>
    <col min="15879" max="15879" width="9" style="1590"/>
    <col min="15880" max="15880" width="10" style="1590" customWidth="1"/>
    <col min="15881" max="15881" width="10.69921875" style="1590" customWidth="1"/>
    <col min="15882" max="15882" width="10.8984375" style="1590" customWidth="1"/>
    <col min="15883" max="15883" width="10.5" style="1590" customWidth="1"/>
    <col min="15884" max="15884" width="11.19921875" style="1590" customWidth="1"/>
    <col min="15885" max="16128" width="9" style="1590"/>
    <col min="16129" max="16129" width="5.69921875" style="1590" customWidth="1"/>
    <col min="16130" max="16130" width="8.19921875" style="1590" customWidth="1"/>
    <col min="16131" max="16133" width="11.59765625" style="1590" customWidth="1"/>
    <col min="16134" max="16134" width="10.69921875" style="1590" customWidth="1"/>
    <col min="16135" max="16135" width="9" style="1590"/>
    <col min="16136" max="16136" width="10" style="1590" customWidth="1"/>
    <col min="16137" max="16137" width="10.69921875" style="1590" customWidth="1"/>
    <col min="16138" max="16138" width="10.8984375" style="1590" customWidth="1"/>
    <col min="16139" max="16139" width="10.5" style="1590" customWidth="1"/>
    <col min="16140" max="16140" width="11.19921875" style="1590" customWidth="1"/>
    <col min="16141" max="16384" width="9" style="1590"/>
  </cols>
  <sheetData>
    <row r="1" spans="1:14" s="1583" customFormat="1" ht="20.100000000000001" customHeight="1">
      <c r="A1" s="3400" t="s">
        <v>5544</v>
      </c>
      <c r="B1" s="3400"/>
      <c r="C1" s="3400"/>
      <c r="D1" s="3400"/>
      <c r="E1" s="3400"/>
      <c r="F1" s="3400"/>
      <c r="G1" s="3400"/>
      <c r="H1" s="3400"/>
      <c r="I1" s="3400"/>
      <c r="J1" s="3400"/>
      <c r="K1" s="3400"/>
      <c r="L1" s="2021"/>
    </row>
    <row r="2" spans="1:14" s="1589" customFormat="1" ht="25.5" customHeight="1">
      <c r="A2" s="3401" t="s">
        <v>5545</v>
      </c>
      <c r="B2" s="3401"/>
      <c r="C2" s="3401"/>
      <c r="D2" s="3401"/>
      <c r="E2" s="3401"/>
      <c r="F2" s="3401"/>
      <c r="G2" s="3401"/>
      <c r="H2" s="3401"/>
      <c r="I2" s="3401"/>
      <c r="J2" s="3401"/>
      <c r="K2" s="3401"/>
      <c r="L2" s="1865"/>
    </row>
    <row r="3" spans="1:14" ht="29.25" customHeight="1">
      <c r="A3" s="3402" t="s">
        <v>2434</v>
      </c>
      <c r="B3" s="3405" t="s">
        <v>5546</v>
      </c>
      <c r="C3" s="3407" t="s">
        <v>5547</v>
      </c>
      <c r="D3" s="3407"/>
      <c r="E3" s="3407"/>
      <c r="F3" s="3407" t="s">
        <v>5548</v>
      </c>
      <c r="G3" s="3407" t="s">
        <v>5549</v>
      </c>
      <c r="H3" s="3407" t="s">
        <v>5550</v>
      </c>
      <c r="I3" s="3407" t="s">
        <v>5551</v>
      </c>
      <c r="J3" s="3407" t="s">
        <v>5552</v>
      </c>
      <c r="K3" s="3407" t="s">
        <v>5553</v>
      </c>
      <c r="L3" s="3407" t="s">
        <v>4899</v>
      </c>
    </row>
    <row r="4" spans="1:14" ht="36" customHeight="1">
      <c r="A4" s="3403"/>
      <c r="B4" s="3409"/>
      <c r="C4" s="1864" t="s">
        <v>5554</v>
      </c>
      <c r="D4" s="1864" t="s">
        <v>5555</v>
      </c>
      <c r="E4" s="1864" t="s">
        <v>5556</v>
      </c>
      <c r="F4" s="3407"/>
      <c r="G4" s="3407"/>
      <c r="H4" s="3407"/>
      <c r="I4" s="3407"/>
      <c r="J4" s="3407"/>
      <c r="K4" s="3407"/>
      <c r="L4" s="3407"/>
    </row>
    <row r="5" spans="1:14" ht="14.25" customHeight="1">
      <c r="A5" s="3404"/>
      <c r="B5" s="1835">
        <v>1</v>
      </c>
      <c r="C5" s="1835">
        <v>2</v>
      </c>
      <c r="D5" s="1835">
        <v>3</v>
      </c>
      <c r="E5" s="1835">
        <v>4</v>
      </c>
      <c r="F5" s="1835">
        <v>5</v>
      </c>
      <c r="G5" s="1835">
        <v>6</v>
      </c>
      <c r="H5" s="1835">
        <v>7</v>
      </c>
      <c r="I5" s="1835">
        <v>8</v>
      </c>
      <c r="J5" s="1835">
        <v>9</v>
      </c>
      <c r="K5" s="1835" t="s">
        <v>5557</v>
      </c>
      <c r="L5" s="1980"/>
    </row>
    <row r="6" spans="1:14" ht="14.25" customHeight="1">
      <c r="A6" s="1835">
        <v>1</v>
      </c>
      <c r="B6" s="1869" t="str">
        <f>综合利用资源生产产品取得的收入优惠审核表!B6&amp;""</f>
        <v/>
      </c>
      <c r="C6" s="1869" t="str">
        <f>IF(B6="","",TEXT(综合利用资源生产产品取得的收入优惠审核表!C6,"yyyy-mm-dd"))</f>
        <v/>
      </c>
      <c r="D6" s="1869" t="str">
        <f>综合利用资源生产产品取得的收入优惠审核表!D6&amp;""</f>
        <v/>
      </c>
      <c r="E6" s="1869" t="str">
        <f>综合利用资源生产产品取得的收入优惠审核表!E6&amp;""</f>
        <v/>
      </c>
      <c r="F6" s="1869" t="str">
        <f>综合利用资源生产产品取得的收入优惠审核表!F6&amp;""</f>
        <v/>
      </c>
      <c r="G6" s="1869" t="str">
        <f>综合利用资源生产产品取得的收入优惠审核表!G6&amp;""</f>
        <v/>
      </c>
      <c r="H6" s="2566" t="str">
        <f>IF($B6="","",综合利用资源生产产品取得的收入优惠审核表!H6)</f>
        <v/>
      </c>
      <c r="I6" s="1869" t="str">
        <f>综合利用资源生产产品取得的收入优惠审核表!I6&amp;""</f>
        <v/>
      </c>
      <c r="J6" s="2072" t="str">
        <f>IF($B6="","",综合利用资源生产产品取得的收入优惠审核表!J6)</f>
        <v/>
      </c>
      <c r="K6" s="2072" t="str">
        <f>IF($B6="","",综合利用资源生产产品取得的收入优惠审核表!K6)</f>
        <v/>
      </c>
      <c r="L6" s="1980"/>
    </row>
    <row r="7" spans="1:14" ht="14.25" customHeight="1">
      <c r="A7" s="1835">
        <v>2</v>
      </c>
      <c r="B7" s="1869" t="str">
        <f>综合利用资源生产产品取得的收入优惠审核表!B7&amp;""</f>
        <v/>
      </c>
      <c r="C7" s="1869" t="str">
        <f>IF(B7="","",TEXT(综合利用资源生产产品取得的收入优惠审核表!C7,"yyyy-mm-dd"))</f>
        <v/>
      </c>
      <c r="D7" s="1869" t="str">
        <f>综合利用资源生产产品取得的收入优惠审核表!D7&amp;""</f>
        <v/>
      </c>
      <c r="E7" s="1869" t="str">
        <f>综合利用资源生产产品取得的收入优惠审核表!E7&amp;""</f>
        <v/>
      </c>
      <c r="F7" s="1869" t="str">
        <f>综合利用资源生产产品取得的收入优惠审核表!F7&amp;""</f>
        <v/>
      </c>
      <c r="G7" s="1869" t="str">
        <f>综合利用资源生产产品取得的收入优惠审核表!G7&amp;""</f>
        <v/>
      </c>
      <c r="H7" s="2566" t="str">
        <f>IF($B7="","",综合利用资源生产产品取得的收入优惠审核表!H7)</f>
        <v/>
      </c>
      <c r="I7" s="1869" t="str">
        <f>综合利用资源生产产品取得的收入优惠审核表!I7&amp;""</f>
        <v/>
      </c>
      <c r="J7" s="2072" t="str">
        <f>IF($B7="","",综合利用资源生产产品取得的收入优惠审核表!J7)</f>
        <v/>
      </c>
      <c r="K7" s="2072" t="str">
        <f>IF($B7="","",综合利用资源生产产品取得的收入优惠审核表!K7)</f>
        <v/>
      </c>
      <c r="L7" s="1980"/>
    </row>
    <row r="8" spans="1:14" ht="14.25" customHeight="1">
      <c r="A8" s="1835">
        <v>3</v>
      </c>
      <c r="B8" s="1869" t="str">
        <f>综合利用资源生产产品取得的收入优惠审核表!B8&amp;""</f>
        <v/>
      </c>
      <c r="C8" s="1869" t="str">
        <f>IF(B8="","",TEXT(综合利用资源生产产品取得的收入优惠审核表!C8,"yyyy-mm-dd"))</f>
        <v/>
      </c>
      <c r="D8" s="1869" t="str">
        <f>综合利用资源生产产品取得的收入优惠审核表!D8&amp;""</f>
        <v/>
      </c>
      <c r="E8" s="1869" t="str">
        <f>综合利用资源生产产品取得的收入优惠审核表!E8&amp;""</f>
        <v/>
      </c>
      <c r="F8" s="1869" t="str">
        <f>综合利用资源生产产品取得的收入优惠审核表!F8&amp;""</f>
        <v/>
      </c>
      <c r="G8" s="1869" t="str">
        <f>综合利用资源生产产品取得的收入优惠审核表!G8&amp;""</f>
        <v/>
      </c>
      <c r="H8" s="2566" t="str">
        <f>IF($B8="","",综合利用资源生产产品取得的收入优惠审核表!H8)</f>
        <v/>
      </c>
      <c r="I8" s="1869" t="str">
        <f>综合利用资源生产产品取得的收入优惠审核表!I8&amp;""</f>
        <v/>
      </c>
      <c r="J8" s="2072" t="str">
        <f>IF($B8="","",综合利用资源生产产品取得的收入优惠审核表!J8)</f>
        <v/>
      </c>
      <c r="K8" s="2072" t="str">
        <f>IF($B8="","",综合利用资源生产产品取得的收入优惠审核表!K8)</f>
        <v/>
      </c>
      <c r="L8" s="1980"/>
    </row>
    <row r="9" spans="1:14" ht="14.25" customHeight="1">
      <c r="A9" s="1835">
        <v>4</v>
      </c>
      <c r="B9" s="1869" t="str">
        <f>综合利用资源生产产品取得的收入优惠审核表!B9&amp;""</f>
        <v/>
      </c>
      <c r="C9" s="1869" t="str">
        <f>IF(B9="","",TEXT(综合利用资源生产产品取得的收入优惠审核表!C9,"yyyy-mm-dd"))</f>
        <v/>
      </c>
      <c r="D9" s="1869" t="str">
        <f>综合利用资源生产产品取得的收入优惠审核表!D9&amp;""</f>
        <v/>
      </c>
      <c r="E9" s="1869" t="str">
        <f>综合利用资源生产产品取得的收入优惠审核表!E9&amp;""</f>
        <v/>
      </c>
      <c r="F9" s="1869" t="str">
        <f>综合利用资源生产产品取得的收入优惠审核表!F9&amp;""</f>
        <v/>
      </c>
      <c r="G9" s="1869" t="str">
        <f>综合利用资源生产产品取得的收入优惠审核表!G9&amp;""</f>
        <v/>
      </c>
      <c r="H9" s="2566" t="str">
        <f>IF($B9="","",综合利用资源生产产品取得的收入优惠审核表!H9)</f>
        <v/>
      </c>
      <c r="I9" s="1869" t="str">
        <f>综合利用资源生产产品取得的收入优惠审核表!I9&amp;""</f>
        <v/>
      </c>
      <c r="J9" s="2072" t="str">
        <f>IF($B9="","",综合利用资源生产产品取得的收入优惠审核表!J9)</f>
        <v/>
      </c>
      <c r="K9" s="2072" t="str">
        <f>IF($B9="","",综合利用资源生产产品取得的收入优惠审核表!K9)</f>
        <v/>
      </c>
      <c r="L9" s="1980"/>
    </row>
    <row r="10" spans="1:14" ht="14.25" customHeight="1">
      <c r="A10" s="1835">
        <v>5</v>
      </c>
      <c r="B10" s="1869" t="str">
        <f>综合利用资源生产产品取得的收入优惠审核表!B10&amp;""</f>
        <v/>
      </c>
      <c r="C10" s="1869" t="str">
        <f>IF(B10="","",TEXT(综合利用资源生产产品取得的收入优惠审核表!C10,"yyyy-mm-dd"))</f>
        <v/>
      </c>
      <c r="D10" s="1869" t="str">
        <f>综合利用资源生产产品取得的收入优惠审核表!D10&amp;""</f>
        <v/>
      </c>
      <c r="E10" s="1869" t="str">
        <f>综合利用资源生产产品取得的收入优惠审核表!E10&amp;""</f>
        <v/>
      </c>
      <c r="F10" s="1869" t="str">
        <f>综合利用资源生产产品取得的收入优惠审核表!F10&amp;""</f>
        <v/>
      </c>
      <c r="G10" s="1869" t="str">
        <f>综合利用资源生产产品取得的收入优惠审核表!G10&amp;""</f>
        <v/>
      </c>
      <c r="H10" s="2566" t="str">
        <f>IF($B10="","",综合利用资源生产产品取得的收入优惠审核表!H10)</f>
        <v/>
      </c>
      <c r="I10" s="1869" t="str">
        <f>综合利用资源生产产品取得的收入优惠审核表!I10&amp;""</f>
        <v/>
      </c>
      <c r="J10" s="2072" t="str">
        <f>IF($B10="","",综合利用资源生产产品取得的收入优惠审核表!J10)</f>
        <v/>
      </c>
      <c r="K10" s="2072" t="str">
        <f>IF($B10="","",综合利用资源生产产品取得的收入优惠审核表!K10)</f>
        <v/>
      </c>
      <c r="L10" s="1980"/>
    </row>
    <row r="11" spans="1:14" ht="14.25" customHeight="1">
      <c r="A11" s="1835">
        <v>6</v>
      </c>
      <c r="B11" s="1869" t="str">
        <f>综合利用资源生产产品取得的收入优惠审核表!B11&amp;""</f>
        <v/>
      </c>
      <c r="C11" s="1869" t="str">
        <f>IF(B11="","",TEXT(综合利用资源生产产品取得的收入优惠审核表!C11,"yyyy-mm-dd"))</f>
        <v/>
      </c>
      <c r="D11" s="1869" t="str">
        <f>综合利用资源生产产品取得的收入优惠审核表!D11&amp;""</f>
        <v/>
      </c>
      <c r="E11" s="1869" t="str">
        <f>综合利用资源生产产品取得的收入优惠审核表!E11&amp;""</f>
        <v/>
      </c>
      <c r="F11" s="1869" t="str">
        <f>综合利用资源生产产品取得的收入优惠审核表!F11&amp;""</f>
        <v/>
      </c>
      <c r="G11" s="1869" t="str">
        <f>综合利用资源生产产品取得的收入优惠审核表!G11&amp;""</f>
        <v/>
      </c>
      <c r="H11" s="2566" t="str">
        <f>IF($B11="","",综合利用资源生产产品取得的收入优惠审核表!H11)</f>
        <v/>
      </c>
      <c r="I11" s="1869" t="str">
        <f>综合利用资源生产产品取得的收入优惠审核表!I11&amp;""</f>
        <v/>
      </c>
      <c r="J11" s="2072" t="str">
        <f>IF($B11="","",综合利用资源生产产品取得的收入优惠审核表!J11)</f>
        <v/>
      </c>
      <c r="K11" s="2072" t="str">
        <f>IF($B11="","",综合利用资源生产产品取得的收入优惠审核表!K11)</f>
        <v/>
      </c>
      <c r="L11" s="1980"/>
    </row>
    <row r="12" spans="1:14" ht="14.25" customHeight="1">
      <c r="A12" s="1835">
        <v>7</v>
      </c>
      <c r="B12" s="1869" t="str">
        <f>综合利用资源生产产品取得的收入优惠审核表!B12&amp;""</f>
        <v/>
      </c>
      <c r="C12" s="1869" t="str">
        <f>IF(B12="","",TEXT(综合利用资源生产产品取得的收入优惠审核表!C12,"yyyy-mm-dd"))</f>
        <v/>
      </c>
      <c r="D12" s="1869" t="str">
        <f>综合利用资源生产产品取得的收入优惠审核表!D12&amp;""</f>
        <v/>
      </c>
      <c r="E12" s="1869" t="str">
        <f>综合利用资源生产产品取得的收入优惠审核表!E12&amp;""</f>
        <v/>
      </c>
      <c r="F12" s="1869" t="str">
        <f>综合利用资源生产产品取得的收入优惠审核表!F12&amp;""</f>
        <v/>
      </c>
      <c r="G12" s="1869" t="str">
        <f>综合利用资源生产产品取得的收入优惠审核表!G12&amp;""</f>
        <v/>
      </c>
      <c r="H12" s="2566" t="str">
        <f>IF($B12="","",综合利用资源生产产品取得的收入优惠审核表!H12)</f>
        <v/>
      </c>
      <c r="I12" s="1869" t="str">
        <f>综合利用资源生产产品取得的收入优惠审核表!I12&amp;""</f>
        <v/>
      </c>
      <c r="J12" s="2072" t="str">
        <f>IF($B12="","",综合利用资源生产产品取得的收入优惠审核表!J12)</f>
        <v/>
      </c>
      <c r="K12" s="2072" t="str">
        <f>IF($B12="","",综合利用资源生产产品取得的收入优惠审核表!K12)</f>
        <v/>
      </c>
      <c r="L12" s="1980"/>
      <c r="M12" s="1770" t="s">
        <v>6459</v>
      </c>
    </row>
    <row r="13" spans="1:14" ht="14.25" customHeight="1">
      <c r="A13" s="1835">
        <v>8</v>
      </c>
      <c r="B13" s="1869" t="str">
        <f>综合利用资源生产产品取得的收入优惠审核表!B13&amp;""</f>
        <v/>
      </c>
      <c r="C13" s="1869" t="str">
        <f>IF(B13="","",TEXT(综合利用资源生产产品取得的收入优惠审核表!C13,"yyyy-mm-dd"))</f>
        <v/>
      </c>
      <c r="D13" s="1869" t="str">
        <f>综合利用资源生产产品取得的收入优惠审核表!D13&amp;""</f>
        <v/>
      </c>
      <c r="E13" s="1869" t="str">
        <f>综合利用资源生产产品取得的收入优惠审核表!E13&amp;""</f>
        <v/>
      </c>
      <c r="F13" s="1869" t="str">
        <f>综合利用资源生产产品取得的收入优惠审核表!F13&amp;""</f>
        <v/>
      </c>
      <c r="G13" s="1869" t="str">
        <f>综合利用资源生产产品取得的收入优惠审核表!G13&amp;""</f>
        <v/>
      </c>
      <c r="H13" s="2566" t="str">
        <f>IF($B13="","",综合利用资源生产产品取得的收入优惠审核表!H13)</f>
        <v/>
      </c>
      <c r="I13" s="1869" t="str">
        <f>综合利用资源生产产品取得的收入优惠审核表!I13&amp;""</f>
        <v/>
      </c>
      <c r="J13" s="2072" t="str">
        <f>IF($B13="","",综合利用资源生产产品取得的收入优惠审核表!J13)</f>
        <v/>
      </c>
      <c r="K13" s="2072" t="str">
        <f>IF($B13="","",综合利用资源生产产品取得的收入优惠审核表!K13)</f>
        <v/>
      </c>
      <c r="L13" s="1980"/>
    </row>
    <row r="14" spans="1:14" ht="14.25" customHeight="1">
      <c r="A14" s="1835">
        <v>9</v>
      </c>
      <c r="B14" s="1869" t="str">
        <f>综合利用资源生产产品取得的收入优惠审核表!B14&amp;""</f>
        <v/>
      </c>
      <c r="C14" s="1869" t="str">
        <f>IF(B14="","",TEXT(综合利用资源生产产品取得的收入优惠审核表!C14,"yyyy-mm-dd"))</f>
        <v/>
      </c>
      <c r="D14" s="1869" t="str">
        <f>综合利用资源生产产品取得的收入优惠审核表!D14&amp;""</f>
        <v/>
      </c>
      <c r="E14" s="1869" t="str">
        <f>综合利用资源生产产品取得的收入优惠审核表!E14&amp;""</f>
        <v/>
      </c>
      <c r="F14" s="1869" t="str">
        <f>综合利用资源生产产品取得的收入优惠审核表!F14&amp;""</f>
        <v/>
      </c>
      <c r="G14" s="1869" t="str">
        <f>综合利用资源生产产品取得的收入优惠审核表!G14&amp;""</f>
        <v/>
      </c>
      <c r="H14" s="2566" t="str">
        <f>IF($B14="","",综合利用资源生产产品取得的收入优惠审核表!H14)</f>
        <v/>
      </c>
      <c r="I14" s="1869" t="str">
        <f>综合利用资源生产产品取得的收入优惠审核表!I14&amp;""</f>
        <v/>
      </c>
      <c r="J14" s="2072" t="str">
        <f>IF($B14="","",综合利用资源生产产品取得的收入优惠审核表!J14)</f>
        <v/>
      </c>
      <c r="K14" s="2072" t="str">
        <f>IF($B14="","",综合利用资源生产产品取得的收入优惠审核表!K14)</f>
        <v/>
      </c>
      <c r="L14" s="1980"/>
    </row>
    <row r="15" spans="1:14" ht="47.25" customHeight="1">
      <c r="A15" s="1868">
        <v>10</v>
      </c>
      <c r="B15" s="1836" t="str">
        <f>综合利用资源生产产品取得的收入优惠审核表!B15</f>
        <v xml:space="preserve">合计  </v>
      </c>
      <c r="C15" s="1959" t="s">
        <v>1866</v>
      </c>
      <c r="D15" s="1959" t="s">
        <v>1866</v>
      </c>
      <c r="E15" s="1959" t="s">
        <v>1866</v>
      </c>
      <c r="F15" s="1959" t="s">
        <v>1866</v>
      </c>
      <c r="G15" s="1959" t="s">
        <v>1866</v>
      </c>
      <c r="H15" s="1959" t="s">
        <v>1866</v>
      </c>
      <c r="I15" s="1959" t="s">
        <v>1866</v>
      </c>
      <c r="J15" s="2072">
        <f>综合利用资源生产产品取得的收入优惠审核表!J15</f>
        <v>0</v>
      </c>
      <c r="K15" s="2072">
        <f>综合利用资源生产产品取得的收入优惠审核表!K15</f>
        <v>0</v>
      </c>
      <c r="L15" s="1839" t="s">
        <v>5560</v>
      </c>
    </row>
    <row r="16" spans="1:14">
      <c r="A16" s="2293"/>
      <c r="B16" s="2293"/>
      <c r="C16" s="2293"/>
      <c r="D16" s="2293"/>
      <c r="E16" s="2293"/>
      <c r="F16" s="2293"/>
      <c r="G16" s="2293"/>
      <c r="H16" s="2293"/>
      <c r="I16" s="2293"/>
      <c r="J16" s="2293"/>
      <c r="K16" s="2293"/>
      <c r="L16" s="2020" t="s">
        <v>5559</v>
      </c>
      <c r="M16" s="2020"/>
      <c r="N16" s="2020"/>
    </row>
  </sheetData>
  <mergeCells count="12">
    <mergeCell ref="K3:K4"/>
    <mergeCell ref="L3:L4"/>
    <mergeCell ref="A1:K1"/>
    <mergeCell ref="A2:K2"/>
    <mergeCell ref="A3:A5"/>
    <mergeCell ref="B3:B4"/>
    <mergeCell ref="C3:E3"/>
    <mergeCell ref="F3:F4"/>
    <mergeCell ref="G3:G4"/>
    <mergeCell ref="H3:H4"/>
    <mergeCell ref="I3:I4"/>
    <mergeCell ref="J3:J4"/>
  </mergeCells>
  <phoneticPr fontId="51" type="noConversion"/>
  <hyperlinks>
    <hyperlink ref="M12" location="综合利用资源生产产品取得的收入优惠审核表!A1" display="综合利用资源生产产品取得的收入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tabColor rgb="FFFFFF00"/>
  </sheetPr>
  <dimension ref="A1:H16"/>
  <sheetViews>
    <sheetView workbookViewId="0">
      <selection sqref="A1:C1"/>
    </sheetView>
  </sheetViews>
  <sheetFormatPr defaultRowHeight="15.6"/>
  <cols>
    <col min="1" max="1" width="5.19921875" style="1597" customWidth="1"/>
    <col min="2" max="2" width="64.59765625" style="1597" customWidth="1"/>
    <col min="3" max="3" width="16.09765625" style="1597" customWidth="1"/>
    <col min="4" max="4" width="19.8984375" style="1597" customWidth="1"/>
    <col min="5" max="256" width="9" style="1597"/>
    <col min="257" max="257" width="5.19921875" style="1597" customWidth="1"/>
    <col min="258" max="258" width="64.59765625" style="1597" customWidth="1"/>
    <col min="259" max="259" width="16.09765625" style="1597" customWidth="1"/>
    <col min="260" max="260" width="19.8984375" style="1597" customWidth="1"/>
    <col min="261" max="512" width="9" style="1597"/>
    <col min="513" max="513" width="5.19921875" style="1597" customWidth="1"/>
    <col min="514" max="514" width="64.59765625" style="1597" customWidth="1"/>
    <col min="515" max="515" width="16.09765625" style="1597" customWidth="1"/>
    <col min="516" max="516" width="19.8984375" style="1597" customWidth="1"/>
    <col min="517" max="768" width="9" style="1597"/>
    <col min="769" max="769" width="5.19921875" style="1597" customWidth="1"/>
    <col min="770" max="770" width="64.59765625" style="1597" customWidth="1"/>
    <col min="771" max="771" width="16.09765625" style="1597" customWidth="1"/>
    <col min="772" max="772" width="19.8984375" style="1597" customWidth="1"/>
    <col min="773" max="1024" width="9" style="1597"/>
    <col min="1025" max="1025" width="5.19921875" style="1597" customWidth="1"/>
    <col min="1026" max="1026" width="64.59765625" style="1597" customWidth="1"/>
    <col min="1027" max="1027" width="16.09765625" style="1597" customWidth="1"/>
    <col min="1028" max="1028" width="19.8984375" style="1597" customWidth="1"/>
    <col min="1029" max="1280" width="9" style="1597"/>
    <col min="1281" max="1281" width="5.19921875" style="1597" customWidth="1"/>
    <col min="1282" max="1282" width="64.59765625" style="1597" customWidth="1"/>
    <col min="1283" max="1283" width="16.09765625" style="1597" customWidth="1"/>
    <col min="1284" max="1284" width="19.8984375" style="1597" customWidth="1"/>
    <col min="1285" max="1536" width="9" style="1597"/>
    <col min="1537" max="1537" width="5.19921875" style="1597" customWidth="1"/>
    <col min="1538" max="1538" width="64.59765625" style="1597" customWidth="1"/>
    <col min="1539" max="1539" width="16.09765625" style="1597" customWidth="1"/>
    <col min="1540" max="1540" width="19.8984375" style="1597" customWidth="1"/>
    <col min="1541" max="1792" width="9" style="1597"/>
    <col min="1793" max="1793" width="5.19921875" style="1597" customWidth="1"/>
    <col min="1794" max="1794" width="64.59765625" style="1597" customWidth="1"/>
    <col min="1795" max="1795" width="16.09765625" style="1597" customWidth="1"/>
    <col min="1796" max="1796" width="19.8984375" style="1597" customWidth="1"/>
    <col min="1797" max="2048" width="9" style="1597"/>
    <col min="2049" max="2049" width="5.19921875" style="1597" customWidth="1"/>
    <col min="2050" max="2050" width="64.59765625" style="1597" customWidth="1"/>
    <col min="2051" max="2051" width="16.09765625" style="1597" customWidth="1"/>
    <col min="2052" max="2052" width="19.8984375" style="1597" customWidth="1"/>
    <col min="2053" max="2304" width="9" style="1597"/>
    <col min="2305" max="2305" width="5.19921875" style="1597" customWidth="1"/>
    <col min="2306" max="2306" width="64.59765625" style="1597" customWidth="1"/>
    <col min="2307" max="2307" width="16.09765625" style="1597" customWidth="1"/>
    <col min="2308" max="2308" width="19.8984375" style="1597" customWidth="1"/>
    <col min="2309" max="2560" width="9" style="1597"/>
    <col min="2561" max="2561" width="5.19921875" style="1597" customWidth="1"/>
    <col min="2562" max="2562" width="64.59765625" style="1597" customWidth="1"/>
    <col min="2563" max="2563" width="16.09765625" style="1597" customWidth="1"/>
    <col min="2564" max="2564" width="19.8984375" style="1597" customWidth="1"/>
    <col min="2565" max="2816" width="9" style="1597"/>
    <col min="2817" max="2817" width="5.19921875" style="1597" customWidth="1"/>
    <col min="2818" max="2818" width="64.59765625" style="1597" customWidth="1"/>
    <col min="2819" max="2819" width="16.09765625" style="1597" customWidth="1"/>
    <col min="2820" max="2820" width="19.8984375" style="1597" customWidth="1"/>
    <col min="2821" max="3072" width="9" style="1597"/>
    <col min="3073" max="3073" width="5.19921875" style="1597" customWidth="1"/>
    <col min="3074" max="3074" width="64.59765625" style="1597" customWidth="1"/>
    <col min="3075" max="3075" width="16.09765625" style="1597" customWidth="1"/>
    <col min="3076" max="3076" width="19.8984375" style="1597" customWidth="1"/>
    <col min="3077" max="3328" width="9" style="1597"/>
    <col min="3329" max="3329" width="5.19921875" style="1597" customWidth="1"/>
    <col min="3330" max="3330" width="64.59765625" style="1597" customWidth="1"/>
    <col min="3331" max="3331" width="16.09765625" style="1597" customWidth="1"/>
    <col min="3332" max="3332" width="19.8984375" style="1597" customWidth="1"/>
    <col min="3333" max="3584" width="9" style="1597"/>
    <col min="3585" max="3585" width="5.19921875" style="1597" customWidth="1"/>
    <col min="3586" max="3586" width="64.59765625" style="1597" customWidth="1"/>
    <col min="3587" max="3587" width="16.09765625" style="1597" customWidth="1"/>
    <col min="3588" max="3588" width="19.8984375" style="1597" customWidth="1"/>
    <col min="3589" max="3840" width="9" style="1597"/>
    <col min="3841" max="3841" width="5.19921875" style="1597" customWidth="1"/>
    <col min="3842" max="3842" width="64.59765625" style="1597" customWidth="1"/>
    <col min="3843" max="3843" width="16.09765625" style="1597" customWidth="1"/>
    <col min="3844" max="3844" width="19.8984375" style="1597" customWidth="1"/>
    <col min="3845" max="4096" width="9" style="1597"/>
    <col min="4097" max="4097" width="5.19921875" style="1597" customWidth="1"/>
    <col min="4098" max="4098" width="64.59765625" style="1597" customWidth="1"/>
    <col min="4099" max="4099" width="16.09765625" style="1597" customWidth="1"/>
    <col min="4100" max="4100" width="19.8984375" style="1597" customWidth="1"/>
    <col min="4101" max="4352" width="9" style="1597"/>
    <col min="4353" max="4353" width="5.19921875" style="1597" customWidth="1"/>
    <col min="4354" max="4354" width="64.59765625" style="1597" customWidth="1"/>
    <col min="4355" max="4355" width="16.09765625" style="1597" customWidth="1"/>
    <col min="4356" max="4356" width="19.8984375" style="1597" customWidth="1"/>
    <col min="4357" max="4608" width="9" style="1597"/>
    <col min="4609" max="4609" width="5.19921875" style="1597" customWidth="1"/>
    <col min="4610" max="4610" width="64.59765625" style="1597" customWidth="1"/>
    <col min="4611" max="4611" width="16.09765625" style="1597" customWidth="1"/>
    <col min="4612" max="4612" width="19.8984375" style="1597" customWidth="1"/>
    <col min="4613" max="4864" width="9" style="1597"/>
    <col min="4865" max="4865" width="5.19921875" style="1597" customWidth="1"/>
    <col min="4866" max="4866" width="64.59765625" style="1597" customWidth="1"/>
    <col min="4867" max="4867" width="16.09765625" style="1597" customWidth="1"/>
    <col min="4868" max="4868" width="19.8984375" style="1597" customWidth="1"/>
    <col min="4869" max="5120" width="9" style="1597"/>
    <col min="5121" max="5121" width="5.19921875" style="1597" customWidth="1"/>
    <col min="5122" max="5122" width="64.59765625" style="1597" customWidth="1"/>
    <col min="5123" max="5123" width="16.09765625" style="1597" customWidth="1"/>
    <col min="5124" max="5124" width="19.8984375" style="1597" customWidth="1"/>
    <col min="5125" max="5376" width="9" style="1597"/>
    <col min="5377" max="5377" width="5.19921875" style="1597" customWidth="1"/>
    <col min="5378" max="5378" width="64.59765625" style="1597" customWidth="1"/>
    <col min="5379" max="5379" width="16.09765625" style="1597" customWidth="1"/>
    <col min="5380" max="5380" width="19.8984375" style="1597" customWidth="1"/>
    <col min="5381" max="5632" width="9" style="1597"/>
    <col min="5633" max="5633" width="5.19921875" style="1597" customWidth="1"/>
    <col min="5634" max="5634" width="64.59765625" style="1597" customWidth="1"/>
    <col min="5635" max="5635" width="16.09765625" style="1597" customWidth="1"/>
    <col min="5636" max="5636" width="19.8984375" style="1597" customWidth="1"/>
    <col min="5637" max="5888" width="9" style="1597"/>
    <col min="5889" max="5889" width="5.19921875" style="1597" customWidth="1"/>
    <col min="5890" max="5890" width="64.59765625" style="1597" customWidth="1"/>
    <col min="5891" max="5891" width="16.09765625" style="1597" customWidth="1"/>
    <col min="5892" max="5892" width="19.8984375" style="1597" customWidth="1"/>
    <col min="5893" max="6144" width="9" style="1597"/>
    <col min="6145" max="6145" width="5.19921875" style="1597" customWidth="1"/>
    <col min="6146" max="6146" width="64.59765625" style="1597" customWidth="1"/>
    <col min="6147" max="6147" width="16.09765625" style="1597" customWidth="1"/>
    <col min="6148" max="6148" width="19.8984375" style="1597" customWidth="1"/>
    <col min="6149" max="6400" width="9" style="1597"/>
    <col min="6401" max="6401" width="5.19921875" style="1597" customWidth="1"/>
    <col min="6402" max="6402" width="64.59765625" style="1597" customWidth="1"/>
    <col min="6403" max="6403" width="16.09765625" style="1597" customWidth="1"/>
    <col min="6404" max="6404" width="19.8984375" style="1597" customWidth="1"/>
    <col min="6405" max="6656" width="9" style="1597"/>
    <col min="6657" max="6657" width="5.19921875" style="1597" customWidth="1"/>
    <col min="6658" max="6658" width="64.59765625" style="1597" customWidth="1"/>
    <col min="6659" max="6659" width="16.09765625" style="1597" customWidth="1"/>
    <col min="6660" max="6660" width="19.8984375" style="1597" customWidth="1"/>
    <col min="6661" max="6912" width="9" style="1597"/>
    <col min="6913" max="6913" width="5.19921875" style="1597" customWidth="1"/>
    <col min="6914" max="6914" width="64.59765625" style="1597" customWidth="1"/>
    <col min="6915" max="6915" width="16.09765625" style="1597" customWidth="1"/>
    <col min="6916" max="6916" width="19.8984375" style="1597" customWidth="1"/>
    <col min="6917" max="7168" width="9" style="1597"/>
    <col min="7169" max="7169" width="5.19921875" style="1597" customWidth="1"/>
    <col min="7170" max="7170" width="64.59765625" style="1597" customWidth="1"/>
    <col min="7171" max="7171" width="16.09765625" style="1597" customWidth="1"/>
    <col min="7172" max="7172" width="19.8984375" style="1597" customWidth="1"/>
    <col min="7173" max="7424" width="9" style="1597"/>
    <col min="7425" max="7425" width="5.19921875" style="1597" customWidth="1"/>
    <col min="7426" max="7426" width="64.59765625" style="1597" customWidth="1"/>
    <col min="7427" max="7427" width="16.09765625" style="1597" customWidth="1"/>
    <col min="7428" max="7428" width="19.8984375" style="1597" customWidth="1"/>
    <col min="7429" max="7680" width="9" style="1597"/>
    <col min="7681" max="7681" width="5.19921875" style="1597" customWidth="1"/>
    <col min="7682" max="7682" width="64.59765625" style="1597" customWidth="1"/>
    <col min="7683" max="7683" width="16.09765625" style="1597" customWidth="1"/>
    <col min="7684" max="7684" width="19.8984375" style="1597" customWidth="1"/>
    <col min="7685" max="7936" width="9" style="1597"/>
    <col min="7937" max="7937" width="5.19921875" style="1597" customWidth="1"/>
    <col min="7938" max="7938" width="64.59765625" style="1597" customWidth="1"/>
    <col min="7939" max="7939" width="16.09765625" style="1597" customWidth="1"/>
    <col min="7940" max="7940" width="19.8984375" style="1597" customWidth="1"/>
    <col min="7941" max="8192" width="9" style="1597"/>
    <col min="8193" max="8193" width="5.19921875" style="1597" customWidth="1"/>
    <col min="8194" max="8194" width="64.59765625" style="1597" customWidth="1"/>
    <col min="8195" max="8195" width="16.09765625" style="1597" customWidth="1"/>
    <col min="8196" max="8196" width="19.8984375" style="1597" customWidth="1"/>
    <col min="8197" max="8448" width="9" style="1597"/>
    <col min="8449" max="8449" width="5.19921875" style="1597" customWidth="1"/>
    <col min="8450" max="8450" width="64.59765625" style="1597" customWidth="1"/>
    <col min="8451" max="8451" width="16.09765625" style="1597" customWidth="1"/>
    <col min="8452" max="8452" width="19.8984375" style="1597" customWidth="1"/>
    <col min="8453" max="8704" width="9" style="1597"/>
    <col min="8705" max="8705" width="5.19921875" style="1597" customWidth="1"/>
    <col min="8706" max="8706" width="64.59765625" style="1597" customWidth="1"/>
    <col min="8707" max="8707" width="16.09765625" style="1597" customWidth="1"/>
    <col min="8708" max="8708" width="19.8984375" style="1597" customWidth="1"/>
    <col min="8709" max="8960" width="9" style="1597"/>
    <col min="8961" max="8961" width="5.19921875" style="1597" customWidth="1"/>
    <col min="8962" max="8962" width="64.59765625" style="1597" customWidth="1"/>
    <col min="8963" max="8963" width="16.09765625" style="1597" customWidth="1"/>
    <col min="8964" max="8964" width="19.8984375" style="1597" customWidth="1"/>
    <col min="8965" max="9216" width="9" style="1597"/>
    <col min="9217" max="9217" width="5.19921875" style="1597" customWidth="1"/>
    <col min="9218" max="9218" width="64.59765625" style="1597" customWidth="1"/>
    <col min="9219" max="9219" width="16.09765625" style="1597" customWidth="1"/>
    <col min="9220" max="9220" width="19.8984375" style="1597" customWidth="1"/>
    <col min="9221" max="9472" width="9" style="1597"/>
    <col min="9473" max="9473" width="5.19921875" style="1597" customWidth="1"/>
    <col min="9474" max="9474" width="64.59765625" style="1597" customWidth="1"/>
    <col min="9475" max="9475" width="16.09765625" style="1597" customWidth="1"/>
    <col min="9476" max="9476" width="19.8984375" style="1597" customWidth="1"/>
    <col min="9477" max="9728" width="9" style="1597"/>
    <col min="9729" max="9729" width="5.19921875" style="1597" customWidth="1"/>
    <col min="9730" max="9730" width="64.59765625" style="1597" customWidth="1"/>
    <col min="9731" max="9731" width="16.09765625" style="1597" customWidth="1"/>
    <col min="9732" max="9732" width="19.8984375" style="1597" customWidth="1"/>
    <col min="9733" max="9984" width="9" style="1597"/>
    <col min="9985" max="9985" width="5.19921875" style="1597" customWidth="1"/>
    <col min="9986" max="9986" width="64.59765625" style="1597" customWidth="1"/>
    <col min="9987" max="9987" width="16.09765625" style="1597" customWidth="1"/>
    <col min="9988" max="9988" width="19.8984375" style="1597" customWidth="1"/>
    <col min="9989" max="10240" width="9" style="1597"/>
    <col min="10241" max="10241" width="5.19921875" style="1597" customWidth="1"/>
    <col min="10242" max="10242" width="64.59765625" style="1597" customWidth="1"/>
    <col min="10243" max="10243" width="16.09765625" style="1597" customWidth="1"/>
    <col min="10244" max="10244" width="19.8984375" style="1597" customWidth="1"/>
    <col min="10245" max="10496" width="9" style="1597"/>
    <col min="10497" max="10497" width="5.19921875" style="1597" customWidth="1"/>
    <col min="10498" max="10498" width="64.59765625" style="1597" customWidth="1"/>
    <col min="10499" max="10499" width="16.09765625" style="1597" customWidth="1"/>
    <col min="10500" max="10500" width="19.8984375" style="1597" customWidth="1"/>
    <col min="10501" max="10752" width="9" style="1597"/>
    <col min="10753" max="10753" width="5.19921875" style="1597" customWidth="1"/>
    <col min="10754" max="10754" width="64.59765625" style="1597" customWidth="1"/>
    <col min="10755" max="10755" width="16.09765625" style="1597" customWidth="1"/>
    <col min="10756" max="10756" width="19.8984375" style="1597" customWidth="1"/>
    <col min="10757" max="11008" width="9" style="1597"/>
    <col min="11009" max="11009" width="5.19921875" style="1597" customWidth="1"/>
    <col min="11010" max="11010" width="64.59765625" style="1597" customWidth="1"/>
    <col min="11011" max="11011" width="16.09765625" style="1597" customWidth="1"/>
    <col min="11012" max="11012" width="19.8984375" style="1597" customWidth="1"/>
    <col min="11013" max="11264" width="9" style="1597"/>
    <col min="11265" max="11265" width="5.19921875" style="1597" customWidth="1"/>
    <col min="11266" max="11266" width="64.59765625" style="1597" customWidth="1"/>
    <col min="11267" max="11267" width="16.09765625" style="1597" customWidth="1"/>
    <col min="11268" max="11268" width="19.8984375" style="1597" customWidth="1"/>
    <col min="11269" max="11520" width="9" style="1597"/>
    <col min="11521" max="11521" width="5.19921875" style="1597" customWidth="1"/>
    <col min="11522" max="11522" width="64.59765625" style="1597" customWidth="1"/>
    <col min="11523" max="11523" width="16.09765625" style="1597" customWidth="1"/>
    <col min="11524" max="11524" width="19.8984375" style="1597" customWidth="1"/>
    <col min="11525" max="11776" width="9" style="1597"/>
    <col min="11777" max="11777" width="5.19921875" style="1597" customWidth="1"/>
    <col min="11778" max="11778" width="64.59765625" style="1597" customWidth="1"/>
    <col min="11779" max="11779" width="16.09765625" style="1597" customWidth="1"/>
    <col min="11780" max="11780" width="19.8984375" style="1597" customWidth="1"/>
    <col min="11781" max="12032" width="9" style="1597"/>
    <col min="12033" max="12033" width="5.19921875" style="1597" customWidth="1"/>
    <col min="12034" max="12034" width="64.59765625" style="1597" customWidth="1"/>
    <col min="12035" max="12035" width="16.09765625" style="1597" customWidth="1"/>
    <col min="12036" max="12036" width="19.8984375" style="1597" customWidth="1"/>
    <col min="12037" max="12288" width="9" style="1597"/>
    <col min="12289" max="12289" width="5.19921875" style="1597" customWidth="1"/>
    <col min="12290" max="12290" width="64.59765625" style="1597" customWidth="1"/>
    <col min="12291" max="12291" width="16.09765625" style="1597" customWidth="1"/>
    <col min="12292" max="12292" width="19.8984375" style="1597" customWidth="1"/>
    <col min="12293" max="12544" width="9" style="1597"/>
    <col min="12545" max="12545" width="5.19921875" style="1597" customWidth="1"/>
    <col min="12546" max="12546" width="64.59765625" style="1597" customWidth="1"/>
    <col min="12547" max="12547" width="16.09765625" style="1597" customWidth="1"/>
    <col min="12548" max="12548" width="19.8984375" style="1597" customWidth="1"/>
    <col min="12549" max="12800" width="9" style="1597"/>
    <col min="12801" max="12801" width="5.19921875" style="1597" customWidth="1"/>
    <col min="12802" max="12802" width="64.59765625" style="1597" customWidth="1"/>
    <col min="12803" max="12803" width="16.09765625" style="1597" customWidth="1"/>
    <col min="12804" max="12804" width="19.8984375" style="1597" customWidth="1"/>
    <col min="12805" max="13056" width="9" style="1597"/>
    <col min="13057" max="13057" width="5.19921875" style="1597" customWidth="1"/>
    <col min="13058" max="13058" width="64.59765625" style="1597" customWidth="1"/>
    <col min="13059" max="13059" width="16.09765625" style="1597" customWidth="1"/>
    <col min="13060" max="13060" width="19.8984375" style="1597" customWidth="1"/>
    <col min="13061" max="13312" width="9" style="1597"/>
    <col min="13313" max="13313" width="5.19921875" style="1597" customWidth="1"/>
    <col min="13314" max="13314" width="64.59765625" style="1597" customWidth="1"/>
    <col min="13315" max="13315" width="16.09765625" style="1597" customWidth="1"/>
    <col min="13316" max="13316" width="19.8984375" style="1597" customWidth="1"/>
    <col min="13317" max="13568" width="9" style="1597"/>
    <col min="13569" max="13569" width="5.19921875" style="1597" customWidth="1"/>
    <col min="13570" max="13570" width="64.59765625" style="1597" customWidth="1"/>
    <col min="13571" max="13571" width="16.09765625" style="1597" customWidth="1"/>
    <col min="13572" max="13572" width="19.8984375" style="1597" customWidth="1"/>
    <col min="13573" max="13824" width="9" style="1597"/>
    <col min="13825" max="13825" width="5.19921875" style="1597" customWidth="1"/>
    <col min="13826" max="13826" width="64.59765625" style="1597" customWidth="1"/>
    <col min="13827" max="13827" width="16.09765625" style="1597" customWidth="1"/>
    <col min="13828" max="13828" width="19.8984375" style="1597" customWidth="1"/>
    <col min="13829" max="14080" width="9" style="1597"/>
    <col min="14081" max="14081" width="5.19921875" style="1597" customWidth="1"/>
    <col min="14082" max="14082" width="64.59765625" style="1597" customWidth="1"/>
    <col min="14083" max="14083" width="16.09765625" style="1597" customWidth="1"/>
    <col min="14084" max="14084" width="19.8984375" style="1597" customWidth="1"/>
    <col min="14085" max="14336" width="9" style="1597"/>
    <col min="14337" max="14337" width="5.19921875" style="1597" customWidth="1"/>
    <col min="14338" max="14338" width="64.59765625" style="1597" customWidth="1"/>
    <col min="14339" max="14339" width="16.09765625" style="1597" customWidth="1"/>
    <col min="14340" max="14340" width="19.8984375" style="1597" customWidth="1"/>
    <col min="14341" max="14592" width="9" style="1597"/>
    <col min="14593" max="14593" width="5.19921875" style="1597" customWidth="1"/>
    <col min="14594" max="14594" width="64.59765625" style="1597" customWidth="1"/>
    <col min="14595" max="14595" width="16.09765625" style="1597" customWidth="1"/>
    <col min="14596" max="14596" width="19.8984375" style="1597" customWidth="1"/>
    <col min="14597" max="14848" width="9" style="1597"/>
    <col min="14849" max="14849" width="5.19921875" style="1597" customWidth="1"/>
    <col min="14850" max="14850" width="64.59765625" style="1597" customWidth="1"/>
    <col min="14851" max="14851" width="16.09765625" style="1597" customWidth="1"/>
    <col min="14852" max="14852" width="19.8984375" style="1597" customWidth="1"/>
    <col min="14853" max="15104" width="9" style="1597"/>
    <col min="15105" max="15105" width="5.19921875" style="1597" customWidth="1"/>
    <col min="15106" max="15106" width="64.59765625" style="1597" customWidth="1"/>
    <col min="15107" max="15107" width="16.09765625" style="1597" customWidth="1"/>
    <col min="15108" max="15108" width="19.8984375" style="1597" customWidth="1"/>
    <col min="15109" max="15360" width="9" style="1597"/>
    <col min="15361" max="15361" width="5.19921875" style="1597" customWidth="1"/>
    <col min="15362" max="15362" width="64.59765625" style="1597" customWidth="1"/>
    <col min="15363" max="15363" width="16.09765625" style="1597" customWidth="1"/>
    <col min="15364" max="15364" width="19.8984375" style="1597" customWidth="1"/>
    <col min="15365" max="15616" width="9" style="1597"/>
    <col min="15617" max="15617" width="5.19921875" style="1597" customWidth="1"/>
    <col min="15618" max="15618" width="64.59765625" style="1597" customWidth="1"/>
    <col min="15619" max="15619" width="16.09765625" style="1597" customWidth="1"/>
    <col min="15620" max="15620" width="19.8984375" style="1597" customWidth="1"/>
    <col min="15621" max="15872" width="9" style="1597"/>
    <col min="15873" max="15873" width="5.19921875" style="1597" customWidth="1"/>
    <col min="15874" max="15874" width="64.59765625" style="1597" customWidth="1"/>
    <col min="15875" max="15875" width="16.09765625" style="1597" customWidth="1"/>
    <col min="15876" max="15876" width="19.8984375" style="1597" customWidth="1"/>
    <col min="15877" max="16128" width="9" style="1597"/>
    <col min="16129" max="16129" width="5.19921875" style="1597" customWidth="1"/>
    <col min="16130" max="16130" width="64.59765625" style="1597" customWidth="1"/>
    <col min="16131" max="16131" width="16.09765625" style="1597" customWidth="1"/>
    <col min="16132" max="16132" width="19.8984375" style="1597" customWidth="1"/>
    <col min="16133" max="16384" width="9" style="1597"/>
  </cols>
  <sheetData>
    <row r="1" spans="1:8" s="1593" customFormat="1" ht="20.100000000000001" customHeight="1">
      <c r="A1" s="3400" t="s">
        <v>5561</v>
      </c>
      <c r="B1" s="3400"/>
      <c r="C1" s="3400"/>
      <c r="D1" s="2022"/>
    </row>
    <row r="2" spans="1:8" s="1594" customFormat="1" ht="25.5" customHeight="1">
      <c r="A2" s="3401" t="s">
        <v>5562</v>
      </c>
      <c r="B2" s="3401"/>
      <c r="C2" s="3401"/>
      <c r="D2" s="1870"/>
    </row>
    <row r="3" spans="1:8" s="1595" customFormat="1" ht="14.25" customHeight="1">
      <c r="A3" s="1837" t="s">
        <v>1853</v>
      </c>
      <c r="B3" s="1837" t="s">
        <v>1627</v>
      </c>
      <c r="C3" s="1835" t="s">
        <v>5563</v>
      </c>
      <c r="D3" s="1835" t="s">
        <v>4899</v>
      </c>
      <c r="H3" s="1596"/>
    </row>
    <row r="4" spans="1:8" s="1595" customFormat="1" ht="14.25" customHeight="1">
      <c r="A4" s="1835">
        <v>1</v>
      </c>
      <c r="B4" s="1871" t="s">
        <v>5564</v>
      </c>
      <c r="C4" s="1959" t="s">
        <v>1859</v>
      </c>
      <c r="D4" s="1871"/>
    </row>
    <row r="5" spans="1:8" s="1595" customFormat="1" ht="14.25" customHeight="1">
      <c r="A5" s="1835">
        <v>2</v>
      </c>
      <c r="B5" s="1871" t="s">
        <v>5565</v>
      </c>
      <c r="C5" s="2072">
        <f>金融保险等机构取得涉农利息保费收入优惠审核表!C5</f>
        <v>0</v>
      </c>
      <c r="D5" s="1871"/>
    </row>
    <row r="6" spans="1:8" s="1595" customFormat="1" ht="14.25" customHeight="1">
      <c r="A6" s="1835">
        <v>3</v>
      </c>
      <c r="B6" s="1839" t="s">
        <v>5566</v>
      </c>
      <c r="C6" s="2072">
        <f>金融保险等机构取得涉农利息保费收入优惠审核表!C6</f>
        <v>0</v>
      </c>
      <c r="D6" s="1871"/>
    </row>
    <row r="7" spans="1:8" s="1595" customFormat="1" ht="14.25" customHeight="1">
      <c r="A7" s="1835">
        <v>4</v>
      </c>
      <c r="B7" s="1839" t="s">
        <v>5567</v>
      </c>
      <c r="C7" s="1959" t="s">
        <v>1859</v>
      </c>
      <c r="D7" s="1871"/>
    </row>
    <row r="8" spans="1:8" s="1595" customFormat="1" ht="15.75" customHeight="1">
      <c r="A8" s="1837">
        <v>5</v>
      </c>
      <c r="B8" s="1838" t="s">
        <v>5568</v>
      </c>
      <c r="C8" s="2072">
        <f>金融保险等机构取得涉农利息保费收入优惠审核表!C8</f>
        <v>0</v>
      </c>
      <c r="D8" s="1981"/>
    </row>
    <row r="9" spans="1:8" s="1595" customFormat="1" ht="14.25" customHeight="1">
      <c r="A9" s="1835">
        <v>6</v>
      </c>
      <c r="B9" s="1839" t="s">
        <v>5569</v>
      </c>
      <c r="C9" s="2072">
        <f>金融保险等机构取得涉农利息保费收入优惠审核表!C9</f>
        <v>0</v>
      </c>
      <c r="D9" s="1871"/>
    </row>
    <row r="10" spans="1:8" s="1595" customFormat="1" ht="14.25" customHeight="1">
      <c r="A10" s="1835">
        <v>7</v>
      </c>
      <c r="B10" s="1871" t="s">
        <v>5570</v>
      </c>
      <c r="C10" s="2072">
        <f>金融保险等机构取得涉农利息保费收入优惠审核表!C10</f>
        <v>0</v>
      </c>
      <c r="D10" s="1871"/>
    </row>
    <row r="11" spans="1:8" s="1595" customFormat="1" ht="14.25" customHeight="1">
      <c r="A11" s="1835">
        <v>8</v>
      </c>
      <c r="B11" s="1871" t="s">
        <v>5571</v>
      </c>
      <c r="C11" s="2072">
        <f>金融保险等机构取得涉农利息保费收入优惠审核表!C11</f>
        <v>0</v>
      </c>
      <c r="D11" s="1871"/>
    </row>
    <row r="12" spans="1:8" s="1595" customFormat="1" ht="15.75" customHeight="1">
      <c r="A12" s="1837">
        <v>9</v>
      </c>
      <c r="B12" s="1838" t="s">
        <v>5572</v>
      </c>
      <c r="C12" s="2072">
        <f>金融保险等机构取得涉农利息保费收入优惠审核表!C12</f>
        <v>0</v>
      </c>
      <c r="D12" s="1871"/>
    </row>
    <row r="13" spans="1:8" s="1595" customFormat="1" ht="14.25" customHeight="1">
      <c r="A13" s="1835">
        <v>10</v>
      </c>
      <c r="B13" s="1871" t="s">
        <v>5573</v>
      </c>
      <c r="C13" s="1959" t="s">
        <v>1859</v>
      </c>
      <c r="D13" s="1871"/>
    </row>
    <row r="14" spans="1:8" s="1595" customFormat="1" ht="14.25" customHeight="1">
      <c r="A14" s="1835">
        <v>11</v>
      </c>
      <c r="B14" s="1871" t="s">
        <v>5574</v>
      </c>
      <c r="C14" s="2072">
        <f>金融保险等机构取得涉农利息保费收入优惠审核表!C14</f>
        <v>0</v>
      </c>
      <c r="D14" s="1871"/>
      <c r="E14" s="1675" t="s">
        <v>6461</v>
      </c>
    </row>
    <row r="15" spans="1:8" s="1595" customFormat="1" ht="14.25" customHeight="1">
      <c r="A15" s="1835">
        <v>12</v>
      </c>
      <c r="B15" s="1839" t="s">
        <v>5575</v>
      </c>
      <c r="C15" s="2072">
        <f>金融保险等机构取得涉农利息保费收入优惠审核表!C15</f>
        <v>0</v>
      </c>
      <c r="D15" s="1871"/>
    </row>
    <row r="16" spans="1:8" s="1595" customFormat="1" ht="14.25" customHeight="1">
      <c r="A16" s="1835">
        <v>13</v>
      </c>
      <c r="B16" s="1871" t="s">
        <v>5576</v>
      </c>
      <c r="C16" s="2072">
        <f>金融保险等机构取得涉农利息保费收入优惠审核表!C16</f>
        <v>0</v>
      </c>
      <c r="D16" s="1871" t="s">
        <v>5577</v>
      </c>
    </row>
  </sheetData>
  <mergeCells count="2">
    <mergeCell ref="A1:C1"/>
    <mergeCell ref="A2:C2"/>
  </mergeCells>
  <phoneticPr fontId="51" type="noConversion"/>
  <hyperlinks>
    <hyperlink ref="E14" location="金融保险等机构取得涉农利息保费收入优惠审核表!A1" display="金融保险等机构取得涉农利息保费收入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tabColor rgb="FFFFFF00"/>
  </sheetPr>
  <dimension ref="A1:X15"/>
  <sheetViews>
    <sheetView topLeftCell="A5" workbookViewId="0">
      <selection activeCell="C15" sqref="C15"/>
    </sheetView>
  </sheetViews>
  <sheetFormatPr defaultRowHeight="15.6"/>
  <cols>
    <col min="1" max="1" width="5.69921875" style="1598" customWidth="1"/>
    <col min="2" max="2" width="12.19921875" style="1598" customWidth="1"/>
    <col min="3" max="20" width="10.5" style="1598" customWidth="1"/>
    <col min="21" max="256" width="9" style="1598"/>
    <col min="257" max="257" width="5.69921875" style="1598" customWidth="1"/>
    <col min="258" max="258" width="4.59765625" style="1598" customWidth="1"/>
    <col min="259" max="259" width="5.09765625" style="1598" customWidth="1"/>
    <col min="260" max="260" width="5" style="1598" customWidth="1"/>
    <col min="261" max="261" width="5.09765625" style="1598" customWidth="1"/>
    <col min="262" max="262" width="4.69921875" style="1598" customWidth="1"/>
    <col min="263" max="265" width="6.09765625" style="1598" customWidth="1"/>
    <col min="266" max="266" width="5.09765625" style="1598" customWidth="1"/>
    <col min="267" max="267" width="4.09765625" style="1598" customWidth="1"/>
    <col min="268" max="276" width="6.09765625" style="1598" customWidth="1"/>
    <col min="277" max="512" width="9" style="1598"/>
    <col min="513" max="513" width="5.69921875" style="1598" customWidth="1"/>
    <col min="514" max="514" width="4.59765625" style="1598" customWidth="1"/>
    <col min="515" max="515" width="5.09765625" style="1598" customWidth="1"/>
    <col min="516" max="516" width="5" style="1598" customWidth="1"/>
    <col min="517" max="517" width="5.09765625" style="1598" customWidth="1"/>
    <col min="518" max="518" width="4.69921875" style="1598" customWidth="1"/>
    <col min="519" max="521" width="6.09765625" style="1598" customWidth="1"/>
    <col min="522" max="522" width="5.09765625" style="1598" customWidth="1"/>
    <col min="523" max="523" width="4.09765625" style="1598" customWidth="1"/>
    <col min="524" max="532" width="6.09765625" style="1598" customWidth="1"/>
    <col min="533" max="768" width="9" style="1598"/>
    <col min="769" max="769" width="5.69921875" style="1598" customWidth="1"/>
    <col min="770" max="770" width="4.59765625" style="1598" customWidth="1"/>
    <col min="771" max="771" width="5.09765625" style="1598" customWidth="1"/>
    <col min="772" max="772" width="5" style="1598" customWidth="1"/>
    <col min="773" max="773" width="5.09765625" style="1598" customWidth="1"/>
    <col min="774" max="774" width="4.69921875" style="1598" customWidth="1"/>
    <col min="775" max="777" width="6.09765625" style="1598" customWidth="1"/>
    <col min="778" max="778" width="5.09765625" style="1598" customWidth="1"/>
    <col min="779" max="779" width="4.09765625" style="1598" customWidth="1"/>
    <col min="780" max="788" width="6.09765625" style="1598" customWidth="1"/>
    <col min="789" max="1024" width="9" style="1598"/>
    <col min="1025" max="1025" width="5.69921875" style="1598" customWidth="1"/>
    <col min="1026" max="1026" width="4.59765625" style="1598" customWidth="1"/>
    <col min="1027" max="1027" width="5.09765625" style="1598" customWidth="1"/>
    <col min="1028" max="1028" width="5" style="1598" customWidth="1"/>
    <col min="1029" max="1029" width="5.09765625" style="1598" customWidth="1"/>
    <col min="1030" max="1030" width="4.69921875" style="1598" customWidth="1"/>
    <col min="1031" max="1033" width="6.09765625" style="1598" customWidth="1"/>
    <col min="1034" max="1034" width="5.09765625" style="1598" customWidth="1"/>
    <col min="1035" max="1035" width="4.09765625" style="1598" customWidth="1"/>
    <col min="1036" max="1044" width="6.09765625" style="1598" customWidth="1"/>
    <col min="1045" max="1280" width="9" style="1598"/>
    <col min="1281" max="1281" width="5.69921875" style="1598" customWidth="1"/>
    <col min="1282" max="1282" width="4.59765625" style="1598" customWidth="1"/>
    <col min="1283" max="1283" width="5.09765625" style="1598" customWidth="1"/>
    <col min="1284" max="1284" width="5" style="1598" customWidth="1"/>
    <col min="1285" max="1285" width="5.09765625" style="1598" customWidth="1"/>
    <col min="1286" max="1286" width="4.69921875" style="1598" customWidth="1"/>
    <col min="1287" max="1289" width="6.09765625" style="1598" customWidth="1"/>
    <col min="1290" max="1290" width="5.09765625" style="1598" customWidth="1"/>
    <col min="1291" max="1291" width="4.09765625" style="1598" customWidth="1"/>
    <col min="1292" max="1300" width="6.09765625" style="1598" customWidth="1"/>
    <col min="1301" max="1536" width="9" style="1598"/>
    <col min="1537" max="1537" width="5.69921875" style="1598" customWidth="1"/>
    <col min="1538" max="1538" width="4.59765625" style="1598" customWidth="1"/>
    <col min="1539" max="1539" width="5.09765625" style="1598" customWidth="1"/>
    <col min="1540" max="1540" width="5" style="1598" customWidth="1"/>
    <col min="1541" max="1541" width="5.09765625" style="1598" customWidth="1"/>
    <col min="1542" max="1542" width="4.69921875" style="1598" customWidth="1"/>
    <col min="1543" max="1545" width="6.09765625" style="1598" customWidth="1"/>
    <col min="1546" max="1546" width="5.09765625" style="1598" customWidth="1"/>
    <col min="1547" max="1547" width="4.09765625" style="1598" customWidth="1"/>
    <col min="1548" max="1556" width="6.09765625" style="1598" customWidth="1"/>
    <col min="1557" max="1792" width="9" style="1598"/>
    <col min="1793" max="1793" width="5.69921875" style="1598" customWidth="1"/>
    <col min="1794" max="1794" width="4.59765625" style="1598" customWidth="1"/>
    <col min="1795" max="1795" width="5.09765625" style="1598" customWidth="1"/>
    <col min="1796" max="1796" width="5" style="1598" customWidth="1"/>
    <col min="1797" max="1797" width="5.09765625" style="1598" customWidth="1"/>
    <col min="1798" max="1798" width="4.69921875" style="1598" customWidth="1"/>
    <col min="1799" max="1801" width="6.09765625" style="1598" customWidth="1"/>
    <col min="1802" max="1802" width="5.09765625" style="1598" customWidth="1"/>
    <col min="1803" max="1803" width="4.09765625" style="1598" customWidth="1"/>
    <col min="1804" max="1812" width="6.09765625" style="1598" customWidth="1"/>
    <col min="1813" max="2048" width="9" style="1598"/>
    <col min="2049" max="2049" width="5.69921875" style="1598" customWidth="1"/>
    <col min="2050" max="2050" width="4.59765625" style="1598" customWidth="1"/>
    <col min="2051" max="2051" width="5.09765625" style="1598" customWidth="1"/>
    <col min="2052" max="2052" width="5" style="1598" customWidth="1"/>
    <col min="2053" max="2053" width="5.09765625" style="1598" customWidth="1"/>
    <col min="2054" max="2054" width="4.69921875" style="1598" customWidth="1"/>
    <col min="2055" max="2057" width="6.09765625" style="1598" customWidth="1"/>
    <col min="2058" max="2058" width="5.09765625" style="1598" customWidth="1"/>
    <col min="2059" max="2059" width="4.09765625" style="1598" customWidth="1"/>
    <col min="2060" max="2068" width="6.09765625" style="1598" customWidth="1"/>
    <col min="2069" max="2304" width="9" style="1598"/>
    <col min="2305" max="2305" width="5.69921875" style="1598" customWidth="1"/>
    <col min="2306" max="2306" width="4.59765625" style="1598" customWidth="1"/>
    <col min="2307" max="2307" width="5.09765625" style="1598" customWidth="1"/>
    <col min="2308" max="2308" width="5" style="1598" customWidth="1"/>
    <col min="2309" max="2309" width="5.09765625" style="1598" customWidth="1"/>
    <col min="2310" max="2310" width="4.69921875" style="1598" customWidth="1"/>
    <col min="2311" max="2313" width="6.09765625" style="1598" customWidth="1"/>
    <col min="2314" max="2314" width="5.09765625" style="1598" customWidth="1"/>
    <col min="2315" max="2315" width="4.09765625" style="1598" customWidth="1"/>
    <col min="2316" max="2324" width="6.09765625" style="1598" customWidth="1"/>
    <col min="2325" max="2560" width="9" style="1598"/>
    <col min="2561" max="2561" width="5.69921875" style="1598" customWidth="1"/>
    <col min="2562" max="2562" width="4.59765625" style="1598" customWidth="1"/>
    <col min="2563" max="2563" width="5.09765625" style="1598" customWidth="1"/>
    <col min="2564" max="2564" width="5" style="1598" customWidth="1"/>
    <col min="2565" max="2565" width="5.09765625" style="1598" customWidth="1"/>
    <col min="2566" max="2566" width="4.69921875" style="1598" customWidth="1"/>
    <col min="2567" max="2569" width="6.09765625" style="1598" customWidth="1"/>
    <col min="2570" max="2570" width="5.09765625" style="1598" customWidth="1"/>
    <col min="2571" max="2571" width="4.09765625" style="1598" customWidth="1"/>
    <col min="2572" max="2580" width="6.09765625" style="1598" customWidth="1"/>
    <col min="2581" max="2816" width="9" style="1598"/>
    <col min="2817" max="2817" width="5.69921875" style="1598" customWidth="1"/>
    <col min="2818" max="2818" width="4.59765625" style="1598" customWidth="1"/>
    <col min="2819" max="2819" width="5.09765625" style="1598" customWidth="1"/>
    <col min="2820" max="2820" width="5" style="1598" customWidth="1"/>
    <col min="2821" max="2821" width="5.09765625" style="1598" customWidth="1"/>
    <col min="2822" max="2822" width="4.69921875" style="1598" customWidth="1"/>
    <col min="2823" max="2825" width="6.09765625" style="1598" customWidth="1"/>
    <col min="2826" max="2826" width="5.09765625" style="1598" customWidth="1"/>
    <col min="2827" max="2827" width="4.09765625" style="1598" customWidth="1"/>
    <col min="2828" max="2836" width="6.09765625" style="1598" customWidth="1"/>
    <col min="2837" max="3072" width="9" style="1598"/>
    <col min="3073" max="3073" width="5.69921875" style="1598" customWidth="1"/>
    <col min="3074" max="3074" width="4.59765625" style="1598" customWidth="1"/>
    <col min="3075" max="3075" width="5.09765625" style="1598" customWidth="1"/>
    <col min="3076" max="3076" width="5" style="1598" customWidth="1"/>
    <col min="3077" max="3077" width="5.09765625" style="1598" customWidth="1"/>
    <col min="3078" max="3078" width="4.69921875" style="1598" customWidth="1"/>
    <col min="3079" max="3081" width="6.09765625" style="1598" customWidth="1"/>
    <col min="3082" max="3082" width="5.09765625" style="1598" customWidth="1"/>
    <col min="3083" max="3083" width="4.09765625" style="1598" customWidth="1"/>
    <col min="3084" max="3092" width="6.09765625" style="1598" customWidth="1"/>
    <col min="3093" max="3328" width="9" style="1598"/>
    <col min="3329" max="3329" width="5.69921875" style="1598" customWidth="1"/>
    <col min="3330" max="3330" width="4.59765625" style="1598" customWidth="1"/>
    <col min="3331" max="3331" width="5.09765625" style="1598" customWidth="1"/>
    <col min="3332" max="3332" width="5" style="1598" customWidth="1"/>
    <col min="3333" max="3333" width="5.09765625" style="1598" customWidth="1"/>
    <col min="3334" max="3334" width="4.69921875" style="1598" customWidth="1"/>
    <col min="3335" max="3337" width="6.09765625" style="1598" customWidth="1"/>
    <col min="3338" max="3338" width="5.09765625" style="1598" customWidth="1"/>
    <col min="3339" max="3339" width="4.09765625" style="1598" customWidth="1"/>
    <col min="3340" max="3348" width="6.09765625" style="1598" customWidth="1"/>
    <col min="3349" max="3584" width="9" style="1598"/>
    <col min="3585" max="3585" width="5.69921875" style="1598" customWidth="1"/>
    <col min="3586" max="3586" width="4.59765625" style="1598" customWidth="1"/>
    <col min="3587" max="3587" width="5.09765625" style="1598" customWidth="1"/>
    <col min="3588" max="3588" width="5" style="1598" customWidth="1"/>
    <col min="3589" max="3589" width="5.09765625" style="1598" customWidth="1"/>
    <col min="3590" max="3590" width="4.69921875" style="1598" customWidth="1"/>
    <col min="3591" max="3593" width="6.09765625" style="1598" customWidth="1"/>
    <col min="3594" max="3594" width="5.09765625" style="1598" customWidth="1"/>
    <col min="3595" max="3595" width="4.09765625" style="1598" customWidth="1"/>
    <col min="3596" max="3604" width="6.09765625" style="1598" customWidth="1"/>
    <col min="3605" max="3840" width="9" style="1598"/>
    <col min="3841" max="3841" width="5.69921875" style="1598" customWidth="1"/>
    <col min="3842" max="3842" width="4.59765625" style="1598" customWidth="1"/>
    <col min="3843" max="3843" width="5.09765625" style="1598" customWidth="1"/>
    <col min="3844" max="3844" width="5" style="1598" customWidth="1"/>
    <col min="3845" max="3845" width="5.09765625" style="1598" customWidth="1"/>
    <col min="3846" max="3846" width="4.69921875" style="1598" customWidth="1"/>
    <col min="3847" max="3849" width="6.09765625" style="1598" customWidth="1"/>
    <col min="3850" max="3850" width="5.09765625" style="1598" customWidth="1"/>
    <col min="3851" max="3851" width="4.09765625" style="1598" customWidth="1"/>
    <col min="3852" max="3860" width="6.09765625" style="1598" customWidth="1"/>
    <col min="3861" max="4096" width="9" style="1598"/>
    <col min="4097" max="4097" width="5.69921875" style="1598" customWidth="1"/>
    <col min="4098" max="4098" width="4.59765625" style="1598" customWidth="1"/>
    <col min="4099" max="4099" width="5.09765625" style="1598" customWidth="1"/>
    <col min="4100" max="4100" width="5" style="1598" customWidth="1"/>
    <col min="4101" max="4101" width="5.09765625" style="1598" customWidth="1"/>
    <col min="4102" max="4102" width="4.69921875" style="1598" customWidth="1"/>
    <col min="4103" max="4105" width="6.09765625" style="1598" customWidth="1"/>
    <col min="4106" max="4106" width="5.09765625" style="1598" customWidth="1"/>
    <col min="4107" max="4107" width="4.09765625" style="1598" customWidth="1"/>
    <col min="4108" max="4116" width="6.09765625" style="1598" customWidth="1"/>
    <col min="4117" max="4352" width="9" style="1598"/>
    <col min="4353" max="4353" width="5.69921875" style="1598" customWidth="1"/>
    <col min="4354" max="4354" width="4.59765625" style="1598" customWidth="1"/>
    <col min="4355" max="4355" width="5.09765625" style="1598" customWidth="1"/>
    <col min="4356" max="4356" width="5" style="1598" customWidth="1"/>
    <col min="4357" max="4357" width="5.09765625" style="1598" customWidth="1"/>
    <col min="4358" max="4358" width="4.69921875" style="1598" customWidth="1"/>
    <col min="4359" max="4361" width="6.09765625" style="1598" customWidth="1"/>
    <col min="4362" max="4362" width="5.09765625" style="1598" customWidth="1"/>
    <col min="4363" max="4363" width="4.09765625" style="1598" customWidth="1"/>
    <col min="4364" max="4372" width="6.09765625" style="1598" customWidth="1"/>
    <col min="4373" max="4608" width="9" style="1598"/>
    <col min="4609" max="4609" width="5.69921875" style="1598" customWidth="1"/>
    <col min="4610" max="4610" width="4.59765625" style="1598" customWidth="1"/>
    <col min="4611" max="4611" width="5.09765625" style="1598" customWidth="1"/>
    <col min="4612" max="4612" width="5" style="1598" customWidth="1"/>
    <col min="4613" max="4613" width="5.09765625" style="1598" customWidth="1"/>
    <col min="4614" max="4614" width="4.69921875" style="1598" customWidth="1"/>
    <col min="4615" max="4617" width="6.09765625" style="1598" customWidth="1"/>
    <col min="4618" max="4618" width="5.09765625" style="1598" customWidth="1"/>
    <col min="4619" max="4619" width="4.09765625" style="1598" customWidth="1"/>
    <col min="4620" max="4628" width="6.09765625" style="1598" customWidth="1"/>
    <col min="4629" max="4864" width="9" style="1598"/>
    <col min="4865" max="4865" width="5.69921875" style="1598" customWidth="1"/>
    <col min="4866" max="4866" width="4.59765625" style="1598" customWidth="1"/>
    <col min="4867" max="4867" width="5.09765625" style="1598" customWidth="1"/>
    <col min="4868" max="4868" width="5" style="1598" customWidth="1"/>
    <col min="4869" max="4869" width="5.09765625" style="1598" customWidth="1"/>
    <col min="4870" max="4870" width="4.69921875" style="1598" customWidth="1"/>
    <col min="4871" max="4873" width="6.09765625" style="1598" customWidth="1"/>
    <col min="4874" max="4874" width="5.09765625" style="1598" customWidth="1"/>
    <col min="4875" max="4875" width="4.09765625" style="1598" customWidth="1"/>
    <col min="4876" max="4884" width="6.09765625" style="1598" customWidth="1"/>
    <col min="4885" max="5120" width="9" style="1598"/>
    <col min="5121" max="5121" width="5.69921875" style="1598" customWidth="1"/>
    <col min="5122" max="5122" width="4.59765625" style="1598" customWidth="1"/>
    <col min="5123" max="5123" width="5.09765625" style="1598" customWidth="1"/>
    <col min="5124" max="5124" width="5" style="1598" customWidth="1"/>
    <col min="5125" max="5125" width="5.09765625" style="1598" customWidth="1"/>
    <col min="5126" max="5126" width="4.69921875" style="1598" customWidth="1"/>
    <col min="5127" max="5129" width="6.09765625" style="1598" customWidth="1"/>
    <col min="5130" max="5130" width="5.09765625" style="1598" customWidth="1"/>
    <col min="5131" max="5131" width="4.09765625" style="1598" customWidth="1"/>
    <col min="5132" max="5140" width="6.09765625" style="1598" customWidth="1"/>
    <col min="5141" max="5376" width="9" style="1598"/>
    <col min="5377" max="5377" width="5.69921875" style="1598" customWidth="1"/>
    <col min="5378" max="5378" width="4.59765625" style="1598" customWidth="1"/>
    <col min="5379" max="5379" width="5.09765625" style="1598" customWidth="1"/>
    <col min="5380" max="5380" width="5" style="1598" customWidth="1"/>
    <col min="5381" max="5381" width="5.09765625" style="1598" customWidth="1"/>
    <col min="5382" max="5382" width="4.69921875" style="1598" customWidth="1"/>
    <col min="5383" max="5385" width="6.09765625" style="1598" customWidth="1"/>
    <col min="5386" max="5386" width="5.09765625" style="1598" customWidth="1"/>
    <col min="5387" max="5387" width="4.09765625" style="1598" customWidth="1"/>
    <col min="5388" max="5396" width="6.09765625" style="1598" customWidth="1"/>
    <col min="5397" max="5632" width="9" style="1598"/>
    <col min="5633" max="5633" width="5.69921875" style="1598" customWidth="1"/>
    <col min="5634" max="5634" width="4.59765625" style="1598" customWidth="1"/>
    <col min="5635" max="5635" width="5.09765625" style="1598" customWidth="1"/>
    <col min="5636" max="5636" width="5" style="1598" customWidth="1"/>
    <col min="5637" max="5637" width="5.09765625" style="1598" customWidth="1"/>
    <col min="5638" max="5638" width="4.69921875" style="1598" customWidth="1"/>
    <col min="5639" max="5641" width="6.09765625" style="1598" customWidth="1"/>
    <col min="5642" max="5642" width="5.09765625" style="1598" customWidth="1"/>
    <col min="5643" max="5643" width="4.09765625" style="1598" customWidth="1"/>
    <col min="5644" max="5652" width="6.09765625" style="1598" customWidth="1"/>
    <col min="5653" max="5888" width="9" style="1598"/>
    <col min="5889" max="5889" width="5.69921875" style="1598" customWidth="1"/>
    <col min="5890" max="5890" width="4.59765625" style="1598" customWidth="1"/>
    <col min="5891" max="5891" width="5.09765625" style="1598" customWidth="1"/>
    <col min="5892" max="5892" width="5" style="1598" customWidth="1"/>
    <col min="5893" max="5893" width="5.09765625" style="1598" customWidth="1"/>
    <col min="5894" max="5894" width="4.69921875" style="1598" customWidth="1"/>
    <col min="5895" max="5897" width="6.09765625" style="1598" customWidth="1"/>
    <col min="5898" max="5898" width="5.09765625" style="1598" customWidth="1"/>
    <col min="5899" max="5899" width="4.09765625" style="1598" customWidth="1"/>
    <col min="5900" max="5908" width="6.09765625" style="1598" customWidth="1"/>
    <col min="5909" max="6144" width="9" style="1598"/>
    <col min="6145" max="6145" width="5.69921875" style="1598" customWidth="1"/>
    <col min="6146" max="6146" width="4.59765625" style="1598" customWidth="1"/>
    <col min="6147" max="6147" width="5.09765625" style="1598" customWidth="1"/>
    <col min="6148" max="6148" width="5" style="1598" customWidth="1"/>
    <col min="6149" max="6149" width="5.09765625" style="1598" customWidth="1"/>
    <col min="6150" max="6150" width="4.69921875" style="1598" customWidth="1"/>
    <col min="6151" max="6153" width="6.09765625" style="1598" customWidth="1"/>
    <col min="6154" max="6154" width="5.09765625" style="1598" customWidth="1"/>
    <col min="6155" max="6155" width="4.09765625" style="1598" customWidth="1"/>
    <col min="6156" max="6164" width="6.09765625" style="1598" customWidth="1"/>
    <col min="6165" max="6400" width="9" style="1598"/>
    <col min="6401" max="6401" width="5.69921875" style="1598" customWidth="1"/>
    <col min="6402" max="6402" width="4.59765625" style="1598" customWidth="1"/>
    <col min="6403" max="6403" width="5.09765625" style="1598" customWidth="1"/>
    <col min="6404" max="6404" width="5" style="1598" customWidth="1"/>
    <col min="6405" max="6405" width="5.09765625" style="1598" customWidth="1"/>
    <col min="6406" max="6406" width="4.69921875" style="1598" customWidth="1"/>
    <col min="6407" max="6409" width="6.09765625" style="1598" customWidth="1"/>
    <col min="6410" max="6410" width="5.09765625" style="1598" customWidth="1"/>
    <col min="6411" max="6411" width="4.09765625" style="1598" customWidth="1"/>
    <col min="6412" max="6420" width="6.09765625" style="1598" customWidth="1"/>
    <col min="6421" max="6656" width="9" style="1598"/>
    <col min="6657" max="6657" width="5.69921875" style="1598" customWidth="1"/>
    <col min="6658" max="6658" width="4.59765625" style="1598" customWidth="1"/>
    <col min="6659" max="6659" width="5.09765625" style="1598" customWidth="1"/>
    <col min="6660" max="6660" width="5" style="1598" customWidth="1"/>
    <col min="6661" max="6661" width="5.09765625" style="1598" customWidth="1"/>
    <col min="6662" max="6662" width="4.69921875" style="1598" customWidth="1"/>
    <col min="6663" max="6665" width="6.09765625" style="1598" customWidth="1"/>
    <col min="6666" max="6666" width="5.09765625" style="1598" customWidth="1"/>
    <col min="6667" max="6667" width="4.09765625" style="1598" customWidth="1"/>
    <col min="6668" max="6676" width="6.09765625" style="1598" customWidth="1"/>
    <col min="6677" max="6912" width="9" style="1598"/>
    <col min="6913" max="6913" width="5.69921875" style="1598" customWidth="1"/>
    <col min="6914" max="6914" width="4.59765625" style="1598" customWidth="1"/>
    <col min="6915" max="6915" width="5.09765625" style="1598" customWidth="1"/>
    <col min="6916" max="6916" width="5" style="1598" customWidth="1"/>
    <col min="6917" max="6917" width="5.09765625" style="1598" customWidth="1"/>
    <col min="6918" max="6918" width="4.69921875" style="1598" customWidth="1"/>
    <col min="6919" max="6921" width="6.09765625" style="1598" customWidth="1"/>
    <col min="6922" max="6922" width="5.09765625" style="1598" customWidth="1"/>
    <col min="6923" max="6923" width="4.09765625" style="1598" customWidth="1"/>
    <col min="6924" max="6932" width="6.09765625" style="1598" customWidth="1"/>
    <col min="6933" max="7168" width="9" style="1598"/>
    <col min="7169" max="7169" width="5.69921875" style="1598" customWidth="1"/>
    <col min="7170" max="7170" width="4.59765625" style="1598" customWidth="1"/>
    <col min="7171" max="7171" width="5.09765625" style="1598" customWidth="1"/>
    <col min="7172" max="7172" width="5" style="1598" customWidth="1"/>
    <col min="7173" max="7173" width="5.09765625" style="1598" customWidth="1"/>
    <col min="7174" max="7174" width="4.69921875" style="1598" customWidth="1"/>
    <col min="7175" max="7177" width="6.09765625" style="1598" customWidth="1"/>
    <col min="7178" max="7178" width="5.09765625" style="1598" customWidth="1"/>
    <col min="7179" max="7179" width="4.09765625" style="1598" customWidth="1"/>
    <col min="7180" max="7188" width="6.09765625" style="1598" customWidth="1"/>
    <col min="7189" max="7424" width="9" style="1598"/>
    <col min="7425" max="7425" width="5.69921875" style="1598" customWidth="1"/>
    <col min="7426" max="7426" width="4.59765625" style="1598" customWidth="1"/>
    <col min="7427" max="7427" width="5.09765625" style="1598" customWidth="1"/>
    <col min="7428" max="7428" width="5" style="1598" customWidth="1"/>
    <col min="7429" max="7429" width="5.09765625" style="1598" customWidth="1"/>
    <col min="7430" max="7430" width="4.69921875" style="1598" customWidth="1"/>
    <col min="7431" max="7433" width="6.09765625" style="1598" customWidth="1"/>
    <col min="7434" max="7434" width="5.09765625" style="1598" customWidth="1"/>
    <col min="7435" max="7435" width="4.09765625" style="1598" customWidth="1"/>
    <col min="7436" max="7444" width="6.09765625" style="1598" customWidth="1"/>
    <col min="7445" max="7680" width="9" style="1598"/>
    <col min="7681" max="7681" width="5.69921875" style="1598" customWidth="1"/>
    <col min="7682" max="7682" width="4.59765625" style="1598" customWidth="1"/>
    <col min="7683" max="7683" width="5.09765625" style="1598" customWidth="1"/>
    <col min="7684" max="7684" width="5" style="1598" customWidth="1"/>
    <col min="7685" max="7685" width="5.09765625" style="1598" customWidth="1"/>
    <col min="7686" max="7686" width="4.69921875" style="1598" customWidth="1"/>
    <col min="7687" max="7689" width="6.09765625" style="1598" customWidth="1"/>
    <col min="7690" max="7690" width="5.09765625" style="1598" customWidth="1"/>
    <col min="7691" max="7691" width="4.09765625" style="1598" customWidth="1"/>
    <col min="7692" max="7700" width="6.09765625" style="1598" customWidth="1"/>
    <col min="7701" max="7936" width="9" style="1598"/>
    <col min="7937" max="7937" width="5.69921875" style="1598" customWidth="1"/>
    <col min="7938" max="7938" width="4.59765625" style="1598" customWidth="1"/>
    <col min="7939" max="7939" width="5.09765625" style="1598" customWidth="1"/>
    <col min="7940" max="7940" width="5" style="1598" customWidth="1"/>
    <col min="7941" max="7941" width="5.09765625" style="1598" customWidth="1"/>
    <col min="7942" max="7942" width="4.69921875" style="1598" customWidth="1"/>
    <col min="7943" max="7945" width="6.09765625" style="1598" customWidth="1"/>
    <col min="7946" max="7946" width="5.09765625" style="1598" customWidth="1"/>
    <col min="7947" max="7947" width="4.09765625" style="1598" customWidth="1"/>
    <col min="7948" max="7956" width="6.09765625" style="1598" customWidth="1"/>
    <col min="7957" max="8192" width="9" style="1598"/>
    <col min="8193" max="8193" width="5.69921875" style="1598" customWidth="1"/>
    <col min="8194" max="8194" width="4.59765625" style="1598" customWidth="1"/>
    <col min="8195" max="8195" width="5.09765625" style="1598" customWidth="1"/>
    <col min="8196" max="8196" width="5" style="1598" customWidth="1"/>
    <col min="8197" max="8197" width="5.09765625" style="1598" customWidth="1"/>
    <col min="8198" max="8198" width="4.69921875" style="1598" customWidth="1"/>
    <col min="8199" max="8201" width="6.09765625" style="1598" customWidth="1"/>
    <col min="8202" max="8202" width="5.09765625" style="1598" customWidth="1"/>
    <col min="8203" max="8203" width="4.09765625" style="1598" customWidth="1"/>
    <col min="8204" max="8212" width="6.09765625" style="1598" customWidth="1"/>
    <col min="8213" max="8448" width="9" style="1598"/>
    <col min="8449" max="8449" width="5.69921875" style="1598" customWidth="1"/>
    <col min="8450" max="8450" width="4.59765625" style="1598" customWidth="1"/>
    <col min="8451" max="8451" width="5.09765625" style="1598" customWidth="1"/>
    <col min="8452" max="8452" width="5" style="1598" customWidth="1"/>
    <col min="8453" max="8453" width="5.09765625" style="1598" customWidth="1"/>
    <col min="8454" max="8454" width="4.69921875" style="1598" customWidth="1"/>
    <col min="8455" max="8457" width="6.09765625" style="1598" customWidth="1"/>
    <col min="8458" max="8458" width="5.09765625" style="1598" customWidth="1"/>
    <col min="8459" max="8459" width="4.09765625" style="1598" customWidth="1"/>
    <col min="8460" max="8468" width="6.09765625" style="1598" customWidth="1"/>
    <col min="8469" max="8704" width="9" style="1598"/>
    <col min="8705" max="8705" width="5.69921875" style="1598" customWidth="1"/>
    <col min="8706" max="8706" width="4.59765625" style="1598" customWidth="1"/>
    <col min="8707" max="8707" width="5.09765625" style="1598" customWidth="1"/>
    <col min="8708" max="8708" width="5" style="1598" customWidth="1"/>
    <col min="8709" max="8709" width="5.09765625" style="1598" customWidth="1"/>
    <col min="8710" max="8710" width="4.69921875" style="1598" customWidth="1"/>
    <col min="8711" max="8713" width="6.09765625" style="1598" customWidth="1"/>
    <col min="8714" max="8714" width="5.09765625" style="1598" customWidth="1"/>
    <col min="8715" max="8715" width="4.09765625" style="1598" customWidth="1"/>
    <col min="8716" max="8724" width="6.09765625" style="1598" customWidth="1"/>
    <col min="8725" max="8960" width="9" style="1598"/>
    <col min="8961" max="8961" width="5.69921875" style="1598" customWidth="1"/>
    <col min="8962" max="8962" width="4.59765625" style="1598" customWidth="1"/>
    <col min="8963" max="8963" width="5.09765625" style="1598" customWidth="1"/>
    <col min="8964" max="8964" width="5" style="1598" customWidth="1"/>
    <col min="8965" max="8965" width="5.09765625" style="1598" customWidth="1"/>
    <col min="8966" max="8966" width="4.69921875" style="1598" customWidth="1"/>
    <col min="8967" max="8969" width="6.09765625" style="1598" customWidth="1"/>
    <col min="8970" max="8970" width="5.09765625" style="1598" customWidth="1"/>
    <col min="8971" max="8971" width="4.09765625" style="1598" customWidth="1"/>
    <col min="8972" max="8980" width="6.09765625" style="1598" customWidth="1"/>
    <col min="8981" max="9216" width="9" style="1598"/>
    <col min="9217" max="9217" width="5.69921875" style="1598" customWidth="1"/>
    <col min="9218" max="9218" width="4.59765625" style="1598" customWidth="1"/>
    <col min="9219" max="9219" width="5.09765625" style="1598" customWidth="1"/>
    <col min="9220" max="9220" width="5" style="1598" customWidth="1"/>
    <col min="9221" max="9221" width="5.09765625" style="1598" customWidth="1"/>
    <col min="9222" max="9222" width="4.69921875" style="1598" customWidth="1"/>
    <col min="9223" max="9225" width="6.09765625" style="1598" customWidth="1"/>
    <col min="9226" max="9226" width="5.09765625" style="1598" customWidth="1"/>
    <col min="9227" max="9227" width="4.09765625" style="1598" customWidth="1"/>
    <col min="9228" max="9236" width="6.09765625" style="1598" customWidth="1"/>
    <col min="9237" max="9472" width="9" style="1598"/>
    <col min="9473" max="9473" width="5.69921875" style="1598" customWidth="1"/>
    <col min="9474" max="9474" width="4.59765625" style="1598" customWidth="1"/>
    <col min="9475" max="9475" width="5.09765625" style="1598" customWidth="1"/>
    <col min="9476" max="9476" width="5" style="1598" customWidth="1"/>
    <col min="9477" max="9477" width="5.09765625" style="1598" customWidth="1"/>
    <col min="9478" max="9478" width="4.69921875" style="1598" customWidth="1"/>
    <col min="9479" max="9481" width="6.09765625" style="1598" customWidth="1"/>
    <col min="9482" max="9482" width="5.09765625" style="1598" customWidth="1"/>
    <col min="9483" max="9483" width="4.09765625" style="1598" customWidth="1"/>
    <col min="9484" max="9492" width="6.09765625" style="1598" customWidth="1"/>
    <col min="9493" max="9728" width="9" style="1598"/>
    <col min="9729" max="9729" width="5.69921875" style="1598" customWidth="1"/>
    <col min="9730" max="9730" width="4.59765625" style="1598" customWidth="1"/>
    <col min="9731" max="9731" width="5.09765625" style="1598" customWidth="1"/>
    <col min="9732" max="9732" width="5" style="1598" customWidth="1"/>
    <col min="9733" max="9733" width="5.09765625" style="1598" customWidth="1"/>
    <col min="9734" max="9734" width="4.69921875" style="1598" customWidth="1"/>
    <col min="9735" max="9737" width="6.09765625" style="1598" customWidth="1"/>
    <col min="9738" max="9738" width="5.09765625" style="1598" customWidth="1"/>
    <col min="9739" max="9739" width="4.09765625" style="1598" customWidth="1"/>
    <col min="9740" max="9748" width="6.09765625" style="1598" customWidth="1"/>
    <col min="9749" max="9984" width="9" style="1598"/>
    <col min="9985" max="9985" width="5.69921875" style="1598" customWidth="1"/>
    <col min="9986" max="9986" width="4.59765625" style="1598" customWidth="1"/>
    <col min="9987" max="9987" width="5.09765625" style="1598" customWidth="1"/>
    <col min="9988" max="9988" width="5" style="1598" customWidth="1"/>
    <col min="9989" max="9989" width="5.09765625" style="1598" customWidth="1"/>
    <col min="9990" max="9990" width="4.69921875" style="1598" customWidth="1"/>
    <col min="9991" max="9993" width="6.09765625" style="1598" customWidth="1"/>
    <col min="9994" max="9994" width="5.09765625" style="1598" customWidth="1"/>
    <col min="9995" max="9995" width="4.09765625" style="1598" customWidth="1"/>
    <col min="9996" max="10004" width="6.09765625" style="1598" customWidth="1"/>
    <col min="10005" max="10240" width="9" style="1598"/>
    <col min="10241" max="10241" width="5.69921875" style="1598" customWidth="1"/>
    <col min="10242" max="10242" width="4.59765625" style="1598" customWidth="1"/>
    <col min="10243" max="10243" width="5.09765625" style="1598" customWidth="1"/>
    <col min="10244" max="10244" width="5" style="1598" customWidth="1"/>
    <col min="10245" max="10245" width="5.09765625" style="1598" customWidth="1"/>
    <col min="10246" max="10246" width="4.69921875" style="1598" customWidth="1"/>
    <col min="10247" max="10249" width="6.09765625" style="1598" customWidth="1"/>
    <col min="10250" max="10250" width="5.09765625" style="1598" customWidth="1"/>
    <col min="10251" max="10251" width="4.09765625" style="1598" customWidth="1"/>
    <col min="10252" max="10260" width="6.09765625" style="1598" customWidth="1"/>
    <col min="10261" max="10496" width="9" style="1598"/>
    <col min="10497" max="10497" width="5.69921875" style="1598" customWidth="1"/>
    <col min="10498" max="10498" width="4.59765625" style="1598" customWidth="1"/>
    <col min="10499" max="10499" width="5.09765625" style="1598" customWidth="1"/>
    <col min="10500" max="10500" width="5" style="1598" customWidth="1"/>
    <col min="10501" max="10501" width="5.09765625" style="1598" customWidth="1"/>
    <col min="10502" max="10502" width="4.69921875" style="1598" customWidth="1"/>
    <col min="10503" max="10505" width="6.09765625" style="1598" customWidth="1"/>
    <col min="10506" max="10506" width="5.09765625" style="1598" customWidth="1"/>
    <col min="10507" max="10507" width="4.09765625" style="1598" customWidth="1"/>
    <col min="10508" max="10516" width="6.09765625" style="1598" customWidth="1"/>
    <col min="10517" max="10752" width="9" style="1598"/>
    <col min="10753" max="10753" width="5.69921875" style="1598" customWidth="1"/>
    <col min="10754" max="10754" width="4.59765625" style="1598" customWidth="1"/>
    <col min="10755" max="10755" width="5.09765625" style="1598" customWidth="1"/>
    <col min="10756" max="10756" width="5" style="1598" customWidth="1"/>
    <col min="10757" max="10757" width="5.09765625" style="1598" customWidth="1"/>
    <col min="10758" max="10758" width="4.69921875" style="1598" customWidth="1"/>
    <col min="10759" max="10761" width="6.09765625" style="1598" customWidth="1"/>
    <col min="10762" max="10762" width="5.09765625" style="1598" customWidth="1"/>
    <col min="10763" max="10763" width="4.09765625" style="1598" customWidth="1"/>
    <col min="10764" max="10772" width="6.09765625" style="1598" customWidth="1"/>
    <col min="10773" max="11008" width="9" style="1598"/>
    <col min="11009" max="11009" width="5.69921875" style="1598" customWidth="1"/>
    <col min="11010" max="11010" width="4.59765625" style="1598" customWidth="1"/>
    <col min="11011" max="11011" width="5.09765625" style="1598" customWidth="1"/>
    <col min="11012" max="11012" width="5" style="1598" customWidth="1"/>
    <col min="11013" max="11013" width="5.09765625" style="1598" customWidth="1"/>
    <col min="11014" max="11014" width="4.69921875" style="1598" customWidth="1"/>
    <col min="11015" max="11017" width="6.09765625" style="1598" customWidth="1"/>
    <col min="11018" max="11018" width="5.09765625" style="1598" customWidth="1"/>
    <col min="11019" max="11019" width="4.09765625" style="1598" customWidth="1"/>
    <col min="11020" max="11028" width="6.09765625" style="1598" customWidth="1"/>
    <col min="11029" max="11264" width="9" style="1598"/>
    <col min="11265" max="11265" width="5.69921875" style="1598" customWidth="1"/>
    <col min="11266" max="11266" width="4.59765625" style="1598" customWidth="1"/>
    <col min="11267" max="11267" width="5.09765625" style="1598" customWidth="1"/>
    <col min="11268" max="11268" width="5" style="1598" customWidth="1"/>
    <col min="11269" max="11269" width="5.09765625" style="1598" customWidth="1"/>
    <col min="11270" max="11270" width="4.69921875" style="1598" customWidth="1"/>
    <col min="11271" max="11273" width="6.09765625" style="1598" customWidth="1"/>
    <col min="11274" max="11274" width="5.09765625" style="1598" customWidth="1"/>
    <col min="11275" max="11275" width="4.09765625" style="1598" customWidth="1"/>
    <col min="11276" max="11284" width="6.09765625" style="1598" customWidth="1"/>
    <col min="11285" max="11520" width="9" style="1598"/>
    <col min="11521" max="11521" width="5.69921875" style="1598" customWidth="1"/>
    <col min="11522" max="11522" width="4.59765625" style="1598" customWidth="1"/>
    <col min="11523" max="11523" width="5.09765625" style="1598" customWidth="1"/>
    <col min="11524" max="11524" width="5" style="1598" customWidth="1"/>
    <col min="11525" max="11525" width="5.09765625" style="1598" customWidth="1"/>
    <col min="11526" max="11526" width="4.69921875" style="1598" customWidth="1"/>
    <col min="11527" max="11529" width="6.09765625" style="1598" customWidth="1"/>
    <col min="11530" max="11530" width="5.09765625" style="1598" customWidth="1"/>
    <col min="11531" max="11531" width="4.09765625" style="1598" customWidth="1"/>
    <col min="11532" max="11540" width="6.09765625" style="1598" customWidth="1"/>
    <col min="11541" max="11776" width="9" style="1598"/>
    <col min="11777" max="11777" width="5.69921875" style="1598" customWidth="1"/>
    <col min="11778" max="11778" width="4.59765625" style="1598" customWidth="1"/>
    <col min="11779" max="11779" width="5.09765625" style="1598" customWidth="1"/>
    <col min="11780" max="11780" width="5" style="1598" customWidth="1"/>
    <col min="11781" max="11781" width="5.09765625" style="1598" customWidth="1"/>
    <col min="11782" max="11782" width="4.69921875" style="1598" customWidth="1"/>
    <col min="11783" max="11785" width="6.09765625" style="1598" customWidth="1"/>
    <col min="11786" max="11786" width="5.09765625" style="1598" customWidth="1"/>
    <col min="11787" max="11787" width="4.09765625" style="1598" customWidth="1"/>
    <col min="11788" max="11796" width="6.09765625" style="1598" customWidth="1"/>
    <col min="11797" max="12032" width="9" style="1598"/>
    <col min="12033" max="12033" width="5.69921875" style="1598" customWidth="1"/>
    <col min="12034" max="12034" width="4.59765625" style="1598" customWidth="1"/>
    <col min="12035" max="12035" width="5.09765625" style="1598" customWidth="1"/>
    <col min="12036" max="12036" width="5" style="1598" customWidth="1"/>
    <col min="12037" max="12037" width="5.09765625" style="1598" customWidth="1"/>
    <col min="12038" max="12038" width="4.69921875" style="1598" customWidth="1"/>
    <col min="12039" max="12041" width="6.09765625" style="1598" customWidth="1"/>
    <col min="12042" max="12042" width="5.09765625" style="1598" customWidth="1"/>
    <col min="12043" max="12043" width="4.09765625" style="1598" customWidth="1"/>
    <col min="12044" max="12052" width="6.09765625" style="1598" customWidth="1"/>
    <col min="12053" max="12288" width="9" style="1598"/>
    <col min="12289" max="12289" width="5.69921875" style="1598" customWidth="1"/>
    <col min="12290" max="12290" width="4.59765625" style="1598" customWidth="1"/>
    <col min="12291" max="12291" width="5.09765625" style="1598" customWidth="1"/>
    <col min="12292" max="12292" width="5" style="1598" customWidth="1"/>
    <col min="12293" max="12293" width="5.09765625" style="1598" customWidth="1"/>
    <col min="12294" max="12294" width="4.69921875" style="1598" customWidth="1"/>
    <col min="12295" max="12297" width="6.09765625" style="1598" customWidth="1"/>
    <col min="12298" max="12298" width="5.09765625" style="1598" customWidth="1"/>
    <col min="12299" max="12299" width="4.09765625" style="1598" customWidth="1"/>
    <col min="12300" max="12308" width="6.09765625" style="1598" customWidth="1"/>
    <col min="12309" max="12544" width="9" style="1598"/>
    <col min="12545" max="12545" width="5.69921875" style="1598" customWidth="1"/>
    <col min="12546" max="12546" width="4.59765625" style="1598" customWidth="1"/>
    <col min="12547" max="12547" width="5.09765625" style="1598" customWidth="1"/>
    <col min="12548" max="12548" width="5" style="1598" customWidth="1"/>
    <col min="12549" max="12549" width="5.09765625" style="1598" customWidth="1"/>
    <col min="12550" max="12550" width="4.69921875" style="1598" customWidth="1"/>
    <col min="12551" max="12553" width="6.09765625" style="1598" customWidth="1"/>
    <col min="12554" max="12554" width="5.09765625" style="1598" customWidth="1"/>
    <col min="12555" max="12555" width="4.09765625" style="1598" customWidth="1"/>
    <col min="12556" max="12564" width="6.09765625" style="1598" customWidth="1"/>
    <col min="12565" max="12800" width="9" style="1598"/>
    <col min="12801" max="12801" width="5.69921875" style="1598" customWidth="1"/>
    <col min="12802" max="12802" width="4.59765625" style="1598" customWidth="1"/>
    <col min="12803" max="12803" width="5.09765625" style="1598" customWidth="1"/>
    <col min="12804" max="12804" width="5" style="1598" customWidth="1"/>
    <col min="12805" max="12805" width="5.09765625" style="1598" customWidth="1"/>
    <col min="12806" max="12806" width="4.69921875" style="1598" customWidth="1"/>
    <col min="12807" max="12809" width="6.09765625" style="1598" customWidth="1"/>
    <col min="12810" max="12810" width="5.09765625" style="1598" customWidth="1"/>
    <col min="12811" max="12811" width="4.09765625" style="1598" customWidth="1"/>
    <col min="12812" max="12820" width="6.09765625" style="1598" customWidth="1"/>
    <col min="12821" max="13056" width="9" style="1598"/>
    <col min="13057" max="13057" width="5.69921875" style="1598" customWidth="1"/>
    <col min="13058" max="13058" width="4.59765625" style="1598" customWidth="1"/>
    <col min="13059" max="13059" width="5.09765625" style="1598" customWidth="1"/>
    <col min="13060" max="13060" width="5" style="1598" customWidth="1"/>
    <col min="13061" max="13061" width="5.09765625" style="1598" customWidth="1"/>
    <col min="13062" max="13062" width="4.69921875" style="1598" customWidth="1"/>
    <col min="13063" max="13065" width="6.09765625" style="1598" customWidth="1"/>
    <col min="13066" max="13066" width="5.09765625" style="1598" customWidth="1"/>
    <col min="13067" max="13067" width="4.09765625" style="1598" customWidth="1"/>
    <col min="13068" max="13076" width="6.09765625" style="1598" customWidth="1"/>
    <col min="13077" max="13312" width="9" style="1598"/>
    <col min="13313" max="13313" width="5.69921875" style="1598" customWidth="1"/>
    <col min="13314" max="13314" width="4.59765625" style="1598" customWidth="1"/>
    <col min="13315" max="13315" width="5.09765625" style="1598" customWidth="1"/>
    <col min="13316" max="13316" width="5" style="1598" customWidth="1"/>
    <col min="13317" max="13317" width="5.09765625" style="1598" customWidth="1"/>
    <col min="13318" max="13318" width="4.69921875" style="1598" customWidth="1"/>
    <col min="13319" max="13321" width="6.09765625" style="1598" customWidth="1"/>
    <col min="13322" max="13322" width="5.09765625" style="1598" customWidth="1"/>
    <col min="13323" max="13323" width="4.09765625" style="1598" customWidth="1"/>
    <col min="13324" max="13332" width="6.09765625" style="1598" customWidth="1"/>
    <col min="13333" max="13568" width="9" style="1598"/>
    <col min="13569" max="13569" width="5.69921875" style="1598" customWidth="1"/>
    <col min="13570" max="13570" width="4.59765625" style="1598" customWidth="1"/>
    <col min="13571" max="13571" width="5.09765625" style="1598" customWidth="1"/>
    <col min="13572" max="13572" width="5" style="1598" customWidth="1"/>
    <col min="13573" max="13573" width="5.09765625" style="1598" customWidth="1"/>
    <col min="13574" max="13574" width="4.69921875" style="1598" customWidth="1"/>
    <col min="13575" max="13577" width="6.09765625" style="1598" customWidth="1"/>
    <col min="13578" max="13578" width="5.09765625" style="1598" customWidth="1"/>
    <col min="13579" max="13579" width="4.09765625" style="1598" customWidth="1"/>
    <col min="13580" max="13588" width="6.09765625" style="1598" customWidth="1"/>
    <col min="13589" max="13824" width="9" style="1598"/>
    <col min="13825" max="13825" width="5.69921875" style="1598" customWidth="1"/>
    <col min="13826" max="13826" width="4.59765625" style="1598" customWidth="1"/>
    <col min="13827" max="13827" width="5.09765625" style="1598" customWidth="1"/>
    <col min="13828" max="13828" width="5" style="1598" customWidth="1"/>
    <col min="13829" max="13829" width="5.09765625" style="1598" customWidth="1"/>
    <col min="13830" max="13830" width="4.69921875" style="1598" customWidth="1"/>
    <col min="13831" max="13833" width="6.09765625" style="1598" customWidth="1"/>
    <col min="13834" max="13834" width="5.09765625" style="1598" customWidth="1"/>
    <col min="13835" max="13835" width="4.09765625" style="1598" customWidth="1"/>
    <col min="13836" max="13844" width="6.09765625" style="1598" customWidth="1"/>
    <col min="13845" max="14080" width="9" style="1598"/>
    <col min="14081" max="14081" width="5.69921875" style="1598" customWidth="1"/>
    <col min="14082" max="14082" width="4.59765625" style="1598" customWidth="1"/>
    <col min="14083" max="14083" width="5.09765625" style="1598" customWidth="1"/>
    <col min="14084" max="14084" width="5" style="1598" customWidth="1"/>
    <col min="14085" max="14085" width="5.09765625" style="1598" customWidth="1"/>
    <col min="14086" max="14086" width="4.69921875" style="1598" customWidth="1"/>
    <col min="14087" max="14089" width="6.09765625" style="1598" customWidth="1"/>
    <col min="14090" max="14090" width="5.09765625" style="1598" customWidth="1"/>
    <col min="14091" max="14091" width="4.09765625" style="1598" customWidth="1"/>
    <col min="14092" max="14100" width="6.09765625" style="1598" customWidth="1"/>
    <col min="14101" max="14336" width="9" style="1598"/>
    <col min="14337" max="14337" width="5.69921875" style="1598" customWidth="1"/>
    <col min="14338" max="14338" width="4.59765625" style="1598" customWidth="1"/>
    <col min="14339" max="14339" width="5.09765625" style="1598" customWidth="1"/>
    <col min="14340" max="14340" width="5" style="1598" customWidth="1"/>
    <col min="14341" max="14341" width="5.09765625" style="1598" customWidth="1"/>
    <col min="14342" max="14342" width="4.69921875" style="1598" customWidth="1"/>
    <col min="14343" max="14345" width="6.09765625" style="1598" customWidth="1"/>
    <col min="14346" max="14346" width="5.09765625" style="1598" customWidth="1"/>
    <col min="14347" max="14347" width="4.09765625" style="1598" customWidth="1"/>
    <col min="14348" max="14356" width="6.09765625" style="1598" customWidth="1"/>
    <col min="14357" max="14592" width="9" style="1598"/>
    <col min="14593" max="14593" width="5.69921875" style="1598" customWidth="1"/>
    <col min="14594" max="14594" width="4.59765625" style="1598" customWidth="1"/>
    <col min="14595" max="14595" width="5.09765625" style="1598" customWidth="1"/>
    <col min="14596" max="14596" width="5" style="1598" customWidth="1"/>
    <col min="14597" max="14597" width="5.09765625" style="1598" customWidth="1"/>
    <col min="14598" max="14598" width="4.69921875" style="1598" customWidth="1"/>
    <col min="14599" max="14601" width="6.09765625" style="1598" customWidth="1"/>
    <col min="14602" max="14602" width="5.09765625" style="1598" customWidth="1"/>
    <col min="14603" max="14603" width="4.09765625" style="1598" customWidth="1"/>
    <col min="14604" max="14612" width="6.09765625" style="1598" customWidth="1"/>
    <col min="14613" max="14848" width="9" style="1598"/>
    <col min="14849" max="14849" width="5.69921875" style="1598" customWidth="1"/>
    <col min="14850" max="14850" width="4.59765625" style="1598" customWidth="1"/>
    <col min="14851" max="14851" width="5.09765625" style="1598" customWidth="1"/>
    <col min="14852" max="14852" width="5" style="1598" customWidth="1"/>
    <col min="14853" max="14853" width="5.09765625" style="1598" customWidth="1"/>
    <col min="14854" max="14854" width="4.69921875" style="1598" customWidth="1"/>
    <col min="14855" max="14857" width="6.09765625" style="1598" customWidth="1"/>
    <col min="14858" max="14858" width="5.09765625" style="1598" customWidth="1"/>
    <col min="14859" max="14859" width="4.09765625" style="1598" customWidth="1"/>
    <col min="14860" max="14868" width="6.09765625" style="1598" customWidth="1"/>
    <col min="14869" max="15104" width="9" style="1598"/>
    <col min="15105" max="15105" width="5.69921875" style="1598" customWidth="1"/>
    <col min="15106" max="15106" width="4.59765625" style="1598" customWidth="1"/>
    <col min="15107" max="15107" width="5.09765625" style="1598" customWidth="1"/>
    <col min="15108" max="15108" width="5" style="1598" customWidth="1"/>
    <col min="15109" max="15109" width="5.09765625" style="1598" customWidth="1"/>
    <col min="15110" max="15110" width="4.69921875" style="1598" customWidth="1"/>
    <col min="15111" max="15113" width="6.09765625" style="1598" customWidth="1"/>
    <col min="15114" max="15114" width="5.09765625" style="1598" customWidth="1"/>
    <col min="15115" max="15115" width="4.09765625" style="1598" customWidth="1"/>
    <col min="15116" max="15124" width="6.09765625" style="1598" customWidth="1"/>
    <col min="15125" max="15360" width="9" style="1598"/>
    <col min="15361" max="15361" width="5.69921875" style="1598" customWidth="1"/>
    <col min="15362" max="15362" width="4.59765625" style="1598" customWidth="1"/>
    <col min="15363" max="15363" width="5.09765625" style="1598" customWidth="1"/>
    <col min="15364" max="15364" width="5" style="1598" customWidth="1"/>
    <col min="15365" max="15365" width="5.09765625" style="1598" customWidth="1"/>
    <col min="15366" max="15366" width="4.69921875" style="1598" customWidth="1"/>
    <col min="15367" max="15369" width="6.09765625" style="1598" customWidth="1"/>
    <col min="15370" max="15370" width="5.09765625" style="1598" customWidth="1"/>
    <col min="15371" max="15371" width="4.09765625" style="1598" customWidth="1"/>
    <col min="15372" max="15380" width="6.09765625" style="1598" customWidth="1"/>
    <col min="15381" max="15616" width="9" style="1598"/>
    <col min="15617" max="15617" width="5.69921875" style="1598" customWidth="1"/>
    <col min="15618" max="15618" width="4.59765625" style="1598" customWidth="1"/>
    <col min="15619" max="15619" width="5.09765625" style="1598" customWidth="1"/>
    <col min="15620" max="15620" width="5" style="1598" customWidth="1"/>
    <col min="15621" max="15621" width="5.09765625" style="1598" customWidth="1"/>
    <col min="15622" max="15622" width="4.69921875" style="1598" customWidth="1"/>
    <col min="15623" max="15625" width="6.09765625" style="1598" customWidth="1"/>
    <col min="15626" max="15626" width="5.09765625" style="1598" customWidth="1"/>
    <col min="15627" max="15627" width="4.09765625" style="1598" customWidth="1"/>
    <col min="15628" max="15636" width="6.09765625" style="1598" customWidth="1"/>
    <col min="15637" max="15872" width="9" style="1598"/>
    <col min="15873" max="15873" width="5.69921875" style="1598" customWidth="1"/>
    <col min="15874" max="15874" width="4.59765625" style="1598" customWidth="1"/>
    <col min="15875" max="15875" width="5.09765625" style="1598" customWidth="1"/>
    <col min="15876" max="15876" width="5" style="1598" customWidth="1"/>
    <col min="15877" max="15877" width="5.09765625" style="1598" customWidth="1"/>
    <col min="15878" max="15878" width="4.69921875" style="1598" customWidth="1"/>
    <col min="15879" max="15881" width="6.09765625" style="1598" customWidth="1"/>
    <col min="15882" max="15882" width="5.09765625" style="1598" customWidth="1"/>
    <col min="15883" max="15883" width="4.09765625" style="1598" customWidth="1"/>
    <col min="15884" max="15892" width="6.09765625" style="1598" customWidth="1"/>
    <col min="15893" max="16128" width="9" style="1598"/>
    <col min="16129" max="16129" width="5.69921875" style="1598" customWidth="1"/>
    <col min="16130" max="16130" width="4.59765625" style="1598" customWidth="1"/>
    <col min="16131" max="16131" width="5.09765625" style="1598" customWidth="1"/>
    <col min="16132" max="16132" width="5" style="1598" customWidth="1"/>
    <col min="16133" max="16133" width="5.09765625" style="1598" customWidth="1"/>
    <col min="16134" max="16134" width="4.69921875" style="1598" customWidth="1"/>
    <col min="16135" max="16137" width="6.09765625" style="1598" customWidth="1"/>
    <col min="16138" max="16138" width="5.09765625" style="1598" customWidth="1"/>
    <col min="16139" max="16139" width="4.09765625" style="1598" customWidth="1"/>
    <col min="16140" max="16148" width="6.09765625" style="1598" customWidth="1"/>
    <col min="16149" max="16384" width="9" style="1598"/>
  </cols>
  <sheetData>
    <row r="1" spans="1:24" ht="20.100000000000001" customHeight="1">
      <c r="A1" s="3400" t="s">
        <v>5578</v>
      </c>
      <c r="B1" s="3400"/>
      <c r="C1" s="3400"/>
      <c r="D1" s="3400"/>
      <c r="E1" s="3400"/>
      <c r="F1" s="3400"/>
      <c r="G1" s="3400"/>
      <c r="H1" s="3400"/>
      <c r="I1" s="3400"/>
      <c r="J1" s="3400"/>
      <c r="K1" s="3400"/>
      <c r="L1" s="3400"/>
      <c r="M1" s="3400"/>
      <c r="N1" s="3400"/>
      <c r="O1" s="3400"/>
      <c r="P1" s="3400"/>
      <c r="Q1" s="3400"/>
      <c r="R1" s="3400"/>
      <c r="S1" s="3400"/>
      <c r="T1" s="3400"/>
      <c r="U1" s="1937"/>
    </row>
    <row r="2" spans="1:24" s="1599" customFormat="1" ht="25.5" customHeight="1">
      <c r="A2" s="3401" t="s">
        <v>5579</v>
      </c>
      <c r="B2" s="3401"/>
      <c r="C2" s="3401"/>
      <c r="D2" s="3401"/>
      <c r="E2" s="3401"/>
      <c r="F2" s="3401"/>
      <c r="G2" s="3401"/>
      <c r="H2" s="3401"/>
      <c r="I2" s="3401"/>
      <c r="J2" s="3401"/>
      <c r="K2" s="3401"/>
      <c r="L2" s="3401"/>
      <c r="M2" s="3401"/>
      <c r="N2" s="3401"/>
      <c r="O2" s="3401"/>
      <c r="P2" s="3401"/>
      <c r="Q2" s="3401"/>
      <c r="R2" s="3401"/>
      <c r="S2" s="3401"/>
      <c r="T2" s="3401"/>
      <c r="U2" s="1854"/>
    </row>
    <row r="3" spans="1:24" s="1517" customFormat="1" ht="14.25" customHeight="1">
      <c r="A3" s="3399" t="s">
        <v>1853</v>
      </c>
      <c r="B3" s="3407" t="s">
        <v>5580</v>
      </c>
      <c r="C3" s="3407" t="s">
        <v>5581</v>
      </c>
      <c r="D3" s="3407"/>
      <c r="E3" s="3407"/>
      <c r="F3" s="3407"/>
      <c r="G3" s="3407"/>
      <c r="H3" s="3407"/>
      <c r="I3" s="3407"/>
      <c r="J3" s="3407"/>
      <c r="K3" s="3407"/>
      <c r="L3" s="3405" t="s">
        <v>5582</v>
      </c>
      <c r="M3" s="3405" t="s">
        <v>5583</v>
      </c>
      <c r="N3" s="3474" t="s">
        <v>5584</v>
      </c>
      <c r="O3" s="3475"/>
      <c r="P3" s="3410" t="s">
        <v>5585</v>
      </c>
      <c r="Q3" s="3411"/>
      <c r="R3" s="3411"/>
      <c r="S3" s="3412"/>
      <c r="T3" s="3405" t="s">
        <v>5586</v>
      </c>
      <c r="U3" s="3405" t="s">
        <v>4899</v>
      </c>
      <c r="X3" s="1600"/>
    </row>
    <row r="4" spans="1:24" s="1517" customFormat="1" ht="121.5" customHeight="1">
      <c r="A4" s="3399"/>
      <c r="B4" s="3407"/>
      <c r="C4" s="1864" t="s">
        <v>5587</v>
      </c>
      <c r="D4" s="1864" t="s">
        <v>5588</v>
      </c>
      <c r="E4" s="1864" t="s">
        <v>5589</v>
      </c>
      <c r="F4" s="1864" t="s">
        <v>5590</v>
      </c>
      <c r="G4" s="1864" t="s">
        <v>5591</v>
      </c>
      <c r="H4" s="1864" t="s">
        <v>5592</v>
      </c>
      <c r="I4" s="1864" t="s">
        <v>5593</v>
      </c>
      <c r="J4" s="1864" t="s">
        <v>5594</v>
      </c>
      <c r="K4" s="1864" t="s">
        <v>5595</v>
      </c>
      <c r="L4" s="3409"/>
      <c r="M4" s="3409"/>
      <c r="N4" s="1873" t="s">
        <v>5596</v>
      </c>
      <c r="O4" s="1873" t="s">
        <v>5597</v>
      </c>
      <c r="P4" s="1873" t="s">
        <v>5598</v>
      </c>
      <c r="Q4" s="1873" t="s">
        <v>5599</v>
      </c>
      <c r="R4" s="1873" t="s">
        <v>5600</v>
      </c>
      <c r="S4" s="1873" t="s">
        <v>5601</v>
      </c>
      <c r="T4" s="3409"/>
      <c r="U4" s="3409"/>
    </row>
    <row r="5" spans="1:24" s="1600" customFormat="1" ht="73.5" customHeight="1">
      <c r="A5" s="3399"/>
      <c r="B5" s="1835">
        <v>1</v>
      </c>
      <c r="C5" s="1864">
        <v>2</v>
      </c>
      <c r="D5" s="1864">
        <v>3</v>
      </c>
      <c r="E5" s="1864">
        <v>4</v>
      </c>
      <c r="F5" s="1864">
        <v>5</v>
      </c>
      <c r="G5" s="1864">
        <v>6</v>
      </c>
      <c r="H5" s="1864">
        <v>7</v>
      </c>
      <c r="I5" s="1864">
        <v>8</v>
      </c>
      <c r="J5" s="1864">
        <v>9</v>
      </c>
      <c r="K5" s="1864" t="s">
        <v>5602</v>
      </c>
      <c r="L5" s="1863">
        <v>11</v>
      </c>
      <c r="M5" s="1863" t="s">
        <v>5603</v>
      </c>
      <c r="N5" s="1863" t="s">
        <v>5604</v>
      </c>
      <c r="O5" s="1863" t="s">
        <v>5605</v>
      </c>
      <c r="P5" s="1863">
        <v>15</v>
      </c>
      <c r="Q5" s="1863">
        <v>16</v>
      </c>
      <c r="R5" s="1863">
        <v>17</v>
      </c>
      <c r="S5" s="1863" t="s">
        <v>5606</v>
      </c>
      <c r="T5" s="1863" t="s">
        <v>5607</v>
      </c>
      <c r="U5" s="1957"/>
    </row>
    <row r="6" spans="1:24" s="1517" customFormat="1" ht="14.25" customHeight="1">
      <c r="A6" s="1835">
        <v>1</v>
      </c>
      <c r="B6" s="1875" t="str">
        <f>研发费用加计扣除优惠审核表!B6&amp;""</f>
        <v/>
      </c>
      <c r="C6" s="2072" t="str">
        <f>IF($B6="","",研发费用加计扣除优惠审核表!C6)</f>
        <v/>
      </c>
      <c r="D6" s="2072" t="str">
        <f>IF($B6="","",研发费用加计扣除优惠审核表!D6)</f>
        <v/>
      </c>
      <c r="E6" s="2072" t="str">
        <f>IF($B6="","",研发费用加计扣除优惠审核表!E6)</f>
        <v/>
      </c>
      <c r="F6" s="2072" t="str">
        <f>IF($B6="","",研发费用加计扣除优惠审核表!F6)</f>
        <v/>
      </c>
      <c r="G6" s="2072" t="str">
        <f>IF($B6="","",研发费用加计扣除优惠审核表!G6)</f>
        <v/>
      </c>
      <c r="H6" s="2072" t="str">
        <f>IF($B6="","",研发费用加计扣除优惠审核表!H6)</f>
        <v/>
      </c>
      <c r="I6" s="2072" t="str">
        <f>IF($B6="","",研发费用加计扣除优惠审核表!I6)</f>
        <v/>
      </c>
      <c r="J6" s="2072" t="str">
        <f>IF($B6="","",研发费用加计扣除优惠审核表!J6)</f>
        <v/>
      </c>
      <c r="K6" s="2072" t="str">
        <f>IF($B6="","",研发费用加计扣除优惠审核表!K6)</f>
        <v/>
      </c>
      <c r="L6" s="2072" t="str">
        <f>IF($B6="","",研发费用加计扣除优惠审核表!L6)</f>
        <v/>
      </c>
      <c r="M6" s="2072" t="str">
        <f>IF($B6="","",研发费用加计扣除优惠审核表!M6)</f>
        <v/>
      </c>
      <c r="N6" s="2072" t="str">
        <f>IF($B6="","",研发费用加计扣除优惠审核表!N6)</f>
        <v/>
      </c>
      <c r="O6" s="2072" t="str">
        <f>IF($B6="","",研发费用加计扣除优惠审核表!O6)</f>
        <v/>
      </c>
      <c r="P6" s="2072" t="str">
        <f>IF($B6="","",研发费用加计扣除优惠审核表!P6)</f>
        <v/>
      </c>
      <c r="Q6" s="2072" t="str">
        <f>IF($B6="","",研发费用加计扣除优惠审核表!Q6)</f>
        <v/>
      </c>
      <c r="R6" s="2072" t="str">
        <f>IF($B6="","",研发费用加计扣除优惠审核表!R6)</f>
        <v/>
      </c>
      <c r="S6" s="2072" t="str">
        <f>IF($B6="","",研发费用加计扣除优惠审核表!S6)</f>
        <v/>
      </c>
      <c r="T6" s="2072" t="str">
        <f>IF($B6="","",研发费用加计扣除优惠审核表!T6)</f>
        <v/>
      </c>
      <c r="U6" s="1829"/>
    </row>
    <row r="7" spans="1:24" s="1517" customFormat="1" ht="14.25" customHeight="1">
      <c r="A7" s="1835">
        <v>2</v>
      </c>
      <c r="B7" s="1875" t="str">
        <f>研发费用加计扣除优惠审核表!B7&amp;""</f>
        <v/>
      </c>
      <c r="C7" s="2072" t="str">
        <f>IF($B7="","",研发费用加计扣除优惠审核表!C7)</f>
        <v/>
      </c>
      <c r="D7" s="2072" t="str">
        <f>IF($B7="","",研发费用加计扣除优惠审核表!D7)</f>
        <v/>
      </c>
      <c r="E7" s="2072" t="str">
        <f>IF($B7="","",研发费用加计扣除优惠审核表!E7)</f>
        <v/>
      </c>
      <c r="F7" s="2072" t="str">
        <f>IF($B7="","",研发费用加计扣除优惠审核表!F7)</f>
        <v/>
      </c>
      <c r="G7" s="2072" t="str">
        <f>IF($B7="","",研发费用加计扣除优惠审核表!G7)</f>
        <v/>
      </c>
      <c r="H7" s="2072" t="str">
        <f>IF($B7="","",研发费用加计扣除优惠审核表!H7)</f>
        <v/>
      </c>
      <c r="I7" s="2072" t="str">
        <f>IF($B7="","",研发费用加计扣除优惠审核表!I7)</f>
        <v/>
      </c>
      <c r="J7" s="2072" t="str">
        <f>IF($B7="","",研发费用加计扣除优惠审核表!J7)</f>
        <v/>
      </c>
      <c r="K7" s="2072" t="str">
        <f>IF($B7="","",研发费用加计扣除优惠审核表!K7)</f>
        <v/>
      </c>
      <c r="L7" s="2072" t="str">
        <f>IF($B7="","",研发费用加计扣除优惠审核表!L7)</f>
        <v/>
      </c>
      <c r="M7" s="2072" t="str">
        <f>IF($B7="","",研发费用加计扣除优惠审核表!M7)</f>
        <v/>
      </c>
      <c r="N7" s="2072" t="str">
        <f>IF($B7="","",研发费用加计扣除优惠审核表!N7)</f>
        <v/>
      </c>
      <c r="O7" s="2072" t="str">
        <f>IF($B7="","",研发费用加计扣除优惠审核表!O7)</f>
        <v/>
      </c>
      <c r="P7" s="2072" t="str">
        <f>IF($B7="","",研发费用加计扣除优惠审核表!P7)</f>
        <v/>
      </c>
      <c r="Q7" s="2072" t="str">
        <f>IF($B7="","",研发费用加计扣除优惠审核表!Q7)</f>
        <v/>
      </c>
      <c r="R7" s="2072" t="str">
        <f>IF($B7="","",研发费用加计扣除优惠审核表!R7)</f>
        <v/>
      </c>
      <c r="S7" s="2072" t="str">
        <f>IF($B7="","",研发费用加计扣除优惠审核表!S7)</f>
        <v/>
      </c>
      <c r="T7" s="2072" t="str">
        <f>IF($B7="","",研发费用加计扣除优惠审核表!T7)</f>
        <v/>
      </c>
      <c r="U7" s="1829"/>
    </row>
    <row r="8" spans="1:24" s="1517" customFormat="1" ht="14.25" customHeight="1">
      <c r="A8" s="1835">
        <v>3</v>
      </c>
      <c r="B8" s="1875" t="str">
        <f>研发费用加计扣除优惠审核表!B8&amp;""</f>
        <v/>
      </c>
      <c r="C8" s="2072" t="str">
        <f>IF($B8="","",研发费用加计扣除优惠审核表!C8)</f>
        <v/>
      </c>
      <c r="D8" s="2072" t="str">
        <f>IF($B8="","",研发费用加计扣除优惠审核表!D8)</f>
        <v/>
      </c>
      <c r="E8" s="2072" t="str">
        <f>IF($B8="","",研发费用加计扣除优惠审核表!E8)</f>
        <v/>
      </c>
      <c r="F8" s="2072" t="str">
        <f>IF($B8="","",研发费用加计扣除优惠审核表!F8)</f>
        <v/>
      </c>
      <c r="G8" s="2072" t="str">
        <f>IF($B8="","",研发费用加计扣除优惠审核表!G8)</f>
        <v/>
      </c>
      <c r="H8" s="2072" t="str">
        <f>IF($B8="","",研发费用加计扣除优惠审核表!H8)</f>
        <v/>
      </c>
      <c r="I8" s="2072" t="str">
        <f>IF($B8="","",研发费用加计扣除优惠审核表!I8)</f>
        <v/>
      </c>
      <c r="J8" s="2072" t="str">
        <f>IF($B8="","",研发费用加计扣除优惠审核表!J8)</f>
        <v/>
      </c>
      <c r="K8" s="2072" t="str">
        <f>IF($B8="","",研发费用加计扣除优惠审核表!K8)</f>
        <v/>
      </c>
      <c r="L8" s="2072" t="str">
        <f>IF($B8="","",研发费用加计扣除优惠审核表!L8)</f>
        <v/>
      </c>
      <c r="M8" s="2072" t="str">
        <f>IF($B8="","",研发费用加计扣除优惠审核表!M8)</f>
        <v/>
      </c>
      <c r="N8" s="2072" t="str">
        <f>IF($B8="","",研发费用加计扣除优惠审核表!N8)</f>
        <v/>
      </c>
      <c r="O8" s="2072" t="str">
        <f>IF($B8="","",研发费用加计扣除优惠审核表!O8)</f>
        <v/>
      </c>
      <c r="P8" s="2072" t="str">
        <f>IF($B8="","",研发费用加计扣除优惠审核表!P8)</f>
        <v/>
      </c>
      <c r="Q8" s="2072" t="str">
        <f>IF($B8="","",研发费用加计扣除优惠审核表!Q8)</f>
        <v/>
      </c>
      <c r="R8" s="2072" t="str">
        <f>IF($B8="","",研发费用加计扣除优惠审核表!R8)</f>
        <v/>
      </c>
      <c r="S8" s="2072" t="str">
        <f>IF($B8="","",研发费用加计扣除优惠审核表!S8)</f>
        <v/>
      </c>
      <c r="T8" s="2072" t="str">
        <f>IF($B8="","",研发费用加计扣除优惠审核表!T8)</f>
        <v/>
      </c>
      <c r="U8" s="1829"/>
      <c r="V8" s="1770" t="s">
        <v>6463</v>
      </c>
    </row>
    <row r="9" spans="1:24" s="1517" customFormat="1" ht="14.25" customHeight="1">
      <c r="A9" s="1835">
        <v>4</v>
      </c>
      <c r="B9" s="1875" t="str">
        <f>研发费用加计扣除优惠审核表!B9&amp;""</f>
        <v/>
      </c>
      <c r="C9" s="2072" t="str">
        <f>IF($B9="","",研发费用加计扣除优惠审核表!C9)</f>
        <v/>
      </c>
      <c r="D9" s="2072" t="str">
        <f>IF($B9="","",研发费用加计扣除优惠审核表!D9)</f>
        <v/>
      </c>
      <c r="E9" s="2072" t="str">
        <f>IF($B9="","",研发费用加计扣除优惠审核表!E9)</f>
        <v/>
      </c>
      <c r="F9" s="2072" t="str">
        <f>IF($B9="","",研发费用加计扣除优惠审核表!F9)</f>
        <v/>
      </c>
      <c r="G9" s="2072" t="str">
        <f>IF($B9="","",研发费用加计扣除优惠审核表!G9)</f>
        <v/>
      </c>
      <c r="H9" s="2072" t="str">
        <f>IF($B9="","",研发费用加计扣除优惠审核表!H9)</f>
        <v/>
      </c>
      <c r="I9" s="2072" t="str">
        <f>IF($B9="","",研发费用加计扣除优惠审核表!I9)</f>
        <v/>
      </c>
      <c r="J9" s="2072" t="str">
        <f>IF($B9="","",研发费用加计扣除优惠审核表!J9)</f>
        <v/>
      </c>
      <c r="K9" s="2072" t="str">
        <f>IF($B9="","",研发费用加计扣除优惠审核表!K9)</f>
        <v/>
      </c>
      <c r="L9" s="2072" t="str">
        <f>IF($B9="","",研发费用加计扣除优惠审核表!L9)</f>
        <v/>
      </c>
      <c r="M9" s="2072" t="str">
        <f>IF($B9="","",研发费用加计扣除优惠审核表!M9)</f>
        <v/>
      </c>
      <c r="N9" s="2072" t="str">
        <f>IF($B9="","",研发费用加计扣除优惠审核表!N9)</f>
        <v/>
      </c>
      <c r="O9" s="2072" t="str">
        <f>IF($B9="","",研发费用加计扣除优惠审核表!O9)</f>
        <v/>
      </c>
      <c r="P9" s="2072" t="str">
        <f>IF($B9="","",研发费用加计扣除优惠审核表!P9)</f>
        <v/>
      </c>
      <c r="Q9" s="2072" t="str">
        <f>IF($B9="","",研发费用加计扣除优惠审核表!Q9)</f>
        <v/>
      </c>
      <c r="R9" s="2072" t="str">
        <f>IF($B9="","",研发费用加计扣除优惠审核表!R9)</f>
        <v/>
      </c>
      <c r="S9" s="2072" t="str">
        <f>IF($B9="","",研发费用加计扣除优惠审核表!S9)</f>
        <v/>
      </c>
      <c r="T9" s="2072" t="str">
        <f>IF($B9="","",研发费用加计扣除优惠审核表!T9)</f>
        <v/>
      </c>
      <c r="U9" s="1829"/>
    </row>
    <row r="10" spans="1:24" s="1517" customFormat="1" ht="14.25" customHeight="1">
      <c r="A10" s="1835">
        <v>5</v>
      </c>
      <c r="B10" s="1875" t="str">
        <f>研发费用加计扣除优惠审核表!B10&amp;""</f>
        <v/>
      </c>
      <c r="C10" s="2072" t="str">
        <f>IF($B10="","",研发费用加计扣除优惠审核表!C10)</f>
        <v/>
      </c>
      <c r="D10" s="2072" t="str">
        <f>IF($B10="","",研发费用加计扣除优惠审核表!D10)</f>
        <v/>
      </c>
      <c r="E10" s="2072" t="str">
        <f>IF($B10="","",研发费用加计扣除优惠审核表!E10)</f>
        <v/>
      </c>
      <c r="F10" s="2072" t="str">
        <f>IF($B10="","",研发费用加计扣除优惠审核表!F10)</f>
        <v/>
      </c>
      <c r="G10" s="2072" t="str">
        <f>IF($B10="","",研发费用加计扣除优惠审核表!G10)</f>
        <v/>
      </c>
      <c r="H10" s="2072" t="str">
        <f>IF($B10="","",研发费用加计扣除优惠审核表!H10)</f>
        <v/>
      </c>
      <c r="I10" s="2072" t="str">
        <f>IF($B10="","",研发费用加计扣除优惠审核表!I10)</f>
        <v/>
      </c>
      <c r="J10" s="2072" t="str">
        <f>IF($B10="","",研发费用加计扣除优惠审核表!J10)</f>
        <v/>
      </c>
      <c r="K10" s="2072" t="str">
        <f>IF($B10="","",研发费用加计扣除优惠审核表!K10)</f>
        <v/>
      </c>
      <c r="L10" s="2072" t="str">
        <f>IF($B10="","",研发费用加计扣除优惠审核表!L10)</f>
        <v/>
      </c>
      <c r="M10" s="2072" t="str">
        <f>IF($B10="","",研发费用加计扣除优惠审核表!M10)</f>
        <v/>
      </c>
      <c r="N10" s="2072" t="str">
        <f>IF($B10="","",研发费用加计扣除优惠审核表!N10)</f>
        <v/>
      </c>
      <c r="O10" s="2072" t="str">
        <f>IF($B10="","",研发费用加计扣除优惠审核表!O10)</f>
        <v/>
      </c>
      <c r="P10" s="2072" t="str">
        <f>IF($B10="","",研发费用加计扣除优惠审核表!P10)</f>
        <v/>
      </c>
      <c r="Q10" s="2072" t="str">
        <f>IF($B10="","",研发费用加计扣除优惠审核表!Q10)</f>
        <v/>
      </c>
      <c r="R10" s="2072" t="str">
        <f>IF($B10="","",研发费用加计扣除优惠审核表!R10)</f>
        <v/>
      </c>
      <c r="S10" s="2072" t="str">
        <f>IF($B10="","",研发费用加计扣除优惠审核表!S10)</f>
        <v/>
      </c>
      <c r="T10" s="2072" t="str">
        <f>IF($B10="","",研发费用加计扣除优惠审核表!T10)</f>
        <v/>
      </c>
      <c r="U10" s="1829"/>
    </row>
    <row r="11" spans="1:24" s="1517" customFormat="1" ht="14.25" customHeight="1">
      <c r="A11" s="1835">
        <v>6</v>
      </c>
      <c r="B11" s="1875" t="str">
        <f>研发费用加计扣除优惠审核表!B11&amp;""</f>
        <v/>
      </c>
      <c r="C11" s="2072" t="str">
        <f>IF($B11="","",研发费用加计扣除优惠审核表!C11)</f>
        <v/>
      </c>
      <c r="D11" s="2072" t="str">
        <f>IF($B11="","",研发费用加计扣除优惠审核表!D11)</f>
        <v/>
      </c>
      <c r="E11" s="2072" t="str">
        <f>IF($B11="","",研发费用加计扣除优惠审核表!E11)</f>
        <v/>
      </c>
      <c r="F11" s="2072" t="str">
        <f>IF($B11="","",研发费用加计扣除优惠审核表!F11)</f>
        <v/>
      </c>
      <c r="G11" s="2072" t="str">
        <f>IF($B11="","",研发费用加计扣除优惠审核表!G11)</f>
        <v/>
      </c>
      <c r="H11" s="2072" t="str">
        <f>IF($B11="","",研发费用加计扣除优惠审核表!H11)</f>
        <v/>
      </c>
      <c r="I11" s="2072" t="str">
        <f>IF($B11="","",研发费用加计扣除优惠审核表!I11)</f>
        <v/>
      </c>
      <c r="J11" s="2072" t="str">
        <f>IF($B11="","",研发费用加计扣除优惠审核表!J11)</f>
        <v/>
      </c>
      <c r="K11" s="2072" t="str">
        <f>IF($B11="","",研发费用加计扣除优惠审核表!K11)</f>
        <v/>
      </c>
      <c r="L11" s="2072" t="str">
        <f>IF($B11="","",研发费用加计扣除优惠审核表!L11)</f>
        <v/>
      </c>
      <c r="M11" s="2072" t="str">
        <f>IF($B11="","",研发费用加计扣除优惠审核表!M11)</f>
        <v/>
      </c>
      <c r="N11" s="2072" t="str">
        <f>IF($B11="","",研发费用加计扣除优惠审核表!N11)</f>
        <v/>
      </c>
      <c r="O11" s="2072" t="str">
        <f>IF($B11="","",研发费用加计扣除优惠审核表!O11)</f>
        <v/>
      </c>
      <c r="P11" s="2072" t="str">
        <f>IF($B11="","",研发费用加计扣除优惠审核表!P11)</f>
        <v/>
      </c>
      <c r="Q11" s="2072" t="str">
        <f>IF($B11="","",研发费用加计扣除优惠审核表!Q11)</f>
        <v/>
      </c>
      <c r="R11" s="2072" t="str">
        <f>IF($B11="","",研发费用加计扣除优惠审核表!R11)</f>
        <v/>
      </c>
      <c r="S11" s="2072" t="str">
        <f>IF($B11="","",研发费用加计扣除优惠审核表!S11)</f>
        <v/>
      </c>
      <c r="T11" s="2072" t="str">
        <f>IF($B11="","",研发费用加计扣除优惠审核表!T11)</f>
        <v/>
      </c>
      <c r="U11" s="1829"/>
    </row>
    <row r="12" spans="1:24">
      <c r="A12" s="1835">
        <v>7</v>
      </c>
      <c r="B12" s="1875" t="str">
        <f>研发费用加计扣除优惠审核表!B12&amp;""</f>
        <v/>
      </c>
      <c r="C12" s="2072" t="str">
        <f>IF($B12="","",研发费用加计扣除优惠审核表!C12)</f>
        <v/>
      </c>
      <c r="D12" s="2072" t="str">
        <f>IF($B12="","",研发费用加计扣除优惠审核表!D12)</f>
        <v/>
      </c>
      <c r="E12" s="2072" t="str">
        <f>IF($B12="","",研发费用加计扣除优惠审核表!E12)</f>
        <v/>
      </c>
      <c r="F12" s="2072" t="str">
        <f>IF($B12="","",研发费用加计扣除优惠审核表!F12)</f>
        <v/>
      </c>
      <c r="G12" s="2072" t="str">
        <f>IF($B12="","",研发费用加计扣除优惠审核表!G12)</f>
        <v/>
      </c>
      <c r="H12" s="2072" t="str">
        <f>IF($B12="","",研发费用加计扣除优惠审核表!H12)</f>
        <v/>
      </c>
      <c r="I12" s="2072" t="str">
        <f>IF($B12="","",研发费用加计扣除优惠审核表!I12)</f>
        <v/>
      </c>
      <c r="J12" s="2072" t="str">
        <f>IF($B12="","",研发费用加计扣除优惠审核表!J12)</f>
        <v/>
      </c>
      <c r="K12" s="2072" t="str">
        <f>IF($B12="","",研发费用加计扣除优惠审核表!K12)</f>
        <v/>
      </c>
      <c r="L12" s="2072" t="str">
        <f>IF($B12="","",研发费用加计扣除优惠审核表!L12)</f>
        <v/>
      </c>
      <c r="M12" s="2072" t="str">
        <f>IF($B12="","",研发费用加计扣除优惠审核表!M12)</f>
        <v/>
      </c>
      <c r="N12" s="2072" t="str">
        <f>IF($B12="","",研发费用加计扣除优惠审核表!N12)</f>
        <v/>
      </c>
      <c r="O12" s="2072" t="str">
        <f>IF($B12="","",研发费用加计扣除优惠审核表!O12)</f>
        <v/>
      </c>
      <c r="P12" s="2072" t="str">
        <f>IF($B12="","",研发费用加计扣除优惠审核表!P12)</f>
        <v/>
      </c>
      <c r="Q12" s="2072" t="str">
        <f>IF($B12="","",研发费用加计扣除优惠审核表!Q12)</f>
        <v/>
      </c>
      <c r="R12" s="2072" t="str">
        <f>IF($B12="","",研发费用加计扣除优惠审核表!R12)</f>
        <v/>
      </c>
      <c r="S12" s="2072" t="str">
        <f>IF($B12="","",研发费用加计扣除优惠审核表!S12)</f>
        <v/>
      </c>
      <c r="T12" s="2072" t="str">
        <f>IF($B12="","",研发费用加计扣除优惠审核表!T12)</f>
        <v/>
      </c>
      <c r="U12" s="1941"/>
    </row>
    <row r="13" spans="1:24">
      <c r="A13" s="1835">
        <v>8</v>
      </c>
      <c r="B13" s="1875" t="str">
        <f>研发费用加计扣除优惠审核表!B13&amp;""</f>
        <v/>
      </c>
      <c r="C13" s="2072" t="str">
        <f>IF($B13="","",研发费用加计扣除优惠审核表!C13)</f>
        <v/>
      </c>
      <c r="D13" s="2072" t="str">
        <f>IF($B13="","",研发费用加计扣除优惠审核表!D13)</f>
        <v/>
      </c>
      <c r="E13" s="2072" t="str">
        <f>IF($B13="","",研发费用加计扣除优惠审核表!E13)</f>
        <v/>
      </c>
      <c r="F13" s="2072" t="str">
        <f>IF($B13="","",研发费用加计扣除优惠审核表!F13)</f>
        <v/>
      </c>
      <c r="G13" s="2072" t="str">
        <f>IF($B13="","",研发费用加计扣除优惠审核表!G13)</f>
        <v/>
      </c>
      <c r="H13" s="2072" t="str">
        <f>IF($B13="","",研发费用加计扣除优惠审核表!H13)</f>
        <v/>
      </c>
      <c r="I13" s="2072" t="str">
        <f>IF($B13="","",研发费用加计扣除优惠审核表!I13)</f>
        <v/>
      </c>
      <c r="J13" s="2072" t="str">
        <f>IF($B13="","",研发费用加计扣除优惠审核表!J13)</f>
        <v/>
      </c>
      <c r="K13" s="2072" t="str">
        <f>IF($B13="","",研发费用加计扣除优惠审核表!K13)</f>
        <v/>
      </c>
      <c r="L13" s="2072" t="str">
        <f>IF($B13="","",研发费用加计扣除优惠审核表!L13)</f>
        <v/>
      </c>
      <c r="M13" s="2072" t="str">
        <f>IF($B13="","",研发费用加计扣除优惠审核表!M13)</f>
        <v/>
      </c>
      <c r="N13" s="2072" t="str">
        <f>IF($B13="","",研发费用加计扣除优惠审核表!N13)</f>
        <v/>
      </c>
      <c r="O13" s="2072" t="str">
        <f>IF($B13="","",研发费用加计扣除优惠审核表!O13)</f>
        <v/>
      </c>
      <c r="P13" s="2072" t="str">
        <f>IF($B13="","",研发费用加计扣除优惠审核表!P13)</f>
        <v/>
      </c>
      <c r="Q13" s="2072" t="str">
        <f>IF($B13="","",研发费用加计扣除优惠审核表!Q13)</f>
        <v/>
      </c>
      <c r="R13" s="2072" t="str">
        <f>IF($B13="","",研发费用加计扣除优惠审核表!R13)</f>
        <v/>
      </c>
      <c r="S13" s="2072" t="str">
        <f>IF($B13="","",研发费用加计扣除优惠审核表!S13)</f>
        <v/>
      </c>
      <c r="T13" s="2072" t="str">
        <f>IF($B13="","",研发费用加计扣除优惠审核表!T13)</f>
        <v/>
      </c>
      <c r="U13" s="1941"/>
    </row>
    <row r="14" spans="1:24">
      <c r="A14" s="1835">
        <v>9</v>
      </c>
      <c r="B14" s="1875" t="str">
        <f>研发费用加计扣除优惠审核表!B14&amp;""</f>
        <v/>
      </c>
      <c r="C14" s="2072" t="str">
        <f>IF($B14="","",研发费用加计扣除优惠审核表!C14)</f>
        <v/>
      </c>
      <c r="D14" s="2072" t="str">
        <f>IF($B14="","",研发费用加计扣除优惠审核表!D14)</f>
        <v/>
      </c>
      <c r="E14" s="2072" t="str">
        <f>IF($B14="","",研发费用加计扣除优惠审核表!E14)</f>
        <v/>
      </c>
      <c r="F14" s="2072" t="str">
        <f>IF($B14="","",研发费用加计扣除优惠审核表!F14)</f>
        <v/>
      </c>
      <c r="G14" s="2072" t="str">
        <f>IF($B14="","",研发费用加计扣除优惠审核表!G14)</f>
        <v/>
      </c>
      <c r="H14" s="2072" t="str">
        <f>IF($B14="","",研发费用加计扣除优惠审核表!H14)</f>
        <v/>
      </c>
      <c r="I14" s="2072" t="str">
        <f>IF($B14="","",研发费用加计扣除优惠审核表!I14)</f>
        <v/>
      </c>
      <c r="J14" s="2072" t="str">
        <f>IF($B14="","",研发费用加计扣除优惠审核表!J14)</f>
        <v/>
      </c>
      <c r="K14" s="2072" t="str">
        <f>IF($B14="","",研发费用加计扣除优惠审核表!K14)</f>
        <v/>
      </c>
      <c r="L14" s="2072" t="str">
        <f>IF($B14="","",研发费用加计扣除优惠审核表!L14)</f>
        <v/>
      </c>
      <c r="M14" s="2072" t="str">
        <f>IF($B14="","",研发费用加计扣除优惠审核表!M14)</f>
        <v/>
      </c>
      <c r="N14" s="2072" t="str">
        <f>IF($B14="","",研发费用加计扣除优惠审核表!N14)</f>
        <v/>
      </c>
      <c r="O14" s="2072" t="str">
        <f>IF($B14="","",研发费用加计扣除优惠审核表!O14)</f>
        <v/>
      </c>
      <c r="P14" s="2072" t="str">
        <f>IF($B14="","",研发费用加计扣除优惠审核表!P14)</f>
        <v/>
      </c>
      <c r="Q14" s="2072" t="str">
        <f>IF($B14="","",研发费用加计扣除优惠审核表!Q14)</f>
        <v/>
      </c>
      <c r="R14" s="2072" t="str">
        <f>IF($B14="","",研发费用加计扣除优惠审核表!R14)</f>
        <v/>
      </c>
      <c r="S14" s="2072" t="str">
        <f>IF($B14="","",研发费用加计扣除优惠审核表!S14)</f>
        <v/>
      </c>
      <c r="T14" s="2072" t="str">
        <f>IF($B14="","",研发费用加计扣除优惠审核表!T14)</f>
        <v/>
      </c>
      <c r="U14" s="1941"/>
    </row>
    <row r="15" spans="1:24" ht="58.5" customHeight="1">
      <c r="A15" s="1874" t="s">
        <v>5541</v>
      </c>
      <c r="B15" s="1846" t="s">
        <v>2429</v>
      </c>
      <c r="C15" s="2072">
        <f>研发费用加计扣除优惠审核表!C15</f>
        <v>0</v>
      </c>
      <c r="D15" s="2072">
        <f>研发费用加计扣除优惠审核表!D15</f>
        <v>0</v>
      </c>
      <c r="E15" s="2072">
        <f>研发费用加计扣除优惠审核表!E15</f>
        <v>0</v>
      </c>
      <c r="F15" s="2072">
        <f>研发费用加计扣除优惠审核表!F15</f>
        <v>0</v>
      </c>
      <c r="G15" s="2072">
        <f>研发费用加计扣除优惠审核表!G15</f>
        <v>0</v>
      </c>
      <c r="H15" s="2072">
        <f>研发费用加计扣除优惠审核表!H15</f>
        <v>0</v>
      </c>
      <c r="I15" s="2072">
        <f>研发费用加计扣除优惠审核表!I15</f>
        <v>0</v>
      </c>
      <c r="J15" s="2072">
        <f>研发费用加计扣除优惠审核表!J15</f>
        <v>0</v>
      </c>
      <c r="K15" s="2072">
        <f>研发费用加计扣除优惠审核表!K15</f>
        <v>0</v>
      </c>
      <c r="L15" s="2072">
        <f>研发费用加计扣除优惠审核表!L15</f>
        <v>0</v>
      </c>
      <c r="M15" s="2072">
        <f>研发费用加计扣除优惠审核表!M15</f>
        <v>0</v>
      </c>
      <c r="N15" s="2072">
        <f>研发费用加计扣除优惠审核表!N15</f>
        <v>0</v>
      </c>
      <c r="O15" s="2072">
        <f>研发费用加计扣除优惠审核表!O15</f>
        <v>0</v>
      </c>
      <c r="P15" s="2072">
        <f>研发费用加计扣除优惠审核表!P15</f>
        <v>0</v>
      </c>
      <c r="Q15" s="2072">
        <f>研发费用加计扣除优惠审核表!Q15</f>
        <v>0</v>
      </c>
      <c r="R15" s="2072">
        <f>研发费用加计扣除优惠审核表!R15</f>
        <v>0</v>
      </c>
      <c r="S15" s="2072">
        <f>研发费用加计扣除优惠审核表!S15</f>
        <v>0</v>
      </c>
      <c r="T15" s="2072">
        <f>研发费用加计扣除优惠审核表!T15</f>
        <v>0</v>
      </c>
      <c r="U15" s="1978" t="s">
        <v>5608</v>
      </c>
    </row>
  </sheetData>
  <mergeCells count="11">
    <mergeCell ref="U3:U4"/>
    <mergeCell ref="A1:T1"/>
    <mergeCell ref="A2:T2"/>
    <mergeCell ref="A3:A5"/>
    <mergeCell ref="B3:B4"/>
    <mergeCell ref="C3:K3"/>
    <mergeCell ref="L3:L4"/>
    <mergeCell ref="M3:M4"/>
    <mergeCell ref="N3:O3"/>
    <mergeCell ref="P3:S3"/>
    <mergeCell ref="T3:T4"/>
  </mergeCells>
  <phoneticPr fontId="51" type="noConversion"/>
  <hyperlinks>
    <hyperlink ref="V8" location="研发费用加计扣除优惠审核表!A1" display="研发费用加计扣除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tabColor rgb="FFFFFF00"/>
  </sheetPr>
  <dimension ref="A1:L44"/>
  <sheetViews>
    <sheetView workbookViewId="0">
      <selection activeCell="F44" sqref="F44"/>
    </sheetView>
  </sheetViews>
  <sheetFormatPr defaultColWidth="9.3984375" defaultRowHeight="24" customHeight="1"/>
  <cols>
    <col min="1" max="1" width="5.19921875" style="1605" customWidth="1"/>
    <col min="2" max="2" width="41.59765625" style="1606" customWidth="1"/>
    <col min="3" max="8" width="12.19921875" style="1607" customWidth="1"/>
    <col min="9" max="9" width="12.19921875" style="1605" customWidth="1"/>
    <col min="10" max="10" width="8" style="1605" customWidth="1"/>
    <col min="11" max="256" width="9.3984375" style="1605"/>
    <col min="257" max="257" width="5.19921875" style="1605" customWidth="1"/>
    <col min="258" max="258" width="41.59765625" style="1605" customWidth="1"/>
    <col min="259" max="260" width="9.8984375" style="1605" customWidth="1"/>
    <col min="261" max="261" width="8.19921875" style="1605" customWidth="1"/>
    <col min="262" max="262" width="8.3984375" style="1605" customWidth="1"/>
    <col min="263" max="263" width="7.8984375" style="1605" customWidth="1"/>
    <col min="264" max="264" width="10.8984375" style="1605" customWidth="1"/>
    <col min="265" max="265" width="8.19921875" style="1605" customWidth="1"/>
    <col min="266" max="266" width="11.8984375" style="1605" customWidth="1"/>
    <col min="267" max="512" width="9.3984375" style="1605"/>
    <col min="513" max="513" width="5.19921875" style="1605" customWidth="1"/>
    <col min="514" max="514" width="41.59765625" style="1605" customWidth="1"/>
    <col min="515" max="516" width="9.8984375" style="1605" customWidth="1"/>
    <col min="517" max="517" width="8.19921875" style="1605" customWidth="1"/>
    <col min="518" max="518" width="8.3984375" style="1605" customWidth="1"/>
    <col min="519" max="519" width="7.8984375" style="1605" customWidth="1"/>
    <col min="520" max="520" width="10.8984375" style="1605" customWidth="1"/>
    <col min="521" max="521" width="8.19921875" style="1605" customWidth="1"/>
    <col min="522" max="522" width="11.8984375" style="1605" customWidth="1"/>
    <col min="523" max="768" width="9.3984375" style="1605"/>
    <col min="769" max="769" width="5.19921875" style="1605" customWidth="1"/>
    <col min="770" max="770" width="41.59765625" style="1605" customWidth="1"/>
    <col min="771" max="772" width="9.8984375" style="1605" customWidth="1"/>
    <col min="773" max="773" width="8.19921875" style="1605" customWidth="1"/>
    <col min="774" max="774" width="8.3984375" style="1605" customWidth="1"/>
    <col min="775" max="775" width="7.8984375" style="1605" customWidth="1"/>
    <col min="776" max="776" width="10.8984375" style="1605" customWidth="1"/>
    <col min="777" max="777" width="8.19921875" style="1605" customWidth="1"/>
    <col min="778" max="778" width="11.8984375" style="1605" customWidth="1"/>
    <col min="779" max="1024" width="9.3984375" style="1605"/>
    <col min="1025" max="1025" width="5.19921875" style="1605" customWidth="1"/>
    <col min="1026" max="1026" width="41.59765625" style="1605" customWidth="1"/>
    <col min="1027" max="1028" width="9.8984375" style="1605" customWidth="1"/>
    <col min="1029" max="1029" width="8.19921875" style="1605" customWidth="1"/>
    <col min="1030" max="1030" width="8.3984375" style="1605" customWidth="1"/>
    <col min="1031" max="1031" width="7.8984375" style="1605" customWidth="1"/>
    <col min="1032" max="1032" width="10.8984375" style="1605" customWidth="1"/>
    <col min="1033" max="1033" width="8.19921875" style="1605" customWidth="1"/>
    <col min="1034" max="1034" width="11.8984375" style="1605" customWidth="1"/>
    <col min="1035" max="1280" width="9.3984375" style="1605"/>
    <col min="1281" max="1281" width="5.19921875" style="1605" customWidth="1"/>
    <col min="1282" max="1282" width="41.59765625" style="1605" customWidth="1"/>
    <col min="1283" max="1284" width="9.8984375" style="1605" customWidth="1"/>
    <col min="1285" max="1285" width="8.19921875" style="1605" customWidth="1"/>
    <col min="1286" max="1286" width="8.3984375" style="1605" customWidth="1"/>
    <col min="1287" max="1287" width="7.8984375" style="1605" customWidth="1"/>
    <col min="1288" max="1288" width="10.8984375" style="1605" customWidth="1"/>
    <col min="1289" max="1289" width="8.19921875" style="1605" customWidth="1"/>
    <col min="1290" max="1290" width="11.8984375" style="1605" customWidth="1"/>
    <col min="1291" max="1536" width="9.3984375" style="1605"/>
    <col min="1537" max="1537" width="5.19921875" style="1605" customWidth="1"/>
    <col min="1538" max="1538" width="41.59765625" style="1605" customWidth="1"/>
    <col min="1539" max="1540" width="9.8984375" style="1605" customWidth="1"/>
    <col min="1541" max="1541" width="8.19921875" style="1605" customWidth="1"/>
    <col min="1542" max="1542" width="8.3984375" style="1605" customWidth="1"/>
    <col min="1543" max="1543" width="7.8984375" style="1605" customWidth="1"/>
    <col min="1544" max="1544" width="10.8984375" style="1605" customWidth="1"/>
    <col min="1545" max="1545" width="8.19921875" style="1605" customWidth="1"/>
    <col min="1546" max="1546" width="11.8984375" style="1605" customWidth="1"/>
    <col min="1547" max="1792" width="9.3984375" style="1605"/>
    <col min="1793" max="1793" width="5.19921875" style="1605" customWidth="1"/>
    <col min="1794" max="1794" width="41.59765625" style="1605" customWidth="1"/>
    <col min="1795" max="1796" width="9.8984375" style="1605" customWidth="1"/>
    <col min="1797" max="1797" width="8.19921875" style="1605" customWidth="1"/>
    <col min="1798" max="1798" width="8.3984375" style="1605" customWidth="1"/>
    <col min="1799" max="1799" width="7.8984375" style="1605" customWidth="1"/>
    <col min="1800" max="1800" width="10.8984375" style="1605" customWidth="1"/>
    <col min="1801" max="1801" width="8.19921875" style="1605" customWidth="1"/>
    <col min="1802" max="1802" width="11.8984375" style="1605" customWidth="1"/>
    <col min="1803" max="2048" width="9.3984375" style="1605"/>
    <col min="2049" max="2049" width="5.19921875" style="1605" customWidth="1"/>
    <col min="2050" max="2050" width="41.59765625" style="1605" customWidth="1"/>
    <col min="2051" max="2052" width="9.8984375" style="1605" customWidth="1"/>
    <col min="2053" max="2053" width="8.19921875" style="1605" customWidth="1"/>
    <col min="2054" max="2054" width="8.3984375" style="1605" customWidth="1"/>
    <col min="2055" max="2055" width="7.8984375" style="1605" customWidth="1"/>
    <col min="2056" max="2056" width="10.8984375" style="1605" customWidth="1"/>
    <col min="2057" max="2057" width="8.19921875" style="1605" customWidth="1"/>
    <col min="2058" max="2058" width="11.8984375" style="1605" customWidth="1"/>
    <col min="2059" max="2304" width="9.3984375" style="1605"/>
    <col min="2305" max="2305" width="5.19921875" style="1605" customWidth="1"/>
    <col min="2306" max="2306" width="41.59765625" style="1605" customWidth="1"/>
    <col min="2307" max="2308" width="9.8984375" style="1605" customWidth="1"/>
    <col min="2309" max="2309" width="8.19921875" style="1605" customWidth="1"/>
    <col min="2310" max="2310" width="8.3984375" style="1605" customWidth="1"/>
    <col min="2311" max="2311" width="7.8984375" style="1605" customWidth="1"/>
    <col min="2312" max="2312" width="10.8984375" style="1605" customWidth="1"/>
    <col min="2313" max="2313" width="8.19921875" style="1605" customWidth="1"/>
    <col min="2314" max="2314" width="11.8984375" style="1605" customWidth="1"/>
    <col min="2315" max="2560" width="9.3984375" style="1605"/>
    <col min="2561" max="2561" width="5.19921875" style="1605" customWidth="1"/>
    <col min="2562" max="2562" width="41.59765625" style="1605" customWidth="1"/>
    <col min="2563" max="2564" width="9.8984375" style="1605" customWidth="1"/>
    <col min="2565" max="2565" width="8.19921875" style="1605" customWidth="1"/>
    <col min="2566" max="2566" width="8.3984375" style="1605" customWidth="1"/>
    <col min="2567" max="2567" width="7.8984375" style="1605" customWidth="1"/>
    <col min="2568" max="2568" width="10.8984375" style="1605" customWidth="1"/>
    <col min="2569" max="2569" width="8.19921875" style="1605" customWidth="1"/>
    <col min="2570" max="2570" width="11.8984375" style="1605" customWidth="1"/>
    <col min="2571" max="2816" width="9.3984375" style="1605"/>
    <col min="2817" max="2817" width="5.19921875" style="1605" customWidth="1"/>
    <col min="2818" max="2818" width="41.59765625" style="1605" customWidth="1"/>
    <col min="2819" max="2820" width="9.8984375" style="1605" customWidth="1"/>
    <col min="2821" max="2821" width="8.19921875" style="1605" customWidth="1"/>
    <col min="2822" max="2822" width="8.3984375" style="1605" customWidth="1"/>
    <col min="2823" max="2823" width="7.8984375" style="1605" customWidth="1"/>
    <col min="2824" max="2824" width="10.8984375" style="1605" customWidth="1"/>
    <col min="2825" max="2825" width="8.19921875" style="1605" customWidth="1"/>
    <col min="2826" max="2826" width="11.8984375" style="1605" customWidth="1"/>
    <col min="2827" max="3072" width="9.3984375" style="1605"/>
    <col min="3073" max="3073" width="5.19921875" style="1605" customWidth="1"/>
    <col min="3074" max="3074" width="41.59765625" style="1605" customWidth="1"/>
    <col min="3075" max="3076" width="9.8984375" style="1605" customWidth="1"/>
    <col min="3077" max="3077" width="8.19921875" style="1605" customWidth="1"/>
    <col min="3078" max="3078" width="8.3984375" style="1605" customWidth="1"/>
    <col min="3079" max="3079" width="7.8984375" style="1605" customWidth="1"/>
    <col min="3080" max="3080" width="10.8984375" style="1605" customWidth="1"/>
    <col min="3081" max="3081" width="8.19921875" style="1605" customWidth="1"/>
    <col min="3082" max="3082" width="11.8984375" style="1605" customWidth="1"/>
    <col min="3083" max="3328" width="9.3984375" style="1605"/>
    <col min="3329" max="3329" width="5.19921875" style="1605" customWidth="1"/>
    <col min="3330" max="3330" width="41.59765625" style="1605" customWidth="1"/>
    <col min="3331" max="3332" width="9.8984375" style="1605" customWidth="1"/>
    <col min="3333" max="3333" width="8.19921875" style="1605" customWidth="1"/>
    <col min="3334" max="3334" width="8.3984375" style="1605" customWidth="1"/>
    <col min="3335" max="3335" width="7.8984375" style="1605" customWidth="1"/>
    <col min="3336" max="3336" width="10.8984375" style="1605" customWidth="1"/>
    <col min="3337" max="3337" width="8.19921875" style="1605" customWidth="1"/>
    <col min="3338" max="3338" width="11.8984375" style="1605" customWidth="1"/>
    <col min="3339" max="3584" width="9.3984375" style="1605"/>
    <col min="3585" max="3585" width="5.19921875" style="1605" customWidth="1"/>
    <col min="3586" max="3586" width="41.59765625" style="1605" customWidth="1"/>
    <col min="3587" max="3588" width="9.8984375" style="1605" customWidth="1"/>
    <col min="3589" max="3589" width="8.19921875" style="1605" customWidth="1"/>
    <col min="3590" max="3590" width="8.3984375" style="1605" customWidth="1"/>
    <col min="3591" max="3591" width="7.8984375" style="1605" customWidth="1"/>
    <col min="3592" max="3592" width="10.8984375" style="1605" customWidth="1"/>
    <col min="3593" max="3593" width="8.19921875" style="1605" customWidth="1"/>
    <col min="3594" max="3594" width="11.8984375" style="1605" customWidth="1"/>
    <col min="3595" max="3840" width="9.3984375" style="1605"/>
    <col min="3841" max="3841" width="5.19921875" style="1605" customWidth="1"/>
    <col min="3842" max="3842" width="41.59765625" style="1605" customWidth="1"/>
    <col min="3843" max="3844" width="9.8984375" style="1605" customWidth="1"/>
    <col min="3845" max="3845" width="8.19921875" style="1605" customWidth="1"/>
    <col min="3846" max="3846" width="8.3984375" style="1605" customWidth="1"/>
    <col min="3847" max="3847" width="7.8984375" style="1605" customWidth="1"/>
    <col min="3848" max="3848" width="10.8984375" style="1605" customWidth="1"/>
    <col min="3849" max="3849" width="8.19921875" style="1605" customWidth="1"/>
    <col min="3850" max="3850" width="11.8984375" style="1605" customWidth="1"/>
    <col min="3851" max="4096" width="9.3984375" style="1605"/>
    <col min="4097" max="4097" width="5.19921875" style="1605" customWidth="1"/>
    <col min="4098" max="4098" width="41.59765625" style="1605" customWidth="1"/>
    <col min="4099" max="4100" width="9.8984375" style="1605" customWidth="1"/>
    <col min="4101" max="4101" width="8.19921875" style="1605" customWidth="1"/>
    <col min="4102" max="4102" width="8.3984375" style="1605" customWidth="1"/>
    <col min="4103" max="4103" width="7.8984375" style="1605" customWidth="1"/>
    <col min="4104" max="4104" width="10.8984375" style="1605" customWidth="1"/>
    <col min="4105" max="4105" width="8.19921875" style="1605" customWidth="1"/>
    <col min="4106" max="4106" width="11.8984375" style="1605" customWidth="1"/>
    <col min="4107" max="4352" width="9.3984375" style="1605"/>
    <col min="4353" max="4353" width="5.19921875" style="1605" customWidth="1"/>
    <col min="4354" max="4354" width="41.59765625" style="1605" customWidth="1"/>
    <col min="4355" max="4356" width="9.8984375" style="1605" customWidth="1"/>
    <col min="4357" max="4357" width="8.19921875" style="1605" customWidth="1"/>
    <col min="4358" max="4358" width="8.3984375" style="1605" customWidth="1"/>
    <col min="4359" max="4359" width="7.8984375" style="1605" customWidth="1"/>
    <col min="4360" max="4360" width="10.8984375" style="1605" customWidth="1"/>
    <col min="4361" max="4361" width="8.19921875" style="1605" customWidth="1"/>
    <col min="4362" max="4362" width="11.8984375" style="1605" customWidth="1"/>
    <col min="4363" max="4608" width="9.3984375" style="1605"/>
    <col min="4609" max="4609" width="5.19921875" style="1605" customWidth="1"/>
    <col min="4610" max="4610" width="41.59765625" style="1605" customWidth="1"/>
    <col min="4611" max="4612" width="9.8984375" style="1605" customWidth="1"/>
    <col min="4613" max="4613" width="8.19921875" style="1605" customWidth="1"/>
    <col min="4614" max="4614" width="8.3984375" style="1605" customWidth="1"/>
    <col min="4615" max="4615" width="7.8984375" style="1605" customWidth="1"/>
    <col min="4616" max="4616" width="10.8984375" style="1605" customWidth="1"/>
    <col min="4617" max="4617" width="8.19921875" style="1605" customWidth="1"/>
    <col min="4618" max="4618" width="11.8984375" style="1605" customWidth="1"/>
    <col min="4619" max="4864" width="9.3984375" style="1605"/>
    <col min="4865" max="4865" width="5.19921875" style="1605" customWidth="1"/>
    <col min="4866" max="4866" width="41.59765625" style="1605" customWidth="1"/>
    <col min="4867" max="4868" width="9.8984375" style="1605" customWidth="1"/>
    <col min="4869" max="4869" width="8.19921875" style="1605" customWidth="1"/>
    <col min="4870" max="4870" width="8.3984375" style="1605" customWidth="1"/>
    <col min="4871" max="4871" width="7.8984375" style="1605" customWidth="1"/>
    <col min="4872" max="4872" width="10.8984375" style="1605" customWidth="1"/>
    <col min="4873" max="4873" width="8.19921875" style="1605" customWidth="1"/>
    <col min="4874" max="4874" width="11.8984375" style="1605" customWidth="1"/>
    <col min="4875" max="5120" width="9.3984375" style="1605"/>
    <col min="5121" max="5121" width="5.19921875" style="1605" customWidth="1"/>
    <col min="5122" max="5122" width="41.59765625" style="1605" customWidth="1"/>
    <col min="5123" max="5124" width="9.8984375" style="1605" customWidth="1"/>
    <col min="5125" max="5125" width="8.19921875" style="1605" customWidth="1"/>
    <col min="5126" max="5126" width="8.3984375" style="1605" customWidth="1"/>
    <col min="5127" max="5127" width="7.8984375" style="1605" customWidth="1"/>
    <col min="5128" max="5128" width="10.8984375" style="1605" customWidth="1"/>
    <col min="5129" max="5129" width="8.19921875" style="1605" customWidth="1"/>
    <col min="5130" max="5130" width="11.8984375" style="1605" customWidth="1"/>
    <col min="5131" max="5376" width="9.3984375" style="1605"/>
    <col min="5377" max="5377" width="5.19921875" style="1605" customWidth="1"/>
    <col min="5378" max="5378" width="41.59765625" style="1605" customWidth="1"/>
    <col min="5379" max="5380" width="9.8984375" style="1605" customWidth="1"/>
    <col min="5381" max="5381" width="8.19921875" style="1605" customWidth="1"/>
    <col min="5382" max="5382" width="8.3984375" style="1605" customWidth="1"/>
    <col min="5383" max="5383" width="7.8984375" style="1605" customWidth="1"/>
    <col min="5384" max="5384" width="10.8984375" style="1605" customWidth="1"/>
    <col min="5385" max="5385" width="8.19921875" style="1605" customWidth="1"/>
    <col min="5386" max="5386" width="11.8984375" style="1605" customWidth="1"/>
    <col min="5387" max="5632" width="9.3984375" style="1605"/>
    <col min="5633" max="5633" width="5.19921875" style="1605" customWidth="1"/>
    <col min="5634" max="5634" width="41.59765625" style="1605" customWidth="1"/>
    <col min="5635" max="5636" width="9.8984375" style="1605" customWidth="1"/>
    <col min="5637" max="5637" width="8.19921875" style="1605" customWidth="1"/>
    <col min="5638" max="5638" width="8.3984375" style="1605" customWidth="1"/>
    <col min="5639" max="5639" width="7.8984375" style="1605" customWidth="1"/>
    <col min="5640" max="5640" width="10.8984375" style="1605" customWidth="1"/>
    <col min="5641" max="5641" width="8.19921875" style="1605" customWidth="1"/>
    <col min="5642" max="5642" width="11.8984375" style="1605" customWidth="1"/>
    <col min="5643" max="5888" width="9.3984375" style="1605"/>
    <col min="5889" max="5889" width="5.19921875" style="1605" customWidth="1"/>
    <col min="5890" max="5890" width="41.59765625" style="1605" customWidth="1"/>
    <col min="5891" max="5892" width="9.8984375" style="1605" customWidth="1"/>
    <col min="5893" max="5893" width="8.19921875" style="1605" customWidth="1"/>
    <col min="5894" max="5894" width="8.3984375" style="1605" customWidth="1"/>
    <col min="5895" max="5895" width="7.8984375" style="1605" customWidth="1"/>
    <col min="5896" max="5896" width="10.8984375" style="1605" customWidth="1"/>
    <col min="5897" max="5897" width="8.19921875" style="1605" customWidth="1"/>
    <col min="5898" max="5898" width="11.8984375" style="1605" customWidth="1"/>
    <col min="5899" max="6144" width="9.3984375" style="1605"/>
    <col min="6145" max="6145" width="5.19921875" style="1605" customWidth="1"/>
    <col min="6146" max="6146" width="41.59765625" style="1605" customWidth="1"/>
    <col min="6147" max="6148" width="9.8984375" style="1605" customWidth="1"/>
    <col min="6149" max="6149" width="8.19921875" style="1605" customWidth="1"/>
    <col min="6150" max="6150" width="8.3984375" style="1605" customWidth="1"/>
    <col min="6151" max="6151" width="7.8984375" style="1605" customWidth="1"/>
    <col min="6152" max="6152" width="10.8984375" style="1605" customWidth="1"/>
    <col min="6153" max="6153" width="8.19921875" style="1605" customWidth="1"/>
    <col min="6154" max="6154" width="11.8984375" style="1605" customWidth="1"/>
    <col min="6155" max="6400" width="9.3984375" style="1605"/>
    <col min="6401" max="6401" width="5.19921875" style="1605" customWidth="1"/>
    <col min="6402" max="6402" width="41.59765625" style="1605" customWidth="1"/>
    <col min="6403" max="6404" width="9.8984375" style="1605" customWidth="1"/>
    <col min="6405" max="6405" width="8.19921875" style="1605" customWidth="1"/>
    <col min="6406" max="6406" width="8.3984375" style="1605" customWidth="1"/>
    <col min="6407" max="6407" width="7.8984375" style="1605" customWidth="1"/>
    <col min="6408" max="6408" width="10.8984375" style="1605" customWidth="1"/>
    <col min="6409" max="6409" width="8.19921875" style="1605" customWidth="1"/>
    <col min="6410" max="6410" width="11.8984375" style="1605" customWidth="1"/>
    <col min="6411" max="6656" width="9.3984375" style="1605"/>
    <col min="6657" max="6657" width="5.19921875" style="1605" customWidth="1"/>
    <col min="6658" max="6658" width="41.59765625" style="1605" customWidth="1"/>
    <col min="6659" max="6660" width="9.8984375" style="1605" customWidth="1"/>
    <col min="6661" max="6661" width="8.19921875" style="1605" customWidth="1"/>
    <col min="6662" max="6662" width="8.3984375" style="1605" customWidth="1"/>
    <col min="6663" max="6663" width="7.8984375" style="1605" customWidth="1"/>
    <col min="6664" max="6664" width="10.8984375" style="1605" customWidth="1"/>
    <col min="6665" max="6665" width="8.19921875" style="1605" customWidth="1"/>
    <col min="6666" max="6666" width="11.8984375" style="1605" customWidth="1"/>
    <col min="6667" max="6912" width="9.3984375" style="1605"/>
    <col min="6913" max="6913" width="5.19921875" style="1605" customWidth="1"/>
    <col min="6914" max="6914" width="41.59765625" style="1605" customWidth="1"/>
    <col min="6915" max="6916" width="9.8984375" style="1605" customWidth="1"/>
    <col min="6917" max="6917" width="8.19921875" style="1605" customWidth="1"/>
    <col min="6918" max="6918" width="8.3984375" style="1605" customWidth="1"/>
    <col min="6919" max="6919" width="7.8984375" style="1605" customWidth="1"/>
    <col min="6920" max="6920" width="10.8984375" style="1605" customWidth="1"/>
    <col min="6921" max="6921" width="8.19921875" style="1605" customWidth="1"/>
    <col min="6922" max="6922" width="11.8984375" style="1605" customWidth="1"/>
    <col min="6923" max="7168" width="9.3984375" style="1605"/>
    <col min="7169" max="7169" width="5.19921875" style="1605" customWidth="1"/>
    <col min="7170" max="7170" width="41.59765625" style="1605" customWidth="1"/>
    <col min="7171" max="7172" width="9.8984375" style="1605" customWidth="1"/>
    <col min="7173" max="7173" width="8.19921875" style="1605" customWidth="1"/>
    <col min="7174" max="7174" width="8.3984375" style="1605" customWidth="1"/>
    <col min="7175" max="7175" width="7.8984375" style="1605" customWidth="1"/>
    <col min="7176" max="7176" width="10.8984375" style="1605" customWidth="1"/>
    <col min="7177" max="7177" width="8.19921875" style="1605" customWidth="1"/>
    <col min="7178" max="7178" width="11.8984375" style="1605" customWidth="1"/>
    <col min="7179" max="7424" width="9.3984375" style="1605"/>
    <col min="7425" max="7425" width="5.19921875" style="1605" customWidth="1"/>
    <col min="7426" max="7426" width="41.59765625" style="1605" customWidth="1"/>
    <col min="7427" max="7428" width="9.8984375" style="1605" customWidth="1"/>
    <col min="7429" max="7429" width="8.19921875" style="1605" customWidth="1"/>
    <col min="7430" max="7430" width="8.3984375" style="1605" customWidth="1"/>
    <col min="7431" max="7431" width="7.8984375" style="1605" customWidth="1"/>
    <col min="7432" max="7432" width="10.8984375" style="1605" customWidth="1"/>
    <col min="7433" max="7433" width="8.19921875" style="1605" customWidth="1"/>
    <col min="7434" max="7434" width="11.8984375" style="1605" customWidth="1"/>
    <col min="7435" max="7680" width="9.3984375" style="1605"/>
    <col min="7681" max="7681" width="5.19921875" style="1605" customWidth="1"/>
    <col min="7682" max="7682" width="41.59765625" style="1605" customWidth="1"/>
    <col min="7683" max="7684" width="9.8984375" style="1605" customWidth="1"/>
    <col min="7685" max="7685" width="8.19921875" style="1605" customWidth="1"/>
    <col min="7686" max="7686" width="8.3984375" style="1605" customWidth="1"/>
    <col min="7687" max="7687" width="7.8984375" style="1605" customWidth="1"/>
    <col min="7688" max="7688" width="10.8984375" style="1605" customWidth="1"/>
    <col min="7689" max="7689" width="8.19921875" style="1605" customWidth="1"/>
    <col min="7690" max="7690" width="11.8984375" style="1605" customWidth="1"/>
    <col min="7691" max="7936" width="9.3984375" style="1605"/>
    <col min="7937" max="7937" width="5.19921875" style="1605" customWidth="1"/>
    <col min="7938" max="7938" width="41.59765625" style="1605" customWidth="1"/>
    <col min="7939" max="7940" width="9.8984375" style="1605" customWidth="1"/>
    <col min="7941" max="7941" width="8.19921875" style="1605" customWidth="1"/>
    <col min="7942" max="7942" width="8.3984375" style="1605" customWidth="1"/>
    <col min="7943" max="7943" width="7.8984375" style="1605" customWidth="1"/>
    <col min="7944" max="7944" width="10.8984375" style="1605" customWidth="1"/>
    <col min="7945" max="7945" width="8.19921875" style="1605" customWidth="1"/>
    <col min="7946" max="7946" width="11.8984375" style="1605" customWidth="1"/>
    <col min="7947" max="8192" width="9.3984375" style="1605"/>
    <col min="8193" max="8193" width="5.19921875" style="1605" customWidth="1"/>
    <col min="8194" max="8194" width="41.59765625" style="1605" customWidth="1"/>
    <col min="8195" max="8196" width="9.8984375" style="1605" customWidth="1"/>
    <col min="8197" max="8197" width="8.19921875" style="1605" customWidth="1"/>
    <col min="8198" max="8198" width="8.3984375" style="1605" customWidth="1"/>
    <col min="8199" max="8199" width="7.8984375" style="1605" customWidth="1"/>
    <col min="8200" max="8200" width="10.8984375" style="1605" customWidth="1"/>
    <col min="8201" max="8201" width="8.19921875" style="1605" customWidth="1"/>
    <col min="8202" max="8202" width="11.8984375" style="1605" customWidth="1"/>
    <col min="8203" max="8448" width="9.3984375" style="1605"/>
    <col min="8449" max="8449" width="5.19921875" style="1605" customWidth="1"/>
    <col min="8450" max="8450" width="41.59765625" style="1605" customWidth="1"/>
    <col min="8451" max="8452" width="9.8984375" style="1605" customWidth="1"/>
    <col min="8453" max="8453" width="8.19921875" style="1605" customWidth="1"/>
    <col min="8454" max="8454" width="8.3984375" style="1605" customWidth="1"/>
    <col min="8455" max="8455" width="7.8984375" style="1605" customWidth="1"/>
    <col min="8456" max="8456" width="10.8984375" style="1605" customWidth="1"/>
    <col min="8457" max="8457" width="8.19921875" style="1605" customWidth="1"/>
    <col min="8458" max="8458" width="11.8984375" style="1605" customWidth="1"/>
    <col min="8459" max="8704" width="9.3984375" style="1605"/>
    <col min="8705" max="8705" width="5.19921875" style="1605" customWidth="1"/>
    <col min="8706" max="8706" width="41.59765625" style="1605" customWidth="1"/>
    <col min="8707" max="8708" width="9.8984375" style="1605" customWidth="1"/>
    <col min="8709" max="8709" width="8.19921875" style="1605" customWidth="1"/>
    <col min="8710" max="8710" width="8.3984375" style="1605" customWidth="1"/>
    <col min="8711" max="8711" width="7.8984375" style="1605" customWidth="1"/>
    <col min="8712" max="8712" width="10.8984375" style="1605" customWidth="1"/>
    <col min="8713" max="8713" width="8.19921875" style="1605" customWidth="1"/>
    <col min="8714" max="8714" width="11.8984375" style="1605" customWidth="1"/>
    <col min="8715" max="8960" width="9.3984375" style="1605"/>
    <col min="8961" max="8961" width="5.19921875" style="1605" customWidth="1"/>
    <col min="8962" max="8962" width="41.59765625" style="1605" customWidth="1"/>
    <col min="8963" max="8964" width="9.8984375" style="1605" customWidth="1"/>
    <col min="8965" max="8965" width="8.19921875" style="1605" customWidth="1"/>
    <col min="8966" max="8966" width="8.3984375" style="1605" customWidth="1"/>
    <col min="8967" max="8967" width="7.8984375" style="1605" customWidth="1"/>
    <col min="8968" max="8968" width="10.8984375" style="1605" customWidth="1"/>
    <col min="8969" max="8969" width="8.19921875" style="1605" customWidth="1"/>
    <col min="8970" max="8970" width="11.8984375" style="1605" customWidth="1"/>
    <col min="8971" max="9216" width="9.3984375" style="1605"/>
    <col min="9217" max="9217" width="5.19921875" style="1605" customWidth="1"/>
    <col min="9218" max="9218" width="41.59765625" style="1605" customWidth="1"/>
    <col min="9219" max="9220" width="9.8984375" style="1605" customWidth="1"/>
    <col min="9221" max="9221" width="8.19921875" style="1605" customWidth="1"/>
    <col min="9222" max="9222" width="8.3984375" style="1605" customWidth="1"/>
    <col min="9223" max="9223" width="7.8984375" style="1605" customWidth="1"/>
    <col min="9224" max="9224" width="10.8984375" style="1605" customWidth="1"/>
    <col min="9225" max="9225" width="8.19921875" style="1605" customWidth="1"/>
    <col min="9226" max="9226" width="11.8984375" style="1605" customWidth="1"/>
    <col min="9227" max="9472" width="9.3984375" style="1605"/>
    <col min="9473" max="9473" width="5.19921875" style="1605" customWidth="1"/>
    <col min="9474" max="9474" width="41.59765625" style="1605" customWidth="1"/>
    <col min="9475" max="9476" width="9.8984375" style="1605" customWidth="1"/>
    <col min="9477" max="9477" width="8.19921875" style="1605" customWidth="1"/>
    <col min="9478" max="9478" width="8.3984375" style="1605" customWidth="1"/>
    <col min="9479" max="9479" width="7.8984375" style="1605" customWidth="1"/>
    <col min="9480" max="9480" width="10.8984375" style="1605" customWidth="1"/>
    <col min="9481" max="9481" width="8.19921875" style="1605" customWidth="1"/>
    <col min="9482" max="9482" width="11.8984375" style="1605" customWidth="1"/>
    <col min="9483" max="9728" width="9.3984375" style="1605"/>
    <col min="9729" max="9729" width="5.19921875" style="1605" customWidth="1"/>
    <col min="9730" max="9730" width="41.59765625" style="1605" customWidth="1"/>
    <col min="9731" max="9732" width="9.8984375" style="1605" customWidth="1"/>
    <col min="9733" max="9733" width="8.19921875" style="1605" customWidth="1"/>
    <col min="9734" max="9734" width="8.3984375" style="1605" customWidth="1"/>
    <col min="9735" max="9735" width="7.8984375" style="1605" customWidth="1"/>
    <col min="9736" max="9736" width="10.8984375" style="1605" customWidth="1"/>
    <col min="9737" max="9737" width="8.19921875" style="1605" customWidth="1"/>
    <col min="9738" max="9738" width="11.8984375" style="1605" customWidth="1"/>
    <col min="9739" max="9984" width="9.3984375" style="1605"/>
    <col min="9985" max="9985" width="5.19921875" style="1605" customWidth="1"/>
    <col min="9986" max="9986" width="41.59765625" style="1605" customWidth="1"/>
    <col min="9987" max="9988" width="9.8984375" style="1605" customWidth="1"/>
    <col min="9989" max="9989" width="8.19921875" style="1605" customWidth="1"/>
    <col min="9990" max="9990" width="8.3984375" style="1605" customWidth="1"/>
    <col min="9991" max="9991" width="7.8984375" style="1605" customWidth="1"/>
    <col min="9992" max="9992" width="10.8984375" style="1605" customWidth="1"/>
    <col min="9993" max="9993" width="8.19921875" style="1605" customWidth="1"/>
    <col min="9994" max="9994" width="11.8984375" style="1605" customWidth="1"/>
    <col min="9995" max="10240" width="9.3984375" style="1605"/>
    <col min="10241" max="10241" width="5.19921875" style="1605" customWidth="1"/>
    <col min="10242" max="10242" width="41.59765625" style="1605" customWidth="1"/>
    <col min="10243" max="10244" width="9.8984375" style="1605" customWidth="1"/>
    <col min="10245" max="10245" width="8.19921875" style="1605" customWidth="1"/>
    <col min="10246" max="10246" width="8.3984375" style="1605" customWidth="1"/>
    <col min="10247" max="10247" width="7.8984375" style="1605" customWidth="1"/>
    <col min="10248" max="10248" width="10.8984375" style="1605" customWidth="1"/>
    <col min="10249" max="10249" width="8.19921875" style="1605" customWidth="1"/>
    <col min="10250" max="10250" width="11.8984375" style="1605" customWidth="1"/>
    <col min="10251" max="10496" width="9.3984375" style="1605"/>
    <col min="10497" max="10497" width="5.19921875" style="1605" customWidth="1"/>
    <col min="10498" max="10498" width="41.59765625" style="1605" customWidth="1"/>
    <col min="10499" max="10500" width="9.8984375" style="1605" customWidth="1"/>
    <col min="10501" max="10501" width="8.19921875" style="1605" customWidth="1"/>
    <col min="10502" max="10502" width="8.3984375" style="1605" customWidth="1"/>
    <col min="10503" max="10503" width="7.8984375" style="1605" customWidth="1"/>
    <col min="10504" max="10504" width="10.8984375" style="1605" customWidth="1"/>
    <col min="10505" max="10505" width="8.19921875" style="1605" customWidth="1"/>
    <col min="10506" max="10506" width="11.8984375" style="1605" customWidth="1"/>
    <col min="10507" max="10752" width="9.3984375" style="1605"/>
    <col min="10753" max="10753" width="5.19921875" style="1605" customWidth="1"/>
    <col min="10754" max="10754" width="41.59765625" style="1605" customWidth="1"/>
    <col min="10755" max="10756" width="9.8984375" style="1605" customWidth="1"/>
    <col min="10757" max="10757" width="8.19921875" style="1605" customWidth="1"/>
    <col min="10758" max="10758" width="8.3984375" style="1605" customWidth="1"/>
    <col min="10759" max="10759" width="7.8984375" style="1605" customWidth="1"/>
    <col min="10760" max="10760" width="10.8984375" style="1605" customWidth="1"/>
    <col min="10761" max="10761" width="8.19921875" style="1605" customWidth="1"/>
    <col min="10762" max="10762" width="11.8984375" style="1605" customWidth="1"/>
    <col min="10763" max="11008" width="9.3984375" style="1605"/>
    <col min="11009" max="11009" width="5.19921875" style="1605" customWidth="1"/>
    <col min="11010" max="11010" width="41.59765625" style="1605" customWidth="1"/>
    <col min="11011" max="11012" width="9.8984375" style="1605" customWidth="1"/>
    <col min="11013" max="11013" width="8.19921875" style="1605" customWidth="1"/>
    <col min="11014" max="11014" width="8.3984375" style="1605" customWidth="1"/>
    <col min="11015" max="11015" width="7.8984375" style="1605" customWidth="1"/>
    <col min="11016" max="11016" width="10.8984375" style="1605" customWidth="1"/>
    <col min="11017" max="11017" width="8.19921875" style="1605" customWidth="1"/>
    <col min="11018" max="11018" width="11.8984375" style="1605" customWidth="1"/>
    <col min="11019" max="11264" width="9.3984375" style="1605"/>
    <col min="11265" max="11265" width="5.19921875" style="1605" customWidth="1"/>
    <col min="11266" max="11266" width="41.59765625" style="1605" customWidth="1"/>
    <col min="11267" max="11268" width="9.8984375" style="1605" customWidth="1"/>
    <col min="11269" max="11269" width="8.19921875" style="1605" customWidth="1"/>
    <col min="11270" max="11270" width="8.3984375" style="1605" customWidth="1"/>
    <col min="11271" max="11271" width="7.8984375" style="1605" customWidth="1"/>
    <col min="11272" max="11272" width="10.8984375" style="1605" customWidth="1"/>
    <col min="11273" max="11273" width="8.19921875" style="1605" customWidth="1"/>
    <col min="11274" max="11274" width="11.8984375" style="1605" customWidth="1"/>
    <col min="11275" max="11520" width="9.3984375" style="1605"/>
    <col min="11521" max="11521" width="5.19921875" style="1605" customWidth="1"/>
    <col min="11522" max="11522" width="41.59765625" style="1605" customWidth="1"/>
    <col min="11523" max="11524" width="9.8984375" style="1605" customWidth="1"/>
    <col min="11525" max="11525" width="8.19921875" style="1605" customWidth="1"/>
    <col min="11526" max="11526" width="8.3984375" style="1605" customWidth="1"/>
    <col min="11527" max="11527" width="7.8984375" style="1605" customWidth="1"/>
    <col min="11528" max="11528" width="10.8984375" style="1605" customWidth="1"/>
    <col min="11529" max="11529" width="8.19921875" style="1605" customWidth="1"/>
    <col min="11530" max="11530" width="11.8984375" style="1605" customWidth="1"/>
    <col min="11531" max="11776" width="9.3984375" style="1605"/>
    <col min="11777" max="11777" width="5.19921875" style="1605" customWidth="1"/>
    <col min="11778" max="11778" width="41.59765625" style="1605" customWidth="1"/>
    <col min="11779" max="11780" width="9.8984375" style="1605" customWidth="1"/>
    <col min="11781" max="11781" width="8.19921875" style="1605" customWidth="1"/>
    <col min="11782" max="11782" width="8.3984375" style="1605" customWidth="1"/>
    <col min="11783" max="11783" width="7.8984375" style="1605" customWidth="1"/>
    <col min="11784" max="11784" width="10.8984375" style="1605" customWidth="1"/>
    <col min="11785" max="11785" width="8.19921875" style="1605" customWidth="1"/>
    <col min="11786" max="11786" width="11.8984375" style="1605" customWidth="1"/>
    <col min="11787" max="12032" width="9.3984375" style="1605"/>
    <col min="12033" max="12033" width="5.19921875" style="1605" customWidth="1"/>
    <col min="12034" max="12034" width="41.59765625" style="1605" customWidth="1"/>
    <col min="12035" max="12036" width="9.8984375" style="1605" customWidth="1"/>
    <col min="12037" max="12037" width="8.19921875" style="1605" customWidth="1"/>
    <col min="12038" max="12038" width="8.3984375" style="1605" customWidth="1"/>
    <col min="12039" max="12039" width="7.8984375" style="1605" customWidth="1"/>
    <col min="12040" max="12040" width="10.8984375" style="1605" customWidth="1"/>
    <col min="12041" max="12041" width="8.19921875" style="1605" customWidth="1"/>
    <col min="12042" max="12042" width="11.8984375" style="1605" customWidth="1"/>
    <col min="12043" max="12288" width="9.3984375" style="1605"/>
    <col min="12289" max="12289" width="5.19921875" style="1605" customWidth="1"/>
    <col min="12290" max="12290" width="41.59765625" style="1605" customWidth="1"/>
    <col min="12291" max="12292" width="9.8984375" style="1605" customWidth="1"/>
    <col min="12293" max="12293" width="8.19921875" style="1605" customWidth="1"/>
    <col min="12294" max="12294" width="8.3984375" style="1605" customWidth="1"/>
    <col min="12295" max="12295" width="7.8984375" style="1605" customWidth="1"/>
    <col min="12296" max="12296" width="10.8984375" style="1605" customWidth="1"/>
    <col min="12297" max="12297" width="8.19921875" style="1605" customWidth="1"/>
    <col min="12298" max="12298" width="11.8984375" style="1605" customWidth="1"/>
    <col min="12299" max="12544" width="9.3984375" style="1605"/>
    <col min="12545" max="12545" width="5.19921875" style="1605" customWidth="1"/>
    <col min="12546" max="12546" width="41.59765625" style="1605" customWidth="1"/>
    <col min="12547" max="12548" width="9.8984375" style="1605" customWidth="1"/>
    <col min="12549" max="12549" width="8.19921875" style="1605" customWidth="1"/>
    <col min="12550" max="12550" width="8.3984375" style="1605" customWidth="1"/>
    <col min="12551" max="12551" width="7.8984375" style="1605" customWidth="1"/>
    <col min="12552" max="12552" width="10.8984375" style="1605" customWidth="1"/>
    <col min="12553" max="12553" width="8.19921875" style="1605" customWidth="1"/>
    <col min="12554" max="12554" width="11.8984375" style="1605" customWidth="1"/>
    <col min="12555" max="12800" width="9.3984375" style="1605"/>
    <col min="12801" max="12801" width="5.19921875" style="1605" customWidth="1"/>
    <col min="12802" max="12802" width="41.59765625" style="1605" customWidth="1"/>
    <col min="12803" max="12804" width="9.8984375" style="1605" customWidth="1"/>
    <col min="12805" max="12805" width="8.19921875" style="1605" customWidth="1"/>
    <col min="12806" max="12806" width="8.3984375" style="1605" customWidth="1"/>
    <col min="12807" max="12807" width="7.8984375" style="1605" customWidth="1"/>
    <col min="12808" max="12808" width="10.8984375" style="1605" customWidth="1"/>
    <col min="12809" max="12809" width="8.19921875" style="1605" customWidth="1"/>
    <col min="12810" max="12810" width="11.8984375" style="1605" customWidth="1"/>
    <col min="12811" max="13056" width="9.3984375" style="1605"/>
    <col min="13057" max="13057" width="5.19921875" style="1605" customWidth="1"/>
    <col min="13058" max="13058" width="41.59765625" style="1605" customWidth="1"/>
    <col min="13059" max="13060" width="9.8984375" style="1605" customWidth="1"/>
    <col min="13061" max="13061" width="8.19921875" style="1605" customWidth="1"/>
    <col min="13062" max="13062" width="8.3984375" style="1605" customWidth="1"/>
    <col min="13063" max="13063" width="7.8984375" style="1605" customWidth="1"/>
    <col min="13064" max="13064" width="10.8984375" style="1605" customWidth="1"/>
    <col min="13065" max="13065" width="8.19921875" style="1605" customWidth="1"/>
    <col min="13066" max="13066" width="11.8984375" style="1605" customWidth="1"/>
    <col min="13067" max="13312" width="9.3984375" style="1605"/>
    <col min="13313" max="13313" width="5.19921875" style="1605" customWidth="1"/>
    <col min="13314" max="13314" width="41.59765625" style="1605" customWidth="1"/>
    <col min="13315" max="13316" width="9.8984375" style="1605" customWidth="1"/>
    <col min="13317" max="13317" width="8.19921875" style="1605" customWidth="1"/>
    <col min="13318" max="13318" width="8.3984375" style="1605" customWidth="1"/>
    <col min="13319" max="13319" width="7.8984375" style="1605" customWidth="1"/>
    <col min="13320" max="13320" width="10.8984375" style="1605" customWidth="1"/>
    <col min="13321" max="13321" width="8.19921875" style="1605" customWidth="1"/>
    <col min="13322" max="13322" width="11.8984375" style="1605" customWidth="1"/>
    <col min="13323" max="13568" width="9.3984375" style="1605"/>
    <col min="13569" max="13569" width="5.19921875" style="1605" customWidth="1"/>
    <col min="13570" max="13570" width="41.59765625" style="1605" customWidth="1"/>
    <col min="13571" max="13572" width="9.8984375" style="1605" customWidth="1"/>
    <col min="13573" max="13573" width="8.19921875" style="1605" customWidth="1"/>
    <col min="13574" max="13574" width="8.3984375" style="1605" customWidth="1"/>
    <col min="13575" max="13575" width="7.8984375" style="1605" customWidth="1"/>
    <col min="13576" max="13576" width="10.8984375" style="1605" customWidth="1"/>
    <col min="13577" max="13577" width="8.19921875" style="1605" customWidth="1"/>
    <col min="13578" max="13578" width="11.8984375" style="1605" customWidth="1"/>
    <col min="13579" max="13824" width="9.3984375" style="1605"/>
    <col min="13825" max="13825" width="5.19921875" style="1605" customWidth="1"/>
    <col min="13826" max="13826" width="41.59765625" style="1605" customWidth="1"/>
    <col min="13827" max="13828" width="9.8984375" style="1605" customWidth="1"/>
    <col min="13829" max="13829" width="8.19921875" style="1605" customWidth="1"/>
    <col min="13830" max="13830" width="8.3984375" style="1605" customWidth="1"/>
    <col min="13831" max="13831" width="7.8984375" style="1605" customWidth="1"/>
    <col min="13832" max="13832" width="10.8984375" style="1605" customWidth="1"/>
    <col min="13833" max="13833" width="8.19921875" style="1605" customWidth="1"/>
    <col min="13834" max="13834" width="11.8984375" style="1605" customWidth="1"/>
    <col min="13835" max="14080" width="9.3984375" style="1605"/>
    <col min="14081" max="14081" width="5.19921875" style="1605" customWidth="1"/>
    <col min="14082" max="14082" width="41.59765625" style="1605" customWidth="1"/>
    <col min="14083" max="14084" width="9.8984375" style="1605" customWidth="1"/>
    <col min="14085" max="14085" width="8.19921875" style="1605" customWidth="1"/>
    <col min="14086" max="14086" width="8.3984375" style="1605" customWidth="1"/>
    <col min="14087" max="14087" width="7.8984375" style="1605" customWidth="1"/>
    <col min="14088" max="14088" width="10.8984375" style="1605" customWidth="1"/>
    <col min="14089" max="14089" width="8.19921875" style="1605" customWidth="1"/>
    <col min="14090" max="14090" width="11.8984375" style="1605" customWidth="1"/>
    <col min="14091" max="14336" width="9.3984375" style="1605"/>
    <col min="14337" max="14337" width="5.19921875" style="1605" customWidth="1"/>
    <col min="14338" max="14338" width="41.59765625" style="1605" customWidth="1"/>
    <col min="14339" max="14340" width="9.8984375" style="1605" customWidth="1"/>
    <col min="14341" max="14341" width="8.19921875" style="1605" customWidth="1"/>
    <col min="14342" max="14342" width="8.3984375" style="1605" customWidth="1"/>
    <col min="14343" max="14343" width="7.8984375" style="1605" customWidth="1"/>
    <col min="14344" max="14344" width="10.8984375" style="1605" customWidth="1"/>
    <col min="14345" max="14345" width="8.19921875" style="1605" customWidth="1"/>
    <col min="14346" max="14346" width="11.8984375" style="1605" customWidth="1"/>
    <col min="14347" max="14592" width="9.3984375" style="1605"/>
    <col min="14593" max="14593" width="5.19921875" style="1605" customWidth="1"/>
    <col min="14594" max="14594" width="41.59765625" style="1605" customWidth="1"/>
    <col min="14595" max="14596" width="9.8984375" style="1605" customWidth="1"/>
    <col min="14597" max="14597" width="8.19921875" style="1605" customWidth="1"/>
    <col min="14598" max="14598" width="8.3984375" style="1605" customWidth="1"/>
    <col min="14599" max="14599" width="7.8984375" style="1605" customWidth="1"/>
    <col min="14600" max="14600" width="10.8984375" style="1605" customWidth="1"/>
    <col min="14601" max="14601" width="8.19921875" style="1605" customWidth="1"/>
    <col min="14602" max="14602" width="11.8984375" style="1605" customWidth="1"/>
    <col min="14603" max="14848" width="9.3984375" style="1605"/>
    <col min="14849" max="14849" width="5.19921875" style="1605" customWidth="1"/>
    <col min="14850" max="14850" width="41.59765625" style="1605" customWidth="1"/>
    <col min="14851" max="14852" width="9.8984375" style="1605" customWidth="1"/>
    <col min="14853" max="14853" width="8.19921875" style="1605" customWidth="1"/>
    <col min="14854" max="14854" width="8.3984375" style="1605" customWidth="1"/>
    <col min="14855" max="14855" width="7.8984375" style="1605" customWidth="1"/>
    <col min="14856" max="14856" width="10.8984375" style="1605" customWidth="1"/>
    <col min="14857" max="14857" width="8.19921875" style="1605" customWidth="1"/>
    <col min="14858" max="14858" width="11.8984375" style="1605" customWidth="1"/>
    <col min="14859" max="15104" width="9.3984375" style="1605"/>
    <col min="15105" max="15105" width="5.19921875" style="1605" customWidth="1"/>
    <col min="15106" max="15106" width="41.59765625" style="1605" customWidth="1"/>
    <col min="15107" max="15108" width="9.8984375" style="1605" customWidth="1"/>
    <col min="15109" max="15109" width="8.19921875" style="1605" customWidth="1"/>
    <col min="15110" max="15110" width="8.3984375" style="1605" customWidth="1"/>
    <col min="15111" max="15111" width="7.8984375" style="1605" customWidth="1"/>
    <col min="15112" max="15112" width="10.8984375" style="1605" customWidth="1"/>
    <col min="15113" max="15113" width="8.19921875" style="1605" customWidth="1"/>
    <col min="15114" max="15114" width="11.8984375" style="1605" customWidth="1"/>
    <col min="15115" max="15360" width="9.3984375" style="1605"/>
    <col min="15361" max="15361" width="5.19921875" style="1605" customWidth="1"/>
    <col min="15362" max="15362" width="41.59765625" style="1605" customWidth="1"/>
    <col min="15363" max="15364" width="9.8984375" style="1605" customWidth="1"/>
    <col min="15365" max="15365" width="8.19921875" style="1605" customWidth="1"/>
    <col min="15366" max="15366" width="8.3984375" style="1605" customWidth="1"/>
    <col min="15367" max="15367" width="7.8984375" style="1605" customWidth="1"/>
    <col min="15368" max="15368" width="10.8984375" style="1605" customWidth="1"/>
    <col min="15369" max="15369" width="8.19921875" style="1605" customWidth="1"/>
    <col min="15370" max="15370" width="11.8984375" style="1605" customWidth="1"/>
    <col min="15371" max="15616" width="9.3984375" style="1605"/>
    <col min="15617" max="15617" width="5.19921875" style="1605" customWidth="1"/>
    <col min="15618" max="15618" width="41.59765625" style="1605" customWidth="1"/>
    <col min="15619" max="15620" width="9.8984375" style="1605" customWidth="1"/>
    <col min="15621" max="15621" width="8.19921875" style="1605" customWidth="1"/>
    <col min="15622" max="15622" width="8.3984375" style="1605" customWidth="1"/>
    <col min="15623" max="15623" width="7.8984375" style="1605" customWidth="1"/>
    <col min="15624" max="15624" width="10.8984375" style="1605" customWidth="1"/>
    <col min="15625" max="15625" width="8.19921875" style="1605" customWidth="1"/>
    <col min="15626" max="15626" width="11.8984375" style="1605" customWidth="1"/>
    <col min="15627" max="15872" width="9.3984375" style="1605"/>
    <col min="15873" max="15873" width="5.19921875" style="1605" customWidth="1"/>
    <col min="15874" max="15874" width="41.59765625" style="1605" customWidth="1"/>
    <col min="15875" max="15876" width="9.8984375" style="1605" customWidth="1"/>
    <col min="15877" max="15877" width="8.19921875" style="1605" customWidth="1"/>
    <col min="15878" max="15878" width="8.3984375" style="1605" customWidth="1"/>
    <col min="15879" max="15879" width="7.8984375" style="1605" customWidth="1"/>
    <col min="15880" max="15880" width="10.8984375" style="1605" customWidth="1"/>
    <col min="15881" max="15881" width="8.19921875" style="1605" customWidth="1"/>
    <col min="15882" max="15882" width="11.8984375" style="1605" customWidth="1"/>
    <col min="15883" max="16128" width="9.3984375" style="1605"/>
    <col min="16129" max="16129" width="5.19921875" style="1605" customWidth="1"/>
    <col min="16130" max="16130" width="41.59765625" style="1605" customWidth="1"/>
    <col min="16131" max="16132" width="9.8984375" style="1605" customWidth="1"/>
    <col min="16133" max="16133" width="8.19921875" style="1605" customWidth="1"/>
    <col min="16134" max="16134" width="8.3984375" style="1605" customWidth="1"/>
    <col min="16135" max="16135" width="7.8984375" style="1605" customWidth="1"/>
    <col min="16136" max="16136" width="10.8984375" style="1605" customWidth="1"/>
    <col min="16137" max="16137" width="8.19921875" style="1605" customWidth="1"/>
    <col min="16138" max="16138" width="11.8984375" style="1605" customWidth="1"/>
    <col min="16139" max="16384" width="9.3984375" style="1605"/>
  </cols>
  <sheetData>
    <row r="1" spans="1:12" s="1583" customFormat="1" ht="20.100000000000001" customHeight="1">
      <c r="A1" s="3400" t="s">
        <v>5609</v>
      </c>
      <c r="B1" s="3400"/>
      <c r="C1" s="3400"/>
      <c r="D1" s="3400"/>
      <c r="E1" s="3400"/>
      <c r="F1" s="3400"/>
      <c r="G1" s="3400"/>
      <c r="H1" s="3400"/>
      <c r="I1" s="3400"/>
      <c r="J1" s="2021"/>
    </row>
    <row r="2" spans="1:12" s="1589" customFormat="1" ht="25.5" customHeight="1">
      <c r="A2" s="3401" t="s">
        <v>5610</v>
      </c>
      <c r="B2" s="3401"/>
      <c r="C2" s="3401"/>
      <c r="D2" s="3401"/>
      <c r="E2" s="3401"/>
      <c r="F2" s="3401"/>
      <c r="G2" s="3401"/>
      <c r="H2" s="3401"/>
      <c r="I2" s="3401"/>
      <c r="J2" s="1865"/>
    </row>
    <row r="3" spans="1:12" s="1603" customFormat="1" ht="28.5" customHeight="1">
      <c r="A3" s="3402" t="s">
        <v>1853</v>
      </c>
      <c r="B3" s="3405" t="s">
        <v>4973</v>
      </c>
      <c r="C3" s="1863" t="s">
        <v>5611</v>
      </c>
      <c r="D3" s="1863" t="s">
        <v>5612</v>
      </c>
      <c r="E3" s="1863" t="s">
        <v>5613</v>
      </c>
      <c r="F3" s="1863" t="s">
        <v>5614</v>
      </c>
      <c r="G3" s="1863" t="s">
        <v>1522</v>
      </c>
      <c r="H3" s="1837" t="s">
        <v>5615</v>
      </c>
      <c r="I3" s="1863" t="s">
        <v>5616</v>
      </c>
      <c r="J3" s="1863" t="s">
        <v>4899</v>
      </c>
    </row>
    <row r="4" spans="1:12" s="1603" customFormat="1" ht="12.75" customHeight="1">
      <c r="A4" s="3404"/>
      <c r="B4" s="3406"/>
      <c r="C4" s="1835">
        <v>1</v>
      </c>
      <c r="D4" s="1835">
        <v>2</v>
      </c>
      <c r="E4" s="1835">
        <v>3</v>
      </c>
      <c r="F4" s="1835">
        <v>4</v>
      </c>
      <c r="G4" s="1835">
        <v>5</v>
      </c>
      <c r="H4" s="1835" t="s">
        <v>5617</v>
      </c>
      <c r="I4" s="1835">
        <v>7</v>
      </c>
      <c r="J4" s="1836"/>
      <c r="L4" s="1604"/>
    </row>
    <row r="5" spans="1:12" s="1603" customFormat="1" ht="12.75" customHeight="1">
      <c r="A5" s="1835">
        <v>1</v>
      </c>
      <c r="B5" s="1839" t="s">
        <v>5618</v>
      </c>
      <c r="C5" s="2072">
        <f>所得减免优惠审核表!C5</f>
        <v>0</v>
      </c>
      <c r="D5" s="2072">
        <f>所得减免优惠审核表!D5</f>
        <v>0</v>
      </c>
      <c r="E5" s="2072">
        <f>所得减免优惠审核表!E5</f>
        <v>0</v>
      </c>
      <c r="F5" s="2072">
        <f>所得减免优惠审核表!F5</f>
        <v>0</v>
      </c>
      <c r="G5" s="2072">
        <f>所得减免优惠审核表!G5</f>
        <v>0</v>
      </c>
      <c r="H5" s="2072">
        <f>所得减免优惠审核表!H5</f>
        <v>0</v>
      </c>
      <c r="I5" s="2072">
        <f>所得减免优惠审核表!I5</f>
        <v>0</v>
      </c>
      <c r="J5" s="1836"/>
    </row>
    <row r="6" spans="1:12" s="1603" customFormat="1" ht="12.75" customHeight="1">
      <c r="A6" s="1835">
        <v>2</v>
      </c>
      <c r="B6" s="1839" t="s">
        <v>5619</v>
      </c>
      <c r="C6" s="2072">
        <f>所得减免优惠审核表!C6</f>
        <v>0</v>
      </c>
      <c r="D6" s="2072">
        <f>所得减免优惠审核表!D6</f>
        <v>0</v>
      </c>
      <c r="E6" s="2072">
        <f>所得减免优惠审核表!E6</f>
        <v>0</v>
      </c>
      <c r="F6" s="2072">
        <f>所得减免优惠审核表!F6</f>
        <v>0</v>
      </c>
      <c r="G6" s="2072">
        <f>所得减免优惠审核表!G6</f>
        <v>0</v>
      </c>
      <c r="H6" s="2072">
        <f>所得减免优惠审核表!H6</f>
        <v>0</v>
      </c>
      <c r="I6" s="2072">
        <f>所得减免优惠审核表!I6</f>
        <v>0</v>
      </c>
      <c r="J6" s="1836"/>
    </row>
    <row r="7" spans="1:12" s="1603" customFormat="1" ht="25.5" customHeight="1">
      <c r="A7" s="1837">
        <v>3</v>
      </c>
      <c r="B7" s="1838" t="s">
        <v>5620</v>
      </c>
      <c r="C7" s="2072">
        <f>所得减免优惠审核表!C7</f>
        <v>0</v>
      </c>
      <c r="D7" s="2072">
        <f>所得减免优惠审核表!D7</f>
        <v>0</v>
      </c>
      <c r="E7" s="2072">
        <f>所得减免优惠审核表!E7</f>
        <v>0</v>
      </c>
      <c r="F7" s="2072">
        <f>所得减免优惠审核表!F7</f>
        <v>0</v>
      </c>
      <c r="G7" s="2072">
        <f>所得减免优惠审核表!G7</f>
        <v>0</v>
      </c>
      <c r="H7" s="2072">
        <f>所得减免优惠审核表!H7</f>
        <v>0</v>
      </c>
      <c r="I7" s="2072">
        <f>所得减免优惠审核表!I7</f>
        <v>0</v>
      </c>
      <c r="J7" s="1981"/>
    </row>
    <row r="8" spans="1:12" s="1603" customFormat="1" ht="12.75" customHeight="1">
      <c r="A8" s="1835">
        <v>4</v>
      </c>
      <c r="B8" s="1839" t="s">
        <v>5621</v>
      </c>
      <c r="C8" s="2072">
        <f>所得减免优惠审核表!C8</f>
        <v>0</v>
      </c>
      <c r="D8" s="2072">
        <f>所得减免优惠审核表!D8</f>
        <v>0</v>
      </c>
      <c r="E8" s="2072">
        <f>所得减免优惠审核表!E8</f>
        <v>0</v>
      </c>
      <c r="F8" s="2072">
        <f>所得减免优惠审核表!F8</f>
        <v>0</v>
      </c>
      <c r="G8" s="2072">
        <f>所得减免优惠审核表!G8</f>
        <v>0</v>
      </c>
      <c r="H8" s="2072">
        <f>所得减免优惠审核表!H8</f>
        <v>0</v>
      </c>
      <c r="I8" s="2072">
        <f>所得减免优惠审核表!I8</f>
        <v>0</v>
      </c>
      <c r="J8" s="1836"/>
    </row>
    <row r="9" spans="1:12" s="1603" customFormat="1" ht="12.75" customHeight="1">
      <c r="A9" s="1835">
        <v>5</v>
      </c>
      <c r="B9" s="1839" t="s">
        <v>5622</v>
      </c>
      <c r="C9" s="2072">
        <f>所得减免优惠审核表!C9</f>
        <v>0</v>
      </c>
      <c r="D9" s="2072">
        <f>所得减免优惠审核表!D9</f>
        <v>0</v>
      </c>
      <c r="E9" s="2072">
        <f>所得减免优惠审核表!E9</f>
        <v>0</v>
      </c>
      <c r="F9" s="2072">
        <f>所得减免优惠审核表!F9</f>
        <v>0</v>
      </c>
      <c r="G9" s="2072">
        <f>所得减免优惠审核表!G9</f>
        <v>0</v>
      </c>
      <c r="H9" s="2072">
        <f>所得减免优惠审核表!H9</f>
        <v>0</v>
      </c>
      <c r="I9" s="2072">
        <f>所得减免优惠审核表!I9</f>
        <v>0</v>
      </c>
      <c r="J9" s="1836"/>
    </row>
    <row r="10" spans="1:12" s="1603" customFormat="1" ht="12.75" customHeight="1">
      <c r="A10" s="1835">
        <v>6</v>
      </c>
      <c r="B10" s="1839" t="s">
        <v>5623</v>
      </c>
      <c r="C10" s="2072">
        <f>所得减免优惠审核表!C10</f>
        <v>0</v>
      </c>
      <c r="D10" s="2072">
        <f>所得减免优惠审核表!D10</f>
        <v>0</v>
      </c>
      <c r="E10" s="2072">
        <f>所得减免优惠审核表!E10</f>
        <v>0</v>
      </c>
      <c r="F10" s="2072">
        <f>所得减免优惠审核表!F10</f>
        <v>0</v>
      </c>
      <c r="G10" s="2072">
        <f>所得减免优惠审核表!G10</f>
        <v>0</v>
      </c>
      <c r="H10" s="2072">
        <f>所得减免优惠审核表!H10</f>
        <v>0</v>
      </c>
      <c r="I10" s="2072">
        <f>所得减免优惠审核表!I10</f>
        <v>0</v>
      </c>
      <c r="J10" s="1836"/>
    </row>
    <row r="11" spans="1:12" s="1603" customFormat="1" ht="12.75" customHeight="1">
      <c r="A11" s="1835">
        <v>7</v>
      </c>
      <c r="B11" s="1839" t="s">
        <v>5624</v>
      </c>
      <c r="C11" s="2072">
        <f>所得减免优惠审核表!C11</f>
        <v>0</v>
      </c>
      <c r="D11" s="2072">
        <f>所得减免优惠审核表!D11</f>
        <v>0</v>
      </c>
      <c r="E11" s="2072">
        <f>所得减免优惠审核表!E11</f>
        <v>0</v>
      </c>
      <c r="F11" s="2072">
        <f>所得减免优惠审核表!F11</f>
        <v>0</v>
      </c>
      <c r="G11" s="2072">
        <f>所得减免优惠审核表!G11</f>
        <v>0</v>
      </c>
      <c r="H11" s="2072">
        <f>所得减免优惠审核表!H11</f>
        <v>0</v>
      </c>
      <c r="I11" s="2072">
        <f>所得减免优惠审核表!I11</f>
        <v>0</v>
      </c>
      <c r="J11" s="1836"/>
      <c r="K11" s="1770" t="s">
        <v>6465</v>
      </c>
    </row>
    <row r="12" spans="1:12" s="1603" customFormat="1" ht="12.75" customHeight="1">
      <c r="A12" s="1835">
        <v>8</v>
      </c>
      <c r="B12" s="1839" t="s">
        <v>5625</v>
      </c>
      <c r="C12" s="2072">
        <f>所得减免优惠审核表!C12</f>
        <v>0</v>
      </c>
      <c r="D12" s="2072">
        <f>所得减免优惠审核表!D12</f>
        <v>0</v>
      </c>
      <c r="E12" s="2072">
        <f>所得减免优惠审核表!E12</f>
        <v>0</v>
      </c>
      <c r="F12" s="2072">
        <f>所得减免优惠审核表!F12</f>
        <v>0</v>
      </c>
      <c r="G12" s="2072">
        <f>所得减免优惠审核表!G12</f>
        <v>0</v>
      </c>
      <c r="H12" s="2072">
        <f>所得减免优惠审核表!H12</f>
        <v>0</v>
      </c>
      <c r="I12" s="2072">
        <f>所得减免优惠审核表!I12</f>
        <v>0</v>
      </c>
      <c r="J12" s="1836"/>
    </row>
    <row r="13" spans="1:12" s="1603" customFormat="1" ht="28.5" customHeight="1">
      <c r="A13" s="1837">
        <v>9</v>
      </c>
      <c r="B13" s="1838" t="s">
        <v>5626</v>
      </c>
      <c r="C13" s="2072">
        <f>所得减免优惠审核表!C13</f>
        <v>0</v>
      </c>
      <c r="D13" s="2072">
        <f>所得减免优惠审核表!D13</f>
        <v>0</v>
      </c>
      <c r="E13" s="2072">
        <f>所得减免优惠审核表!E13</f>
        <v>0</v>
      </c>
      <c r="F13" s="2072">
        <f>所得减免优惠审核表!F13</f>
        <v>0</v>
      </c>
      <c r="G13" s="2072">
        <f>所得减免优惠审核表!G13</f>
        <v>0</v>
      </c>
      <c r="H13" s="2072">
        <f>所得减免优惠审核表!H13</f>
        <v>0</v>
      </c>
      <c r="I13" s="2072">
        <f>所得减免优惠审核表!I13</f>
        <v>0</v>
      </c>
      <c r="J13" s="1981"/>
    </row>
    <row r="14" spans="1:12" s="1603" customFormat="1" ht="12.75" customHeight="1">
      <c r="A14" s="1835">
        <v>10</v>
      </c>
      <c r="B14" s="1839" t="s">
        <v>5627</v>
      </c>
      <c r="C14" s="2072">
        <f>所得减免优惠审核表!C14</f>
        <v>0</v>
      </c>
      <c r="D14" s="2072">
        <f>所得减免优惠审核表!D14</f>
        <v>0</v>
      </c>
      <c r="E14" s="2072">
        <f>所得减免优惠审核表!E14</f>
        <v>0</v>
      </c>
      <c r="F14" s="2072">
        <f>所得减免优惠审核表!F14</f>
        <v>0</v>
      </c>
      <c r="G14" s="2072">
        <f>所得减免优惠审核表!G14</f>
        <v>0</v>
      </c>
      <c r="H14" s="2072">
        <f>所得减免优惠审核表!H14</f>
        <v>0</v>
      </c>
      <c r="I14" s="2072">
        <f>所得减免优惠审核表!I14</f>
        <v>0</v>
      </c>
      <c r="J14" s="1836"/>
    </row>
    <row r="15" spans="1:12" s="1603" customFormat="1" ht="12.75" customHeight="1">
      <c r="A15" s="1835">
        <v>11</v>
      </c>
      <c r="B15" s="1839" t="s">
        <v>5628</v>
      </c>
      <c r="C15" s="2072">
        <f>所得减免优惠审核表!C15</f>
        <v>0</v>
      </c>
      <c r="D15" s="2072">
        <f>所得减免优惠审核表!D15</f>
        <v>0</v>
      </c>
      <c r="E15" s="2072">
        <f>所得减免优惠审核表!E15</f>
        <v>0</v>
      </c>
      <c r="F15" s="2072">
        <f>所得减免优惠审核表!F15</f>
        <v>0</v>
      </c>
      <c r="G15" s="2072">
        <f>所得减免优惠审核表!G15</f>
        <v>0</v>
      </c>
      <c r="H15" s="2072">
        <f>所得减免优惠审核表!H15</f>
        <v>0</v>
      </c>
      <c r="I15" s="2072">
        <f>所得减免优惠审核表!I15</f>
        <v>0</v>
      </c>
      <c r="J15" s="1836"/>
    </row>
    <row r="16" spans="1:12" s="1603" customFormat="1" ht="12.75" customHeight="1">
      <c r="A16" s="1835">
        <v>12</v>
      </c>
      <c r="B16" s="1839" t="s">
        <v>5503</v>
      </c>
      <c r="C16" s="2072">
        <f>所得减免优惠审核表!C16</f>
        <v>0</v>
      </c>
      <c r="D16" s="2072">
        <f>所得减免优惠审核表!D16</f>
        <v>0</v>
      </c>
      <c r="E16" s="2072">
        <f>所得减免优惠审核表!E16</f>
        <v>0</v>
      </c>
      <c r="F16" s="2072">
        <f>所得减免优惠审核表!F16</f>
        <v>0</v>
      </c>
      <c r="G16" s="2072">
        <f>所得减免优惠审核表!G16</f>
        <v>0</v>
      </c>
      <c r="H16" s="2072">
        <f>所得减免优惠审核表!H16</f>
        <v>0</v>
      </c>
      <c r="I16" s="2072">
        <f>所得减免优惠审核表!I16</f>
        <v>0</v>
      </c>
      <c r="J16" s="1836"/>
    </row>
    <row r="17" spans="1:10" s="1603" customFormat="1" ht="12.75" customHeight="1">
      <c r="A17" s="1835">
        <v>13</v>
      </c>
      <c r="B17" s="1839" t="s">
        <v>5629</v>
      </c>
      <c r="C17" s="2072">
        <f>所得减免优惠审核表!C17</f>
        <v>0</v>
      </c>
      <c r="D17" s="2072">
        <f>所得减免优惠审核表!D17</f>
        <v>0</v>
      </c>
      <c r="E17" s="2072">
        <f>所得减免优惠审核表!E17</f>
        <v>0</v>
      </c>
      <c r="F17" s="2072">
        <f>所得减免优惠审核表!F17</f>
        <v>0</v>
      </c>
      <c r="G17" s="2072">
        <f>所得减免优惠审核表!G17</f>
        <v>0</v>
      </c>
      <c r="H17" s="2072">
        <f>所得减免优惠审核表!H17</f>
        <v>0</v>
      </c>
      <c r="I17" s="2072">
        <f>所得减免优惠审核表!I17</f>
        <v>0</v>
      </c>
      <c r="J17" s="1836"/>
    </row>
    <row r="18" spans="1:10" s="1603" customFormat="1" ht="12.75" customHeight="1">
      <c r="A18" s="1835">
        <v>14</v>
      </c>
      <c r="B18" s="1839" t="s">
        <v>5630</v>
      </c>
      <c r="C18" s="2072">
        <f>所得减免优惠审核表!C18</f>
        <v>0</v>
      </c>
      <c r="D18" s="2072">
        <f>所得减免优惠审核表!D18</f>
        <v>0</v>
      </c>
      <c r="E18" s="2072">
        <f>所得减免优惠审核表!E18</f>
        <v>0</v>
      </c>
      <c r="F18" s="2072">
        <f>所得减免优惠审核表!F18</f>
        <v>0</v>
      </c>
      <c r="G18" s="2072">
        <f>所得减免优惠审核表!G18</f>
        <v>0</v>
      </c>
      <c r="H18" s="2072">
        <f>所得减免优惠审核表!H18</f>
        <v>0</v>
      </c>
      <c r="I18" s="2072">
        <f>所得减免优惠审核表!I18</f>
        <v>0</v>
      </c>
      <c r="J18" s="1836"/>
    </row>
    <row r="19" spans="1:10" s="1603" customFormat="1" ht="12.75" customHeight="1">
      <c r="A19" s="1835">
        <v>15</v>
      </c>
      <c r="B19" s="1839" t="s">
        <v>5631</v>
      </c>
      <c r="C19" s="2072">
        <f>所得减免优惠审核表!C19</f>
        <v>0</v>
      </c>
      <c r="D19" s="2072">
        <f>所得减免优惠审核表!D19</f>
        <v>0</v>
      </c>
      <c r="E19" s="2072">
        <f>所得减免优惠审核表!E19</f>
        <v>0</v>
      </c>
      <c r="F19" s="2072">
        <f>所得减免优惠审核表!F19</f>
        <v>0</v>
      </c>
      <c r="G19" s="2072">
        <f>所得减免优惠审核表!G19</f>
        <v>0</v>
      </c>
      <c r="H19" s="2072">
        <f>所得减免优惠审核表!H19</f>
        <v>0</v>
      </c>
      <c r="I19" s="2072">
        <f>所得减免优惠审核表!I19</f>
        <v>0</v>
      </c>
      <c r="J19" s="1836"/>
    </row>
    <row r="20" spans="1:10" s="1603" customFormat="1" ht="12.75" customHeight="1">
      <c r="A20" s="1835">
        <v>16</v>
      </c>
      <c r="B20" s="1839" t="s">
        <v>5511</v>
      </c>
      <c r="C20" s="2072">
        <f>所得减免优惠审核表!C20</f>
        <v>0</v>
      </c>
      <c r="D20" s="2072">
        <f>所得减免优惠审核表!D20</f>
        <v>0</v>
      </c>
      <c r="E20" s="2072">
        <f>所得减免优惠审核表!E20</f>
        <v>0</v>
      </c>
      <c r="F20" s="2072">
        <f>所得减免优惠审核表!F20</f>
        <v>0</v>
      </c>
      <c r="G20" s="2072">
        <f>所得减免优惠审核表!G20</f>
        <v>0</v>
      </c>
      <c r="H20" s="2072">
        <f>所得减免优惠审核表!H20</f>
        <v>0</v>
      </c>
      <c r="I20" s="2072">
        <f>所得减免优惠审核表!I20</f>
        <v>0</v>
      </c>
      <c r="J20" s="1836"/>
    </row>
    <row r="21" spans="1:10" s="1603" customFormat="1" ht="26.25" customHeight="1">
      <c r="A21" s="1837">
        <v>17</v>
      </c>
      <c r="B21" s="1838" t="s">
        <v>5632</v>
      </c>
      <c r="C21" s="2072">
        <f>所得减免优惠审核表!C21</f>
        <v>0</v>
      </c>
      <c r="D21" s="2072">
        <f>所得减免优惠审核表!D21</f>
        <v>0</v>
      </c>
      <c r="E21" s="2072">
        <f>所得减免优惠审核表!E21</f>
        <v>0</v>
      </c>
      <c r="F21" s="2072">
        <f>所得减免优惠审核表!F21</f>
        <v>0</v>
      </c>
      <c r="G21" s="2072">
        <f>所得减免优惠审核表!G21</f>
        <v>0</v>
      </c>
      <c r="H21" s="2072">
        <f>所得减免优惠审核表!H21</f>
        <v>0</v>
      </c>
      <c r="I21" s="2072">
        <f>所得减免优惠审核表!I21</f>
        <v>0</v>
      </c>
      <c r="J21" s="1981"/>
    </row>
    <row r="22" spans="1:10" s="1603" customFormat="1" ht="12.75" customHeight="1">
      <c r="A22" s="1835">
        <v>18</v>
      </c>
      <c r="B22" s="1839" t="s">
        <v>5633</v>
      </c>
      <c r="C22" s="2072">
        <f>所得减免优惠审核表!C22</f>
        <v>0</v>
      </c>
      <c r="D22" s="2072">
        <f>所得减免优惠审核表!D22</f>
        <v>0</v>
      </c>
      <c r="E22" s="2072">
        <f>所得减免优惠审核表!E22</f>
        <v>0</v>
      </c>
      <c r="F22" s="2072">
        <f>所得减免优惠审核表!F22</f>
        <v>0</v>
      </c>
      <c r="G22" s="2072">
        <f>所得减免优惠审核表!G22</f>
        <v>0</v>
      </c>
      <c r="H22" s="2072">
        <f>所得减免优惠审核表!H22</f>
        <v>0</v>
      </c>
      <c r="I22" s="2072">
        <f>所得减免优惠审核表!I22</f>
        <v>0</v>
      </c>
      <c r="J22" s="1836"/>
    </row>
    <row r="23" spans="1:10" s="1603" customFormat="1" ht="12.75" customHeight="1">
      <c r="A23" s="1835">
        <v>19</v>
      </c>
      <c r="B23" s="1839" t="s">
        <v>5634</v>
      </c>
      <c r="C23" s="2072">
        <f>所得减免优惠审核表!C23</f>
        <v>0</v>
      </c>
      <c r="D23" s="2072">
        <f>所得减免优惠审核表!D23</f>
        <v>0</v>
      </c>
      <c r="E23" s="2072">
        <f>所得减免优惠审核表!E23</f>
        <v>0</v>
      </c>
      <c r="F23" s="2072">
        <f>所得减免优惠审核表!F23</f>
        <v>0</v>
      </c>
      <c r="G23" s="2072">
        <f>所得减免优惠审核表!G23</f>
        <v>0</v>
      </c>
      <c r="H23" s="2072">
        <f>所得减免优惠审核表!H23</f>
        <v>0</v>
      </c>
      <c r="I23" s="2072">
        <f>所得减免优惠审核表!I23</f>
        <v>0</v>
      </c>
      <c r="J23" s="1836"/>
    </row>
    <row r="24" spans="1:10" s="1603" customFormat="1" ht="12.75" customHeight="1">
      <c r="A24" s="1835">
        <v>20</v>
      </c>
      <c r="B24" s="1839" t="s">
        <v>5635</v>
      </c>
      <c r="C24" s="2072">
        <f>所得减免优惠审核表!C24</f>
        <v>0</v>
      </c>
      <c r="D24" s="2072">
        <f>所得减免优惠审核表!D24</f>
        <v>0</v>
      </c>
      <c r="E24" s="2072">
        <f>所得减免优惠审核表!E24</f>
        <v>0</v>
      </c>
      <c r="F24" s="2072">
        <f>所得减免优惠审核表!F24</f>
        <v>0</v>
      </c>
      <c r="G24" s="2072">
        <f>所得减免优惠审核表!G24</f>
        <v>0</v>
      </c>
      <c r="H24" s="2072">
        <f>所得减免优惠审核表!H24</f>
        <v>0</v>
      </c>
      <c r="I24" s="2072">
        <f>所得减免优惠审核表!I24</f>
        <v>0</v>
      </c>
      <c r="J24" s="1836"/>
    </row>
    <row r="25" spans="1:10" s="1603" customFormat="1" ht="12.75" customHeight="1">
      <c r="A25" s="1835">
        <v>21</v>
      </c>
      <c r="B25" s="1839" t="s">
        <v>5636</v>
      </c>
      <c r="C25" s="2072">
        <f>所得减免优惠审核表!C25</f>
        <v>0</v>
      </c>
      <c r="D25" s="2072">
        <f>所得减免优惠审核表!D25</f>
        <v>0</v>
      </c>
      <c r="E25" s="2072">
        <f>所得减免优惠审核表!E25</f>
        <v>0</v>
      </c>
      <c r="F25" s="2072">
        <f>所得减免优惠审核表!F25</f>
        <v>0</v>
      </c>
      <c r="G25" s="2072">
        <f>所得减免优惠审核表!G25</f>
        <v>0</v>
      </c>
      <c r="H25" s="2072">
        <f>所得减免优惠审核表!H25</f>
        <v>0</v>
      </c>
      <c r="I25" s="2072">
        <f>所得减免优惠审核表!I25</f>
        <v>0</v>
      </c>
      <c r="J25" s="1836"/>
    </row>
    <row r="26" spans="1:10" s="1603" customFormat="1" ht="12.75" customHeight="1">
      <c r="A26" s="1835">
        <v>22</v>
      </c>
      <c r="B26" s="1839" t="s">
        <v>5637</v>
      </c>
      <c r="C26" s="2072">
        <f>所得减免优惠审核表!C26</f>
        <v>0</v>
      </c>
      <c r="D26" s="2072">
        <f>所得减免优惠审核表!D26</f>
        <v>0</v>
      </c>
      <c r="E26" s="2072">
        <f>所得减免优惠审核表!E26</f>
        <v>0</v>
      </c>
      <c r="F26" s="2072">
        <f>所得减免优惠审核表!F26</f>
        <v>0</v>
      </c>
      <c r="G26" s="2072">
        <f>所得减免优惠审核表!G26</f>
        <v>0</v>
      </c>
      <c r="H26" s="2072">
        <f>所得减免优惠审核表!H26</f>
        <v>0</v>
      </c>
      <c r="I26" s="2072">
        <f>所得减免优惠审核表!I26</f>
        <v>0</v>
      </c>
      <c r="J26" s="1836"/>
    </row>
    <row r="27" spans="1:10" s="1603" customFormat="1" ht="12.75" customHeight="1">
      <c r="A27" s="1835">
        <v>23</v>
      </c>
      <c r="B27" s="1839" t="s">
        <v>5638</v>
      </c>
      <c r="C27" s="2072">
        <f>所得减免优惠审核表!C27</f>
        <v>0</v>
      </c>
      <c r="D27" s="2072">
        <f>所得减免优惠审核表!D27</f>
        <v>0</v>
      </c>
      <c r="E27" s="2072">
        <f>所得减免优惠审核表!E27</f>
        <v>0</v>
      </c>
      <c r="F27" s="2072">
        <f>所得减免优惠审核表!F27</f>
        <v>0</v>
      </c>
      <c r="G27" s="2072">
        <f>所得减免优惠审核表!G27</f>
        <v>0</v>
      </c>
      <c r="H27" s="2072">
        <f>所得减免优惠审核表!H27</f>
        <v>0</v>
      </c>
      <c r="I27" s="2072">
        <f>所得减免优惠审核表!I27</f>
        <v>0</v>
      </c>
      <c r="J27" s="1836"/>
    </row>
    <row r="28" spans="1:10" s="1603" customFormat="1" ht="12.75" customHeight="1">
      <c r="A28" s="1835">
        <v>24</v>
      </c>
      <c r="B28" s="1839" t="s">
        <v>5639</v>
      </c>
      <c r="C28" s="2072">
        <f>所得减免优惠审核表!C28</f>
        <v>0</v>
      </c>
      <c r="D28" s="2072">
        <f>所得减免优惠审核表!D28</f>
        <v>0</v>
      </c>
      <c r="E28" s="2072">
        <f>所得减免优惠审核表!E28</f>
        <v>0</v>
      </c>
      <c r="F28" s="2072">
        <f>所得减免优惠审核表!F28</f>
        <v>0</v>
      </c>
      <c r="G28" s="2072">
        <f>所得减免优惠审核表!G28</f>
        <v>0</v>
      </c>
      <c r="H28" s="2072">
        <f>所得减免优惠审核表!H28</f>
        <v>0</v>
      </c>
      <c r="I28" s="2072">
        <f>所得减免优惠审核表!I28</f>
        <v>0</v>
      </c>
      <c r="J28" s="1836"/>
    </row>
    <row r="29" spans="1:10" s="1603" customFormat="1" ht="12.75" customHeight="1">
      <c r="A29" s="1835">
        <v>25</v>
      </c>
      <c r="B29" s="1839" t="s">
        <v>5640</v>
      </c>
      <c r="C29" s="2072">
        <f>所得减免优惠审核表!C29</f>
        <v>0</v>
      </c>
      <c r="D29" s="2072">
        <f>所得减免优惠审核表!D29</f>
        <v>0</v>
      </c>
      <c r="E29" s="2072">
        <f>所得减免优惠审核表!E29</f>
        <v>0</v>
      </c>
      <c r="F29" s="2072">
        <f>所得减免优惠审核表!F29</f>
        <v>0</v>
      </c>
      <c r="G29" s="2072">
        <f>所得减免优惠审核表!G29</f>
        <v>0</v>
      </c>
      <c r="H29" s="2072">
        <f>所得减免优惠审核表!H29</f>
        <v>0</v>
      </c>
      <c r="I29" s="2072">
        <f>所得减免优惠审核表!I29</f>
        <v>0</v>
      </c>
      <c r="J29" s="1836"/>
    </row>
    <row r="30" spans="1:10" s="1603" customFormat="1" ht="29.25" customHeight="1">
      <c r="A30" s="1835">
        <v>26</v>
      </c>
      <c r="B30" s="1839" t="s">
        <v>5641</v>
      </c>
      <c r="C30" s="2072">
        <f>所得减免优惠审核表!C30</f>
        <v>0</v>
      </c>
      <c r="D30" s="2072">
        <f>所得减免优惠审核表!D30</f>
        <v>0</v>
      </c>
      <c r="E30" s="2072">
        <f>所得减免优惠审核表!E30</f>
        <v>0</v>
      </c>
      <c r="F30" s="2072">
        <f>所得减免优惠审核表!F30</f>
        <v>0</v>
      </c>
      <c r="G30" s="2072">
        <f>所得减免优惠审核表!G30</f>
        <v>0</v>
      </c>
      <c r="H30" s="2072">
        <f>所得减免优惠审核表!H30</f>
        <v>0</v>
      </c>
      <c r="I30" s="2072">
        <f>所得减免优惠审核表!I30</f>
        <v>0</v>
      </c>
      <c r="J30" s="1836"/>
    </row>
    <row r="31" spans="1:10" s="1603" customFormat="1" ht="12.75" customHeight="1">
      <c r="A31" s="1835">
        <v>27</v>
      </c>
      <c r="B31" s="1839" t="s">
        <v>5642</v>
      </c>
      <c r="C31" s="2072">
        <f>所得减免优惠审核表!C31</f>
        <v>0</v>
      </c>
      <c r="D31" s="2072">
        <f>所得减免优惠审核表!D31</f>
        <v>0</v>
      </c>
      <c r="E31" s="2072">
        <f>所得减免优惠审核表!E31</f>
        <v>0</v>
      </c>
      <c r="F31" s="2072">
        <f>所得减免优惠审核表!F31</f>
        <v>0</v>
      </c>
      <c r="G31" s="2072">
        <f>所得减免优惠审核表!G31</f>
        <v>0</v>
      </c>
      <c r="H31" s="2072">
        <f>所得减免优惠审核表!H31</f>
        <v>0</v>
      </c>
      <c r="I31" s="2072">
        <f>所得减免优惠审核表!I31</f>
        <v>0</v>
      </c>
      <c r="J31" s="1836"/>
    </row>
    <row r="32" spans="1:10" s="1603" customFormat="1" ht="12.75" customHeight="1">
      <c r="A32" s="1835">
        <v>28</v>
      </c>
      <c r="B32" s="1839" t="s">
        <v>5643</v>
      </c>
      <c r="C32" s="2072">
        <f>所得减免优惠审核表!C32</f>
        <v>0</v>
      </c>
      <c r="D32" s="2072">
        <f>所得减免优惠审核表!D32</f>
        <v>0</v>
      </c>
      <c r="E32" s="2072">
        <f>所得减免优惠审核表!E32</f>
        <v>0</v>
      </c>
      <c r="F32" s="2072">
        <f>所得减免优惠审核表!F32</f>
        <v>0</v>
      </c>
      <c r="G32" s="2072">
        <f>所得减免优惠审核表!G32</f>
        <v>0</v>
      </c>
      <c r="H32" s="2072">
        <f>所得减免优惠审核表!H32</f>
        <v>0</v>
      </c>
      <c r="I32" s="2072">
        <f>所得减免优惠审核表!I32</f>
        <v>0</v>
      </c>
      <c r="J32" s="1836"/>
    </row>
    <row r="33" spans="1:10" s="1603" customFormat="1" ht="12.75" customHeight="1">
      <c r="A33" s="1835">
        <v>29</v>
      </c>
      <c r="B33" s="1839" t="s">
        <v>5644</v>
      </c>
      <c r="C33" s="2072">
        <f>所得减免优惠审核表!C33</f>
        <v>0</v>
      </c>
      <c r="D33" s="2072">
        <f>所得减免优惠审核表!D33</f>
        <v>0</v>
      </c>
      <c r="E33" s="2072">
        <f>所得减免优惠审核表!E33</f>
        <v>0</v>
      </c>
      <c r="F33" s="2072">
        <f>所得减免优惠审核表!F33</f>
        <v>0</v>
      </c>
      <c r="G33" s="2072">
        <f>所得减免优惠审核表!G33</f>
        <v>0</v>
      </c>
      <c r="H33" s="2072">
        <f>所得减免优惠审核表!H33</f>
        <v>0</v>
      </c>
      <c r="I33" s="2072">
        <f>所得减免优惠审核表!I33</f>
        <v>0</v>
      </c>
      <c r="J33" s="1836"/>
    </row>
    <row r="34" spans="1:10" s="1603" customFormat="1" ht="12.75" customHeight="1">
      <c r="A34" s="1835">
        <v>30</v>
      </c>
      <c r="B34" s="1839" t="s">
        <v>5645</v>
      </c>
      <c r="C34" s="2072">
        <f>所得减免优惠审核表!C34</f>
        <v>0</v>
      </c>
      <c r="D34" s="2072">
        <f>所得减免优惠审核表!D34</f>
        <v>0</v>
      </c>
      <c r="E34" s="2072">
        <f>所得减免优惠审核表!E34</f>
        <v>0</v>
      </c>
      <c r="F34" s="2072">
        <f>所得减免优惠审核表!F34</f>
        <v>0</v>
      </c>
      <c r="G34" s="2072">
        <f>所得减免优惠审核表!G34</f>
        <v>0</v>
      </c>
      <c r="H34" s="2072">
        <f>所得减免优惠审核表!H34</f>
        <v>0</v>
      </c>
      <c r="I34" s="2072">
        <f>所得减免优惠审核表!I34</f>
        <v>0</v>
      </c>
      <c r="J34" s="1836"/>
    </row>
    <row r="35" spans="1:10" s="1603" customFormat="1" ht="12.75" customHeight="1">
      <c r="A35" s="1835">
        <v>31</v>
      </c>
      <c r="B35" s="1839" t="s">
        <v>5646</v>
      </c>
      <c r="C35" s="2072">
        <f>所得减免优惠审核表!C35</f>
        <v>0</v>
      </c>
      <c r="D35" s="2072">
        <f>所得减免优惠审核表!D35</f>
        <v>0</v>
      </c>
      <c r="E35" s="2072">
        <f>所得减免优惠审核表!E35</f>
        <v>0</v>
      </c>
      <c r="F35" s="2072">
        <f>所得减免优惠审核表!F35</f>
        <v>0</v>
      </c>
      <c r="G35" s="2072">
        <f>所得减免优惠审核表!G35</f>
        <v>0</v>
      </c>
      <c r="H35" s="2072">
        <f>所得减免优惠审核表!H35</f>
        <v>0</v>
      </c>
      <c r="I35" s="2072">
        <f>所得减免优惠审核表!I35</f>
        <v>0</v>
      </c>
      <c r="J35" s="1836"/>
    </row>
    <row r="36" spans="1:10" s="1603" customFormat="1" ht="12.75" customHeight="1">
      <c r="A36" s="1835">
        <v>32</v>
      </c>
      <c r="B36" s="1839" t="s">
        <v>5647</v>
      </c>
      <c r="C36" s="2072">
        <f>所得减免优惠审核表!C36</f>
        <v>0</v>
      </c>
      <c r="D36" s="2072">
        <f>所得减免优惠审核表!D36</f>
        <v>0</v>
      </c>
      <c r="E36" s="2072">
        <f>所得减免优惠审核表!E36</f>
        <v>0</v>
      </c>
      <c r="F36" s="2072">
        <f>所得减免优惠审核表!F36</f>
        <v>0</v>
      </c>
      <c r="G36" s="2072">
        <f>所得减免优惠审核表!G36</f>
        <v>0</v>
      </c>
      <c r="H36" s="2072">
        <f>所得减免优惠审核表!H36</f>
        <v>0</v>
      </c>
      <c r="I36" s="2072">
        <f>所得减免优惠审核表!I36</f>
        <v>0</v>
      </c>
      <c r="J36" s="1836"/>
    </row>
    <row r="37" spans="1:10" s="1603" customFormat="1" ht="12.75" customHeight="1">
      <c r="A37" s="1835">
        <v>33</v>
      </c>
      <c r="B37" s="1839" t="s">
        <v>5648</v>
      </c>
      <c r="C37" s="2072">
        <f>所得减免优惠审核表!C37</f>
        <v>0</v>
      </c>
      <c r="D37" s="2072">
        <f>所得减免优惠审核表!D37</f>
        <v>0</v>
      </c>
      <c r="E37" s="2072">
        <f>所得减免优惠审核表!E37</f>
        <v>0</v>
      </c>
      <c r="F37" s="2072">
        <f>所得减免优惠审核表!F37</f>
        <v>0</v>
      </c>
      <c r="G37" s="1982" t="s">
        <v>5542</v>
      </c>
      <c r="H37" s="2072">
        <f>所得减免优惠审核表!H37</f>
        <v>0</v>
      </c>
      <c r="I37" s="2072">
        <f>所得减免优惠审核表!I37</f>
        <v>0</v>
      </c>
      <c r="J37" s="1836"/>
    </row>
    <row r="38" spans="1:10" s="1603" customFormat="1" ht="12.75" customHeight="1">
      <c r="A38" s="1835">
        <v>34</v>
      </c>
      <c r="B38" s="1839" t="s">
        <v>5649</v>
      </c>
      <c r="C38" s="1982" t="s">
        <v>5542</v>
      </c>
      <c r="D38" s="1982" t="s">
        <v>5542</v>
      </c>
      <c r="E38" s="1982" t="s">
        <v>5542</v>
      </c>
      <c r="F38" s="1982" t="s">
        <v>5542</v>
      </c>
      <c r="G38" s="1982" t="s">
        <v>5542</v>
      </c>
      <c r="H38" s="1982" t="s">
        <v>5542</v>
      </c>
      <c r="I38" s="2072">
        <f>所得减免优惠审核表!I38</f>
        <v>0</v>
      </c>
      <c r="J38" s="1836"/>
    </row>
    <row r="39" spans="1:10" s="1603" customFormat="1" ht="12.75" customHeight="1">
      <c r="A39" s="1835">
        <v>35</v>
      </c>
      <c r="B39" s="1839" t="s">
        <v>5650</v>
      </c>
      <c r="C39" s="1982" t="s">
        <v>5542</v>
      </c>
      <c r="D39" s="1982" t="s">
        <v>5542</v>
      </c>
      <c r="E39" s="1982" t="s">
        <v>5542</v>
      </c>
      <c r="F39" s="1982" t="s">
        <v>5542</v>
      </c>
      <c r="G39" s="1982" t="s">
        <v>5542</v>
      </c>
      <c r="H39" s="1982" t="s">
        <v>5542</v>
      </c>
      <c r="I39" s="2072">
        <f>所得减免优惠审核表!I39</f>
        <v>0</v>
      </c>
      <c r="J39" s="1836"/>
    </row>
    <row r="40" spans="1:10" s="1603" customFormat="1" ht="12.75" customHeight="1">
      <c r="A40" s="1835">
        <v>36</v>
      </c>
      <c r="B40" s="1839" t="s">
        <v>5651</v>
      </c>
      <c r="C40" s="2072">
        <f>所得减免优惠审核表!C40</f>
        <v>0</v>
      </c>
      <c r="D40" s="2072">
        <f>所得减免优惠审核表!D40</f>
        <v>0</v>
      </c>
      <c r="E40" s="2072">
        <f>所得减免优惠审核表!E40</f>
        <v>0</v>
      </c>
      <c r="F40" s="2072">
        <f>所得减免优惠审核表!F40</f>
        <v>0</v>
      </c>
      <c r="G40" s="2072">
        <f>所得减免优惠审核表!G40</f>
        <v>0</v>
      </c>
      <c r="H40" s="2072">
        <f>所得减免优惠审核表!H40</f>
        <v>0</v>
      </c>
      <c r="I40" s="2072">
        <f>所得减免优惠审核表!I40</f>
        <v>0</v>
      </c>
      <c r="J40" s="1836"/>
    </row>
    <row r="41" spans="1:10" s="1603" customFormat="1" ht="12.75" customHeight="1">
      <c r="A41" s="1835">
        <v>37</v>
      </c>
      <c r="B41" s="1839" t="s">
        <v>5652</v>
      </c>
      <c r="C41" s="2072">
        <f>所得减免优惠审核表!C41</f>
        <v>0</v>
      </c>
      <c r="D41" s="2072">
        <f>所得减免优惠审核表!D41</f>
        <v>0</v>
      </c>
      <c r="E41" s="2072">
        <f>所得减免优惠审核表!E41</f>
        <v>0</v>
      </c>
      <c r="F41" s="2072">
        <f>所得减免优惠审核表!F41</f>
        <v>0</v>
      </c>
      <c r="G41" s="2072">
        <f>所得减免优惠审核表!G41</f>
        <v>0</v>
      </c>
      <c r="H41" s="2072">
        <f>所得减免优惠审核表!H41</f>
        <v>0</v>
      </c>
      <c r="I41" s="2072">
        <f>所得减免优惠审核表!I41</f>
        <v>0</v>
      </c>
      <c r="J41" s="1836"/>
    </row>
    <row r="42" spans="1:10" s="1603" customFormat="1" ht="24" customHeight="1">
      <c r="A42" s="1835">
        <v>38</v>
      </c>
      <c r="B42" s="1839" t="s">
        <v>5653</v>
      </c>
      <c r="C42" s="2072">
        <f>所得减免优惠审核表!C42</f>
        <v>0</v>
      </c>
      <c r="D42" s="2072">
        <f>所得减免优惠审核表!D42</f>
        <v>0</v>
      </c>
      <c r="E42" s="2072">
        <f>所得减免优惠审核表!E42</f>
        <v>0</v>
      </c>
      <c r="F42" s="2072">
        <f>所得减免优惠审核表!F42</f>
        <v>0</v>
      </c>
      <c r="G42" s="2072">
        <f>所得减免优惠审核表!G42</f>
        <v>0</v>
      </c>
      <c r="H42" s="2072">
        <f>所得减免优惠审核表!H42</f>
        <v>0</v>
      </c>
      <c r="I42" s="2072">
        <f>所得减免优惠审核表!I42</f>
        <v>0</v>
      </c>
      <c r="J42" s="1836"/>
    </row>
    <row r="43" spans="1:10" s="1603" customFormat="1" ht="12.75" customHeight="1">
      <c r="A43" s="1835">
        <v>39</v>
      </c>
      <c r="B43" s="1839" t="s">
        <v>5654</v>
      </c>
      <c r="C43" s="2072">
        <f>所得减免优惠审核表!C43</f>
        <v>0</v>
      </c>
      <c r="D43" s="2072">
        <f>所得减免优惠审核表!D43</f>
        <v>0</v>
      </c>
      <c r="E43" s="2072">
        <f>所得减免优惠审核表!E43</f>
        <v>0</v>
      </c>
      <c r="F43" s="2072">
        <f>所得减免优惠审核表!F43</f>
        <v>0</v>
      </c>
      <c r="G43" s="2072">
        <f>所得减免优惠审核表!G43</f>
        <v>0</v>
      </c>
      <c r="H43" s="2072">
        <f>所得减免优惠审核表!H43</f>
        <v>0</v>
      </c>
      <c r="I43" s="2072">
        <f>所得减免优惠审核表!I43</f>
        <v>0</v>
      </c>
      <c r="J43" s="1836"/>
    </row>
    <row r="44" spans="1:10" s="1603" customFormat="1" ht="40.5" customHeight="1">
      <c r="A44" s="1835">
        <v>40</v>
      </c>
      <c r="B44" s="1839" t="s">
        <v>5655</v>
      </c>
      <c r="C44" s="2072">
        <f>所得减免优惠审核表!C44</f>
        <v>0</v>
      </c>
      <c r="D44" s="2072">
        <f>所得减免优惠审核表!D44</f>
        <v>0</v>
      </c>
      <c r="E44" s="2072">
        <f>所得减免优惠审核表!E44</f>
        <v>0</v>
      </c>
      <c r="F44" s="2072">
        <f>所得减免优惠审核表!F44</f>
        <v>0</v>
      </c>
      <c r="G44" s="2072">
        <f>所得减免优惠审核表!G44</f>
        <v>0</v>
      </c>
      <c r="H44" s="2072">
        <f>所得减免优惠审核表!H44</f>
        <v>0</v>
      </c>
      <c r="I44" s="2072">
        <f>所得减免优惠审核表!I44</f>
        <v>0</v>
      </c>
      <c r="J44" s="1839" t="s">
        <v>5656</v>
      </c>
    </row>
  </sheetData>
  <mergeCells count="4">
    <mergeCell ref="A1:I1"/>
    <mergeCell ref="A2:I2"/>
    <mergeCell ref="A3:A4"/>
    <mergeCell ref="B3:B4"/>
  </mergeCells>
  <phoneticPr fontId="51" type="noConversion"/>
  <hyperlinks>
    <hyperlink ref="K11" location="所得减免优惠审核表!A1" display="所得减免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tabColor rgb="FFFFFF00"/>
  </sheetPr>
  <dimension ref="A1:F21"/>
  <sheetViews>
    <sheetView workbookViewId="0">
      <selection activeCell="C18" sqref="C18"/>
    </sheetView>
  </sheetViews>
  <sheetFormatPr defaultRowHeight="15.6"/>
  <cols>
    <col min="1" max="1" width="5.19921875" style="1608" customWidth="1"/>
    <col min="2" max="2" width="56.3984375" style="1608" customWidth="1"/>
    <col min="3" max="3" width="19.19921875" style="1608" customWidth="1"/>
    <col min="4" max="4" width="11.8984375" style="1608" customWidth="1"/>
    <col min="5" max="5" width="9" style="1608"/>
    <col min="6" max="6" width="41.5" style="1608" customWidth="1"/>
    <col min="7" max="256" width="9" style="1608"/>
    <col min="257" max="257" width="5.19921875" style="1608" customWidth="1"/>
    <col min="258" max="258" width="56.3984375" style="1608" customWidth="1"/>
    <col min="259" max="259" width="19.19921875" style="1608" customWidth="1"/>
    <col min="260" max="260" width="11.8984375" style="1608" customWidth="1"/>
    <col min="261" max="261" width="9" style="1608"/>
    <col min="262" max="262" width="41.5" style="1608" customWidth="1"/>
    <col min="263" max="512" width="9" style="1608"/>
    <col min="513" max="513" width="5.19921875" style="1608" customWidth="1"/>
    <col min="514" max="514" width="56.3984375" style="1608" customWidth="1"/>
    <col min="515" max="515" width="19.19921875" style="1608" customWidth="1"/>
    <col min="516" max="516" width="11.8984375" style="1608" customWidth="1"/>
    <col min="517" max="517" width="9" style="1608"/>
    <col min="518" max="518" width="41.5" style="1608" customWidth="1"/>
    <col min="519" max="768" width="9" style="1608"/>
    <col min="769" max="769" width="5.19921875" style="1608" customWidth="1"/>
    <col min="770" max="770" width="56.3984375" style="1608" customWidth="1"/>
    <col min="771" max="771" width="19.19921875" style="1608" customWidth="1"/>
    <col min="772" max="772" width="11.8984375" style="1608" customWidth="1"/>
    <col min="773" max="773" width="9" style="1608"/>
    <col min="774" max="774" width="41.5" style="1608" customWidth="1"/>
    <col min="775" max="1024" width="9" style="1608"/>
    <col min="1025" max="1025" width="5.19921875" style="1608" customWidth="1"/>
    <col min="1026" max="1026" width="56.3984375" style="1608" customWidth="1"/>
    <col min="1027" max="1027" width="19.19921875" style="1608" customWidth="1"/>
    <col min="1028" max="1028" width="11.8984375" style="1608" customWidth="1"/>
    <col min="1029" max="1029" width="9" style="1608"/>
    <col min="1030" max="1030" width="41.5" style="1608" customWidth="1"/>
    <col min="1031" max="1280" width="9" style="1608"/>
    <col min="1281" max="1281" width="5.19921875" style="1608" customWidth="1"/>
    <col min="1282" max="1282" width="56.3984375" style="1608" customWidth="1"/>
    <col min="1283" max="1283" width="19.19921875" style="1608" customWidth="1"/>
    <col min="1284" max="1284" width="11.8984375" style="1608" customWidth="1"/>
    <col min="1285" max="1285" width="9" style="1608"/>
    <col min="1286" max="1286" width="41.5" style="1608" customWidth="1"/>
    <col min="1287" max="1536" width="9" style="1608"/>
    <col min="1537" max="1537" width="5.19921875" style="1608" customWidth="1"/>
    <col min="1538" max="1538" width="56.3984375" style="1608" customWidth="1"/>
    <col min="1539" max="1539" width="19.19921875" style="1608" customWidth="1"/>
    <col min="1540" max="1540" width="11.8984375" style="1608" customWidth="1"/>
    <col min="1541" max="1541" width="9" style="1608"/>
    <col min="1542" max="1542" width="41.5" style="1608" customWidth="1"/>
    <col min="1543" max="1792" width="9" style="1608"/>
    <col min="1793" max="1793" width="5.19921875" style="1608" customWidth="1"/>
    <col min="1794" max="1794" width="56.3984375" style="1608" customWidth="1"/>
    <col min="1795" max="1795" width="19.19921875" style="1608" customWidth="1"/>
    <col min="1796" max="1796" width="11.8984375" style="1608" customWidth="1"/>
    <col min="1797" max="1797" width="9" style="1608"/>
    <col min="1798" max="1798" width="41.5" style="1608" customWidth="1"/>
    <col min="1799" max="2048" width="9" style="1608"/>
    <col min="2049" max="2049" width="5.19921875" style="1608" customWidth="1"/>
    <col min="2050" max="2050" width="56.3984375" style="1608" customWidth="1"/>
    <col min="2051" max="2051" width="19.19921875" style="1608" customWidth="1"/>
    <col min="2052" max="2052" width="11.8984375" style="1608" customWidth="1"/>
    <col min="2053" max="2053" width="9" style="1608"/>
    <col min="2054" max="2054" width="41.5" style="1608" customWidth="1"/>
    <col min="2055" max="2304" width="9" style="1608"/>
    <col min="2305" max="2305" width="5.19921875" style="1608" customWidth="1"/>
    <col min="2306" max="2306" width="56.3984375" style="1608" customWidth="1"/>
    <col min="2307" max="2307" width="19.19921875" style="1608" customWidth="1"/>
    <col min="2308" max="2308" width="11.8984375" style="1608" customWidth="1"/>
    <col min="2309" max="2309" width="9" style="1608"/>
    <col min="2310" max="2310" width="41.5" style="1608" customWidth="1"/>
    <col min="2311" max="2560" width="9" style="1608"/>
    <col min="2561" max="2561" width="5.19921875" style="1608" customWidth="1"/>
    <col min="2562" max="2562" width="56.3984375" style="1608" customWidth="1"/>
    <col min="2563" max="2563" width="19.19921875" style="1608" customWidth="1"/>
    <col min="2564" max="2564" width="11.8984375" style="1608" customWidth="1"/>
    <col min="2565" max="2565" width="9" style="1608"/>
    <col min="2566" max="2566" width="41.5" style="1608" customWidth="1"/>
    <col min="2567" max="2816" width="9" style="1608"/>
    <col min="2817" max="2817" width="5.19921875" style="1608" customWidth="1"/>
    <col min="2818" max="2818" width="56.3984375" style="1608" customWidth="1"/>
    <col min="2819" max="2819" width="19.19921875" style="1608" customWidth="1"/>
    <col min="2820" max="2820" width="11.8984375" style="1608" customWidth="1"/>
    <col min="2821" max="2821" width="9" style="1608"/>
    <col min="2822" max="2822" width="41.5" style="1608" customWidth="1"/>
    <col min="2823" max="3072" width="9" style="1608"/>
    <col min="3073" max="3073" width="5.19921875" style="1608" customWidth="1"/>
    <col min="3074" max="3074" width="56.3984375" style="1608" customWidth="1"/>
    <col min="3075" max="3075" width="19.19921875" style="1608" customWidth="1"/>
    <col min="3076" max="3076" width="11.8984375" style="1608" customWidth="1"/>
    <col min="3077" max="3077" width="9" style="1608"/>
    <col min="3078" max="3078" width="41.5" style="1608" customWidth="1"/>
    <col min="3079" max="3328" width="9" style="1608"/>
    <col min="3329" max="3329" width="5.19921875" style="1608" customWidth="1"/>
    <col min="3330" max="3330" width="56.3984375" style="1608" customWidth="1"/>
    <col min="3331" max="3331" width="19.19921875" style="1608" customWidth="1"/>
    <col min="3332" max="3332" width="11.8984375" style="1608" customWidth="1"/>
    <col min="3333" max="3333" width="9" style="1608"/>
    <col min="3334" max="3334" width="41.5" style="1608" customWidth="1"/>
    <col min="3335" max="3584" width="9" style="1608"/>
    <col min="3585" max="3585" width="5.19921875" style="1608" customWidth="1"/>
    <col min="3586" max="3586" width="56.3984375" style="1608" customWidth="1"/>
    <col min="3587" max="3587" width="19.19921875" style="1608" customWidth="1"/>
    <col min="3588" max="3588" width="11.8984375" style="1608" customWidth="1"/>
    <col min="3589" max="3589" width="9" style="1608"/>
    <col min="3590" max="3590" width="41.5" style="1608" customWidth="1"/>
    <col min="3591" max="3840" width="9" style="1608"/>
    <col min="3841" max="3841" width="5.19921875" style="1608" customWidth="1"/>
    <col min="3842" max="3842" width="56.3984375" style="1608" customWidth="1"/>
    <col min="3843" max="3843" width="19.19921875" style="1608" customWidth="1"/>
    <col min="3844" max="3844" width="11.8984375" style="1608" customWidth="1"/>
    <col min="3845" max="3845" width="9" style="1608"/>
    <col min="3846" max="3846" width="41.5" style="1608" customWidth="1"/>
    <col min="3847" max="4096" width="9" style="1608"/>
    <col min="4097" max="4097" width="5.19921875" style="1608" customWidth="1"/>
    <col min="4098" max="4098" width="56.3984375" style="1608" customWidth="1"/>
    <col min="4099" max="4099" width="19.19921875" style="1608" customWidth="1"/>
    <col min="4100" max="4100" width="11.8984375" style="1608" customWidth="1"/>
    <col min="4101" max="4101" width="9" style="1608"/>
    <col min="4102" max="4102" width="41.5" style="1608" customWidth="1"/>
    <col min="4103" max="4352" width="9" style="1608"/>
    <col min="4353" max="4353" width="5.19921875" style="1608" customWidth="1"/>
    <col min="4354" max="4354" width="56.3984375" style="1608" customWidth="1"/>
    <col min="4355" max="4355" width="19.19921875" style="1608" customWidth="1"/>
    <col min="4356" max="4356" width="11.8984375" style="1608" customWidth="1"/>
    <col min="4357" max="4357" width="9" style="1608"/>
    <col min="4358" max="4358" width="41.5" style="1608" customWidth="1"/>
    <col min="4359" max="4608" width="9" style="1608"/>
    <col min="4609" max="4609" width="5.19921875" style="1608" customWidth="1"/>
    <col min="4610" max="4610" width="56.3984375" style="1608" customWidth="1"/>
    <col min="4611" max="4611" width="19.19921875" style="1608" customWidth="1"/>
    <col min="4612" max="4612" width="11.8984375" style="1608" customWidth="1"/>
    <col min="4613" max="4613" width="9" style="1608"/>
    <col min="4614" max="4614" width="41.5" style="1608" customWidth="1"/>
    <col min="4615" max="4864" width="9" style="1608"/>
    <col min="4865" max="4865" width="5.19921875" style="1608" customWidth="1"/>
    <col min="4866" max="4866" width="56.3984375" style="1608" customWidth="1"/>
    <col min="4867" max="4867" width="19.19921875" style="1608" customWidth="1"/>
    <col min="4868" max="4868" width="11.8984375" style="1608" customWidth="1"/>
    <col min="4869" max="4869" width="9" style="1608"/>
    <col min="4870" max="4870" width="41.5" style="1608" customWidth="1"/>
    <col min="4871" max="5120" width="9" style="1608"/>
    <col min="5121" max="5121" width="5.19921875" style="1608" customWidth="1"/>
    <col min="5122" max="5122" width="56.3984375" style="1608" customWidth="1"/>
    <col min="5123" max="5123" width="19.19921875" style="1608" customWidth="1"/>
    <col min="5124" max="5124" width="11.8984375" style="1608" customWidth="1"/>
    <col min="5125" max="5125" width="9" style="1608"/>
    <col min="5126" max="5126" width="41.5" style="1608" customWidth="1"/>
    <col min="5127" max="5376" width="9" style="1608"/>
    <col min="5377" max="5377" width="5.19921875" style="1608" customWidth="1"/>
    <col min="5378" max="5378" width="56.3984375" style="1608" customWidth="1"/>
    <col min="5379" max="5379" width="19.19921875" style="1608" customWidth="1"/>
    <col min="5380" max="5380" width="11.8984375" style="1608" customWidth="1"/>
    <col min="5381" max="5381" width="9" style="1608"/>
    <col min="5382" max="5382" width="41.5" style="1608" customWidth="1"/>
    <col min="5383" max="5632" width="9" style="1608"/>
    <col min="5633" max="5633" width="5.19921875" style="1608" customWidth="1"/>
    <col min="5634" max="5634" width="56.3984375" style="1608" customWidth="1"/>
    <col min="5635" max="5635" width="19.19921875" style="1608" customWidth="1"/>
    <col min="5636" max="5636" width="11.8984375" style="1608" customWidth="1"/>
    <col min="5637" max="5637" width="9" style="1608"/>
    <col min="5638" max="5638" width="41.5" style="1608" customWidth="1"/>
    <col min="5639" max="5888" width="9" style="1608"/>
    <col min="5889" max="5889" width="5.19921875" style="1608" customWidth="1"/>
    <col min="5890" max="5890" width="56.3984375" style="1608" customWidth="1"/>
    <col min="5891" max="5891" width="19.19921875" style="1608" customWidth="1"/>
    <col min="5892" max="5892" width="11.8984375" style="1608" customWidth="1"/>
    <col min="5893" max="5893" width="9" style="1608"/>
    <col min="5894" max="5894" width="41.5" style="1608" customWidth="1"/>
    <col min="5895" max="6144" width="9" style="1608"/>
    <col min="6145" max="6145" width="5.19921875" style="1608" customWidth="1"/>
    <col min="6146" max="6146" width="56.3984375" style="1608" customWidth="1"/>
    <col min="6147" max="6147" width="19.19921875" style="1608" customWidth="1"/>
    <col min="6148" max="6148" width="11.8984375" style="1608" customWidth="1"/>
    <col min="6149" max="6149" width="9" style="1608"/>
    <col min="6150" max="6150" width="41.5" style="1608" customWidth="1"/>
    <col min="6151" max="6400" width="9" style="1608"/>
    <col min="6401" max="6401" width="5.19921875" style="1608" customWidth="1"/>
    <col min="6402" max="6402" width="56.3984375" style="1608" customWidth="1"/>
    <col min="6403" max="6403" width="19.19921875" style="1608" customWidth="1"/>
    <col min="6404" max="6404" width="11.8984375" style="1608" customWidth="1"/>
    <col min="6405" max="6405" width="9" style="1608"/>
    <col min="6406" max="6406" width="41.5" style="1608" customWidth="1"/>
    <col min="6407" max="6656" width="9" style="1608"/>
    <col min="6657" max="6657" width="5.19921875" style="1608" customWidth="1"/>
    <col min="6658" max="6658" width="56.3984375" style="1608" customWidth="1"/>
    <col min="6659" max="6659" width="19.19921875" style="1608" customWidth="1"/>
    <col min="6660" max="6660" width="11.8984375" style="1608" customWidth="1"/>
    <col min="6661" max="6661" width="9" style="1608"/>
    <col min="6662" max="6662" width="41.5" style="1608" customWidth="1"/>
    <col min="6663" max="6912" width="9" style="1608"/>
    <col min="6913" max="6913" width="5.19921875" style="1608" customWidth="1"/>
    <col min="6914" max="6914" width="56.3984375" style="1608" customWidth="1"/>
    <col min="6915" max="6915" width="19.19921875" style="1608" customWidth="1"/>
    <col min="6916" max="6916" width="11.8984375" style="1608" customWidth="1"/>
    <col min="6917" max="6917" width="9" style="1608"/>
    <col min="6918" max="6918" width="41.5" style="1608" customWidth="1"/>
    <col min="6919" max="7168" width="9" style="1608"/>
    <col min="7169" max="7169" width="5.19921875" style="1608" customWidth="1"/>
    <col min="7170" max="7170" width="56.3984375" style="1608" customWidth="1"/>
    <col min="7171" max="7171" width="19.19921875" style="1608" customWidth="1"/>
    <col min="7172" max="7172" width="11.8984375" style="1608" customWidth="1"/>
    <col min="7173" max="7173" width="9" style="1608"/>
    <col min="7174" max="7174" width="41.5" style="1608" customWidth="1"/>
    <col min="7175" max="7424" width="9" style="1608"/>
    <col min="7425" max="7425" width="5.19921875" style="1608" customWidth="1"/>
    <col min="7426" max="7426" width="56.3984375" style="1608" customWidth="1"/>
    <col min="7427" max="7427" width="19.19921875" style="1608" customWidth="1"/>
    <col min="7428" max="7428" width="11.8984375" style="1608" customWidth="1"/>
    <col min="7429" max="7429" width="9" style="1608"/>
    <col min="7430" max="7430" width="41.5" style="1608" customWidth="1"/>
    <col min="7431" max="7680" width="9" style="1608"/>
    <col min="7681" max="7681" width="5.19921875" style="1608" customWidth="1"/>
    <col min="7682" max="7682" width="56.3984375" style="1608" customWidth="1"/>
    <col min="7683" max="7683" width="19.19921875" style="1608" customWidth="1"/>
    <col min="7684" max="7684" width="11.8984375" style="1608" customWidth="1"/>
    <col min="7685" max="7685" width="9" style="1608"/>
    <col min="7686" max="7686" width="41.5" style="1608" customWidth="1"/>
    <col min="7687" max="7936" width="9" style="1608"/>
    <col min="7937" max="7937" width="5.19921875" style="1608" customWidth="1"/>
    <col min="7938" max="7938" width="56.3984375" style="1608" customWidth="1"/>
    <col min="7939" max="7939" width="19.19921875" style="1608" customWidth="1"/>
    <col min="7940" max="7940" width="11.8984375" style="1608" customWidth="1"/>
    <col min="7941" max="7941" width="9" style="1608"/>
    <col min="7942" max="7942" width="41.5" style="1608" customWidth="1"/>
    <col min="7943" max="8192" width="9" style="1608"/>
    <col min="8193" max="8193" width="5.19921875" style="1608" customWidth="1"/>
    <col min="8194" max="8194" width="56.3984375" style="1608" customWidth="1"/>
    <col min="8195" max="8195" width="19.19921875" style="1608" customWidth="1"/>
    <col min="8196" max="8196" width="11.8984375" style="1608" customWidth="1"/>
    <col min="8197" max="8197" width="9" style="1608"/>
    <col min="8198" max="8198" width="41.5" style="1608" customWidth="1"/>
    <col min="8199" max="8448" width="9" style="1608"/>
    <col min="8449" max="8449" width="5.19921875" style="1608" customWidth="1"/>
    <col min="8450" max="8450" width="56.3984375" style="1608" customWidth="1"/>
    <col min="8451" max="8451" width="19.19921875" style="1608" customWidth="1"/>
    <col min="8452" max="8452" width="11.8984375" style="1608" customWidth="1"/>
    <col min="8453" max="8453" width="9" style="1608"/>
    <col min="8454" max="8454" width="41.5" style="1608" customWidth="1"/>
    <col min="8455" max="8704" width="9" style="1608"/>
    <col min="8705" max="8705" width="5.19921875" style="1608" customWidth="1"/>
    <col min="8706" max="8706" width="56.3984375" style="1608" customWidth="1"/>
    <col min="8707" max="8707" width="19.19921875" style="1608" customWidth="1"/>
    <col min="8708" max="8708" width="11.8984375" style="1608" customWidth="1"/>
    <col min="8709" max="8709" width="9" style="1608"/>
    <col min="8710" max="8710" width="41.5" style="1608" customWidth="1"/>
    <col min="8711" max="8960" width="9" style="1608"/>
    <col min="8961" max="8961" width="5.19921875" style="1608" customWidth="1"/>
    <col min="8962" max="8962" width="56.3984375" style="1608" customWidth="1"/>
    <col min="8963" max="8963" width="19.19921875" style="1608" customWidth="1"/>
    <col min="8964" max="8964" width="11.8984375" style="1608" customWidth="1"/>
    <col min="8965" max="8965" width="9" style="1608"/>
    <col min="8966" max="8966" width="41.5" style="1608" customWidth="1"/>
    <col min="8967" max="9216" width="9" style="1608"/>
    <col min="9217" max="9217" width="5.19921875" style="1608" customWidth="1"/>
    <col min="9218" max="9218" width="56.3984375" style="1608" customWidth="1"/>
    <col min="9219" max="9219" width="19.19921875" style="1608" customWidth="1"/>
    <col min="9220" max="9220" width="11.8984375" style="1608" customWidth="1"/>
    <col min="9221" max="9221" width="9" style="1608"/>
    <col min="9222" max="9222" width="41.5" style="1608" customWidth="1"/>
    <col min="9223" max="9472" width="9" style="1608"/>
    <col min="9473" max="9473" width="5.19921875" style="1608" customWidth="1"/>
    <col min="9474" max="9474" width="56.3984375" style="1608" customWidth="1"/>
    <col min="9475" max="9475" width="19.19921875" style="1608" customWidth="1"/>
    <col min="9476" max="9476" width="11.8984375" style="1608" customWidth="1"/>
    <col min="9477" max="9477" width="9" style="1608"/>
    <col min="9478" max="9478" width="41.5" style="1608" customWidth="1"/>
    <col min="9479" max="9728" width="9" style="1608"/>
    <col min="9729" max="9729" width="5.19921875" style="1608" customWidth="1"/>
    <col min="9730" max="9730" width="56.3984375" style="1608" customWidth="1"/>
    <col min="9731" max="9731" width="19.19921875" style="1608" customWidth="1"/>
    <col min="9732" max="9732" width="11.8984375" style="1608" customWidth="1"/>
    <col min="9733" max="9733" width="9" style="1608"/>
    <col min="9734" max="9734" width="41.5" style="1608" customWidth="1"/>
    <col min="9735" max="9984" width="9" style="1608"/>
    <col min="9985" max="9985" width="5.19921875" style="1608" customWidth="1"/>
    <col min="9986" max="9986" width="56.3984375" style="1608" customWidth="1"/>
    <col min="9987" max="9987" width="19.19921875" style="1608" customWidth="1"/>
    <col min="9988" max="9988" width="11.8984375" style="1608" customWidth="1"/>
    <col min="9989" max="9989" width="9" style="1608"/>
    <col min="9990" max="9990" width="41.5" style="1608" customWidth="1"/>
    <col min="9991" max="10240" width="9" style="1608"/>
    <col min="10241" max="10241" width="5.19921875" style="1608" customWidth="1"/>
    <col min="10242" max="10242" width="56.3984375" style="1608" customWidth="1"/>
    <col min="10243" max="10243" width="19.19921875" style="1608" customWidth="1"/>
    <col min="10244" max="10244" width="11.8984375" style="1608" customWidth="1"/>
    <col min="10245" max="10245" width="9" style="1608"/>
    <col min="10246" max="10246" width="41.5" style="1608" customWidth="1"/>
    <col min="10247" max="10496" width="9" style="1608"/>
    <col min="10497" max="10497" width="5.19921875" style="1608" customWidth="1"/>
    <col min="10498" max="10498" width="56.3984375" style="1608" customWidth="1"/>
    <col min="10499" max="10499" width="19.19921875" style="1608" customWidth="1"/>
    <col min="10500" max="10500" width="11.8984375" style="1608" customWidth="1"/>
    <col min="10501" max="10501" width="9" style="1608"/>
    <col min="10502" max="10502" width="41.5" style="1608" customWidth="1"/>
    <col min="10503" max="10752" width="9" style="1608"/>
    <col min="10753" max="10753" width="5.19921875" style="1608" customWidth="1"/>
    <col min="10754" max="10754" width="56.3984375" style="1608" customWidth="1"/>
    <col min="10755" max="10755" width="19.19921875" style="1608" customWidth="1"/>
    <col min="10756" max="10756" width="11.8984375" style="1608" customWidth="1"/>
    <col min="10757" max="10757" width="9" style="1608"/>
    <col min="10758" max="10758" width="41.5" style="1608" customWidth="1"/>
    <col min="10759" max="11008" width="9" style="1608"/>
    <col min="11009" max="11009" width="5.19921875" style="1608" customWidth="1"/>
    <col min="11010" max="11010" width="56.3984375" style="1608" customWidth="1"/>
    <col min="11011" max="11011" width="19.19921875" style="1608" customWidth="1"/>
    <col min="11012" max="11012" width="11.8984375" style="1608" customWidth="1"/>
    <col min="11013" max="11013" width="9" style="1608"/>
    <col min="11014" max="11014" width="41.5" style="1608" customWidth="1"/>
    <col min="11015" max="11264" width="9" style="1608"/>
    <col min="11265" max="11265" width="5.19921875" style="1608" customWidth="1"/>
    <col min="11266" max="11266" width="56.3984375" style="1608" customWidth="1"/>
    <col min="11267" max="11267" width="19.19921875" style="1608" customWidth="1"/>
    <col min="11268" max="11268" width="11.8984375" style="1608" customWidth="1"/>
    <col min="11269" max="11269" width="9" style="1608"/>
    <col min="11270" max="11270" width="41.5" style="1608" customWidth="1"/>
    <col min="11271" max="11520" width="9" style="1608"/>
    <col min="11521" max="11521" width="5.19921875" style="1608" customWidth="1"/>
    <col min="11522" max="11522" width="56.3984375" style="1608" customWidth="1"/>
    <col min="11523" max="11523" width="19.19921875" style="1608" customWidth="1"/>
    <col min="11524" max="11524" width="11.8984375" style="1608" customWidth="1"/>
    <col min="11525" max="11525" width="9" style="1608"/>
    <col min="11526" max="11526" width="41.5" style="1608" customWidth="1"/>
    <col min="11527" max="11776" width="9" style="1608"/>
    <col min="11777" max="11777" width="5.19921875" style="1608" customWidth="1"/>
    <col min="11778" max="11778" width="56.3984375" style="1608" customWidth="1"/>
    <col min="11779" max="11779" width="19.19921875" style="1608" customWidth="1"/>
    <col min="11780" max="11780" width="11.8984375" style="1608" customWidth="1"/>
    <col min="11781" max="11781" width="9" style="1608"/>
    <col min="11782" max="11782" width="41.5" style="1608" customWidth="1"/>
    <col min="11783" max="12032" width="9" style="1608"/>
    <col min="12033" max="12033" width="5.19921875" style="1608" customWidth="1"/>
    <col min="12034" max="12034" width="56.3984375" style="1608" customWidth="1"/>
    <col min="12035" max="12035" width="19.19921875" style="1608" customWidth="1"/>
    <col min="12036" max="12036" width="11.8984375" style="1608" customWidth="1"/>
    <col min="12037" max="12037" width="9" style="1608"/>
    <col min="12038" max="12038" width="41.5" style="1608" customWidth="1"/>
    <col min="12039" max="12288" width="9" style="1608"/>
    <col min="12289" max="12289" width="5.19921875" style="1608" customWidth="1"/>
    <col min="12290" max="12290" width="56.3984375" style="1608" customWidth="1"/>
    <col min="12291" max="12291" width="19.19921875" style="1608" customWidth="1"/>
    <col min="12292" max="12292" width="11.8984375" style="1608" customWidth="1"/>
    <col min="12293" max="12293" width="9" style="1608"/>
    <col min="12294" max="12294" width="41.5" style="1608" customWidth="1"/>
    <col min="12295" max="12544" width="9" style="1608"/>
    <col min="12545" max="12545" width="5.19921875" style="1608" customWidth="1"/>
    <col min="12546" max="12546" width="56.3984375" style="1608" customWidth="1"/>
    <col min="12547" max="12547" width="19.19921875" style="1608" customWidth="1"/>
    <col min="12548" max="12548" width="11.8984375" style="1608" customWidth="1"/>
    <col min="12549" max="12549" width="9" style="1608"/>
    <col min="12550" max="12550" width="41.5" style="1608" customWidth="1"/>
    <col min="12551" max="12800" width="9" style="1608"/>
    <col min="12801" max="12801" width="5.19921875" style="1608" customWidth="1"/>
    <col min="12802" max="12802" width="56.3984375" style="1608" customWidth="1"/>
    <col min="12803" max="12803" width="19.19921875" style="1608" customWidth="1"/>
    <col min="12804" max="12804" width="11.8984375" style="1608" customWidth="1"/>
    <col min="12805" max="12805" width="9" style="1608"/>
    <col min="12806" max="12806" width="41.5" style="1608" customWidth="1"/>
    <col min="12807" max="13056" width="9" style="1608"/>
    <col min="13057" max="13057" width="5.19921875" style="1608" customWidth="1"/>
    <col min="13058" max="13058" width="56.3984375" style="1608" customWidth="1"/>
    <col min="13059" max="13059" width="19.19921875" style="1608" customWidth="1"/>
    <col min="13060" max="13060" width="11.8984375" style="1608" customWidth="1"/>
    <col min="13061" max="13061" width="9" style="1608"/>
    <col min="13062" max="13062" width="41.5" style="1608" customWidth="1"/>
    <col min="13063" max="13312" width="9" style="1608"/>
    <col min="13313" max="13313" width="5.19921875" style="1608" customWidth="1"/>
    <col min="13314" max="13314" width="56.3984375" style="1608" customWidth="1"/>
    <col min="13315" max="13315" width="19.19921875" style="1608" customWidth="1"/>
    <col min="13316" max="13316" width="11.8984375" style="1608" customWidth="1"/>
    <col min="13317" max="13317" width="9" style="1608"/>
    <col min="13318" max="13318" width="41.5" style="1608" customWidth="1"/>
    <col min="13319" max="13568" width="9" style="1608"/>
    <col min="13569" max="13569" width="5.19921875" style="1608" customWidth="1"/>
    <col min="13570" max="13570" width="56.3984375" style="1608" customWidth="1"/>
    <col min="13571" max="13571" width="19.19921875" style="1608" customWidth="1"/>
    <col min="13572" max="13572" width="11.8984375" style="1608" customWidth="1"/>
    <col min="13573" max="13573" width="9" style="1608"/>
    <col min="13574" max="13574" width="41.5" style="1608" customWidth="1"/>
    <col min="13575" max="13824" width="9" style="1608"/>
    <col min="13825" max="13825" width="5.19921875" style="1608" customWidth="1"/>
    <col min="13826" max="13826" width="56.3984375" style="1608" customWidth="1"/>
    <col min="13827" max="13827" width="19.19921875" style="1608" customWidth="1"/>
    <col min="13828" max="13828" width="11.8984375" style="1608" customWidth="1"/>
    <col min="13829" max="13829" width="9" style="1608"/>
    <col min="13830" max="13830" width="41.5" style="1608" customWidth="1"/>
    <col min="13831" max="14080" width="9" style="1608"/>
    <col min="14081" max="14081" width="5.19921875" style="1608" customWidth="1"/>
    <col min="14082" max="14082" width="56.3984375" style="1608" customWidth="1"/>
    <col min="14083" max="14083" width="19.19921875" style="1608" customWidth="1"/>
    <col min="14084" max="14084" width="11.8984375" style="1608" customWidth="1"/>
    <col min="14085" max="14085" width="9" style="1608"/>
    <col min="14086" max="14086" width="41.5" style="1608" customWidth="1"/>
    <col min="14087" max="14336" width="9" style="1608"/>
    <col min="14337" max="14337" width="5.19921875" style="1608" customWidth="1"/>
    <col min="14338" max="14338" width="56.3984375" style="1608" customWidth="1"/>
    <col min="14339" max="14339" width="19.19921875" style="1608" customWidth="1"/>
    <col min="14340" max="14340" width="11.8984375" style="1608" customWidth="1"/>
    <col min="14341" max="14341" width="9" style="1608"/>
    <col min="14342" max="14342" width="41.5" style="1608" customWidth="1"/>
    <col min="14343" max="14592" width="9" style="1608"/>
    <col min="14593" max="14593" width="5.19921875" style="1608" customWidth="1"/>
    <col min="14594" max="14594" width="56.3984375" style="1608" customWidth="1"/>
    <col min="14595" max="14595" width="19.19921875" style="1608" customWidth="1"/>
    <col min="14596" max="14596" width="11.8984375" style="1608" customWidth="1"/>
    <col min="14597" max="14597" width="9" style="1608"/>
    <col min="14598" max="14598" width="41.5" style="1608" customWidth="1"/>
    <col min="14599" max="14848" width="9" style="1608"/>
    <col min="14849" max="14849" width="5.19921875" style="1608" customWidth="1"/>
    <col min="14850" max="14850" width="56.3984375" style="1608" customWidth="1"/>
    <col min="14851" max="14851" width="19.19921875" style="1608" customWidth="1"/>
    <col min="14852" max="14852" width="11.8984375" style="1608" customWidth="1"/>
    <col min="14853" max="14853" width="9" style="1608"/>
    <col min="14854" max="14854" width="41.5" style="1608" customWidth="1"/>
    <col min="14855" max="15104" width="9" style="1608"/>
    <col min="15105" max="15105" width="5.19921875" style="1608" customWidth="1"/>
    <col min="15106" max="15106" width="56.3984375" style="1608" customWidth="1"/>
    <col min="15107" max="15107" width="19.19921875" style="1608" customWidth="1"/>
    <col min="15108" max="15108" width="11.8984375" style="1608" customWidth="1"/>
    <col min="15109" max="15109" width="9" style="1608"/>
    <col min="15110" max="15110" width="41.5" style="1608" customWidth="1"/>
    <col min="15111" max="15360" width="9" style="1608"/>
    <col min="15361" max="15361" width="5.19921875" style="1608" customWidth="1"/>
    <col min="15362" max="15362" width="56.3984375" style="1608" customWidth="1"/>
    <col min="15363" max="15363" width="19.19921875" style="1608" customWidth="1"/>
    <col min="15364" max="15364" width="11.8984375" style="1608" customWidth="1"/>
    <col min="15365" max="15365" width="9" style="1608"/>
    <col min="15366" max="15366" width="41.5" style="1608" customWidth="1"/>
    <col min="15367" max="15616" width="9" style="1608"/>
    <col min="15617" max="15617" width="5.19921875" style="1608" customWidth="1"/>
    <col min="15618" max="15618" width="56.3984375" style="1608" customWidth="1"/>
    <col min="15619" max="15619" width="19.19921875" style="1608" customWidth="1"/>
    <col min="15620" max="15620" width="11.8984375" style="1608" customWidth="1"/>
    <col min="15621" max="15621" width="9" style="1608"/>
    <col min="15622" max="15622" width="41.5" style="1608" customWidth="1"/>
    <col min="15623" max="15872" width="9" style="1608"/>
    <col min="15873" max="15873" width="5.19921875" style="1608" customWidth="1"/>
    <col min="15874" max="15874" width="56.3984375" style="1608" customWidth="1"/>
    <col min="15875" max="15875" width="19.19921875" style="1608" customWidth="1"/>
    <col min="15876" max="15876" width="11.8984375" style="1608" customWidth="1"/>
    <col min="15877" max="15877" width="9" style="1608"/>
    <col min="15878" max="15878" width="41.5" style="1608" customWidth="1"/>
    <col min="15879" max="16128" width="9" style="1608"/>
    <col min="16129" max="16129" width="5.19921875" style="1608" customWidth="1"/>
    <col min="16130" max="16130" width="56.3984375" style="1608" customWidth="1"/>
    <col min="16131" max="16131" width="19.19921875" style="1608" customWidth="1"/>
    <col min="16132" max="16132" width="11.8984375" style="1608" customWidth="1"/>
    <col min="16133" max="16133" width="9" style="1608"/>
    <col min="16134" max="16134" width="41.5" style="1608" customWidth="1"/>
    <col min="16135" max="16384" width="9" style="1608"/>
  </cols>
  <sheetData>
    <row r="1" spans="1:6" ht="20.100000000000001" customHeight="1">
      <c r="A1" s="3460" t="s">
        <v>5657</v>
      </c>
      <c r="B1" s="3460"/>
      <c r="C1" s="3460"/>
      <c r="D1" s="2019"/>
    </row>
    <row r="2" spans="1:6" s="1609" customFormat="1" ht="25.5" customHeight="1">
      <c r="A2" s="3401" t="s">
        <v>5658</v>
      </c>
      <c r="B2" s="3401"/>
      <c r="C2" s="3461"/>
      <c r="D2" s="1876"/>
    </row>
    <row r="3" spans="1:6" s="1610" customFormat="1" ht="14.25" customHeight="1">
      <c r="A3" s="1877" t="s">
        <v>1853</v>
      </c>
      <c r="B3" s="1877" t="s">
        <v>665</v>
      </c>
      <c r="C3" s="1877" t="s">
        <v>2353</v>
      </c>
      <c r="D3" s="1877" t="s">
        <v>4899</v>
      </c>
      <c r="F3" s="1611"/>
    </row>
    <row r="4" spans="1:6" s="1610" customFormat="1" ht="14.25" customHeight="1">
      <c r="A4" s="3476" t="s">
        <v>6829</v>
      </c>
      <c r="B4" s="3477"/>
      <c r="C4" s="3477"/>
      <c r="D4" s="3478"/>
    </row>
    <row r="5" spans="1:6" s="1610" customFormat="1" ht="14.25" customHeight="1">
      <c r="A5" s="1877">
        <v>1</v>
      </c>
      <c r="B5" s="1879" t="s">
        <v>5659</v>
      </c>
      <c r="C5" s="2240">
        <f>抵扣应纳税所得额审核表!C5</f>
        <v>0</v>
      </c>
      <c r="D5" s="1983"/>
    </row>
    <row r="6" spans="1:6" s="1610" customFormat="1" ht="14.25" customHeight="1">
      <c r="A6" s="1877">
        <v>2</v>
      </c>
      <c r="B6" s="1878" t="s">
        <v>5660</v>
      </c>
      <c r="C6" s="2285">
        <f>抵扣应纳税所得额审核表!C6</f>
        <v>0.7</v>
      </c>
      <c r="D6" s="1983"/>
    </row>
    <row r="7" spans="1:6" s="1610" customFormat="1" ht="14.25" customHeight="1">
      <c r="A7" s="1877">
        <v>3</v>
      </c>
      <c r="B7" s="1878" t="s">
        <v>6830</v>
      </c>
      <c r="C7" s="2240">
        <f>抵扣应纳税所得额审核表!C7</f>
        <v>0</v>
      </c>
      <c r="D7" s="1983"/>
    </row>
    <row r="8" spans="1:6" s="1610" customFormat="1" ht="14.25" customHeight="1">
      <c r="A8" s="1877">
        <v>4</v>
      </c>
      <c r="B8" s="1878" t="s">
        <v>5661</v>
      </c>
      <c r="C8" s="2240">
        <f>抵扣应纳税所得额审核表!C8</f>
        <v>0</v>
      </c>
      <c r="D8" s="1983"/>
    </row>
    <row r="9" spans="1:6" s="1610" customFormat="1" ht="16.5" customHeight="1">
      <c r="A9" s="1877">
        <v>5</v>
      </c>
      <c r="B9" s="1878" t="s">
        <v>6831</v>
      </c>
      <c r="C9" s="2240">
        <f>抵扣应纳税所得额审核表!C9</f>
        <v>0</v>
      </c>
      <c r="D9" s="1983"/>
    </row>
    <row r="10" spans="1:6" s="1610" customFormat="1" ht="16.5" customHeight="1">
      <c r="A10" s="1877">
        <v>6</v>
      </c>
      <c r="B10" s="1878" t="s">
        <v>5662</v>
      </c>
      <c r="C10" s="2240">
        <f ca="1">抵扣应纳税所得额审核表!C10</f>
        <v>0</v>
      </c>
      <c r="D10" s="2284" t="s">
        <v>7662</v>
      </c>
    </row>
    <row r="11" spans="1:6" s="1610" customFormat="1" ht="16.5" customHeight="1">
      <c r="A11" s="1877">
        <v>7</v>
      </c>
      <c r="B11" s="1878" t="s">
        <v>6832</v>
      </c>
      <c r="C11" s="2240">
        <f ca="1">抵扣应纳税所得额审核表!C11</f>
        <v>0</v>
      </c>
      <c r="D11" s="1983"/>
    </row>
    <row r="12" spans="1:6" s="1610" customFormat="1" ht="16.5" customHeight="1">
      <c r="A12" s="1877">
        <v>8</v>
      </c>
      <c r="B12" s="1878" t="s">
        <v>5665</v>
      </c>
      <c r="C12" s="2240">
        <f ca="1">抵扣应纳税所得额审核表!C12</f>
        <v>0</v>
      </c>
      <c r="D12" s="1983"/>
    </row>
    <row r="13" spans="1:6" s="1610" customFormat="1" ht="16.5" customHeight="1">
      <c r="A13" s="3476" t="s">
        <v>6833</v>
      </c>
      <c r="B13" s="3477"/>
      <c r="C13" s="3477"/>
      <c r="D13" s="3478"/>
    </row>
    <row r="14" spans="1:6" s="1610" customFormat="1" ht="16.5" customHeight="1">
      <c r="A14" s="1877">
        <v>9</v>
      </c>
      <c r="B14" s="1878" t="s">
        <v>6835</v>
      </c>
      <c r="C14" s="2240">
        <f>抵扣应纳税所得额审核表!C14</f>
        <v>0</v>
      </c>
      <c r="D14" s="1983"/>
    </row>
    <row r="15" spans="1:6" s="1610" customFormat="1" ht="16.5" customHeight="1">
      <c r="A15" s="1877">
        <v>10</v>
      </c>
      <c r="B15" s="1878" t="s">
        <v>6836</v>
      </c>
      <c r="C15" s="2240">
        <f>抵扣应纳税所得额审核表!C15</f>
        <v>0</v>
      </c>
      <c r="D15" s="1983"/>
    </row>
    <row r="16" spans="1:6" s="1610" customFormat="1" ht="16.5" customHeight="1">
      <c r="A16" s="1877">
        <v>11</v>
      </c>
      <c r="B16" s="1878" t="s">
        <v>6837</v>
      </c>
      <c r="C16" s="2240">
        <f>抵扣应纳税所得额审核表!C16</f>
        <v>0</v>
      </c>
      <c r="D16" s="1983"/>
    </row>
    <row r="17" spans="1:5" s="1610" customFormat="1" ht="16.5" customHeight="1">
      <c r="A17" s="1877">
        <v>12</v>
      </c>
      <c r="B17" s="1878" t="s">
        <v>6838</v>
      </c>
      <c r="C17" s="2240">
        <f>抵扣应纳税所得额审核表!C17</f>
        <v>0</v>
      </c>
      <c r="D17" s="1983"/>
    </row>
    <row r="18" spans="1:5" s="1610" customFormat="1" ht="38.25" customHeight="1">
      <c r="A18" s="1877">
        <v>13</v>
      </c>
      <c r="B18" s="1878" t="s">
        <v>6839</v>
      </c>
      <c r="C18" s="2240">
        <f ca="1">抵扣应纳税所得额审核表!C18</f>
        <v>0</v>
      </c>
      <c r="D18" s="1984"/>
    </row>
    <row r="19" spans="1:5" s="1610" customFormat="1" ht="30" customHeight="1">
      <c r="A19" s="1877">
        <v>14</v>
      </c>
      <c r="B19" s="1878" t="s">
        <v>6840</v>
      </c>
      <c r="C19" s="2240">
        <f>抵扣应纳税所得额审核表!C19</f>
        <v>0</v>
      </c>
      <c r="D19" s="1985"/>
    </row>
    <row r="20" spans="1:5" s="1610" customFormat="1" ht="14.25" customHeight="1">
      <c r="A20" s="3476" t="s">
        <v>6834</v>
      </c>
      <c r="B20" s="3477"/>
      <c r="C20" s="3477"/>
      <c r="D20" s="3478"/>
      <c r="E20" s="1675" t="s">
        <v>6467</v>
      </c>
    </row>
    <row r="21" spans="1:5">
      <c r="A21" s="1877">
        <v>15</v>
      </c>
      <c r="B21" s="1878" t="s">
        <v>6841</v>
      </c>
      <c r="C21" s="2240">
        <f ca="1">抵扣应纳税所得额审核表!C21</f>
        <v>0</v>
      </c>
      <c r="D21" s="1983" t="s">
        <v>7661</v>
      </c>
    </row>
  </sheetData>
  <mergeCells count="5">
    <mergeCell ref="A1:C1"/>
    <mergeCell ref="A2:C2"/>
    <mergeCell ref="A4:D4"/>
    <mergeCell ref="A13:D13"/>
    <mergeCell ref="A20:D20"/>
  </mergeCells>
  <phoneticPr fontId="51" type="noConversion"/>
  <hyperlinks>
    <hyperlink ref="E20" location="抵扣应纳税所得额审核表!A1" display="抵扣应纳税所得额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tabColor rgb="FFFFFF00"/>
  </sheetPr>
  <dimension ref="A1:J53"/>
  <sheetViews>
    <sheetView workbookViewId="0">
      <selection activeCell="J16" sqref="J16"/>
    </sheetView>
  </sheetViews>
  <sheetFormatPr defaultRowHeight="15.6"/>
  <cols>
    <col min="1" max="1" width="5.19921875" style="1605" customWidth="1"/>
    <col min="2" max="2" width="48.09765625" style="1605" customWidth="1"/>
    <col min="3" max="3" width="13.09765625" style="1605" customWidth="1"/>
    <col min="4" max="4" width="12.3984375" style="1605" customWidth="1"/>
    <col min="5" max="5" width="20.19921875" style="1605" customWidth="1"/>
    <col min="6" max="6" width="9" style="1605"/>
    <col min="7" max="7" width="17.59765625" style="1605" customWidth="1"/>
    <col min="8" max="257" width="9" style="1605"/>
    <col min="258" max="258" width="5.19921875" style="1605" customWidth="1"/>
    <col min="259" max="259" width="48.09765625" style="1605" customWidth="1"/>
    <col min="260" max="260" width="7.8984375" style="1605" customWidth="1"/>
    <col min="261" max="261" width="20.19921875" style="1605" customWidth="1"/>
    <col min="262" max="262" width="9" style="1605"/>
    <col min="263" max="263" width="17.59765625" style="1605" customWidth="1"/>
    <col min="264" max="513" width="9" style="1605"/>
    <col min="514" max="514" width="5.19921875" style="1605" customWidth="1"/>
    <col min="515" max="515" width="48.09765625" style="1605" customWidth="1"/>
    <col min="516" max="516" width="7.8984375" style="1605" customWidth="1"/>
    <col min="517" max="517" width="20.19921875" style="1605" customWidth="1"/>
    <col min="518" max="518" width="9" style="1605"/>
    <col min="519" max="519" width="17.59765625" style="1605" customWidth="1"/>
    <col min="520" max="769" width="9" style="1605"/>
    <col min="770" max="770" width="5.19921875" style="1605" customWidth="1"/>
    <col min="771" max="771" width="48.09765625" style="1605" customWidth="1"/>
    <col min="772" max="772" width="7.8984375" style="1605" customWidth="1"/>
    <col min="773" max="773" width="20.19921875" style="1605" customWidth="1"/>
    <col min="774" max="774" width="9" style="1605"/>
    <col min="775" max="775" width="17.59765625" style="1605" customWidth="1"/>
    <col min="776" max="1025" width="9" style="1605"/>
    <col min="1026" max="1026" width="5.19921875" style="1605" customWidth="1"/>
    <col min="1027" max="1027" width="48.09765625" style="1605" customWidth="1"/>
    <col min="1028" max="1028" width="7.8984375" style="1605" customWidth="1"/>
    <col min="1029" max="1029" width="20.19921875" style="1605" customWidth="1"/>
    <col min="1030" max="1030" width="9" style="1605"/>
    <col min="1031" max="1031" width="17.59765625" style="1605" customWidth="1"/>
    <col min="1032" max="1281" width="9" style="1605"/>
    <col min="1282" max="1282" width="5.19921875" style="1605" customWidth="1"/>
    <col min="1283" max="1283" width="48.09765625" style="1605" customWidth="1"/>
    <col min="1284" max="1284" width="7.8984375" style="1605" customWidth="1"/>
    <col min="1285" max="1285" width="20.19921875" style="1605" customWidth="1"/>
    <col min="1286" max="1286" width="9" style="1605"/>
    <col min="1287" max="1287" width="17.59765625" style="1605" customWidth="1"/>
    <col min="1288" max="1537" width="9" style="1605"/>
    <col min="1538" max="1538" width="5.19921875" style="1605" customWidth="1"/>
    <col min="1539" max="1539" width="48.09765625" style="1605" customWidth="1"/>
    <col min="1540" max="1540" width="7.8984375" style="1605" customWidth="1"/>
    <col min="1541" max="1541" width="20.19921875" style="1605" customWidth="1"/>
    <col min="1542" max="1542" width="9" style="1605"/>
    <col min="1543" max="1543" width="17.59765625" style="1605" customWidth="1"/>
    <col min="1544" max="1793" width="9" style="1605"/>
    <col min="1794" max="1794" width="5.19921875" style="1605" customWidth="1"/>
    <col min="1795" max="1795" width="48.09765625" style="1605" customWidth="1"/>
    <col min="1796" max="1796" width="7.8984375" style="1605" customWidth="1"/>
    <col min="1797" max="1797" width="20.19921875" style="1605" customWidth="1"/>
    <col min="1798" max="1798" width="9" style="1605"/>
    <col min="1799" max="1799" width="17.59765625" style="1605" customWidth="1"/>
    <col min="1800" max="2049" width="9" style="1605"/>
    <col min="2050" max="2050" width="5.19921875" style="1605" customWidth="1"/>
    <col min="2051" max="2051" width="48.09765625" style="1605" customWidth="1"/>
    <col min="2052" max="2052" width="7.8984375" style="1605" customWidth="1"/>
    <col min="2053" max="2053" width="20.19921875" style="1605" customWidth="1"/>
    <col min="2054" max="2054" width="9" style="1605"/>
    <col min="2055" max="2055" width="17.59765625" style="1605" customWidth="1"/>
    <col min="2056" max="2305" width="9" style="1605"/>
    <col min="2306" max="2306" width="5.19921875" style="1605" customWidth="1"/>
    <col min="2307" max="2307" width="48.09765625" style="1605" customWidth="1"/>
    <col min="2308" max="2308" width="7.8984375" style="1605" customWidth="1"/>
    <col min="2309" max="2309" width="20.19921875" style="1605" customWidth="1"/>
    <col min="2310" max="2310" width="9" style="1605"/>
    <col min="2311" max="2311" width="17.59765625" style="1605" customWidth="1"/>
    <col min="2312" max="2561" width="9" style="1605"/>
    <col min="2562" max="2562" width="5.19921875" style="1605" customWidth="1"/>
    <col min="2563" max="2563" width="48.09765625" style="1605" customWidth="1"/>
    <col min="2564" max="2564" width="7.8984375" style="1605" customWidth="1"/>
    <col min="2565" max="2565" width="20.19921875" style="1605" customWidth="1"/>
    <col min="2566" max="2566" width="9" style="1605"/>
    <col min="2567" max="2567" width="17.59765625" style="1605" customWidth="1"/>
    <col min="2568" max="2817" width="9" style="1605"/>
    <col min="2818" max="2818" width="5.19921875" style="1605" customWidth="1"/>
    <col min="2819" max="2819" width="48.09765625" style="1605" customWidth="1"/>
    <col min="2820" max="2820" width="7.8984375" style="1605" customWidth="1"/>
    <col min="2821" max="2821" width="20.19921875" style="1605" customWidth="1"/>
    <col min="2822" max="2822" width="9" style="1605"/>
    <col min="2823" max="2823" width="17.59765625" style="1605" customWidth="1"/>
    <col min="2824" max="3073" width="9" style="1605"/>
    <col min="3074" max="3074" width="5.19921875" style="1605" customWidth="1"/>
    <col min="3075" max="3075" width="48.09765625" style="1605" customWidth="1"/>
    <col min="3076" max="3076" width="7.8984375" style="1605" customWidth="1"/>
    <col min="3077" max="3077" width="20.19921875" style="1605" customWidth="1"/>
    <col min="3078" max="3078" width="9" style="1605"/>
    <col min="3079" max="3079" width="17.59765625" style="1605" customWidth="1"/>
    <col min="3080" max="3329" width="9" style="1605"/>
    <col min="3330" max="3330" width="5.19921875" style="1605" customWidth="1"/>
    <col min="3331" max="3331" width="48.09765625" style="1605" customWidth="1"/>
    <col min="3332" max="3332" width="7.8984375" style="1605" customWidth="1"/>
    <col min="3333" max="3333" width="20.19921875" style="1605" customWidth="1"/>
    <col min="3334" max="3334" width="9" style="1605"/>
    <col min="3335" max="3335" width="17.59765625" style="1605" customWidth="1"/>
    <col min="3336" max="3585" width="9" style="1605"/>
    <col min="3586" max="3586" width="5.19921875" style="1605" customWidth="1"/>
    <col min="3587" max="3587" width="48.09765625" style="1605" customWidth="1"/>
    <col min="3588" max="3588" width="7.8984375" style="1605" customWidth="1"/>
    <col min="3589" max="3589" width="20.19921875" style="1605" customWidth="1"/>
    <col min="3590" max="3590" width="9" style="1605"/>
    <col min="3591" max="3591" width="17.59765625" style="1605" customWidth="1"/>
    <col min="3592" max="3841" width="9" style="1605"/>
    <col min="3842" max="3842" width="5.19921875" style="1605" customWidth="1"/>
    <col min="3843" max="3843" width="48.09765625" style="1605" customWidth="1"/>
    <col min="3844" max="3844" width="7.8984375" style="1605" customWidth="1"/>
    <col min="3845" max="3845" width="20.19921875" style="1605" customWidth="1"/>
    <col min="3846" max="3846" width="9" style="1605"/>
    <col min="3847" max="3847" width="17.59765625" style="1605" customWidth="1"/>
    <col min="3848" max="4097" width="9" style="1605"/>
    <col min="4098" max="4098" width="5.19921875" style="1605" customWidth="1"/>
    <col min="4099" max="4099" width="48.09765625" style="1605" customWidth="1"/>
    <col min="4100" max="4100" width="7.8984375" style="1605" customWidth="1"/>
    <col min="4101" max="4101" width="20.19921875" style="1605" customWidth="1"/>
    <col min="4102" max="4102" width="9" style="1605"/>
    <col min="4103" max="4103" width="17.59765625" style="1605" customWidth="1"/>
    <col min="4104" max="4353" width="9" style="1605"/>
    <col min="4354" max="4354" width="5.19921875" style="1605" customWidth="1"/>
    <col min="4355" max="4355" width="48.09765625" style="1605" customWidth="1"/>
    <col min="4356" max="4356" width="7.8984375" style="1605" customWidth="1"/>
    <col min="4357" max="4357" width="20.19921875" style="1605" customWidth="1"/>
    <col min="4358" max="4358" width="9" style="1605"/>
    <col min="4359" max="4359" width="17.59765625" style="1605" customWidth="1"/>
    <col min="4360" max="4609" width="9" style="1605"/>
    <col min="4610" max="4610" width="5.19921875" style="1605" customWidth="1"/>
    <col min="4611" max="4611" width="48.09765625" style="1605" customWidth="1"/>
    <col min="4612" max="4612" width="7.8984375" style="1605" customWidth="1"/>
    <col min="4613" max="4613" width="20.19921875" style="1605" customWidth="1"/>
    <col min="4614" max="4614" width="9" style="1605"/>
    <col min="4615" max="4615" width="17.59765625" style="1605" customWidth="1"/>
    <col min="4616" max="4865" width="9" style="1605"/>
    <col min="4866" max="4866" width="5.19921875" style="1605" customWidth="1"/>
    <col min="4867" max="4867" width="48.09765625" style="1605" customWidth="1"/>
    <col min="4868" max="4868" width="7.8984375" style="1605" customWidth="1"/>
    <col min="4869" max="4869" width="20.19921875" style="1605" customWidth="1"/>
    <col min="4870" max="4870" width="9" style="1605"/>
    <col min="4871" max="4871" width="17.59765625" style="1605" customWidth="1"/>
    <col min="4872" max="5121" width="9" style="1605"/>
    <col min="5122" max="5122" width="5.19921875" style="1605" customWidth="1"/>
    <col min="5123" max="5123" width="48.09765625" style="1605" customWidth="1"/>
    <col min="5124" max="5124" width="7.8984375" style="1605" customWidth="1"/>
    <col min="5125" max="5125" width="20.19921875" style="1605" customWidth="1"/>
    <col min="5126" max="5126" width="9" style="1605"/>
    <col min="5127" max="5127" width="17.59765625" style="1605" customWidth="1"/>
    <col min="5128" max="5377" width="9" style="1605"/>
    <col min="5378" max="5378" width="5.19921875" style="1605" customWidth="1"/>
    <col min="5379" max="5379" width="48.09765625" style="1605" customWidth="1"/>
    <col min="5380" max="5380" width="7.8984375" style="1605" customWidth="1"/>
    <col min="5381" max="5381" width="20.19921875" style="1605" customWidth="1"/>
    <col min="5382" max="5382" width="9" style="1605"/>
    <col min="5383" max="5383" width="17.59765625" style="1605" customWidth="1"/>
    <col min="5384" max="5633" width="9" style="1605"/>
    <col min="5634" max="5634" width="5.19921875" style="1605" customWidth="1"/>
    <col min="5635" max="5635" width="48.09765625" style="1605" customWidth="1"/>
    <col min="5636" max="5636" width="7.8984375" style="1605" customWidth="1"/>
    <col min="5637" max="5637" width="20.19921875" style="1605" customWidth="1"/>
    <col min="5638" max="5638" width="9" style="1605"/>
    <col min="5639" max="5639" width="17.59765625" style="1605" customWidth="1"/>
    <col min="5640" max="5889" width="9" style="1605"/>
    <col min="5890" max="5890" width="5.19921875" style="1605" customWidth="1"/>
    <col min="5891" max="5891" width="48.09765625" style="1605" customWidth="1"/>
    <col min="5892" max="5892" width="7.8984375" style="1605" customWidth="1"/>
    <col min="5893" max="5893" width="20.19921875" style="1605" customWidth="1"/>
    <col min="5894" max="5894" width="9" style="1605"/>
    <col min="5895" max="5895" width="17.59765625" style="1605" customWidth="1"/>
    <col min="5896" max="6145" width="9" style="1605"/>
    <col min="6146" max="6146" width="5.19921875" style="1605" customWidth="1"/>
    <col min="6147" max="6147" width="48.09765625" style="1605" customWidth="1"/>
    <col min="6148" max="6148" width="7.8984375" style="1605" customWidth="1"/>
    <col min="6149" max="6149" width="20.19921875" style="1605" customWidth="1"/>
    <col min="6150" max="6150" width="9" style="1605"/>
    <col min="6151" max="6151" width="17.59765625" style="1605" customWidth="1"/>
    <col min="6152" max="6401" width="9" style="1605"/>
    <col min="6402" max="6402" width="5.19921875" style="1605" customWidth="1"/>
    <col min="6403" max="6403" width="48.09765625" style="1605" customWidth="1"/>
    <col min="6404" max="6404" width="7.8984375" style="1605" customWidth="1"/>
    <col min="6405" max="6405" width="20.19921875" style="1605" customWidth="1"/>
    <col min="6406" max="6406" width="9" style="1605"/>
    <col min="6407" max="6407" width="17.59765625" style="1605" customWidth="1"/>
    <col min="6408" max="6657" width="9" style="1605"/>
    <col min="6658" max="6658" width="5.19921875" style="1605" customWidth="1"/>
    <col min="6659" max="6659" width="48.09765625" style="1605" customWidth="1"/>
    <col min="6660" max="6660" width="7.8984375" style="1605" customWidth="1"/>
    <col min="6661" max="6661" width="20.19921875" style="1605" customWidth="1"/>
    <col min="6662" max="6662" width="9" style="1605"/>
    <col min="6663" max="6663" width="17.59765625" style="1605" customWidth="1"/>
    <col min="6664" max="6913" width="9" style="1605"/>
    <col min="6914" max="6914" width="5.19921875" style="1605" customWidth="1"/>
    <col min="6915" max="6915" width="48.09765625" style="1605" customWidth="1"/>
    <col min="6916" max="6916" width="7.8984375" style="1605" customWidth="1"/>
    <col min="6917" max="6917" width="20.19921875" style="1605" customWidth="1"/>
    <col min="6918" max="6918" width="9" style="1605"/>
    <col min="6919" max="6919" width="17.59765625" style="1605" customWidth="1"/>
    <col min="6920" max="7169" width="9" style="1605"/>
    <col min="7170" max="7170" width="5.19921875" style="1605" customWidth="1"/>
    <col min="7171" max="7171" width="48.09765625" style="1605" customWidth="1"/>
    <col min="7172" max="7172" width="7.8984375" style="1605" customWidth="1"/>
    <col min="7173" max="7173" width="20.19921875" style="1605" customWidth="1"/>
    <col min="7174" max="7174" width="9" style="1605"/>
    <col min="7175" max="7175" width="17.59765625" style="1605" customWidth="1"/>
    <col min="7176" max="7425" width="9" style="1605"/>
    <col min="7426" max="7426" width="5.19921875" style="1605" customWidth="1"/>
    <col min="7427" max="7427" width="48.09765625" style="1605" customWidth="1"/>
    <col min="7428" max="7428" width="7.8984375" style="1605" customWidth="1"/>
    <col min="7429" max="7429" width="20.19921875" style="1605" customWidth="1"/>
    <col min="7430" max="7430" width="9" style="1605"/>
    <col min="7431" max="7431" width="17.59765625" style="1605" customWidth="1"/>
    <col min="7432" max="7681" width="9" style="1605"/>
    <col min="7682" max="7682" width="5.19921875" style="1605" customWidth="1"/>
    <col min="7683" max="7683" width="48.09765625" style="1605" customWidth="1"/>
    <col min="7684" max="7684" width="7.8984375" style="1605" customWidth="1"/>
    <col min="7685" max="7685" width="20.19921875" style="1605" customWidth="1"/>
    <col min="7686" max="7686" width="9" style="1605"/>
    <col min="7687" max="7687" width="17.59765625" style="1605" customWidth="1"/>
    <col min="7688" max="7937" width="9" style="1605"/>
    <col min="7938" max="7938" width="5.19921875" style="1605" customWidth="1"/>
    <col min="7939" max="7939" width="48.09765625" style="1605" customWidth="1"/>
    <col min="7940" max="7940" width="7.8984375" style="1605" customWidth="1"/>
    <col min="7941" max="7941" width="20.19921875" style="1605" customWidth="1"/>
    <col min="7942" max="7942" width="9" style="1605"/>
    <col min="7943" max="7943" width="17.59765625" style="1605" customWidth="1"/>
    <col min="7944" max="8193" width="9" style="1605"/>
    <col min="8194" max="8194" width="5.19921875" style="1605" customWidth="1"/>
    <col min="8195" max="8195" width="48.09765625" style="1605" customWidth="1"/>
    <col min="8196" max="8196" width="7.8984375" style="1605" customWidth="1"/>
    <col min="8197" max="8197" width="20.19921875" style="1605" customWidth="1"/>
    <col min="8198" max="8198" width="9" style="1605"/>
    <col min="8199" max="8199" width="17.59765625" style="1605" customWidth="1"/>
    <col min="8200" max="8449" width="9" style="1605"/>
    <col min="8450" max="8450" width="5.19921875" style="1605" customWidth="1"/>
    <col min="8451" max="8451" width="48.09765625" style="1605" customWidth="1"/>
    <col min="8452" max="8452" width="7.8984375" style="1605" customWidth="1"/>
    <col min="8453" max="8453" width="20.19921875" style="1605" customWidth="1"/>
    <col min="8454" max="8454" width="9" style="1605"/>
    <col min="8455" max="8455" width="17.59765625" style="1605" customWidth="1"/>
    <col min="8456" max="8705" width="9" style="1605"/>
    <col min="8706" max="8706" width="5.19921875" style="1605" customWidth="1"/>
    <col min="8707" max="8707" width="48.09765625" style="1605" customWidth="1"/>
    <col min="8708" max="8708" width="7.8984375" style="1605" customWidth="1"/>
    <col min="8709" max="8709" width="20.19921875" style="1605" customWidth="1"/>
    <col min="8710" max="8710" width="9" style="1605"/>
    <col min="8711" max="8711" width="17.59765625" style="1605" customWidth="1"/>
    <col min="8712" max="8961" width="9" style="1605"/>
    <col min="8962" max="8962" width="5.19921875" style="1605" customWidth="1"/>
    <col min="8963" max="8963" width="48.09765625" style="1605" customWidth="1"/>
    <col min="8964" max="8964" width="7.8984375" style="1605" customWidth="1"/>
    <col min="8965" max="8965" width="20.19921875" style="1605" customWidth="1"/>
    <col min="8966" max="8966" width="9" style="1605"/>
    <col min="8967" max="8967" width="17.59765625" style="1605" customWidth="1"/>
    <col min="8968" max="9217" width="9" style="1605"/>
    <col min="9218" max="9218" width="5.19921875" style="1605" customWidth="1"/>
    <col min="9219" max="9219" width="48.09765625" style="1605" customWidth="1"/>
    <col min="9220" max="9220" width="7.8984375" style="1605" customWidth="1"/>
    <col min="9221" max="9221" width="20.19921875" style="1605" customWidth="1"/>
    <col min="9222" max="9222" width="9" style="1605"/>
    <col min="9223" max="9223" width="17.59765625" style="1605" customWidth="1"/>
    <col min="9224" max="9473" width="9" style="1605"/>
    <col min="9474" max="9474" width="5.19921875" style="1605" customWidth="1"/>
    <col min="9475" max="9475" width="48.09765625" style="1605" customWidth="1"/>
    <col min="9476" max="9476" width="7.8984375" style="1605" customWidth="1"/>
    <col min="9477" max="9477" width="20.19921875" style="1605" customWidth="1"/>
    <col min="9478" max="9478" width="9" style="1605"/>
    <col min="9479" max="9479" width="17.59765625" style="1605" customWidth="1"/>
    <col min="9480" max="9729" width="9" style="1605"/>
    <col min="9730" max="9730" width="5.19921875" style="1605" customWidth="1"/>
    <col min="9731" max="9731" width="48.09765625" style="1605" customWidth="1"/>
    <col min="9732" max="9732" width="7.8984375" style="1605" customWidth="1"/>
    <col min="9733" max="9733" width="20.19921875" style="1605" customWidth="1"/>
    <col min="9734" max="9734" width="9" style="1605"/>
    <col min="9735" max="9735" width="17.59765625" style="1605" customWidth="1"/>
    <col min="9736" max="9985" width="9" style="1605"/>
    <col min="9986" max="9986" width="5.19921875" style="1605" customWidth="1"/>
    <col min="9987" max="9987" width="48.09765625" style="1605" customWidth="1"/>
    <col min="9988" max="9988" width="7.8984375" style="1605" customWidth="1"/>
    <col min="9989" max="9989" width="20.19921875" style="1605" customWidth="1"/>
    <col min="9990" max="9990" width="9" style="1605"/>
    <col min="9991" max="9991" width="17.59765625" style="1605" customWidth="1"/>
    <col min="9992" max="10241" width="9" style="1605"/>
    <col min="10242" max="10242" width="5.19921875" style="1605" customWidth="1"/>
    <col min="10243" max="10243" width="48.09765625" style="1605" customWidth="1"/>
    <col min="10244" max="10244" width="7.8984375" style="1605" customWidth="1"/>
    <col min="10245" max="10245" width="20.19921875" style="1605" customWidth="1"/>
    <col min="10246" max="10246" width="9" style="1605"/>
    <col min="10247" max="10247" width="17.59765625" style="1605" customWidth="1"/>
    <col min="10248" max="10497" width="9" style="1605"/>
    <col min="10498" max="10498" width="5.19921875" style="1605" customWidth="1"/>
    <col min="10499" max="10499" width="48.09765625" style="1605" customWidth="1"/>
    <col min="10500" max="10500" width="7.8984375" style="1605" customWidth="1"/>
    <col min="10501" max="10501" width="20.19921875" style="1605" customWidth="1"/>
    <col min="10502" max="10502" width="9" style="1605"/>
    <col min="10503" max="10503" width="17.59765625" style="1605" customWidth="1"/>
    <col min="10504" max="10753" width="9" style="1605"/>
    <col min="10754" max="10754" width="5.19921875" style="1605" customWidth="1"/>
    <col min="10755" max="10755" width="48.09765625" style="1605" customWidth="1"/>
    <col min="10756" max="10756" width="7.8984375" style="1605" customWidth="1"/>
    <col min="10757" max="10757" width="20.19921875" style="1605" customWidth="1"/>
    <col min="10758" max="10758" width="9" style="1605"/>
    <col min="10759" max="10759" width="17.59765625" style="1605" customWidth="1"/>
    <col min="10760" max="11009" width="9" style="1605"/>
    <col min="11010" max="11010" width="5.19921875" style="1605" customWidth="1"/>
    <col min="11011" max="11011" width="48.09765625" style="1605" customWidth="1"/>
    <col min="11012" max="11012" width="7.8984375" style="1605" customWidth="1"/>
    <col min="11013" max="11013" width="20.19921875" style="1605" customWidth="1"/>
    <col min="11014" max="11014" width="9" style="1605"/>
    <col min="11015" max="11015" width="17.59765625" style="1605" customWidth="1"/>
    <col min="11016" max="11265" width="9" style="1605"/>
    <col min="11266" max="11266" width="5.19921875" style="1605" customWidth="1"/>
    <col min="11267" max="11267" width="48.09765625" style="1605" customWidth="1"/>
    <col min="11268" max="11268" width="7.8984375" style="1605" customWidth="1"/>
    <col min="11269" max="11269" width="20.19921875" style="1605" customWidth="1"/>
    <col min="11270" max="11270" width="9" style="1605"/>
    <col min="11271" max="11271" width="17.59765625" style="1605" customWidth="1"/>
    <col min="11272" max="11521" width="9" style="1605"/>
    <col min="11522" max="11522" width="5.19921875" style="1605" customWidth="1"/>
    <col min="11523" max="11523" width="48.09765625" style="1605" customWidth="1"/>
    <col min="11524" max="11524" width="7.8984375" style="1605" customWidth="1"/>
    <col min="11525" max="11525" width="20.19921875" style="1605" customWidth="1"/>
    <col min="11526" max="11526" width="9" style="1605"/>
    <col min="11527" max="11527" width="17.59765625" style="1605" customWidth="1"/>
    <col min="11528" max="11777" width="9" style="1605"/>
    <col min="11778" max="11778" width="5.19921875" style="1605" customWidth="1"/>
    <col min="11779" max="11779" width="48.09765625" style="1605" customWidth="1"/>
    <col min="11780" max="11780" width="7.8984375" style="1605" customWidth="1"/>
    <col min="11781" max="11781" width="20.19921875" style="1605" customWidth="1"/>
    <col min="11782" max="11782" width="9" style="1605"/>
    <col min="11783" max="11783" width="17.59765625" style="1605" customWidth="1"/>
    <col min="11784" max="12033" width="9" style="1605"/>
    <col min="12034" max="12034" width="5.19921875" style="1605" customWidth="1"/>
    <col min="12035" max="12035" width="48.09765625" style="1605" customWidth="1"/>
    <col min="12036" max="12036" width="7.8984375" style="1605" customWidth="1"/>
    <col min="12037" max="12037" width="20.19921875" style="1605" customWidth="1"/>
    <col min="12038" max="12038" width="9" style="1605"/>
    <col min="12039" max="12039" width="17.59765625" style="1605" customWidth="1"/>
    <col min="12040" max="12289" width="9" style="1605"/>
    <col min="12290" max="12290" width="5.19921875" style="1605" customWidth="1"/>
    <col min="12291" max="12291" width="48.09765625" style="1605" customWidth="1"/>
    <col min="12292" max="12292" width="7.8984375" style="1605" customWidth="1"/>
    <col min="12293" max="12293" width="20.19921875" style="1605" customWidth="1"/>
    <col min="12294" max="12294" width="9" style="1605"/>
    <col min="12295" max="12295" width="17.59765625" style="1605" customWidth="1"/>
    <col min="12296" max="12545" width="9" style="1605"/>
    <col min="12546" max="12546" width="5.19921875" style="1605" customWidth="1"/>
    <col min="12547" max="12547" width="48.09765625" style="1605" customWidth="1"/>
    <col min="12548" max="12548" width="7.8984375" style="1605" customWidth="1"/>
    <col min="12549" max="12549" width="20.19921875" style="1605" customWidth="1"/>
    <col min="12550" max="12550" width="9" style="1605"/>
    <col min="12551" max="12551" width="17.59765625" style="1605" customWidth="1"/>
    <col min="12552" max="12801" width="9" style="1605"/>
    <col min="12802" max="12802" width="5.19921875" style="1605" customWidth="1"/>
    <col min="12803" max="12803" width="48.09765625" style="1605" customWidth="1"/>
    <col min="12804" max="12804" width="7.8984375" style="1605" customWidth="1"/>
    <col min="12805" max="12805" width="20.19921875" style="1605" customWidth="1"/>
    <col min="12806" max="12806" width="9" style="1605"/>
    <col min="12807" max="12807" width="17.59765625" style="1605" customWidth="1"/>
    <col min="12808" max="13057" width="9" style="1605"/>
    <col min="13058" max="13058" width="5.19921875" style="1605" customWidth="1"/>
    <col min="13059" max="13059" width="48.09765625" style="1605" customWidth="1"/>
    <col min="13060" max="13060" width="7.8984375" style="1605" customWidth="1"/>
    <col min="13061" max="13061" width="20.19921875" style="1605" customWidth="1"/>
    <col min="13062" max="13062" width="9" style="1605"/>
    <col min="13063" max="13063" width="17.59765625" style="1605" customWidth="1"/>
    <col min="13064" max="13313" width="9" style="1605"/>
    <col min="13314" max="13314" width="5.19921875" style="1605" customWidth="1"/>
    <col min="13315" max="13315" width="48.09765625" style="1605" customWidth="1"/>
    <col min="13316" max="13316" width="7.8984375" style="1605" customWidth="1"/>
    <col min="13317" max="13317" width="20.19921875" style="1605" customWidth="1"/>
    <col min="13318" max="13318" width="9" style="1605"/>
    <col min="13319" max="13319" width="17.59765625" style="1605" customWidth="1"/>
    <col min="13320" max="13569" width="9" style="1605"/>
    <col min="13570" max="13570" width="5.19921875" style="1605" customWidth="1"/>
    <col min="13571" max="13571" width="48.09765625" style="1605" customWidth="1"/>
    <col min="13572" max="13572" width="7.8984375" style="1605" customWidth="1"/>
    <col min="13573" max="13573" width="20.19921875" style="1605" customWidth="1"/>
    <col min="13574" max="13574" width="9" style="1605"/>
    <col min="13575" max="13575" width="17.59765625" style="1605" customWidth="1"/>
    <col min="13576" max="13825" width="9" style="1605"/>
    <col min="13826" max="13826" width="5.19921875" style="1605" customWidth="1"/>
    <col min="13827" max="13827" width="48.09765625" style="1605" customWidth="1"/>
    <col min="13828" max="13828" width="7.8984375" style="1605" customWidth="1"/>
    <col min="13829" max="13829" width="20.19921875" style="1605" customWidth="1"/>
    <col min="13830" max="13830" width="9" style="1605"/>
    <col min="13831" max="13831" width="17.59765625" style="1605" customWidth="1"/>
    <col min="13832" max="14081" width="9" style="1605"/>
    <col min="14082" max="14082" width="5.19921875" style="1605" customWidth="1"/>
    <col min="14083" max="14083" width="48.09765625" style="1605" customWidth="1"/>
    <col min="14084" max="14084" width="7.8984375" style="1605" customWidth="1"/>
    <col min="14085" max="14085" width="20.19921875" style="1605" customWidth="1"/>
    <col min="14086" max="14086" width="9" style="1605"/>
    <col min="14087" max="14087" width="17.59765625" style="1605" customWidth="1"/>
    <col min="14088" max="14337" width="9" style="1605"/>
    <col min="14338" max="14338" width="5.19921875" style="1605" customWidth="1"/>
    <col min="14339" max="14339" width="48.09765625" style="1605" customWidth="1"/>
    <col min="14340" max="14340" width="7.8984375" style="1605" customWidth="1"/>
    <col min="14341" max="14341" width="20.19921875" style="1605" customWidth="1"/>
    <col min="14342" max="14342" width="9" style="1605"/>
    <col min="14343" max="14343" width="17.59765625" style="1605" customWidth="1"/>
    <col min="14344" max="14593" width="9" style="1605"/>
    <col min="14594" max="14594" width="5.19921875" style="1605" customWidth="1"/>
    <col min="14595" max="14595" width="48.09765625" style="1605" customWidth="1"/>
    <col min="14596" max="14596" width="7.8984375" style="1605" customWidth="1"/>
    <col min="14597" max="14597" width="20.19921875" style="1605" customWidth="1"/>
    <col min="14598" max="14598" width="9" style="1605"/>
    <col min="14599" max="14599" width="17.59765625" style="1605" customWidth="1"/>
    <col min="14600" max="14849" width="9" style="1605"/>
    <col min="14850" max="14850" width="5.19921875" style="1605" customWidth="1"/>
    <col min="14851" max="14851" width="48.09765625" style="1605" customWidth="1"/>
    <col min="14852" max="14852" width="7.8984375" style="1605" customWidth="1"/>
    <col min="14853" max="14853" width="20.19921875" style="1605" customWidth="1"/>
    <col min="14854" max="14854" width="9" style="1605"/>
    <col min="14855" max="14855" width="17.59765625" style="1605" customWidth="1"/>
    <col min="14856" max="15105" width="9" style="1605"/>
    <col min="15106" max="15106" width="5.19921875" style="1605" customWidth="1"/>
    <col min="15107" max="15107" width="48.09765625" style="1605" customWidth="1"/>
    <col min="15108" max="15108" width="7.8984375" style="1605" customWidth="1"/>
    <col min="15109" max="15109" width="20.19921875" style="1605" customWidth="1"/>
    <col min="15110" max="15110" width="9" style="1605"/>
    <col min="15111" max="15111" width="17.59765625" style="1605" customWidth="1"/>
    <col min="15112" max="15361" width="9" style="1605"/>
    <col min="15362" max="15362" width="5.19921875" style="1605" customWidth="1"/>
    <col min="15363" max="15363" width="48.09765625" style="1605" customWidth="1"/>
    <col min="15364" max="15364" width="7.8984375" style="1605" customWidth="1"/>
    <col min="15365" max="15365" width="20.19921875" style="1605" customWidth="1"/>
    <col min="15366" max="15366" width="9" style="1605"/>
    <col min="15367" max="15367" width="17.59765625" style="1605" customWidth="1"/>
    <col min="15368" max="15617" width="9" style="1605"/>
    <col min="15618" max="15618" width="5.19921875" style="1605" customWidth="1"/>
    <col min="15619" max="15619" width="48.09765625" style="1605" customWidth="1"/>
    <col min="15620" max="15620" width="7.8984375" style="1605" customWidth="1"/>
    <col min="15621" max="15621" width="20.19921875" style="1605" customWidth="1"/>
    <col min="15622" max="15622" width="9" style="1605"/>
    <col min="15623" max="15623" width="17.59765625" style="1605" customWidth="1"/>
    <col min="15624" max="15873" width="9" style="1605"/>
    <col min="15874" max="15874" width="5.19921875" style="1605" customWidth="1"/>
    <col min="15875" max="15875" width="48.09765625" style="1605" customWidth="1"/>
    <col min="15876" max="15876" width="7.8984375" style="1605" customWidth="1"/>
    <col min="15877" max="15877" width="20.19921875" style="1605" customWidth="1"/>
    <col min="15878" max="15878" width="9" style="1605"/>
    <col min="15879" max="15879" width="17.59765625" style="1605" customWidth="1"/>
    <col min="15880" max="16129" width="9" style="1605"/>
    <col min="16130" max="16130" width="5.19921875" style="1605" customWidth="1"/>
    <col min="16131" max="16131" width="48.09765625" style="1605" customWidth="1"/>
    <col min="16132" max="16132" width="7.8984375" style="1605" customWidth="1"/>
    <col min="16133" max="16133" width="20.19921875" style="1605" customWidth="1"/>
    <col min="16134" max="16134" width="9" style="1605"/>
    <col min="16135" max="16135" width="17.59765625" style="1605" customWidth="1"/>
    <col min="16136" max="16384" width="9" style="1605"/>
  </cols>
  <sheetData>
    <row r="1" spans="1:10" s="1583" customFormat="1" ht="20.100000000000001" customHeight="1">
      <c r="A1" s="3962" t="s">
        <v>5666</v>
      </c>
      <c r="B1" s="3962"/>
      <c r="C1" s="3962"/>
      <c r="D1" s="3962"/>
      <c r="E1" s="3962"/>
    </row>
    <row r="2" spans="1:10" s="1589" customFormat="1" ht="25.5" customHeight="1">
      <c r="A2" s="3401" t="s">
        <v>5667</v>
      </c>
      <c r="B2" s="3401"/>
      <c r="C2" s="3401"/>
      <c r="D2" s="3401"/>
      <c r="E2" s="3408"/>
    </row>
    <row r="3" spans="1:10" s="1603" customFormat="1" ht="14.25" customHeight="1">
      <c r="A3" s="1835" t="s">
        <v>1853</v>
      </c>
      <c r="B3" s="3410" t="s">
        <v>1627</v>
      </c>
      <c r="C3" s="3412"/>
      <c r="D3" s="1835" t="s">
        <v>5014</v>
      </c>
      <c r="E3" s="1835" t="s">
        <v>4899</v>
      </c>
      <c r="J3" s="1604"/>
    </row>
    <row r="4" spans="1:10" s="1603" customFormat="1" ht="14.25" customHeight="1">
      <c r="A4" s="2239">
        <v>1</v>
      </c>
      <c r="B4" s="3960" t="s">
        <v>6845</v>
      </c>
      <c r="C4" s="3961"/>
      <c r="D4" s="2240">
        <f>减免所得税优惠审核表!C4</f>
        <v>0</v>
      </c>
      <c r="E4" s="2239"/>
    </row>
    <row r="5" spans="1:10" s="1603" customFormat="1" ht="14.25" customHeight="1">
      <c r="A5" s="2239">
        <v>2</v>
      </c>
      <c r="B5" s="3960" t="s">
        <v>6846</v>
      </c>
      <c r="C5" s="3961"/>
      <c r="D5" s="2240">
        <f>减免所得税优惠审核表!C5</f>
        <v>0</v>
      </c>
      <c r="E5" s="1977"/>
    </row>
    <row r="6" spans="1:10" s="1603" customFormat="1" ht="14.25" customHeight="1">
      <c r="A6" s="2239">
        <v>3</v>
      </c>
      <c r="B6" s="3960" t="s">
        <v>6847</v>
      </c>
      <c r="C6" s="3961"/>
      <c r="D6" s="2240">
        <f>减免所得税优惠审核表!C6</f>
        <v>0</v>
      </c>
      <c r="E6" s="2560" t="s">
        <v>7663</v>
      </c>
    </row>
    <row r="7" spans="1:10" s="1603" customFormat="1" ht="14.25" customHeight="1">
      <c r="A7" s="2286">
        <v>4</v>
      </c>
      <c r="B7" s="3960" t="s">
        <v>6848</v>
      </c>
      <c r="C7" s="3961"/>
      <c r="D7" s="2240">
        <f>减免所得税优惠审核表!C7</f>
        <v>0</v>
      </c>
      <c r="E7" s="2288" t="s">
        <v>6880</v>
      </c>
    </row>
    <row r="8" spans="1:10" s="1603" customFormat="1" ht="14.25" customHeight="1">
      <c r="A8" s="2239">
        <v>5</v>
      </c>
      <c r="B8" s="3960" t="s">
        <v>6849</v>
      </c>
      <c r="C8" s="3961"/>
      <c r="D8" s="2240">
        <f>减免所得税优惠审核表!C8</f>
        <v>0</v>
      </c>
      <c r="E8" s="2288" t="s">
        <v>6880</v>
      </c>
    </row>
    <row r="9" spans="1:10" s="1603" customFormat="1" ht="14.25" customHeight="1">
      <c r="A9" s="2239">
        <v>6</v>
      </c>
      <c r="B9" s="3960" t="s">
        <v>6850</v>
      </c>
      <c r="C9" s="3961"/>
      <c r="D9" s="2240">
        <f>减免所得税优惠审核表!C9</f>
        <v>0</v>
      </c>
      <c r="E9" s="1836"/>
    </row>
    <row r="10" spans="1:10" s="1603" customFormat="1" ht="14.25" customHeight="1">
      <c r="A10" s="2239">
        <v>7</v>
      </c>
      <c r="B10" s="3960" t="s">
        <v>6851</v>
      </c>
      <c r="C10" s="3961"/>
      <c r="D10" s="2240">
        <f>减免所得税优惠审核表!C10</f>
        <v>0</v>
      </c>
      <c r="E10" s="1836"/>
    </row>
    <row r="11" spans="1:10" s="1603" customFormat="1" ht="14.25" customHeight="1">
      <c r="A11" s="2239">
        <v>7.1</v>
      </c>
      <c r="B11" s="3960" t="s">
        <v>6879</v>
      </c>
      <c r="C11" s="3961"/>
      <c r="D11" s="2240">
        <f>减免所得税优惠审核表!C11</f>
        <v>0</v>
      </c>
      <c r="E11" s="1836"/>
    </row>
    <row r="12" spans="1:10" s="1603" customFormat="1" ht="14.25" customHeight="1">
      <c r="A12" s="2239">
        <v>7.2</v>
      </c>
      <c r="B12" s="3960" t="s">
        <v>6878</v>
      </c>
      <c r="C12" s="3961"/>
      <c r="D12" s="2240">
        <f>减免所得税优惠审核表!C12</f>
        <v>0</v>
      </c>
      <c r="E12" s="1836"/>
      <c r="F12" s="1770" t="s">
        <v>6469</v>
      </c>
    </row>
    <row r="13" spans="1:10" s="1603" customFormat="1" ht="14.25" customHeight="1">
      <c r="A13" s="2239">
        <v>7.3</v>
      </c>
      <c r="B13" s="3960" t="s">
        <v>6877</v>
      </c>
      <c r="C13" s="3961"/>
      <c r="D13" s="2240">
        <f>减免所得税优惠审核表!C13</f>
        <v>0</v>
      </c>
      <c r="E13" s="1836"/>
    </row>
    <row r="14" spans="1:10" s="1603" customFormat="1" ht="14.25" customHeight="1">
      <c r="A14" s="2239">
        <v>8</v>
      </c>
      <c r="B14" s="3960" t="s">
        <v>6852</v>
      </c>
      <c r="C14" s="3961"/>
      <c r="D14" s="2240">
        <f>减免所得税优惠审核表!C14</f>
        <v>0</v>
      </c>
      <c r="E14" s="1836"/>
    </row>
    <row r="15" spans="1:10" s="1603" customFormat="1" ht="14.25" customHeight="1">
      <c r="A15" s="2239">
        <v>8.1</v>
      </c>
      <c r="B15" s="3960" t="s">
        <v>6879</v>
      </c>
      <c r="C15" s="3961"/>
      <c r="D15" s="2240">
        <f>减免所得税优惠审核表!C15</f>
        <v>0</v>
      </c>
      <c r="E15" s="1836"/>
    </row>
    <row r="16" spans="1:10" s="1603" customFormat="1" ht="14.25" customHeight="1">
      <c r="A16" s="2239">
        <v>8.1999999999999993</v>
      </c>
      <c r="B16" s="3960" t="s">
        <v>6878</v>
      </c>
      <c r="C16" s="3961"/>
      <c r="D16" s="2240">
        <f>减免所得税优惠审核表!C16</f>
        <v>0</v>
      </c>
      <c r="E16" s="1836"/>
    </row>
    <row r="17" spans="1:5" s="1603" customFormat="1" ht="14.25" customHeight="1">
      <c r="A17" s="2239">
        <v>8.3000000000000007</v>
      </c>
      <c r="B17" s="3960" t="s">
        <v>6877</v>
      </c>
      <c r="C17" s="3961"/>
      <c r="D17" s="2240">
        <f>减免所得税优惠审核表!C17</f>
        <v>0</v>
      </c>
      <c r="E17" s="1836"/>
    </row>
    <row r="18" spans="1:5" s="1603" customFormat="1" ht="14.25" customHeight="1">
      <c r="A18" s="2239">
        <v>9</v>
      </c>
      <c r="B18" s="3960" t="s">
        <v>6853</v>
      </c>
      <c r="C18" s="3961"/>
      <c r="D18" s="2240">
        <f>减免所得税优惠审核表!C18</f>
        <v>0</v>
      </c>
      <c r="E18" s="1836"/>
    </row>
    <row r="19" spans="1:5" s="1603" customFormat="1" ht="14.25" customHeight="1">
      <c r="A19" s="2239">
        <v>9.1</v>
      </c>
      <c r="B19" s="3960" t="s">
        <v>6881</v>
      </c>
      <c r="C19" s="3961"/>
      <c r="D19" s="2240">
        <f>减免所得税优惠审核表!C19</f>
        <v>0</v>
      </c>
      <c r="E19" s="1836"/>
    </row>
    <row r="20" spans="1:5" s="1603" customFormat="1" ht="14.25" customHeight="1">
      <c r="A20" s="2239">
        <v>9.1999999999999993</v>
      </c>
      <c r="B20" s="3960" t="s">
        <v>6878</v>
      </c>
      <c r="C20" s="3961"/>
      <c r="D20" s="2240">
        <f>减免所得税优惠审核表!C20</f>
        <v>0</v>
      </c>
      <c r="E20" s="1836"/>
    </row>
    <row r="21" spans="1:5" s="1603" customFormat="1" ht="14.25" customHeight="1">
      <c r="A21" s="2239">
        <v>9.3000000000000007</v>
      </c>
      <c r="B21" s="3960" t="s">
        <v>6877</v>
      </c>
      <c r="C21" s="3961"/>
      <c r="D21" s="2240">
        <f>减免所得税优惠审核表!C21</f>
        <v>0</v>
      </c>
      <c r="E21" s="1836"/>
    </row>
    <row r="22" spans="1:5" s="1603" customFormat="1" ht="14.25" customHeight="1">
      <c r="A22" s="2239">
        <v>10</v>
      </c>
      <c r="B22" s="3960" t="s">
        <v>6854</v>
      </c>
      <c r="C22" s="3961"/>
      <c r="D22" s="2240">
        <f>减免所得税优惠审核表!C22</f>
        <v>0</v>
      </c>
      <c r="E22" s="1836"/>
    </row>
    <row r="23" spans="1:5" s="1603" customFormat="1" ht="14.25" customHeight="1">
      <c r="A23" s="2239">
        <v>10.1</v>
      </c>
      <c r="B23" s="3960" t="s">
        <v>6882</v>
      </c>
      <c r="C23" s="3961"/>
      <c r="D23" s="2240">
        <f>减免所得税优惠审核表!C23</f>
        <v>0</v>
      </c>
      <c r="E23" s="1836"/>
    </row>
    <row r="24" spans="1:5" s="1603" customFormat="1" ht="14.25" customHeight="1">
      <c r="A24" s="2239">
        <v>10.199999999999999</v>
      </c>
      <c r="B24" s="3960" t="s">
        <v>6855</v>
      </c>
      <c r="C24" s="3961"/>
      <c r="D24" s="2240">
        <f>减免所得税优惠审核表!C24</f>
        <v>0</v>
      </c>
      <c r="E24" s="1836"/>
    </row>
    <row r="25" spans="1:5" s="1603" customFormat="1" ht="14.25" customHeight="1">
      <c r="A25" s="2239">
        <v>10.3</v>
      </c>
      <c r="B25" s="3960" t="s">
        <v>6856</v>
      </c>
      <c r="C25" s="3961"/>
      <c r="D25" s="2240">
        <f>减免所得税优惠审核表!C25</f>
        <v>0</v>
      </c>
      <c r="E25" s="1836"/>
    </row>
    <row r="26" spans="1:5" s="1603" customFormat="1" ht="14.25" customHeight="1">
      <c r="A26" s="2239">
        <v>11</v>
      </c>
      <c r="B26" s="3960" t="s">
        <v>6857</v>
      </c>
      <c r="C26" s="3961"/>
      <c r="D26" s="2240">
        <f>减免所得税优惠审核表!C26</f>
        <v>0</v>
      </c>
      <c r="E26" s="1836"/>
    </row>
    <row r="27" spans="1:5" s="1603" customFormat="1" ht="14.25" customHeight="1">
      <c r="A27" s="2239">
        <v>12</v>
      </c>
      <c r="B27" s="3960" t="s">
        <v>6858</v>
      </c>
      <c r="C27" s="3961"/>
      <c r="D27" s="2240">
        <f>减免所得税优惠审核表!C27</f>
        <v>0</v>
      </c>
      <c r="E27" s="1836"/>
    </row>
    <row r="28" spans="1:5" s="1603" customFormat="1" ht="14.25" customHeight="1">
      <c r="A28" s="2239">
        <v>13</v>
      </c>
      <c r="B28" s="3960" t="s">
        <v>6859</v>
      </c>
      <c r="C28" s="3961"/>
      <c r="D28" s="2240">
        <f>减免所得税优惠审核表!C28</f>
        <v>0</v>
      </c>
      <c r="E28" s="1836"/>
    </row>
    <row r="29" spans="1:5" s="1603" customFormat="1" ht="14.25" customHeight="1">
      <c r="A29" s="2239">
        <v>14</v>
      </c>
      <c r="B29" s="3960" t="s">
        <v>6860</v>
      </c>
      <c r="C29" s="3961"/>
      <c r="D29" s="2240">
        <f>减免所得税优惠审核表!C29</f>
        <v>0</v>
      </c>
      <c r="E29" s="1836"/>
    </row>
    <row r="30" spans="1:5" s="1603" customFormat="1" ht="14.25" customHeight="1">
      <c r="A30" s="2239">
        <v>14.1</v>
      </c>
      <c r="B30" s="3960" t="s">
        <v>6883</v>
      </c>
      <c r="C30" s="3961"/>
      <c r="D30" s="2240">
        <f>减免所得税优惠审核表!C30</f>
        <v>0</v>
      </c>
      <c r="E30" s="1836"/>
    </row>
    <row r="31" spans="1:5" s="1603" customFormat="1" ht="14.25" customHeight="1">
      <c r="A31" s="2239">
        <v>14.2</v>
      </c>
      <c r="B31" s="3960" t="s">
        <v>6884</v>
      </c>
      <c r="C31" s="3961"/>
      <c r="D31" s="2240">
        <f>减免所得税优惠审核表!C31</f>
        <v>0</v>
      </c>
      <c r="E31" s="1836"/>
    </row>
    <row r="32" spans="1:5" s="1603" customFormat="1" ht="14.25" customHeight="1">
      <c r="A32" s="2239">
        <v>15</v>
      </c>
      <c r="B32" s="3960" t="s">
        <v>6861</v>
      </c>
      <c r="C32" s="3961"/>
      <c r="D32" s="2240">
        <f>减免所得税优惠审核表!C32</f>
        <v>0</v>
      </c>
      <c r="E32" s="1836"/>
    </row>
    <row r="33" spans="1:6" s="1603" customFormat="1" ht="14.25" customHeight="1">
      <c r="A33" s="2239">
        <v>15.1</v>
      </c>
      <c r="B33" s="3960" t="s">
        <v>6885</v>
      </c>
      <c r="C33" s="3961"/>
      <c r="D33" s="2240">
        <f>减免所得税优惠审核表!C33</f>
        <v>0</v>
      </c>
      <c r="E33" s="1836"/>
    </row>
    <row r="34" spans="1:6" s="1603" customFormat="1" ht="14.25" customHeight="1">
      <c r="A34" s="2239">
        <v>15.2</v>
      </c>
      <c r="B34" s="3960" t="s">
        <v>6886</v>
      </c>
      <c r="C34" s="3961"/>
      <c r="D34" s="2240">
        <f>减免所得税优惠审核表!C34</f>
        <v>0</v>
      </c>
      <c r="E34" s="1836"/>
    </row>
    <row r="35" spans="1:6" s="1603" customFormat="1" ht="14.25" customHeight="1">
      <c r="A35" s="2239">
        <v>16</v>
      </c>
      <c r="B35" s="3960" t="s">
        <v>6862</v>
      </c>
      <c r="C35" s="3961"/>
      <c r="D35" s="2240">
        <f>减免所得税优惠审核表!C35</f>
        <v>0</v>
      </c>
      <c r="E35" s="1836"/>
    </row>
    <row r="36" spans="1:6" s="1603" customFormat="1" ht="14.25" customHeight="1">
      <c r="A36" s="2239">
        <v>17</v>
      </c>
      <c r="B36" s="3960" t="s">
        <v>6863</v>
      </c>
      <c r="C36" s="3961"/>
      <c r="D36" s="2240">
        <f>减免所得税优惠审核表!C36</f>
        <v>0</v>
      </c>
      <c r="E36" s="1836"/>
    </row>
    <row r="37" spans="1:6" s="1603" customFormat="1" ht="14.25" customHeight="1">
      <c r="A37" s="2239">
        <v>18</v>
      </c>
      <c r="B37" s="3960" t="s">
        <v>6864</v>
      </c>
      <c r="C37" s="3961"/>
      <c r="D37" s="2240">
        <f>减免所得税优惠审核表!C37</f>
        <v>0</v>
      </c>
      <c r="E37" s="1836"/>
    </row>
    <row r="38" spans="1:6" s="1603" customFormat="1" ht="14.25" customHeight="1">
      <c r="A38" s="2239">
        <v>19</v>
      </c>
      <c r="B38" s="3960" t="s">
        <v>6865</v>
      </c>
      <c r="C38" s="3961"/>
      <c r="D38" s="2240">
        <f>减免所得税优惠审核表!C38</f>
        <v>0</v>
      </c>
      <c r="E38" s="1836"/>
    </row>
    <row r="39" spans="1:6" s="1603" customFormat="1" ht="14.25" customHeight="1">
      <c r="A39" s="2239">
        <v>20</v>
      </c>
      <c r="B39" s="3960" t="s">
        <v>6866</v>
      </c>
      <c r="C39" s="3961"/>
      <c r="D39" s="2240">
        <f>减免所得税优惠审核表!C39</f>
        <v>0</v>
      </c>
      <c r="E39" s="1836"/>
    </row>
    <row r="40" spans="1:6" s="1603" customFormat="1" ht="14.25" customHeight="1">
      <c r="A40" s="2239">
        <v>21</v>
      </c>
      <c r="B40" s="3960" t="s">
        <v>6867</v>
      </c>
      <c r="C40" s="3961"/>
      <c r="D40" s="2240">
        <f>减免所得税优惠审核表!C40</f>
        <v>0</v>
      </c>
      <c r="E40" s="1836"/>
    </row>
    <row r="41" spans="1:6" s="1603" customFormat="1" ht="14.25" customHeight="1">
      <c r="A41" s="2239">
        <v>22</v>
      </c>
      <c r="B41" s="3960" t="s">
        <v>6868</v>
      </c>
      <c r="C41" s="3961"/>
      <c r="D41" s="2240">
        <f>减免所得税优惠审核表!C41</f>
        <v>0</v>
      </c>
      <c r="E41" s="1836"/>
    </row>
    <row r="42" spans="1:6" s="1603" customFormat="1" ht="14.25" customHeight="1">
      <c r="A42" s="2239">
        <v>23</v>
      </c>
      <c r="B42" s="3960" t="s">
        <v>6869</v>
      </c>
      <c r="C42" s="3961"/>
      <c r="D42" s="2240">
        <f>减免所得税优惠审核表!C42</f>
        <v>0</v>
      </c>
      <c r="E42" s="1836"/>
    </row>
    <row r="43" spans="1:6" s="1603" customFormat="1" ht="14.25" customHeight="1">
      <c r="A43" s="2239">
        <v>24</v>
      </c>
      <c r="B43" s="3960" t="s">
        <v>5668</v>
      </c>
      <c r="C43" s="3961"/>
      <c r="D43" s="2240">
        <f>减免所得税优惠审核表!C43</f>
        <v>0</v>
      </c>
      <c r="E43" s="1836"/>
    </row>
    <row r="44" spans="1:6" s="1603" customFormat="1" ht="14.25" customHeight="1">
      <c r="A44" s="2239">
        <v>25</v>
      </c>
      <c r="B44" s="3960" t="s">
        <v>6870</v>
      </c>
      <c r="C44" s="3961"/>
      <c r="D44" s="2240">
        <f>减免所得税优惠审核表!C44</f>
        <v>0</v>
      </c>
      <c r="E44" s="1836"/>
      <c r="F44" s="1613"/>
    </row>
    <row r="45" spans="1:6" s="1603" customFormat="1" ht="14.25" customHeight="1">
      <c r="A45" s="2239">
        <v>26</v>
      </c>
      <c r="B45" s="3960" t="s">
        <v>6871</v>
      </c>
      <c r="C45" s="3961"/>
      <c r="D45" s="2240">
        <f>减免所得税优惠审核表!C45</f>
        <v>0</v>
      </c>
      <c r="E45" s="1836"/>
    </row>
    <row r="46" spans="1:6" s="1603" customFormat="1" ht="14.25" customHeight="1">
      <c r="A46" s="2239">
        <v>27</v>
      </c>
      <c r="B46" s="3960" t="s">
        <v>6872</v>
      </c>
      <c r="C46" s="3961"/>
      <c r="D46" s="2240">
        <f>减免所得税优惠审核表!C46</f>
        <v>0</v>
      </c>
      <c r="E46" s="1836"/>
    </row>
    <row r="47" spans="1:6" s="1603" customFormat="1" ht="14.25" customHeight="1">
      <c r="A47" s="2239">
        <v>28</v>
      </c>
      <c r="B47" s="3960" t="s">
        <v>6873</v>
      </c>
      <c r="C47" s="3961"/>
      <c r="D47" s="2240">
        <f>减免所得税优惠审核表!C47</f>
        <v>0</v>
      </c>
      <c r="E47" s="1836"/>
    </row>
    <row r="48" spans="1:6" s="1603" customFormat="1" ht="14.25" customHeight="1">
      <c r="A48" s="2239">
        <v>29</v>
      </c>
      <c r="B48" s="3960" t="s">
        <v>6887</v>
      </c>
      <c r="C48" s="3961"/>
      <c r="D48" s="2240">
        <f>减免所得税优惠审核表!C48</f>
        <v>0</v>
      </c>
      <c r="E48" s="1836"/>
    </row>
    <row r="49" spans="1:5" s="1603" customFormat="1" ht="14.25" customHeight="1">
      <c r="A49" s="2239">
        <v>30</v>
      </c>
      <c r="B49" s="3960" t="s">
        <v>6888</v>
      </c>
      <c r="C49" s="3961"/>
      <c r="D49" s="2240">
        <f>减免所得税优惠审核表!C49</f>
        <v>0</v>
      </c>
      <c r="E49" s="1836"/>
    </row>
    <row r="50" spans="1:5" s="1603" customFormat="1" ht="14.25" customHeight="1">
      <c r="A50" s="2239">
        <v>31</v>
      </c>
      <c r="B50" s="3960" t="s">
        <v>6889</v>
      </c>
      <c r="C50" s="3961"/>
      <c r="D50" s="2240">
        <f>减免所得税优惠审核表!C50</f>
        <v>0</v>
      </c>
      <c r="E50" s="1836"/>
    </row>
    <row r="51" spans="1:5" s="1603" customFormat="1" ht="14.25" customHeight="1">
      <c r="A51" s="2239">
        <v>32</v>
      </c>
      <c r="B51" s="3960" t="s">
        <v>6874</v>
      </c>
      <c r="C51" s="3961"/>
      <c r="D51" s="2240">
        <f>减免所得税优惠审核表!C51</f>
        <v>0</v>
      </c>
      <c r="E51" s="1836"/>
    </row>
    <row r="52" spans="1:5" s="1603" customFormat="1" ht="14.25" customHeight="1">
      <c r="A52" s="2239">
        <v>33</v>
      </c>
      <c r="B52" s="3960" t="s">
        <v>6875</v>
      </c>
      <c r="C52" s="3961"/>
      <c r="D52" s="2240">
        <f>减免所得税优惠审核表!C52</f>
        <v>0</v>
      </c>
      <c r="E52" s="1836"/>
    </row>
    <row r="53" spans="1:5" s="1603" customFormat="1" ht="14.25" customHeight="1">
      <c r="A53" s="2239">
        <v>34</v>
      </c>
      <c r="B53" s="3960" t="s">
        <v>6876</v>
      </c>
      <c r="C53" s="3961"/>
      <c r="D53" s="2240">
        <f>减免所得税优惠审核表!C53</f>
        <v>0</v>
      </c>
      <c r="E53" s="2291" t="s">
        <v>6891</v>
      </c>
    </row>
  </sheetData>
  <mergeCells count="53">
    <mergeCell ref="A1:E1"/>
    <mergeCell ref="A2:E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51:C51"/>
    <mergeCell ref="B52:C52"/>
    <mergeCell ref="B53:C53"/>
    <mergeCell ref="B46:C46"/>
    <mergeCell ref="B47:C47"/>
    <mergeCell ref="B48:C48"/>
    <mergeCell ref="B49:C49"/>
    <mergeCell ref="B50:C50"/>
  </mergeCells>
  <phoneticPr fontId="51" type="noConversion"/>
  <hyperlinks>
    <hyperlink ref="F12" location="减免所得税优惠审核表!A1" display="减免所得税优惠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FFFF00"/>
  </sheetPr>
  <dimension ref="A1:I34"/>
  <sheetViews>
    <sheetView workbookViewId="0">
      <selection activeCell="D28" sqref="D28"/>
    </sheetView>
  </sheetViews>
  <sheetFormatPr defaultColWidth="22.8984375" defaultRowHeight="15.6"/>
  <cols>
    <col min="1" max="1" width="5.19921875" style="1614" customWidth="1"/>
    <col min="2" max="2" width="5.19921875" style="1532" customWidth="1"/>
    <col min="3" max="3" width="50.3984375" style="1532" customWidth="1"/>
    <col min="4" max="5" width="26.19921875" style="1532" customWidth="1"/>
    <col min="6" max="256" width="22.8984375" style="1532"/>
    <col min="257" max="258" width="5.19921875" style="1532" customWidth="1"/>
    <col min="259" max="259" width="50.3984375" style="1532" customWidth="1"/>
    <col min="260" max="261" width="26.19921875" style="1532" customWidth="1"/>
    <col min="262" max="512" width="22.8984375" style="1532"/>
    <col min="513" max="514" width="5.19921875" style="1532" customWidth="1"/>
    <col min="515" max="515" width="50.3984375" style="1532" customWidth="1"/>
    <col min="516" max="517" width="26.19921875" style="1532" customWidth="1"/>
    <col min="518" max="768" width="22.8984375" style="1532"/>
    <col min="769" max="770" width="5.19921875" style="1532" customWidth="1"/>
    <col min="771" max="771" width="50.3984375" style="1532" customWidth="1"/>
    <col min="772" max="773" width="26.19921875" style="1532" customWidth="1"/>
    <col min="774" max="1024" width="22.8984375" style="1532"/>
    <col min="1025" max="1026" width="5.19921875" style="1532" customWidth="1"/>
    <col min="1027" max="1027" width="50.3984375" style="1532" customWidth="1"/>
    <col min="1028" max="1029" width="26.19921875" style="1532" customWidth="1"/>
    <col min="1030" max="1280" width="22.8984375" style="1532"/>
    <col min="1281" max="1282" width="5.19921875" style="1532" customWidth="1"/>
    <col min="1283" max="1283" width="50.3984375" style="1532" customWidth="1"/>
    <col min="1284" max="1285" width="26.19921875" style="1532" customWidth="1"/>
    <col min="1286" max="1536" width="22.8984375" style="1532"/>
    <col min="1537" max="1538" width="5.19921875" style="1532" customWidth="1"/>
    <col min="1539" max="1539" width="50.3984375" style="1532" customWidth="1"/>
    <col min="1540" max="1541" width="26.19921875" style="1532" customWidth="1"/>
    <col min="1542" max="1792" width="22.8984375" style="1532"/>
    <col min="1793" max="1794" width="5.19921875" style="1532" customWidth="1"/>
    <col min="1795" max="1795" width="50.3984375" style="1532" customWidth="1"/>
    <col min="1796" max="1797" width="26.19921875" style="1532" customWidth="1"/>
    <col min="1798" max="2048" width="22.8984375" style="1532"/>
    <col min="2049" max="2050" width="5.19921875" style="1532" customWidth="1"/>
    <col min="2051" max="2051" width="50.3984375" style="1532" customWidth="1"/>
    <col min="2052" max="2053" width="26.19921875" style="1532" customWidth="1"/>
    <col min="2054" max="2304" width="22.8984375" style="1532"/>
    <col min="2305" max="2306" width="5.19921875" style="1532" customWidth="1"/>
    <col min="2307" max="2307" width="50.3984375" style="1532" customWidth="1"/>
    <col min="2308" max="2309" width="26.19921875" style="1532" customWidth="1"/>
    <col min="2310" max="2560" width="22.8984375" style="1532"/>
    <col min="2561" max="2562" width="5.19921875" style="1532" customWidth="1"/>
    <col min="2563" max="2563" width="50.3984375" style="1532" customWidth="1"/>
    <col min="2564" max="2565" width="26.19921875" style="1532" customWidth="1"/>
    <col min="2566" max="2816" width="22.8984375" style="1532"/>
    <col min="2817" max="2818" width="5.19921875" style="1532" customWidth="1"/>
    <col min="2819" max="2819" width="50.3984375" style="1532" customWidth="1"/>
    <col min="2820" max="2821" width="26.19921875" style="1532" customWidth="1"/>
    <col min="2822" max="3072" width="22.8984375" style="1532"/>
    <col min="3073" max="3074" width="5.19921875" style="1532" customWidth="1"/>
    <col min="3075" max="3075" width="50.3984375" style="1532" customWidth="1"/>
    <col min="3076" max="3077" width="26.19921875" style="1532" customWidth="1"/>
    <col min="3078" max="3328" width="22.8984375" style="1532"/>
    <col min="3329" max="3330" width="5.19921875" style="1532" customWidth="1"/>
    <col min="3331" max="3331" width="50.3984375" style="1532" customWidth="1"/>
    <col min="3332" max="3333" width="26.19921875" style="1532" customWidth="1"/>
    <col min="3334" max="3584" width="22.8984375" style="1532"/>
    <col min="3585" max="3586" width="5.19921875" style="1532" customWidth="1"/>
    <col min="3587" max="3587" width="50.3984375" style="1532" customWidth="1"/>
    <col min="3588" max="3589" width="26.19921875" style="1532" customWidth="1"/>
    <col min="3590" max="3840" width="22.8984375" style="1532"/>
    <col min="3841" max="3842" width="5.19921875" style="1532" customWidth="1"/>
    <col min="3843" max="3843" width="50.3984375" style="1532" customWidth="1"/>
    <col min="3844" max="3845" width="26.19921875" style="1532" customWidth="1"/>
    <col min="3846" max="4096" width="22.8984375" style="1532"/>
    <col min="4097" max="4098" width="5.19921875" style="1532" customWidth="1"/>
    <col min="4099" max="4099" width="50.3984375" style="1532" customWidth="1"/>
    <col min="4100" max="4101" width="26.19921875" style="1532" customWidth="1"/>
    <col min="4102" max="4352" width="22.8984375" style="1532"/>
    <col min="4353" max="4354" width="5.19921875" style="1532" customWidth="1"/>
    <col min="4355" max="4355" width="50.3984375" style="1532" customWidth="1"/>
    <col min="4356" max="4357" width="26.19921875" style="1532" customWidth="1"/>
    <col min="4358" max="4608" width="22.8984375" style="1532"/>
    <col min="4609" max="4610" width="5.19921875" style="1532" customWidth="1"/>
    <col min="4611" max="4611" width="50.3984375" style="1532" customWidth="1"/>
    <col min="4612" max="4613" width="26.19921875" style="1532" customWidth="1"/>
    <col min="4614" max="4864" width="22.8984375" style="1532"/>
    <col min="4865" max="4866" width="5.19921875" style="1532" customWidth="1"/>
    <col min="4867" max="4867" width="50.3984375" style="1532" customWidth="1"/>
    <col min="4868" max="4869" width="26.19921875" style="1532" customWidth="1"/>
    <col min="4870" max="5120" width="22.8984375" style="1532"/>
    <col min="5121" max="5122" width="5.19921875" style="1532" customWidth="1"/>
    <col min="5123" max="5123" width="50.3984375" style="1532" customWidth="1"/>
    <col min="5124" max="5125" width="26.19921875" style="1532" customWidth="1"/>
    <col min="5126" max="5376" width="22.8984375" style="1532"/>
    <col min="5377" max="5378" width="5.19921875" style="1532" customWidth="1"/>
    <col min="5379" max="5379" width="50.3984375" style="1532" customWidth="1"/>
    <col min="5380" max="5381" width="26.19921875" style="1532" customWidth="1"/>
    <col min="5382" max="5632" width="22.8984375" style="1532"/>
    <col min="5633" max="5634" width="5.19921875" style="1532" customWidth="1"/>
    <col min="5635" max="5635" width="50.3984375" style="1532" customWidth="1"/>
    <col min="5636" max="5637" width="26.19921875" style="1532" customWidth="1"/>
    <col min="5638" max="5888" width="22.8984375" style="1532"/>
    <col min="5889" max="5890" width="5.19921875" style="1532" customWidth="1"/>
    <col min="5891" max="5891" width="50.3984375" style="1532" customWidth="1"/>
    <col min="5892" max="5893" width="26.19921875" style="1532" customWidth="1"/>
    <col min="5894" max="6144" width="22.8984375" style="1532"/>
    <col min="6145" max="6146" width="5.19921875" style="1532" customWidth="1"/>
    <col min="6147" max="6147" width="50.3984375" style="1532" customWidth="1"/>
    <col min="6148" max="6149" width="26.19921875" style="1532" customWidth="1"/>
    <col min="6150" max="6400" width="22.8984375" style="1532"/>
    <col min="6401" max="6402" width="5.19921875" style="1532" customWidth="1"/>
    <col min="6403" max="6403" width="50.3984375" style="1532" customWidth="1"/>
    <col min="6404" max="6405" width="26.19921875" style="1532" customWidth="1"/>
    <col min="6406" max="6656" width="22.8984375" style="1532"/>
    <col min="6657" max="6658" width="5.19921875" style="1532" customWidth="1"/>
    <col min="6659" max="6659" width="50.3984375" style="1532" customWidth="1"/>
    <col min="6660" max="6661" width="26.19921875" style="1532" customWidth="1"/>
    <col min="6662" max="6912" width="22.8984375" style="1532"/>
    <col min="6913" max="6914" width="5.19921875" style="1532" customWidth="1"/>
    <col min="6915" max="6915" width="50.3984375" style="1532" customWidth="1"/>
    <col min="6916" max="6917" width="26.19921875" style="1532" customWidth="1"/>
    <col min="6918" max="7168" width="22.8984375" style="1532"/>
    <col min="7169" max="7170" width="5.19921875" style="1532" customWidth="1"/>
    <col min="7171" max="7171" width="50.3984375" style="1532" customWidth="1"/>
    <col min="7172" max="7173" width="26.19921875" style="1532" customWidth="1"/>
    <col min="7174" max="7424" width="22.8984375" style="1532"/>
    <col min="7425" max="7426" width="5.19921875" style="1532" customWidth="1"/>
    <col min="7427" max="7427" width="50.3984375" style="1532" customWidth="1"/>
    <col min="7428" max="7429" width="26.19921875" style="1532" customWidth="1"/>
    <col min="7430" max="7680" width="22.8984375" style="1532"/>
    <col min="7681" max="7682" width="5.19921875" style="1532" customWidth="1"/>
    <col min="7683" max="7683" width="50.3984375" style="1532" customWidth="1"/>
    <col min="7684" max="7685" width="26.19921875" style="1532" customWidth="1"/>
    <col min="7686" max="7936" width="22.8984375" style="1532"/>
    <col min="7937" max="7938" width="5.19921875" style="1532" customWidth="1"/>
    <col min="7939" max="7939" width="50.3984375" style="1532" customWidth="1"/>
    <col min="7940" max="7941" width="26.19921875" style="1532" customWidth="1"/>
    <col min="7942" max="8192" width="22.8984375" style="1532"/>
    <col min="8193" max="8194" width="5.19921875" style="1532" customWidth="1"/>
    <col min="8195" max="8195" width="50.3984375" style="1532" customWidth="1"/>
    <col min="8196" max="8197" width="26.19921875" style="1532" customWidth="1"/>
    <col min="8198" max="8448" width="22.8984375" style="1532"/>
    <col min="8449" max="8450" width="5.19921875" style="1532" customWidth="1"/>
    <col min="8451" max="8451" width="50.3984375" style="1532" customWidth="1"/>
    <col min="8452" max="8453" width="26.19921875" style="1532" customWidth="1"/>
    <col min="8454" max="8704" width="22.8984375" style="1532"/>
    <col min="8705" max="8706" width="5.19921875" style="1532" customWidth="1"/>
    <col min="8707" max="8707" width="50.3984375" style="1532" customWidth="1"/>
    <col min="8708" max="8709" width="26.19921875" style="1532" customWidth="1"/>
    <col min="8710" max="8960" width="22.8984375" style="1532"/>
    <col min="8961" max="8962" width="5.19921875" style="1532" customWidth="1"/>
    <col min="8963" max="8963" width="50.3984375" style="1532" customWidth="1"/>
    <col min="8964" max="8965" width="26.19921875" style="1532" customWidth="1"/>
    <col min="8966" max="9216" width="22.8984375" style="1532"/>
    <col min="9217" max="9218" width="5.19921875" style="1532" customWidth="1"/>
    <col min="9219" max="9219" width="50.3984375" style="1532" customWidth="1"/>
    <col min="9220" max="9221" width="26.19921875" style="1532" customWidth="1"/>
    <col min="9222" max="9472" width="22.8984375" style="1532"/>
    <col min="9473" max="9474" width="5.19921875" style="1532" customWidth="1"/>
    <col min="9475" max="9475" width="50.3984375" style="1532" customWidth="1"/>
    <col min="9476" max="9477" width="26.19921875" style="1532" customWidth="1"/>
    <col min="9478" max="9728" width="22.8984375" style="1532"/>
    <col min="9729" max="9730" width="5.19921875" style="1532" customWidth="1"/>
    <col min="9731" max="9731" width="50.3984375" style="1532" customWidth="1"/>
    <col min="9732" max="9733" width="26.19921875" style="1532" customWidth="1"/>
    <col min="9734" max="9984" width="22.8984375" style="1532"/>
    <col min="9985" max="9986" width="5.19921875" style="1532" customWidth="1"/>
    <col min="9987" max="9987" width="50.3984375" style="1532" customWidth="1"/>
    <col min="9988" max="9989" width="26.19921875" style="1532" customWidth="1"/>
    <col min="9990" max="10240" width="22.8984375" style="1532"/>
    <col min="10241" max="10242" width="5.19921875" style="1532" customWidth="1"/>
    <col min="10243" max="10243" width="50.3984375" style="1532" customWidth="1"/>
    <col min="10244" max="10245" width="26.19921875" style="1532" customWidth="1"/>
    <col min="10246" max="10496" width="22.8984375" style="1532"/>
    <col min="10497" max="10498" width="5.19921875" style="1532" customWidth="1"/>
    <col min="10499" max="10499" width="50.3984375" style="1532" customWidth="1"/>
    <col min="10500" max="10501" width="26.19921875" style="1532" customWidth="1"/>
    <col min="10502" max="10752" width="22.8984375" style="1532"/>
    <col min="10753" max="10754" width="5.19921875" style="1532" customWidth="1"/>
    <col min="10755" max="10755" width="50.3984375" style="1532" customWidth="1"/>
    <col min="10756" max="10757" width="26.19921875" style="1532" customWidth="1"/>
    <col min="10758" max="11008" width="22.8984375" style="1532"/>
    <col min="11009" max="11010" width="5.19921875" style="1532" customWidth="1"/>
    <col min="11011" max="11011" width="50.3984375" style="1532" customWidth="1"/>
    <col min="11012" max="11013" width="26.19921875" style="1532" customWidth="1"/>
    <col min="11014" max="11264" width="22.8984375" style="1532"/>
    <col min="11265" max="11266" width="5.19921875" style="1532" customWidth="1"/>
    <col min="11267" max="11267" width="50.3984375" style="1532" customWidth="1"/>
    <col min="11268" max="11269" width="26.19921875" style="1532" customWidth="1"/>
    <col min="11270" max="11520" width="22.8984375" style="1532"/>
    <col min="11521" max="11522" width="5.19921875" style="1532" customWidth="1"/>
    <col min="11523" max="11523" width="50.3984375" style="1532" customWidth="1"/>
    <col min="11524" max="11525" width="26.19921875" style="1532" customWidth="1"/>
    <col min="11526" max="11776" width="22.8984375" style="1532"/>
    <col min="11777" max="11778" width="5.19921875" style="1532" customWidth="1"/>
    <col min="11779" max="11779" width="50.3984375" style="1532" customWidth="1"/>
    <col min="11780" max="11781" width="26.19921875" style="1532" customWidth="1"/>
    <col min="11782" max="12032" width="22.8984375" style="1532"/>
    <col min="12033" max="12034" width="5.19921875" style="1532" customWidth="1"/>
    <col min="12035" max="12035" width="50.3984375" style="1532" customWidth="1"/>
    <col min="12036" max="12037" width="26.19921875" style="1532" customWidth="1"/>
    <col min="12038" max="12288" width="22.8984375" style="1532"/>
    <col min="12289" max="12290" width="5.19921875" style="1532" customWidth="1"/>
    <col min="12291" max="12291" width="50.3984375" style="1532" customWidth="1"/>
    <col min="12292" max="12293" width="26.19921875" style="1532" customWidth="1"/>
    <col min="12294" max="12544" width="22.8984375" style="1532"/>
    <col min="12545" max="12546" width="5.19921875" style="1532" customWidth="1"/>
    <col min="12547" max="12547" width="50.3984375" style="1532" customWidth="1"/>
    <col min="12548" max="12549" width="26.19921875" style="1532" customWidth="1"/>
    <col min="12550" max="12800" width="22.8984375" style="1532"/>
    <col min="12801" max="12802" width="5.19921875" style="1532" customWidth="1"/>
    <col min="12803" max="12803" width="50.3984375" style="1532" customWidth="1"/>
    <col min="12804" max="12805" width="26.19921875" style="1532" customWidth="1"/>
    <col min="12806" max="13056" width="22.8984375" style="1532"/>
    <col min="13057" max="13058" width="5.19921875" style="1532" customWidth="1"/>
    <col min="13059" max="13059" width="50.3984375" style="1532" customWidth="1"/>
    <col min="13060" max="13061" width="26.19921875" style="1532" customWidth="1"/>
    <col min="13062" max="13312" width="22.8984375" style="1532"/>
    <col min="13313" max="13314" width="5.19921875" style="1532" customWidth="1"/>
    <col min="13315" max="13315" width="50.3984375" style="1532" customWidth="1"/>
    <col min="13316" max="13317" width="26.19921875" style="1532" customWidth="1"/>
    <col min="13318" max="13568" width="22.8984375" style="1532"/>
    <col min="13569" max="13570" width="5.19921875" style="1532" customWidth="1"/>
    <col min="13571" max="13571" width="50.3984375" style="1532" customWidth="1"/>
    <col min="13572" max="13573" width="26.19921875" style="1532" customWidth="1"/>
    <col min="13574" max="13824" width="22.8984375" style="1532"/>
    <col min="13825" max="13826" width="5.19921875" style="1532" customWidth="1"/>
    <col min="13827" max="13827" width="50.3984375" style="1532" customWidth="1"/>
    <col min="13828" max="13829" width="26.19921875" style="1532" customWidth="1"/>
    <col min="13830" max="14080" width="22.8984375" style="1532"/>
    <col min="14081" max="14082" width="5.19921875" style="1532" customWidth="1"/>
    <col min="14083" max="14083" width="50.3984375" style="1532" customWidth="1"/>
    <col min="14084" max="14085" width="26.19921875" style="1532" customWidth="1"/>
    <col min="14086" max="14336" width="22.8984375" style="1532"/>
    <col min="14337" max="14338" width="5.19921875" style="1532" customWidth="1"/>
    <col min="14339" max="14339" width="50.3984375" style="1532" customWidth="1"/>
    <col min="14340" max="14341" width="26.19921875" style="1532" customWidth="1"/>
    <col min="14342" max="14592" width="22.8984375" style="1532"/>
    <col min="14593" max="14594" width="5.19921875" style="1532" customWidth="1"/>
    <col min="14595" max="14595" width="50.3984375" style="1532" customWidth="1"/>
    <col min="14596" max="14597" width="26.19921875" style="1532" customWidth="1"/>
    <col min="14598" max="14848" width="22.8984375" style="1532"/>
    <col min="14849" max="14850" width="5.19921875" style="1532" customWidth="1"/>
    <col min="14851" max="14851" width="50.3984375" style="1532" customWidth="1"/>
    <col min="14852" max="14853" width="26.19921875" style="1532" customWidth="1"/>
    <col min="14854" max="15104" width="22.8984375" style="1532"/>
    <col min="15105" max="15106" width="5.19921875" style="1532" customWidth="1"/>
    <col min="15107" max="15107" width="50.3984375" style="1532" customWidth="1"/>
    <col min="15108" max="15109" width="26.19921875" style="1532" customWidth="1"/>
    <col min="15110" max="15360" width="22.8984375" style="1532"/>
    <col min="15361" max="15362" width="5.19921875" style="1532" customWidth="1"/>
    <col min="15363" max="15363" width="50.3984375" style="1532" customWidth="1"/>
    <col min="15364" max="15365" width="26.19921875" style="1532" customWidth="1"/>
    <col min="15366" max="15616" width="22.8984375" style="1532"/>
    <col min="15617" max="15618" width="5.19921875" style="1532" customWidth="1"/>
    <col min="15619" max="15619" width="50.3984375" style="1532" customWidth="1"/>
    <col min="15620" max="15621" width="26.19921875" style="1532" customWidth="1"/>
    <col min="15622" max="15872" width="22.8984375" style="1532"/>
    <col min="15873" max="15874" width="5.19921875" style="1532" customWidth="1"/>
    <col min="15875" max="15875" width="50.3984375" style="1532" customWidth="1"/>
    <col min="15876" max="15877" width="26.19921875" style="1532" customWidth="1"/>
    <col min="15878" max="16128" width="22.8984375" style="1532"/>
    <col min="16129" max="16130" width="5.19921875" style="1532" customWidth="1"/>
    <col min="16131" max="16131" width="50.3984375" style="1532" customWidth="1"/>
    <col min="16132" max="16133" width="26.19921875" style="1532" customWidth="1"/>
    <col min="16134" max="16384" width="22.8984375" style="1532"/>
  </cols>
  <sheetData>
    <row r="1" spans="1:9" ht="20.100000000000001" customHeight="1">
      <c r="A1" s="3463" t="s">
        <v>5669</v>
      </c>
      <c r="B1" s="3463"/>
      <c r="C1" s="3463"/>
      <c r="D1" s="3463"/>
      <c r="E1" s="1937"/>
    </row>
    <row r="2" spans="1:9" ht="25.5" customHeight="1">
      <c r="A2" s="3401" t="s">
        <v>5670</v>
      </c>
      <c r="B2" s="3401"/>
      <c r="C2" s="3401"/>
      <c r="D2" s="3401"/>
      <c r="E2" s="1854"/>
    </row>
    <row r="3" spans="1:9" ht="14.25" customHeight="1">
      <c r="A3" s="1829" t="s">
        <v>5671</v>
      </c>
      <c r="B3" s="3407" t="s">
        <v>5672</v>
      </c>
      <c r="C3" s="3407"/>
      <c r="D3" s="3407"/>
      <c r="E3" s="1846" t="s">
        <v>4899</v>
      </c>
      <c r="F3" s="1537"/>
      <c r="G3" s="1565"/>
      <c r="H3" s="1537"/>
      <c r="I3" s="1537"/>
    </row>
    <row r="4" spans="1:9" ht="15" customHeight="1">
      <c r="A4" s="1847">
        <v>1</v>
      </c>
      <c r="B4" s="3405" t="s">
        <v>5672</v>
      </c>
      <c r="C4" s="1882" t="s">
        <v>5673</v>
      </c>
      <c r="D4" s="2088">
        <f>高新技术企业优惠情况审核表!D4</f>
        <v>0</v>
      </c>
      <c r="E4" s="1986"/>
    </row>
    <row r="5" spans="1:9" ht="19.5" customHeight="1">
      <c r="A5" s="1847"/>
      <c r="B5" s="3409"/>
      <c r="C5" s="1882" t="s">
        <v>5674</v>
      </c>
      <c r="D5" s="2088" t="str">
        <f>IF(高新技术企业优惠情况审核表!D5="","",TEXT(高新技术企业优惠情况审核表!D5,"yyyy-mm-dd"))</f>
        <v/>
      </c>
      <c r="E5" s="1955"/>
    </row>
    <row r="6" spans="1:9" ht="27" customHeight="1">
      <c r="A6" s="1847" t="s">
        <v>7664</v>
      </c>
      <c r="B6" s="3409"/>
      <c r="C6" s="1883" t="s">
        <v>5675</v>
      </c>
      <c r="D6" s="2088">
        <f>高新技术企业优惠情况审核表!D6</f>
        <v>0</v>
      </c>
      <c r="E6" s="1955"/>
    </row>
    <row r="7" spans="1:9" ht="18" customHeight="1">
      <c r="A7" s="1847"/>
      <c r="B7" s="3409"/>
      <c r="C7" s="1882" t="s">
        <v>5676</v>
      </c>
      <c r="D7" s="2088">
        <f>高新技术企业优惠情况审核表!D7</f>
        <v>0</v>
      </c>
      <c r="E7" s="1955"/>
    </row>
    <row r="8" spans="1:9" ht="18.75" customHeight="1">
      <c r="A8" s="1847" t="s">
        <v>7665</v>
      </c>
      <c r="B8" s="3409"/>
      <c r="C8" s="1882" t="s">
        <v>5677</v>
      </c>
      <c r="D8" s="2088">
        <f>高新技术企业优惠情况审核表!D8</f>
        <v>0</v>
      </c>
      <c r="E8" s="1955"/>
    </row>
    <row r="9" spans="1:9" ht="18" customHeight="1">
      <c r="A9" s="1847" t="s">
        <v>7666</v>
      </c>
      <c r="B9" s="3406"/>
      <c r="C9" s="1884" t="s">
        <v>5678</v>
      </c>
      <c r="D9" s="2088">
        <f>高新技术企业优惠情况审核表!D9</f>
        <v>0</v>
      </c>
      <c r="E9" s="1955"/>
    </row>
    <row r="10" spans="1:9" ht="14.25" customHeight="1">
      <c r="A10" s="1847" t="s">
        <v>7667</v>
      </c>
      <c r="B10" s="3407" t="s">
        <v>5679</v>
      </c>
      <c r="C10" s="1885" t="s">
        <v>5680</v>
      </c>
      <c r="D10" s="2073">
        <f>高新技术企业优惠情况审核表!D10</f>
        <v>0</v>
      </c>
      <c r="E10" s="1941"/>
    </row>
    <row r="11" spans="1:9" ht="14.25" customHeight="1">
      <c r="A11" s="2555" t="s">
        <v>7668</v>
      </c>
      <c r="B11" s="3407"/>
      <c r="C11" s="1885" t="s">
        <v>5681</v>
      </c>
      <c r="D11" s="2073">
        <f>高新技术企业优惠情况审核表!D11</f>
        <v>0</v>
      </c>
      <c r="E11" s="1941"/>
    </row>
    <row r="12" spans="1:9" ht="14.25" customHeight="1">
      <c r="A12" s="2555" t="s">
        <v>7669</v>
      </c>
      <c r="B12" s="3407"/>
      <c r="C12" s="1885" t="s">
        <v>5682</v>
      </c>
      <c r="D12" s="2073">
        <f>高新技术企业优惠情况审核表!D12</f>
        <v>0</v>
      </c>
      <c r="E12" s="1941"/>
    </row>
    <row r="13" spans="1:9" ht="14.25" customHeight="1">
      <c r="A13" s="2555" t="s">
        <v>7670</v>
      </c>
      <c r="B13" s="3407"/>
      <c r="C13" s="1885" t="s">
        <v>5683</v>
      </c>
      <c r="D13" s="2073">
        <f>高新技术企业优惠情况审核表!D13</f>
        <v>0</v>
      </c>
      <c r="E13" s="1941"/>
      <c r="F13" s="1675" t="s">
        <v>6471</v>
      </c>
    </row>
    <row r="14" spans="1:9" ht="23.25" customHeight="1">
      <c r="A14" s="2555" t="s">
        <v>7671</v>
      </c>
      <c r="B14" s="3407"/>
      <c r="C14" s="1886" t="s">
        <v>5684</v>
      </c>
      <c r="D14" s="2073">
        <f>高新技术企业优惠情况审核表!D14</f>
        <v>0</v>
      </c>
      <c r="E14" s="1941"/>
    </row>
    <row r="15" spans="1:9" ht="14.25" customHeight="1">
      <c r="A15" s="2555" t="s">
        <v>6265</v>
      </c>
      <c r="B15" s="3407" t="s">
        <v>5685</v>
      </c>
      <c r="C15" s="1887" t="s">
        <v>5686</v>
      </c>
      <c r="D15" s="2073">
        <f>高新技术企业优惠情况审核表!D15</f>
        <v>0</v>
      </c>
      <c r="E15" s="1941"/>
    </row>
    <row r="16" spans="1:9" ht="14.25" customHeight="1">
      <c r="A16" s="2555" t="s">
        <v>6266</v>
      </c>
      <c r="B16" s="3407"/>
      <c r="C16" s="1887" t="s">
        <v>5687</v>
      </c>
      <c r="D16" s="2073">
        <f>高新技术企业优惠情况审核表!D16</f>
        <v>0</v>
      </c>
      <c r="E16" s="1941"/>
    </row>
    <row r="17" spans="1:5" ht="14.25" customHeight="1">
      <c r="A17" s="2555" t="s">
        <v>6267</v>
      </c>
      <c r="B17" s="3407"/>
      <c r="C17" s="1885" t="s">
        <v>5688</v>
      </c>
      <c r="D17" s="2073">
        <f>高新技术企业优惠情况审核表!D17</f>
        <v>0</v>
      </c>
      <c r="E17" s="1941"/>
    </row>
    <row r="18" spans="1:5" ht="24" customHeight="1">
      <c r="A18" s="2555" t="s">
        <v>6268</v>
      </c>
      <c r="B18" s="3407"/>
      <c r="C18" s="1886" t="s">
        <v>5689</v>
      </c>
      <c r="D18" s="2073">
        <f>高新技术企业优惠情况审核表!D18</f>
        <v>0</v>
      </c>
      <c r="E18" s="1986"/>
    </row>
    <row r="19" spans="1:5" ht="14.25" customHeight="1">
      <c r="A19" s="2555" t="s">
        <v>6269</v>
      </c>
      <c r="B19" s="3407"/>
      <c r="C19" s="1888" t="s">
        <v>5690</v>
      </c>
      <c r="D19" s="2073">
        <f>高新技术企业优惠情况审核表!D19</f>
        <v>0</v>
      </c>
      <c r="E19" s="1941"/>
    </row>
    <row r="20" spans="1:5" ht="14.25" customHeight="1">
      <c r="A20" s="2555" t="s">
        <v>6270</v>
      </c>
      <c r="B20" s="3407" t="s">
        <v>5691</v>
      </c>
      <c r="C20" s="1887" t="s">
        <v>5692</v>
      </c>
      <c r="D20" s="2073">
        <f>高新技术企业优惠情况审核表!D20</f>
        <v>0</v>
      </c>
      <c r="E20" s="1941"/>
    </row>
    <row r="21" spans="1:5" ht="14.25" customHeight="1">
      <c r="A21" s="2555" t="s">
        <v>6271</v>
      </c>
      <c r="B21" s="3407"/>
      <c r="C21" s="1889" t="s">
        <v>6406</v>
      </c>
      <c r="D21" s="2073">
        <f>高新技术企业优惠情况审核表!D21</f>
        <v>0</v>
      </c>
      <c r="E21" s="1941"/>
    </row>
    <row r="22" spans="1:5" ht="14.25" customHeight="1">
      <c r="A22" s="2555" t="s">
        <v>6272</v>
      </c>
      <c r="B22" s="3407"/>
      <c r="C22" s="1889" t="s">
        <v>5694</v>
      </c>
      <c r="D22" s="2073">
        <f>高新技术企业优惠情况审核表!D22</f>
        <v>0</v>
      </c>
      <c r="E22" s="1941"/>
    </row>
    <row r="23" spans="1:5" ht="14.25" customHeight="1">
      <c r="A23" s="2555" t="s">
        <v>6273</v>
      </c>
      <c r="B23" s="3407"/>
      <c r="C23" s="1889" t="s">
        <v>5695</v>
      </c>
      <c r="D23" s="2073">
        <f>高新技术企业优惠情况审核表!D23</f>
        <v>0</v>
      </c>
      <c r="E23" s="1941"/>
    </row>
    <row r="24" spans="1:5" ht="14.25" customHeight="1">
      <c r="A24" s="2555" t="s">
        <v>6274</v>
      </c>
      <c r="B24" s="3407"/>
      <c r="C24" s="1889" t="s">
        <v>5696</v>
      </c>
      <c r="D24" s="2073">
        <f>高新技术企业优惠情况审核表!D24</f>
        <v>0</v>
      </c>
      <c r="E24" s="1941"/>
    </row>
    <row r="25" spans="1:5" ht="14.25" customHeight="1">
      <c r="A25" s="2555" t="s">
        <v>6275</v>
      </c>
      <c r="B25" s="3407"/>
      <c r="C25" s="1889" t="s">
        <v>5697</v>
      </c>
      <c r="D25" s="2073">
        <f>高新技术企业优惠情况审核表!D25</f>
        <v>0</v>
      </c>
      <c r="E25" s="1941"/>
    </row>
    <row r="26" spans="1:5" ht="14.25" customHeight="1">
      <c r="A26" s="2555" t="s">
        <v>6276</v>
      </c>
      <c r="B26" s="3407"/>
      <c r="C26" s="1889" t="s">
        <v>5698</v>
      </c>
      <c r="D26" s="2073">
        <f>高新技术企业优惠情况审核表!D26</f>
        <v>0</v>
      </c>
      <c r="E26" s="1941"/>
    </row>
    <row r="27" spans="1:5" ht="14.25" customHeight="1">
      <c r="A27" s="2555" t="s">
        <v>7672</v>
      </c>
      <c r="B27" s="3407"/>
      <c r="C27" s="1889" t="s">
        <v>5699</v>
      </c>
      <c r="D27" s="2073">
        <f>高新技术企业优惠情况审核表!D27</f>
        <v>0</v>
      </c>
      <c r="E27" s="1941"/>
    </row>
    <row r="28" spans="1:5" ht="14.25" customHeight="1">
      <c r="A28" s="2555" t="s">
        <v>7673</v>
      </c>
      <c r="B28" s="3407"/>
      <c r="C28" s="1889" t="s">
        <v>5700</v>
      </c>
      <c r="D28" s="2073">
        <f>高新技术企业优惠情况审核表!D28</f>
        <v>0</v>
      </c>
      <c r="E28" s="1941"/>
    </row>
    <row r="29" spans="1:5" ht="14.25" customHeight="1">
      <c r="A29" s="2555" t="s">
        <v>7674</v>
      </c>
      <c r="B29" s="3407"/>
      <c r="C29" s="1889" t="s">
        <v>5701</v>
      </c>
      <c r="D29" s="2073">
        <f>高新技术企业优惠情况审核表!D29</f>
        <v>0</v>
      </c>
      <c r="E29" s="1941"/>
    </row>
    <row r="30" spans="1:5" ht="14.25" customHeight="1">
      <c r="A30" s="2555" t="s">
        <v>7675</v>
      </c>
      <c r="B30" s="3407"/>
      <c r="C30" s="1889" t="s">
        <v>5702</v>
      </c>
      <c r="D30" s="2073">
        <f>高新技术企业优惠情况审核表!D30</f>
        <v>0</v>
      </c>
      <c r="E30" s="1941"/>
    </row>
    <row r="31" spans="1:5" ht="14.25" customHeight="1">
      <c r="A31" s="2555" t="s">
        <v>7676</v>
      </c>
      <c r="B31" s="3407"/>
      <c r="C31" s="1889" t="s">
        <v>5703</v>
      </c>
      <c r="D31" s="2073">
        <f>高新技术企业优惠情况审核表!D31</f>
        <v>0</v>
      </c>
      <c r="E31" s="1941"/>
    </row>
    <row r="32" spans="1:5" ht="14.25" customHeight="1">
      <c r="A32" s="2555" t="s">
        <v>7677</v>
      </c>
      <c r="B32" s="3407"/>
      <c r="C32" s="1889" t="s">
        <v>5704</v>
      </c>
      <c r="D32" s="2073">
        <f>高新技术企业优惠情况审核表!D32</f>
        <v>0</v>
      </c>
      <c r="E32" s="1941"/>
    </row>
    <row r="33" spans="1:5" ht="14.25" customHeight="1">
      <c r="A33" s="2555" t="s">
        <v>7678</v>
      </c>
      <c r="B33" s="3407"/>
      <c r="C33" s="1889" t="s">
        <v>5705</v>
      </c>
      <c r="D33" s="2073">
        <f>高新技术企业优惠情况审核表!D33</f>
        <v>0</v>
      </c>
      <c r="E33" s="1941"/>
    </row>
    <row r="34" spans="1:5">
      <c r="A34" s="2556" t="s">
        <v>7679</v>
      </c>
      <c r="B34" s="3485" t="s">
        <v>5706</v>
      </c>
      <c r="C34" s="3486"/>
      <c r="D34" s="2072">
        <f>高新技术企业优惠情况审核表!D34</f>
        <v>0</v>
      </c>
      <c r="E34" s="1829" t="s">
        <v>6890</v>
      </c>
    </row>
  </sheetData>
  <mergeCells count="8">
    <mergeCell ref="B20:B33"/>
    <mergeCell ref="B34:C34"/>
    <mergeCell ref="A1:D1"/>
    <mergeCell ref="A2:D2"/>
    <mergeCell ref="B3:D3"/>
    <mergeCell ref="B4:B9"/>
    <mergeCell ref="B10:B14"/>
    <mergeCell ref="B15:B19"/>
  </mergeCells>
  <phoneticPr fontId="51" type="noConversion"/>
  <dataValidations count="1">
    <dataValidation type="list" allowBlank="1" showInputMessage="1" showErrorMessage="1" sqref="WVL982926:WVL982928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22:D65424 IZ65422:IZ65424 SV65422:SV65424 ACR65422:ACR65424 AMN65422:AMN65424 AWJ65422:AWJ65424 BGF65422:BGF65424 BQB65422:BQB65424 BZX65422:BZX65424 CJT65422:CJT65424 CTP65422:CTP65424 DDL65422:DDL65424 DNH65422:DNH65424 DXD65422:DXD65424 EGZ65422:EGZ65424 EQV65422:EQV65424 FAR65422:FAR65424 FKN65422:FKN65424 FUJ65422:FUJ65424 GEF65422:GEF65424 GOB65422:GOB65424 GXX65422:GXX65424 HHT65422:HHT65424 HRP65422:HRP65424 IBL65422:IBL65424 ILH65422:ILH65424 IVD65422:IVD65424 JEZ65422:JEZ65424 JOV65422:JOV65424 JYR65422:JYR65424 KIN65422:KIN65424 KSJ65422:KSJ65424 LCF65422:LCF65424 LMB65422:LMB65424 LVX65422:LVX65424 MFT65422:MFT65424 MPP65422:MPP65424 MZL65422:MZL65424 NJH65422:NJH65424 NTD65422:NTD65424 OCZ65422:OCZ65424 OMV65422:OMV65424 OWR65422:OWR65424 PGN65422:PGN65424 PQJ65422:PQJ65424 QAF65422:QAF65424 QKB65422:QKB65424 QTX65422:QTX65424 RDT65422:RDT65424 RNP65422:RNP65424 RXL65422:RXL65424 SHH65422:SHH65424 SRD65422:SRD65424 TAZ65422:TAZ65424 TKV65422:TKV65424 TUR65422:TUR65424 UEN65422:UEN65424 UOJ65422:UOJ65424 UYF65422:UYF65424 VIB65422:VIB65424 VRX65422:VRX65424 WBT65422:WBT65424 WLP65422:WLP65424 WVL65422:WVL65424 D130958:D130960 IZ130958:IZ130960 SV130958:SV130960 ACR130958:ACR130960 AMN130958:AMN130960 AWJ130958:AWJ130960 BGF130958:BGF130960 BQB130958:BQB130960 BZX130958:BZX130960 CJT130958:CJT130960 CTP130958:CTP130960 DDL130958:DDL130960 DNH130958:DNH130960 DXD130958:DXD130960 EGZ130958:EGZ130960 EQV130958:EQV130960 FAR130958:FAR130960 FKN130958:FKN130960 FUJ130958:FUJ130960 GEF130958:GEF130960 GOB130958:GOB130960 GXX130958:GXX130960 HHT130958:HHT130960 HRP130958:HRP130960 IBL130958:IBL130960 ILH130958:ILH130960 IVD130958:IVD130960 JEZ130958:JEZ130960 JOV130958:JOV130960 JYR130958:JYR130960 KIN130958:KIN130960 KSJ130958:KSJ130960 LCF130958:LCF130960 LMB130958:LMB130960 LVX130958:LVX130960 MFT130958:MFT130960 MPP130958:MPP130960 MZL130958:MZL130960 NJH130958:NJH130960 NTD130958:NTD130960 OCZ130958:OCZ130960 OMV130958:OMV130960 OWR130958:OWR130960 PGN130958:PGN130960 PQJ130958:PQJ130960 QAF130958:QAF130960 QKB130958:QKB130960 QTX130958:QTX130960 RDT130958:RDT130960 RNP130958:RNP130960 RXL130958:RXL130960 SHH130958:SHH130960 SRD130958:SRD130960 TAZ130958:TAZ130960 TKV130958:TKV130960 TUR130958:TUR130960 UEN130958:UEN130960 UOJ130958:UOJ130960 UYF130958:UYF130960 VIB130958:VIB130960 VRX130958:VRX130960 WBT130958:WBT130960 WLP130958:WLP130960 WVL130958:WVL130960 D196494:D196496 IZ196494:IZ196496 SV196494:SV196496 ACR196494:ACR196496 AMN196494:AMN196496 AWJ196494:AWJ196496 BGF196494:BGF196496 BQB196494:BQB196496 BZX196494:BZX196496 CJT196494:CJT196496 CTP196494:CTP196496 DDL196494:DDL196496 DNH196494:DNH196496 DXD196494:DXD196496 EGZ196494:EGZ196496 EQV196494:EQV196496 FAR196494:FAR196496 FKN196494:FKN196496 FUJ196494:FUJ196496 GEF196494:GEF196496 GOB196494:GOB196496 GXX196494:GXX196496 HHT196494:HHT196496 HRP196494:HRP196496 IBL196494:IBL196496 ILH196494:ILH196496 IVD196494:IVD196496 JEZ196494:JEZ196496 JOV196494:JOV196496 JYR196494:JYR196496 KIN196494:KIN196496 KSJ196494:KSJ196496 LCF196494:LCF196496 LMB196494:LMB196496 LVX196494:LVX196496 MFT196494:MFT196496 MPP196494:MPP196496 MZL196494:MZL196496 NJH196494:NJH196496 NTD196494:NTD196496 OCZ196494:OCZ196496 OMV196494:OMV196496 OWR196494:OWR196496 PGN196494:PGN196496 PQJ196494:PQJ196496 QAF196494:QAF196496 QKB196494:QKB196496 QTX196494:QTX196496 RDT196494:RDT196496 RNP196494:RNP196496 RXL196494:RXL196496 SHH196494:SHH196496 SRD196494:SRD196496 TAZ196494:TAZ196496 TKV196494:TKV196496 TUR196494:TUR196496 UEN196494:UEN196496 UOJ196494:UOJ196496 UYF196494:UYF196496 VIB196494:VIB196496 VRX196494:VRX196496 WBT196494:WBT196496 WLP196494:WLP196496 WVL196494:WVL196496 D262030:D262032 IZ262030:IZ262032 SV262030:SV262032 ACR262030:ACR262032 AMN262030:AMN262032 AWJ262030:AWJ262032 BGF262030:BGF262032 BQB262030:BQB262032 BZX262030:BZX262032 CJT262030:CJT262032 CTP262030:CTP262032 DDL262030:DDL262032 DNH262030:DNH262032 DXD262030:DXD262032 EGZ262030:EGZ262032 EQV262030:EQV262032 FAR262030:FAR262032 FKN262030:FKN262032 FUJ262030:FUJ262032 GEF262030:GEF262032 GOB262030:GOB262032 GXX262030:GXX262032 HHT262030:HHT262032 HRP262030:HRP262032 IBL262030:IBL262032 ILH262030:ILH262032 IVD262030:IVD262032 JEZ262030:JEZ262032 JOV262030:JOV262032 JYR262030:JYR262032 KIN262030:KIN262032 KSJ262030:KSJ262032 LCF262030:LCF262032 LMB262030:LMB262032 LVX262030:LVX262032 MFT262030:MFT262032 MPP262030:MPP262032 MZL262030:MZL262032 NJH262030:NJH262032 NTD262030:NTD262032 OCZ262030:OCZ262032 OMV262030:OMV262032 OWR262030:OWR262032 PGN262030:PGN262032 PQJ262030:PQJ262032 QAF262030:QAF262032 QKB262030:QKB262032 QTX262030:QTX262032 RDT262030:RDT262032 RNP262030:RNP262032 RXL262030:RXL262032 SHH262030:SHH262032 SRD262030:SRD262032 TAZ262030:TAZ262032 TKV262030:TKV262032 TUR262030:TUR262032 UEN262030:UEN262032 UOJ262030:UOJ262032 UYF262030:UYF262032 VIB262030:VIB262032 VRX262030:VRX262032 WBT262030:WBT262032 WLP262030:WLP262032 WVL262030:WVL262032 D327566:D327568 IZ327566:IZ327568 SV327566:SV327568 ACR327566:ACR327568 AMN327566:AMN327568 AWJ327566:AWJ327568 BGF327566:BGF327568 BQB327566:BQB327568 BZX327566:BZX327568 CJT327566:CJT327568 CTP327566:CTP327568 DDL327566:DDL327568 DNH327566:DNH327568 DXD327566:DXD327568 EGZ327566:EGZ327568 EQV327566:EQV327568 FAR327566:FAR327568 FKN327566:FKN327568 FUJ327566:FUJ327568 GEF327566:GEF327568 GOB327566:GOB327568 GXX327566:GXX327568 HHT327566:HHT327568 HRP327566:HRP327568 IBL327566:IBL327568 ILH327566:ILH327568 IVD327566:IVD327568 JEZ327566:JEZ327568 JOV327566:JOV327568 JYR327566:JYR327568 KIN327566:KIN327568 KSJ327566:KSJ327568 LCF327566:LCF327568 LMB327566:LMB327568 LVX327566:LVX327568 MFT327566:MFT327568 MPP327566:MPP327568 MZL327566:MZL327568 NJH327566:NJH327568 NTD327566:NTD327568 OCZ327566:OCZ327568 OMV327566:OMV327568 OWR327566:OWR327568 PGN327566:PGN327568 PQJ327566:PQJ327568 QAF327566:QAF327568 QKB327566:QKB327568 QTX327566:QTX327568 RDT327566:RDT327568 RNP327566:RNP327568 RXL327566:RXL327568 SHH327566:SHH327568 SRD327566:SRD327568 TAZ327566:TAZ327568 TKV327566:TKV327568 TUR327566:TUR327568 UEN327566:UEN327568 UOJ327566:UOJ327568 UYF327566:UYF327568 VIB327566:VIB327568 VRX327566:VRX327568 WBT327566:WBT327568 WLP327566:WLP327568 WVL327566:WVL327568 D393102:D393104 IZ393102:IZ393104 SV393102:SV393104 ACR393102:ACR393104 AMN393102:AMN393104 AWJ393102:AWJ393104 BGF393102:BGF393104 BQB393102:BQB393104 BZX393102:BZX393104 CJT393102:CJT393104 CTP393102:CTP393104 DDL393102:DDL393104 DNH393102:DNH393104 DXD393102:DXD393104 EGZ393102:EGZ393104 EQV393102:EQV393104 FAR393102:FAR393104 FKN393102:FKN393104 FUJ393102:FUJ393104 GEF393102:GEF393104 GOB393102:GOB393104 GXX393102:GXX393104 HHT393102:HHT393104 HRP393102:HRP393104 IBL393102:IBL393104 ILH393102:ILH393104 IVD393102:IVD393104 JEZ393102:JEZ393104 JOV393102:JOV393104 JYR393102:JYR393104 KIN393102:KIN393104 KSJ393102:KSJ393104 LCF393102:LCF393104 LMB393102:LMB393104 LVX393102:LVX393104 MFT393102:MFT393104 MPP393102:MPP393104 MZL393102:MZL393104 NJH393102:NJH393104 NTD393102:NTD393104 OCZ393102:OCZ393104 OMV393102:OMV393104 OWR393102:OWR393104 PGN393102:PGN393104 PQJ393102:PQJ393104 QAF393102:QAF393104 QKB393102:QKB393104 QTX393102:QTX393104 RDT393102:RDT393104 RNP393102:RNP393104 RXL393102:RXL393104 SHH393102:SHH393104 SRD393102:SRD393104 TAZ393102:TAZ393104 TKV393102:TKV393104 TUR393102:TUR393104 UEN393102:UEN393104 UOJ393102:UOJ393104 UYF393102:UYF393104 VIB393102:VIB393104 VRX393102:VRX393104 WBT393102:WBT393104 WLP393102:WLP393104 WVL393102:WVL393104 D458638:D458640 IZ458638:IZ458640 SV458638:SV458640 ACR458638:ACR458640 AMN458638:AMN458640 AWJ458638:AWJ458640 BGF458638:BGF458640 BQB458638:BQB458640 BZX458638:BZX458640 CJT458638:CJT458640 CTP458638:CTP458640 DDL458638:DDL458640 DNH458638:DNH458640 DXD458638:DXD458640 EGZ458638:EGZ458640 EQV458638:EQV458640 FAR458638:FAR458640 FKN458638:FKN458640 FUJ458638:FUJ458640 GEF458638:GEF458640 GOB458638:GOB458640 GXX458638:GXX458640 HHT458638:HHT458640 HRP458638:HRP458640 IBL458638:IBL458640 ILH458638:ILH458640 IVD458638:IVD458640 JEZ458638:JEZ458640 JOV458638:JOV458640 JYR458638:JYR458640 KIN458638:KIN458640 KSJ458638:KSJ458640 LCF458638:LCF458640 LMB458638:LMB458640 LVX458638:LVX458640 MFT458638:MFT458640 MPP458638:MPP458640 MZL458638:MZL458640 NJH458638:NJH458640 NTD458638:NTD458640 OCZ458638:OCZ458640 OMV458638:OMV458640 OWR458638:OWR458640 PGN458638:PGN458640 PQJ458638:PQJ458640 QAF458638:QAF458640 QKB458638:QKB458640 QTX458638:QTX458640 RDT458638:RDT458640 RNP458638:RNP458640 RXL458638:RXL458640 SHH458638:SHH458640 SRD458638:SRD458640 TAZ458638:TAZ458640 TKV458638:TKV458640 TUR458638:TUR458640 UEN458638:UEN458640 UOJ458638:UOJ458640 UYF458638:UYF458640 VIB458638:VIB458640 VRX458638:VRX458640 WBT458638:WBT458640 WLP458638:WLP458640 WVL458638:WVL458640 D524174:D524176 IZ524174:IZ524176 SV524174:SV524176 ACR524174:ACR524176 AMN524174:AMN524176 AWJ524174:AWJ524176 BGF524174:BGF524176 BQB524174:BQB524176 BZX524174:BZX524176 CJT524174:CJT524176 CTP524174:CTP524176 DDL524174:DDL524176 DNH524174:DNH524176 DXD524174:DXD524176 EGZ524174:EGZ524176 EQV524174:EQV524176 FAR524174:FAR524176 FKN524174:FKN524176 FUJ524174:FUJ524176 GEF524174:GEF524176 GOB524174:GOB524176 GXX524174:GXX524176 HHT524174:HHT524176 HRP524174:HRP524176 IBL524174:IBL524176 ILH524174:ILH524176 IVD524174:IVD524176 JEZ524174:JEZ524176 JOV524174:JOV524176 JYR524174:JYR524176 KIN524174:KIN524176 KSJ524174:KSJ524176 LCF524174:LCF524176 LMB524174:LMB524176 LVX524174:LVX524176 MFT524174:MFT524176 MPP524174:MPP524176 MZL524174:MZL524176 NJH524174:NJH524176 NTD524174:NTD524176 OCZ524174:OCZ524176 OMV524174:OMV524176 OWR524174:OWR524176 PGN524174:PGN524176 PQJ524174:PQJ524176 QAF524174:QAF524176 QKB524174:QKB524176 QTX524174:QTX524176 RDT524174:RDT524176 RNP524174:RNP524176 RXL524174:RXL524176 SHH524174:SHH524176 SRD524174:SRD524176 TAZ524174:TAZ524176 TKV524174:TKV524176 TUR524174:TUR524176 UEN524174:UEN524176 UOJ524174:UOJ524176 UYF524174:UYF524176 VIB524174:VIB524176 VRX524174:VRX524176 WBT524174:WBT524176 WLP524174:WLP524176 WVL524174:WVL524176 D589710:D589712 IZ589710:IZ589712 SV589710:SV589712 ACR589710:ACR589712 AMN589710:AMN589712 AWJ589710:AWJ589712 BGF589710:BGF589712 BQB589710:BQB589712 BZX589710:BZX589712 CJT589710:CJT589712 CTP589710:CTP589712 DDL589710:DDL589712 DNH589710:DNH589712 DXD589710:DXD589712 EGZ589710:EGZ589712 EQV589710:EQV589712 FAR589710:FAR589712 FKN589710:FKN589712 FUJ589710:FUJ589712 GEF589710:GEF589712 GOB589710:GOB589712 GXX589710:GXX589712 HHT589710:HHT589712 HRP589710:HRP589712 IBL589710:IBL589712 ILH589710:ILH589712 IVD589710:IVD589712 JEZ589710:JEZ589712 JOV589710:JOV589712 JYR589710:JYR589712 KIN589710:KIN589712 KSJ589710:KSJ589712 LCF589710:LCF589712 LMB589710:LMB589712 LVX589710:LVX589712 MFT589710:MFT589712 MPP589710:MPP589712 MZL589710:MZL589712 NJH589710:NJH589712 NTD589710:NTD589712 OCZ589710:OCZ589712 OMV589710:OMV589712 OWR589710:OWR589712 PGN589710:PGN589712 PQJ589710:PQJ589712 QAF589710:QAF589712 QKB589710:QKB589712 QTX589710:QTX589712 RDT589710:RDT589712 RNP589710:RNP589712 RXL589710:RXL589712 SHH589710:SHH589712 SRD589710:SRD589712 TAZ589710:TAZ589712 TKV589710:TKV589712 TUR589710:TUR589712 UEN589710:UEN589712 UOJ589710:UOJ589712 UYF589710:UYF589712 VIB589710:VIB589712 VRX589710:VRX589712 WBT589710:WBT589712 WLP589710:WLP589712 WVL589710:WVL589712 D655246:D655248 IZ655246:IZ655248 SV655246:SV655248 ACR655246:ACR655248 AMN655246:AMN655248 AWJ655246:AWJ655248 BGF655246:BGF655248 BQB655246:BQB655248 BZX655246:BZX655248 CJT655246:CJT655248 CTP655246:CTP655248 DDL655246:DDL655248 DNH655246:DNH655248 DXD655246:DXD655248 EGZ655246:EGZ655248 EQV655246:EQV655248 FAR655246:FAR655248 FKN655246:FKN655248 FUJ655246:FUJ655248 GEF655246:GEF655248 GOB655246:GOB655248 GXX655246:GXX655248 HHT655246:HHT655248 HRP655246:HRP655248 IBL655246:IBL655248 ILH655246:ILH655248 IVD655246:IVD655248 JEZ655246:JEZ655248 JOV655246:JOV655248 JYR655246:JYR655248 KIN655246:KIN655248 KSJ655246:KSJ655248 LCF655246:LCF655248 LMB655246:LMB655248 LVX655246:LVX655248 MFT655246:MFT655248 MPP655246:MPP655248 MZL655246:MZL655248 NJH655246:NJH655248 NTD655246:NTD655248 OCZ655246:OCZ655248 OMV655246:OMV655248 OWR655246:OWR655248 PGN655246:PGN655248 PQJ655246:PQJ655248 QAF655246:QAF655248 QKB655246:QKB655248 QTX655246:QTX655248 RDT655246:RDT655248 RNP655246:RNP655248 RXL655246:RXL655248 SHH655246:SHH655248 SRD655246:SRD655248 TAZ655246:TAZ655248 TKV655246:TKV655248 TUR655246:TUR655248 UEN655246:UEN655248 UOJ655246:UOJ655248 UYF655246:UYF655248 VIB655246:VIB655248 VRX655246:VRX655248 WBT655246:WBT655248 WLP655246:WLP655248 WVL655246:WVL655248 D720782:D720784 IZ720782:IZ720784 SV720782:SV720784 ACR720782:ACR720784 AMN720782:AMN720784 AWJ720782:AWJ720784 BGF720782:BGF720784 BQB720782:BQB720784 BZX720782:BZX720784 CJT720782:CJT720784 CTP720782:CTP720784 DDL720782:DDL720784 DNH720782:DNH720784 DXD720782:DXD720784 EGZ720782:EGZ720784 EQV720782:EQV720784 FAR720782:FAR720784 FKN720782:FKN720784 FUJ720782:FUJ720784 GEF720782:GEF720784 GOB720782:GOB720784 GXX720782:GXX720784 HHT720782:HHT720784 HRP720782:HRP720784 IBL720782:IBL720784 ILH720782:ILH720784 IVD720782:IVD720784 JEZ720782:JEZ720784 JOV720782:JOV720784 JYR720782:JYR720784 KIN720782:KIN720784 KSJ720782:KSJ720784 LCF720782:LCF720784 LMB720782:LMB720784 LVX720782:LVX720784 MFT720782:MFT720784 MPP720782:MPP720784 MZL720782:MZL720784 NJH720782:NJH720784 NTD720782:NTD720784 OCZ720782:OCZ720784 OMV720782:OMV720784 OWR720782:OWR720784 PGN720782:PGN720784 PQJ720782:PQJ720784 QAF720782:QAF720784 QKB720782:QKB720784 QTX720782:QTX720784 RDT720782:RDT720784 RNP720782:RNP720784 RXL720782:RXL720784 SHH720782:SHH720784 SRD720782:SRD720784 TAZ720782:TAZ720784 TKV720782:TKV720784 TUR720782:TUR720784 UEN720782:UEN720784 UOJ720782:UOJ720784 UYF720782:UYF720784 VIB720782:VIB720784 VRX720782:VRX720784 WBT720782:WBT720784 WLP720782:WLP720784 WVL720782:WVL720784 D786318:D786320 IZ786318:IZ786320 SV786318:SV786320 ACR786318:ACR786320 AMN786318:AMN786320 AWJ786318:AWJ786320 BGF786318:BGF786320 BQB786318:BQB786320 BZX786318:BZX786320 CJT786318:CJT786320 CTP786318:CTP786320 DDL786318:DDL786320 DNH786318:DNH786320 DXD786318:DXD786320 EGZ786318:EGZ786320 EQV786318:EQV786320 FAR786318:FAR786320 FKN786318:FKN786320 FUJ786318:FUJ786320 GEF786318:GEF786320 GOB786318:GOB786320 GXX786318:GXX786320 HHT786318:HHT786320 HRP786318:HRP786320 IBL786318:IBL786320 ILH786318:ILH786320 IVD786318:IVD786320 JEZ786318:JEZ786320 JOV786318:JOV786320 JYR786318:JYR786320 KIN786318:KIN786320 KSJ786318:KSJ786320 LCF786318:LCF786320 LMB786318:LMB786320 LVX786318:LVX786320 MFT786318:MFT786320 MPP786318:MPP786320 MZL786318:MZL786320 NJH786318:NJH786320 NTD786318:NTD786320 OCZ786318:OCZ786320 OMV786318:OMV786320 OWR786318:OWR786320 PGN786318:PGN786320 PQJ786318:PQJ786320 QAF786318:QAF786320 QKB786318:QKB786320 QTX786318:QTX786320 RDT786318:RDT786320 RNP786318:RNP786320 RXL786318:RXL786320 SHH786318:SHH786320 SRD786318:SRD786320 TAZ786318:TAZ786320 TKV786318:TKV786320 TUR786318:TUR786320 UEN786318:UEN786320 UOJ786318:UOJ786320 UYF786318:UYF786320 VIB786318:VIB786320 VRX786318:VRX786320 WBT786318:WBT786320 WLP786318:WLP786320 WVL786318:WVL786320 D851854:D851856 IZ851854:IZ851856 SV851854:SV851856 ACR851854:ACR851856 AMN851854:AMN851856 AWJ851854:AWJ851856 BGF851854:BGF851856 BQB851854:BQB851856 BZX851854:BZX851856 CJT851854:CJT851856 CTP851854:CTP851856 DDL851854:DDL851856 DNH851854:DNH851856 DXD851854:DXD851856 EGZ851854:EGZ851856 EQV851854:EQV851856 FAR851854:FAR851856 FKN851854:FKN851856 FUJ851854:FUJ851856 GEF851854:GEF851856 GOB851854:GOB851856 GXX851854:GXX851856 HHT851854:HHT851856 HRP851854:HRP851856 IBL851854:IBL851856 ILH851854:ILH851856 IVD851854:IVD851856 JEZ851854:JEZ851856 JOV851854:JOV851856 JYR851854:JYR851856 KIN851854:KIN851856 KSJ851854:KSJ851856 LCF851854:LCF851856 LMB851854:LMB851856 LVX851854:LVX851856 MFT851854:MFT851856 MPP851854:MPP851856 MZL851854:MZL851856 NJH851854:NJH851856 NTD851854:NTD851856 OCZ851854:OCZ851856 OMV851854:OMV851856 OWR851854:OWR851856 PGN851854:PGN851856 PQJ851854:PQJ851856 QAF851854:QAF851856 QKB851854:QKB851856 QTX851854:QTX851856 RDT851854:RDT851856 RNP851854:RNP851856 RXL851854:RXL851856 SHH851854:SHH851856 SRD851854:SRD851856 TAZ851854:TAZ851856 TKV851854:TKV851856 TUR851854:TUR851856 UEN851854:UEN851856 UOJ851854:UOJ851856 UYF851854:UYF851856 VIB851854:VIB851856 VRX851854:VRX851856 WBT851854:WBT851856 WLP851854:WLP851856 WVL851854:WVL851856 D917390:D917392 IZ917390:IZ917392 SV917390:SV917392 ACR917390:ACR917392 AMN917390:AMN917392 AWJ917390:AWJ917392 BGF917390:BGF917392 BQB917390:BQB917392 BZX917390:BZX917392 CJT917390:CJT917392 CTP917390:CTP917392 DDL917390:DDL917392 DNH917390:DNH917392 DXD917390:DXD917392 EGZ917390:EGZ917392 EQV917390:EQV917392 FAR917390:FAR917392 FKN917390:FKN917392 FUJ917390:FUJ917392 GEF917390:GEF917392 GOB917390:GOB917392 GXX917390:GXX917392 HHT917390:HHT917392 HRP917390:HRP917392 IBL917390:IBL917392 ILH917390:ILH917392 IVD917390:IVD917392 JEZ917390:JEZ917392 JOV917390:JOV917392 JYR917390:JYR917392 KIN917390:KIN917392 KSJ917390:KSJ917392 LCF917390:LCF917392 LMB917390:LMB917392 LVX917390:LVX917392 MFT917390:MFT917392 MPP917390:MPP917392 MZL917390:MZL917392 NJH917390:NJH917392 NTD917390:NTD917392 OCZ917390:OCZ917392 OMV917390:OMV917392 OWR917390:OWR917392 PGN917390:PGN917392 PQJ917390:PQJ917392 QAF917390:QAF917392 QKB917390:QKB917392 QTX917390:QTX917392 RDT917390:RDT917392 RNP917390:RNP917392 RXL917390:RXL917392 SHH917390:SHH917392 SRD917390:SRD917392 TAZ917390:TAZ917392 TKV917390:TKV917392 TUR917390:TUR917392 UEN917390:UEN917392 UOJ917390:UOJ917392 UYF917390:UYF917392 VIB917390:VIB917392 VRX917390:VRX917392 WBT917390:WBT917392 WLP917390:WLP917392 WVL917390:WVL917392 D982926:D982928 IZ982926:IZ982928 SV982926:SV982928 ACR982926:ACR982928 AMN982926:AMN982928 AWJ982926:AWJ982928 BGF982926:BGF982928 BQB982926:BQB982928 BZX982926:BZX982928 CJT982926:CJT982928 CTP982926:CTP982928 DDL982926:DDL982928 DNH982926:DNH982928 DXD982926:DXD982928 EGZ982926:EGZ982928 EQV982926:EQV982928 FAR982926:FAR982928 FKN982926:FKN982928 FUJ982926:FUJ982928 GEF982926:GEF982928 GOB982926:GOB982928 GXX982926:GXX982928 HHT982926:HHT982928 HRP982926:HRP982928 IBL982926:IBL982928 ILH982926:ILH982928 IVD982926:IVD982928 JEZ982926:JEZ982928 JOV982926:JOV982928 JYR982926:JYR982928 KIN982926:KIN982928 KSJ982926:KSJ982928 LCF982926:LCF982928 LMB982926:LMB982928 LVX982926:LVX982928 MFT982926:MFT982928 MPP982926:MPP982928 MZL982926:MZL982928 NJH982926:NJH982928 NTD982926:NTD982928 OCZ982926:OCZ982928 OMV982926:OMV982928 OWR982926:OWR982928 PGN982926:PGN982928 PQJ982926:PQJ982928 QAF982926:QAF982928 QKB982926:QKB982928 QTX982926:QTX982928 RDT982926:RDT982928 RNP982926:RNP982928 RXL982926:RXL982928 SHH982926:SHH982928 SRD982926:SRD982928 TAZ982926:TAZ982928 TKV982926:TKV982928 TUR982926:TUR982928 UEN982926:UEN982928 UOJ982926:UOJ982928 UYF982926:UYF982928 VIB982926:VIB982928 VRX982926:VRX982928 WBT982926:WBT982928 WLP982926:WLP982928">
      <formula1>"是,否"</formula1>
    </dataValidation>
  </dataValidations>
  <hyperlinks>
    <hyperlink ref="F13" location="高新技术企业优惠情况审核表!A1" display="高新技术企业优惠情况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tabColor rgb="FFFFFF00"/>
  </sheetPr>
  <dimension ref="A1:L46"/>
  <sheetViews>
    <sheetView workbookViewId="0">
      <selection activeCell="E14" sqref="E14"/>
    </sheetView>
  </sheetViews>
  <sheetFormatPr defaultRowHeight="15.6"/>
  <cols>
    <col min="1" max="1" width="4.69921875" style="1532" customWidth="1"/>
    <col min="2" max="2" width="5.19921875" style="1614" customWidth="1"/>
    <col min="3" max="3" width="5.69921875" style="1532" customWidth="1"/>
    <col min="4" max="4" width="79.8984375" style="1532" customWidth="1"/>
    <col min="5" max="5" width="16.19921875" style="1532" customWidth="1"/>
    <col min="6" max="6" width="13.3984375" style="1532" customWidth="1"/>
    <col min="7" max="256" width="9" style="1532"/>
    <col min="257" max="257" width="4.69921875" style="1532" customWidth="1"/>
    <col min="258" max="258" width="5.19921875" style="1532" customWidth="1"/>
    <col min="259" max="259" width="5.69921875" style="1532" customWidth="1"/>
    <col min="260" max="260" width="79.8984375" style="1532" customWidth="1"/>
    <col min="261" max="261" width="16.19921875" style="1532" customWidth="1"/>
    <col min="262" max="262" width="13.3984375" style="1532" customWidth="1"/>
    <col min="263" max="512" width="9" style="1532"/>
    <col min="513" max="513" width="4.69921875" style="1532" customWidth="1"/>
    <col min="514" max="514" width="5.19921875" style="1532" customWidth="1"/>
    <col min="515" max="515" width="5.69921875" style="1532" customWidth="1"/>
    <col min="516" max="516" width="79.8984375" style="1532" customWidth="1"/>
    <col min="517" max="517" width="16.19921875" style="1532" customWidth="1"/>
    <col min="518" max="518" width="13.3984375" style="1532" customWidth="1"/>
    <col min="519" max="768" width="9" style="1532"/>
    <col min="769" max="769" width="4.69921875" style="1532" customWidth="1"/>
    <col min="770" max="770" width="5.19921875" style="1532" customWidth="1"/>
    <col min="771" max="771" width="5.69921875" style="1532" customWidth="1"/>
    <col min="772" max="772" width="79.8984375" style="1532" customWidth="1"/>
    <col min="773" max="773" width="16.19921875" style="1532" customWidth="1"/>
    <col min="774" max="774" width="13.3984375" style="1532" customWidth="1"/>
    <col min="775" max="1024" width="9" style="1532"/>
    <col min="1025" max="1025" width="4.69921875" style="1532" customWidth="1"/>
    <col min="1026" max="1026" width="5.19921875" style="1532" customWidth="1"/>
    <col min="1027" max="1027" width="5.69921875" style="1532" customWidth="1"/>
    <col min="1028" max="1028" width="79.8984375" style="1532" customWidth="1"/>
    <col min="1029" max="1029" width="16.19921875" style="1532" customWidth="1"/>
    <col min="1030" max="1030" width="13.3984375" style="1532" customWidth="1"/>
    <col min="1031" max="1280" width="9" style="1532"/>
    <col min="1281" max="1281" width="4.69921875" style="1532" customWidth="1"/>
    <col min="1282" max="1282" width="5.19921875" style="1532" customWidth="1"/>
    <col min="1283" max="1283" width="5.69921875" style="1532" customWidth="1"/>
    <col min="1284" max="1284" width="79.8984375" style="1532" customWidth="1"/>
    <col min="1285" max="1285" width="16.19921875" style="1532" customWidth="1"/>
    <col min="1286" max="1286" width="13.3984375" style="1532" customWidth="1"/>
    <col min="1287" max="1536" width="9" style="1532"/>
    <col min="1537" max="1537" width="4.69921875" style="1532" customWidth="1"/>
    <col min="1538" max="1538" width="5.19921875" style="1532" customWidth="1"/>
    <col min="1539" max="1539" width="5.69921875" style="1532" customWidth="1"/>
    <col min="1540" max="1540" width="79.8984375" style="1532" customWidth="1"/>
    <col min="1541" max="1541" width="16.19921875" style="1532" customWidth="1"/>
    <col min="1542" max="1542" width="13.3984375" style="1532" customWidth="1"/>
    <col min="1543" max="1792" width="9" style="1532"/>
    <col min="1793" max="1793" width="4.69921875" style="1532" customWidth="1"/>
    <col min="1794" max="1794" width="5.19921875" style="1532" customWidth="1"/>
    <col min="1795" max="1795" width="5.69921875" style="1532" customWidth="1"/>
    <col min="1796" max="1796" width="79.8984375" style="1532" customWidth="1"/>
    <col min="1797" max="1797" width="16.19921875" style="1532" customWidth="1"/>
    <col min="1798" max="1798" width="13.3984375" style="1532" customWidth="1"/>
    <col min="1799" max="2048" width="9" style="1532"/>
    <col min="2049" max="2049" width="4.69921875" style="1532" customWidth="1"/>
    <col min="2050" max="2050" width="5.19921875" style="1532" customWidth="1"/>
    <col min="2051" max="2051" width="5.69921875" style="1532" customWidth="1"/>
    <col min="2052" max="2052" width="79.8984375" style="1532" customWidth="1"/>
    <col min="2053" max="2053" width="16.19921875" style="1532" customWidth="1"/>
    <col min="2054" max="2054" width="13.3984375" style="1532" customWidth="1"/>
    <col min="2055" max="2304" width="9" style="1532"/>
    <col min="2305" max="2305" width="4.69921875" style="1532" customWidth="1"/>
    <col min="2306" max="2306" width="5.19921875" style="1532" customWidth="1"/>
    <col min="2307" max="2307" width="5.69921875" style="1532" customWidth="1"/>
    <col min="2308" max="2308" width="79.8984375" style="1532" customWidth="1"/>
    <col min="2309" max="2309" width="16.19921875" style="1532" customWidth="1"/>
    <col min="2310" max="2310" width="13.3984375" style="1532" customWidth="1"/>
    <col min="2311" max="2560" width="9" style="1532"/>
    <col min="2561" max="2561" width="4.69921875" style="1532" customWidth="1"/>
    <col min="2562" max="2562" width="5.19921875" style="1532" customWidth="1"/>
    <col min="2563" max="2563" width="5.69921875" style="1532" customWidth="1"/>
    <col min="2564" max="2564" width="79.8984375" style="1532" customWidth="1"/>
    <col min="2565" max="2565" width="16.19921875" style="1532" customWidth="1"/>
    <col min="2566" max="2566" width="13.3984375" style="1532" customWidth="1"/>
    <col min="2567" max="2816" width="9" style="1532"/>
    <col min="2817" max="2817" width="4.69921875" style="1532" customWidth="1"/>
    <col min="2818" max="2818" width="5.19921875" style="1532" customWidth="1"/>
    <col min="2819" max="2819" width="5.69921875" style="1532" customWidth="1"/>
    <col min="2820" max="2820" width="79.8984375" style="1532" customWidth="1"/>
    <col min="2821" max="2821" width="16.19921875" style="1532" customWidth="1"/>
    <col min="2822" max="2822" width="13.3984375" style="1532" customWidth="1"/>
    <col min="2823" max="3072" width="9" style="1532"/>
    <col min="3073" max="3073" width="4.69921875" style="1532" customWidth="1"/>
    <col min="3074" max="3074" width="5.19921875" style="1532" customWidth="1"/>
    <col min="3075" max="3075" width="5.69921875" style="1532" customWidth="1"/>
    <col min="3076" max="3076" width="79.8984375" style="1532" customWidth="1"/>
    <col min="3077" max="3077" width="16.19921875" style="1532" customWidth="1"/>
    <col min="3078" max="3078" width="13.3984375" style="1532" customWidth="1"/>
    <col min="3079" max="3328" width="9" style="1532"/>
    <col min="3329" max="3329" width="4.69921875" style="1532" customWidth="1"/>
    <col min="3330" max="3330" width="5.19921875" style="1532" customWidth="1"/>
    <col min="3331" max="3331" width="5.69921875" style="1532" customWidth="1"/>
    <col min="3332" max="3332" width="79.8984375" style="1532" customWidth="1"/>
    <col min="3333" max="3333" width="16.19921875" style="1532" customWidth="1"/>
    <col min="3334" max="3334" width="13.3984375" style="1532" customWidth="1"/>
    <col min="3335" max="3584" width="9" style="1532"/>
    <col min="3585" max="3585" width="4.69921875" style="1532" customWidth="1"/>
    <col min="3586" max="3586" width="5.19921875" style="1532" customWidth="1"/>
    <col min="3587" max="3587" width="5.69921875" style="1532" customWidth="1"/>
    <col min="3588" max="3588" width="79.8984375" style="1532" customWidth="1"/>
    <col min="3589" max="3589" width="16.19921875" style="1532" customWidth="1"/>
    <col min="3590" max="3590" width="13.3984375" style="1532" customWidth="1"/>
    <col min="3591" max="3840" width="9" style="1532"/>
    <col min="3841" max="3841" width="4.69921875" style="1532" customWidth="1"/>
    <col min="3842" max="3842" width="5.19921875" style="1532" customWidth="1"/>
    <col min="3843" max="3843" width="5.69921875" style="1532" customWidth="1"/>
    <col min="3844" max="3844" width="79.8984375" style="1532" customWidth="1"/>
    <col min="3845" max="3845" width="16.19921875" style="1532" customWidth="1"/>
    <col min="3846" max="3846" width="13.3984375" style="1532" customWidth="1"/>
    <col min="3847" max="4096" width="9" style="1532"/>
    <col min="4097" max="4097" width="4.69921875" style="1532" customWidth="1"/>
    <col min="4098" max="4098" width="5.19921875" style="1532" customWidth="1"/>
    <col min="4099" max="4099" width="5.69921875" style="1532" customWidth="1"/>
    <col min="4100" max="4100" width="79.8984375" style="1532" customWidth="1"/>
    <col min="4101" max="4101" width="16.19921875" style="1532" customWidth="1"/>
    <col min="4102" max="4102" width="13.3984375" style="1532" customWidth="1"/>
    <col min="4103" max="4352" width="9" style="1532"/>
    <col min="4353" max="4353" width="4.69921875" style="1532" customWidth="1"/>
    <col min="4354" max="4354" width="5.19921875" style="1532" customWidth="1"/>
    <col min="4355" max="4355" width="5.69921875" style="1532" customWidth="1"/>
    <col min="4356" max="4356" width="79.8984375" style="1532" customWidth="1"/>
    <col min="4357" max="4357" width="16.19921875" style="1532" customWidth="1"/>
    <col min="4358" max="4358" width="13.3984375" style="1532" customWidth="1"/>
    <col min="4359" max="4608" width="9" style="1532"/>
    <col min="4609" max="4609" width="4.69921875" style="1532" customWidth="1"/>
    <col min="4610" max="4610" width="5.19921875" style="1532" customWidth="1"/>
    <col min="4611" max="4611" width="5.69921875" style="1532" customWidth="1"/>
    <col min="4612" max="4612" width="79.8984375" style="1532" customWidth="1"/>
    <col min="4613" max="4613" width="16.19921875" style="1532" customWidth="1"/>
    <col min="4614" max="4614" width="13.3984375" style="1532" customWidth="1"/>
    <col min="4615" max="4864" width="9" style="1532"/>
    <col min="4865" max="4865" width="4.69921875" style="1532" customWidth="1"/>
    <col min="4866" max="4866" width="5.19921875" style="1532" customWidth="1"/>
    <col min="4867" max="4867" width="5.69921875" style="1532" customWidth="1"/>
    <col min="4868" max="4868" width="79.8984375" style="1532" customWidth="1"/>
    <col min="4869" max="4869" width="16.19921875" style="1532" customWidth="1"/>
    <col min="4870" max="4870" width="13.3984375" style="1532" customWidth="1"/>
    <col min="4871" max="5120" width="9" style="1532"/>
    <col min="5121" max="5121" width="4.69921875" style="1532" customWidth="1"/>
    <col min="5122" max="5122" width="5.19921875" style="1532" customWidth="1"/>
    <col min="5123" max="5123" width="5.69921875" style="1532" customWidth="1"/>
    <col min="5124" max="5124" width="79.8984375" style="1532" customWidth="1"/>
    <col min="5125" max="5125" width="16.19921875" style="1532" customWidth="1"/>
    <col min="5126" max="5126" width="13.3984375" style="1532" customWidth="1"/>
    <col min="5127" max="5376" width="9" style="1532"/>
    <col min="5377" max="5377" width="4.69921875" style="1532" customWidth="1"/>
    <col min="5378" max="5378" width="5.19921875" style="1532" customWidth="1"/>
    <col min="5379" max="5379" width="5.69921875" style="1532" customWidth="1"/>
    <col min="5380" max="5380" width="79.8984375" style="1532" customWidth="1"/>
    <col min="5381" max="5381" width="16.19921875" style="1532" customWidth="1"/>
    <col min="5382" max="5382" width="13.3984375" style="1532" customWidth="1"/>
    <col min="5383" max="5632" width="9" style="1532"/>
    <col min="5633" max="5633" width="4.69921875" style="1532" customWidth="1"/>
    <col min="5634" max="5634" width="5.19921875" style="1532" customWidth="1"/>
    <col min="5635" max="5635" width="5.69921875" style="1532" customWidth="1"/>
    <col min="5636" max="5636" width="79.8984375" style="1532" customWidth="1"/>
    <col min="5637" max="5637" width="16.19921875" style="1532" customWidth="1"/>
    <col min="5638" max="5638" width="13.3984375" style="1532" customWidth="1"/>
    <col min="5639" max="5888" width="9" style="1532"/>
    <col min="5889" max="5889" width="4.69921875" style="1532" customWidth="1"/>
    <col min="5890" max="5890" width="5.19921875" style="1532" customWidth="1"/>
    <col min="5891" max="5891" width="5.69921875" style="1532" customWidth="1"/>
    <col min="5892" max="5892" width="79.8984375" style="1532" customWidth="1"/>
    <col min="5893" max="5893" width="16.19921875" style="1532" customWidth="1"/>
    <col min="5894" max="5894" width="13.3984375" style="1532" customWidth="1"/>
    <col min="5895" max="6144" width="9" style="1532"/>
    <col min="6145" max="6145" width="4.69921875" style="1532" customWidth="1"/>
    <col min="6146" max="6146" width="5.19921875" style="1532" customWidth="1"/>
    <col min="6147" max="6147" width="5.69921875" style="1532" customWidth="1"/>
    <col min="6148" max="6148" width="79.8984375" style="1532" customWidth="1"/>
    <col min="6149" max="6149" width="16.19921875" style="1532" customWidth="1"/>
    <col min="6150" max="6150" width="13.3984375" style="1532" customWidth="1"/>
    <col min="6151" max="6400" width="9" style="1532"/>
    <col min="6401" max="6401" width="4.69921875" style="1532" customWidth="1"/>
    <col min="6402" max="6402" width="5.19921875" style="1532" customWidth="1"/>
    <col min="6403" max="6403" width="5.69921875" style="1532" customWidth="1"/>
    <col min="6404" max="6404" width="79.8984375" style="1532" customWidth="1"/>
    <col min="6405" max="6405" width="16.19921875" style="1532" customWidth="1"/>
    <col min="6406" max="6406" width="13.3984375" style="1532" customWidth="1"/>
    <col min="6407" max="6656" width="9" style="1532"/>
    <col min="6657" max="6657" width="4.69921875" style="1532" customWidth="1"/>
    <col min="6658" max="6658" width="5.19921875" style="1532" customWidth="1"/>
    <col min="6659" max="6659" width="5.69921875" style="1532" customWidth="1"/>
    <col min="6660" max="6660" width="79.8984375" style="1532" customWidth="1"/>
    <col min="6661" max="6661" width="16.19921875" style="1532" customWidth="1"/>
    <col min="6662" max="6662" width="13.3984375" style="1532" customWidth="1"/>
    <col min="6663" max="6912" width="9" style="1532"/>
    <col min="6913" max="6913" width="4.69921875" style="1532" customWidth="1"/>
    <col min="6914" max="6914" width="5.19921875" style="1532" customWidth="1"/>
    <col min="6915" max="6915" width="5.69921875" style="1532" customWidth="1"/>
    <col min="6916" max="6916" width="79.8984375" style="1532" customWidth="1"/>
    <col min="6917" max="6917" width="16.19921875" style="1532" customWidth="1"/>
    <col min="6918" max="6918" width="13.3984375" style="1532" customWidth="1"/>
    <col min="6919" max="7168" width="9" style="1532"/>
    <col min="7169" max="7169" width="4.69921875" style="1532" customWidth="1"/>
    <col min="7170" max="7170" width="5.19921875" style="1532" customWidth="1"/>
    <col min="7171" max="7171" width="5.69921875" style="1532" customWidth="1"/>
    <col min="7172" max="7172" width="79.8984375" style="1532" customWidth="1"/>
    <col min="7173" max="7173" width="16.19921875" style="1532" customWidth="1"/>
    <col min="7174" max="7174" width="13.3984375" style="1532" customWidth="1"/>
    <col min="7175" max="7424" width="9" style="1532"/>
    <col min="7425" max="7425" width="4.69921875" style="1532" customWidth="1"/>
    <col min="7426" max="7426" width="5.19921875" style="1532" customWidth="1"/>
    <col min="7427" max="7427" width="5.69921875" style="1532" customWidth="1"/>
    <col min="7428" max="7428" width="79.8984375" style="1532" customWidth="1"/>
    <col min="7429" max="7429" width="16.19921875" style="1532" customWidth="1"/>
    <col min="7430" max="7430" width="13.3984375" style="1532" customWidth="1"/>
    <col min="7431" max="7680" width="9" style="1532"/>
    <col min="7681" max="7681" width="4.69921875" style="1532" customWidth="1"/>
    <col min="7682" max="7682" width="5.19921875" style="1532" customWidth="1"/>
    <col min="7683" max="7683" width="5.69921875" style="1532" customWidth="1"/>
    <col min="7684" max="7684" width="79.8984375" style="1532" customWidth="1"/>
    <col min="7685" max="7685" width="16.19921875" style="1532" customWidth="1"/>
    <col min="7686" max="7686" width="13.3984375" style="1532" customWidth="1"/>
    <col min="7687" max="7936" width="9" style="1532"/>
    <col min="7937" max="7937" width="4.69921875" style="1532" customWidth="1"/>
    <col min="7938" max="7938" width="5.19921875" style="1532" customWidth="1"/>
    <col min="7939" max="7939" width="5.69921875" style="1532" customWidth="1"/>
    <col min="7940" max="7940" width="79.8984375" style="1532" customWidth="1"/>
    <col min="7941" max="7941" width="16.19921875" style="1532" customWidth="1"/>
    <col min="7942" max="7942" width="13.3984375" style="1532" customWidth="1"/>
    <col min="7943" max="8192" width="9" style="1532"/>
    <col min="8193" max="8193" width="4.69921875" style="1532" customWidth="1"/>
    <col min="8194" max="8194" width="5.19921875" style="1532" customWidth="1"/>
    <col min="8195" max="8195" width="5.69921875" style="1532" customWidth="1"/>
    <col min="8196" max="8196" width="79.8984375" style="1532" customWidth="1"/>
    <col min="8197" max="8197" width="16.19921875" style="1532" customWidth="1"/>
    <col min="8198" max="8198" width="13.3984375" style="1532" customWidth="1"/>
    <col min="8199" max="8448" width="9" style="1532"/>
    <col min="8449" max="8449" width="4.69921875" style="1532" customWidth="1"/>
    <col min="8450" max="8450" width="5.19921875" style="1532" customWidth="1"/>
    <col min="8451" max="8451" width="5.69921875" style="1532" customWidth="1"/>
    <col min="8452" max="8452" width="79.8984375" style="1532" customWidth="1"/>
    <col min="8453" max="8453" width="16.19921875" style="1532" customWidth="1"/>
    <col min="8454" max="8454" width="13.3984375" style="1532" customWidth="1"/>
    <col min="8455" max="8704" width="9" style="1532"/>
    <col min="8705" max="8705" width="4.69921875" style="1532" customWidth="1"/>
    <col min="8706" max="8706" width="5.19921875" style="1532" customWidth="1"/>
    <col min="8707" max="8707" width="5.69921875" style="1532" customWidth="1"/>
    <col min="8708" max="8708" width="79.8984375" style="1532" customWidth="1"/>
    <col min="8709" max="8709" width="16.19921875" style="1532" customWidth="1"/>
    <col min="8710" max="8710" width="13.3984375" style="1532" customWidth="1"/>
    <col min="8711" max="8960" width="9" style="1532"/>
    <col min="8961" max="8961" width="4.69921875" style="1532" customWidth="1"/>
    <col min="8962" max="8962" width="5.19921875" style="1532" customWidth="1"/>
    <col min="8963" max="8963" width="5.69921875" style="1532" customWidth="1"/>
    <col min="8964" max="8964" width="79.8984375" style="1532" customWidth="1"/>
    <col min="8965" max="8965" width="16.19921875" style="1532" customWidth="1"/>
    <col min="8966" max="8966" width="13.3984375" style="1532" customWidth="1"/>
    <col min="8967" max="9216" width="9" style="1532"/>
    <col min="9217" max="9217" width="4.69921875" style="1532" customWidth="1"/>
    <col min="9218" max="9218" width="5.19921875" style="1532" customWidth="1"/>
    <col min="9219" max="9219" width="5.69921875" style="1532" customWidth="1"/>
    <col min="9220" max="9220" width="79.8984375" style="1532" customWidth="1"/>
    <col min="9221" max="9221" width="16.19921875" style="1532" customWidth="1"/>
    <col min="9222" max="9222" width="13.3984375" style="1532" customWidth="1"/>
    <col min="9223" max="9472" width="9" style="1532"/>
    <col min="9473" max="9473" width="4.69921875" style="1532" customWidth="1"/>
    <col min="9474" max="9474" width="5.19921875" style="1532" customWidth="1"/>
    <col min="9475" max="9475" width="5.69921875" style="1532" customWidth="1"/>
    <col min="9476" max="9476" width="79.8984375" style="1532" customWidth="1"/>
    <col min="9477" max="9477" width="16.19921875" style="1532" customWidth="1"/>
    <col min="9478" max="9478" width="13.3984375" style="1532" customWidth="1"/>
    <col min="9479" max="9728" width="9" style="1532"/>
    <col min="9729" max="9729" width="4.69921875" style="1532" customWidth="1"/>
    <col min="9730" max="9730" width="5.19921875" style="1532" customWidth="1"/>
    <col min="9731" max="9731" width="5.69921875" style="1532" customWidth="1"/>
    <col min="9732" max="9732" width="79.8984375" style="1532" customWidth="1"/>
    <col min="9733" max="9733" width="16.19921875" style="1532" customWidth="1"/>
    <col min="9734" max="9734" width="13.3984375" style="1532" customWidth="1"/>
    <col min="9735" max="9984" width="9" style="1532"/>
    <col min="9985" max="9985" width="4.69921875" style="1532" customWidth="1"/>
    <col min="9986" max="9986" width="5.19921875" style="1532" customWidth="1"/>
    <col min="9987" max="9987" width="5.69921875" style="1532" customWidth="1"/>
    <col min="9988" max="9988" width="79.8984375" style="1532" customWidth="1"/>
    <col min="9989" max="9989" width="16.19921875" style="1532" customWidth="1"/>
    <col min="9990" max="9990" width="13.3984375" style="1532" customWidth="1"/>
    <col min="9991" max="10240" width="9" style="1532"/>
    <col min="10241" max="10241" width="4.69921875" style="1532" customWidth="1"/>
    <col min="10242" max="10242" width="5.19921875" style="1532" customWidth="1"/>
    <col min="10243" max="10243" width="5.69921875" style="1532" customWidth="1"/>
    <col min="10244" max="10244" width="79.8984375" style="1532" customWidth="1"/>
    <col min="10245" max="10245" width="16.19921875" style="1532" customWidth="1"/>
    <col min="10246" max="10246" width="13.3984375" style="1532" customWidth="1"/>
    <col min="10247" max="10496" width="9" style="1532"/>
    <col min="10497" max="10497" width="4.69921875" style="1532" customWidth="1"/>
    <col min="10498" max="10498" width="5.19921875" style="1532" customWidth="1"/>
    <col min="10499" max="10499" width="5.69921875" style="1532" customWidth="1"/>
    <col min="10500" max="10500" width="79.8984375" style="1532" customWidth="1"/>
    <col min="10501" max="10501" width="16.19921875" style="1532" customWidth="1"/>
    <col min="10502" max="10502" width="13.3984375" style="1532" customWidth="1"/>
    <col min="10503" max="10752" width="9" style="1532"/>
    <col min="10753" max="10753" width="4.69921875" style="1532" customWidth="1"/>
    <col min="10754" max="10754" width="5.19921875" style="1532" customWidth="1"/>
    <col min="10755" max="10755" width="5.69921875" style="1532" customWidth="1"/>
    <col min="10756" max="10756" width="79.8984375" style="1532" customWidth="1"/>
    <col min="10757" max="10757" width="16.19921875" style="1532" customWidth="1"/>
    <col min="10758" max="10758" width="13.3984375" style="1532" customWidth="1"/>
    <col min="10759" max="11008" width="9" style="1532"/>
    <col min="11009" max="11009" width="4.69921875" style="1532" customWidth="1"/>
    <col min="11010" max="11010" width="5.19921875" style="1532" customWidth="1"/>
    <col min="11011" max="11011" width="5.69921875" style="1532" customWidth="1"/>
    <col min="11012" max="11012" width="79.8984375" style="1532" customWidth="1"/>
    <col min="11013" max="11013" width="16.19921875" style="1532" customWidth="1"/>
    <col min="11014" max="11014" width="13.3984375" style="1532" customWidth="1"/>
    <col min="11015" max="11264" width="9" style="1532"/>
    <col min="11265" max="11265" width="4.69921875" style="1532" customWidth="1"/>
    <col min="11266" max="11266" width="5.19921875" style="1532" customWidth="1"/>
    <col min="11267" max="11267" width="5.69921875" style="1532" customWidth="1"/>
    <col min="11268" max="11268" width="79.8984375" style="1532" customWidth="1"/>
    <col min="11269" max="11269" width="16.19921875" style="1532" customWidth="1"/>
    <col min="11270" max="11270" width="13.3984375" style="1532" customWidth="1"/>
    <col min="11271" max="11520" width="9" style="1532"/>
    <col min="11521" max="11521" width="4.69921875" style="1532" customWidth="1"/>
    <col min="11522" max="11522" width="5.19921875" style="1532" customWidth="1"/>
    <col min="11523" max="11523" width="5.69921875" style="1532" customWidth="1"/>
    <col min="11524" max="11524" width="79.8984375" style="1532" customWidth="1"/>
    <col min="11525" max="11525" width="16.19921875" style="1532" customWidth="1"/>
    <col min="11526" max="11526" width="13.3984375" style="1532" customWidth="1"/>
    <col min="11527" max="11776" width="9" style="1532"/>
    <col min="11777" max="11777" width="4.69921875" style="1532" customWidth="1"/>
    <col min="11778" max="11778" width="5.19921875" style="1532" customWidth="1"/>
    <col min="11779" max="11779" width="5.69921875" style="1532" customWidth="1"/>
    <col min="11780" max="11780" width="79.8984375" style="1532" customWidth="1"/>
    <col min="11781" max="11781" width="16.19921875" style="1532" customWidth="1"/>
    <col min="11782" max="11782" width="13.3984375" style="1532" customWidth="1"/>
    <col min="11783" max="12032" width="9" style="1532"/>
    <col min="12033" max="12033" width="4.69921875" style="1532" customWidth="1"/>
    <col min="12034" max="12034" width="5.19921875" style="1532" customWidth="1"/>
    <col min="12035" max="12035" width="5.69921875" style="1532" customWidth="1"/>
    <col min="12036" max="12036" width="79.8984375" style="1532" customWidth="1"/>
    <col min="12037" max="12037" width="16.19921875" style="1532" customWidth="1"/>
    <col min="12038" max="12038" width="13.3984375" style="1532" customWidth="1"/>
    <col min="12039" max="12288" width="9" style="1532"/>
    <col min="12289" max="12289" width="4.69921875" style="1532" customWidth="1"/>
    <col min="12290" max="12290" width="5.19921875" style="1532" customWidth="1"/>
    <col min="12291" max="12291" width="5.69921875" style="1532" customWidth="1"/>
    <col min="12292" max="12292" width="79.8984375" style="1532" customWidth="1"/>
    <col min="12293" max="12293" width="16.19921875" style="1532" customWidth="1"/>
    <col min="12294" max="12294" width="13.3984375" style="1532" customWidth="1"/>
    <col min="12295" max="12544" width="9" style="1532"/>
    <col min="12545" max="12545" width="4.69921875" style="1532" customWidth="1"/>
    <col min="12546" max="12546" width="5.19921875" style="1532" customWidth="1"/>
    <col min="12547" max="12547" width="5.69921875" style="1532" customWidth="1"/>
    <col min="12548" max="12548" width="79.8984375" style="1532" customWidth="1"/>
    <col min="12549" max="12549" width="16.19921875" style="1532" customWidth="1"/>
    <col min="12550" max="12550" width="13.3984375" style="1532" customWidth="1"/>
    <col min="12551" max="12800" width="9" style="1532"/>
    <col min="12801" max="12801" width="4.69921875" style="1532" customWidth="1"/>
    <col min="12802" max="12802" width="5.19921875" style="1532" customWidth="1"/>
    <col min="12803" max="12803" width="5.69921875" style="1532" customWidth="1"/>
    <col min="12804" max="12804" width="79.8984375" style="1532" customWidth="1"/>
    <col min="12805" max="12805" width="16.19921875" style="1532" customWidth="1"/>
    <col min="12806" max="12806" width="13.3984375" style="1532" customWidth="1"/>
    <col min="12807" max="13056" width="9" style="1532"/>
    <col min="13057" max="13057" width="4.69921875" style="1532" customWidth="1"/>
    <col min="13058" max="13058" width="5.19921875" style="1532" customWidth="1"/>
    <col min="13059" max="13059" width="5.69921875" style="1532" customWidth="1"/>
    <col min="13060" max="13060" width="79.8984375" style="1532" customWidth="1"/>
    <col min="13061" max="13061" width="16.19921875" style="1532" customWidth="1"/>
    <col min="13062" max="13062" width="13.3984375" style="1532" customWidth="1"/>
    <col min="13063" max="13312" width="9" style="1532"/>
    <col min="13313" max="13313" width="4.69921875" style="1532" customWidth="1"/>
    <col min="13314" max="13314" width="5.19921875" style="1532" customWidth="1"/>
    <col min="13315" max="13315" width="5.69921875" style="1532" customWidth="1"/>
    <col min="13316" max="13316" width="79.8984375" style="1532" customWidth="1"/>
    <col min="13317" max="13317" width="16.19921875" style="1532" customWidth="1"/>
    <col min="13318" max="13318" width="13.3984375" style="1532" customWidth="1"/>
    <col min="13319" max="13568" width="9" style="1532"/>
    <col min="13569" max="13569" width="4.69921875" style="1532" customWidth="1"/>
    <col min="13570" max="13570" width="5.19921875" style="1532" customWidth="1"/>
    <col min="13571" max="13571" width="5.69921875" style="1532" customWidth="1"/>
    <col min="13572" max="13572" width="79.8984375" style="1532" customWidth="1"/>
    <col min="13573" max="13573" width="16.19921875" style="1532" customWidth="1"/>
    <col min="13574" max="13574" width="13.3984375" style="1532" customWidth="1"/>
    <col min="13575" max="13824" width="9" style="1532"/>
    <col min="13825" max="13825" width="4.69921875" style="1532" customWidth="1"/>
    <col min="13826" max="13826" width="5.19921875" style="1532" customWidth="1"/>
    <col min="13827" max="13827" width="5.69921875" style="1532" customWidth="1"/>
    <col min="13828" max="13828" width="79.8984375" style="1532" customWidth="1"/>
    <col min="13829" max="13829" width="16.19921875" style="1532" customWidth="1"/>
    <col min="13830" max="13830" width="13.3984375" style="1532" customWidth="1"/>
    <col min="13831" max="14080" width="9" style="1532"/>
    <col min="14081" max="14081" width="4.69921875" style="1532" customWidth="1"/>
    <col min="14082" max="14082" width="5.19921875" style="1532" customWidth="1"/>
    <col min="14083" max="14083" width="5.69921875" style="1532" customWidth="1"/>
    <col min="14084" max="14084" width="79.8984375" style="1532" customWidth="1"/>
    <col min="14085" max="14085" width="16.19921875" style="1532" customWidth="1"/>
    <col min="14086" max="14086" width="13.3984375" style="1532" customWidth="1"/>
    <col min="14087" max="14336" width="9" style="1532"/>
    <col min="14337" max="14337" width="4.69921875" style="1532" customWidth="1"/>
    <col min="14338" max="14338" width="5.19921875" style="1532" customWidth="1"/>
    <col min="14339" max="14339" width="5.69921875" style="1532" customWidth="1"/>
    <col min="14340" max="14340" width="79.8984375" style="1532" customWidth="1"/>
    <col min="14341" max="14341" width="16.19921875" style="1532" customWidth="1"/>
    <col min="14342" max="14342" width="13.3984375" style="1532" customWidth="1"/>
    <col min="14343" max="14592" width="9" style="1532"/>
    <col min="14593" max="14593" width="4.69921875" style="1532" customWidth="1"/>
    <col min="14594" max="14594" width="5.19921875" style="1532" customWidth="1"/>
    <col min="14595" max="14595" width="5.69921875" style="1532" customWidth="1"/>
    <col min="14596" max="14596" width="79.8984375" style="1532" customWidth="1"/>
    <col min="14597" max="14597" width="16.19921875" style="1532" customWidth="1"/>
    <col min="14598" max="14598" width="13.3984375" style="1532" customWidth="1"/>
    <col min="14599" max="14848" width="9" style="1532"/>
    <col min="14849" max="14849" width="4.69921875" style="1532" customWidth="1"/>
    <col min="14850" max="14850" width="5.19921875" style="1532" customWidth="1"/>
    <col min="14851" max="14851" width="5.69921875" style="1532" customWidth="1"/>
    <col min="14852" max="14852" width="79.8984375" style="1532" customWidth="1"/>
    <col min="14853" max="14853" width="16.19921875" style="1532" customWidth="1"/>
    <col min="14854" max="14854" width="13.3984375" style="1532" customWidth="1"/>
    <col min="14855" max="15104" width="9" style="1532"/>
    <col min="15105" max="15105" width="4.69921875" style="1532" customWidth="1"/>
    <col min="15106" max="15106" width="5.19921875" style="1532" customWidth="1"/>
    <col min="15107" max="15107" width="5.69921875" style="1532" customWidth="1"/>
    <col min="15108" max="15108" width="79.8984375" style="1532" customWidth="1"/>
    <col min="15109" max="15109" width="16.19921875" style="1532" customWidth="1"/>
    <col min="15110" max="15110" width="13.3984375" style="1532" customWidth="1"/>
    <col min="15111" max="15360" width="9" style="1532"/>
    <col min="15361" max="15361" width="4.69921875" style="1532" customWidth="1"/>
    <col min="15362" max="15362" width="5.19921875" style="1532" customWidth="1"/>
    <col min="15363" max="15363" width="5.69921875" style="1532" customWidth="1"/>
    <col min="15364" max="15364" width="79.8984375" style="1532" customWidth="1"/>
    <col min="15365" max="15365" width="16.19921875" style="1532" customWidth="1"/>
    <col min="15366" max="15366" width="13.3984375" style="1532" customWidth="1"/>
    <col min="15367" max="15616" width="9" style="1532"/>
    <col min="15617" max="15617" width="4.69921875" style="1532" customWidth="1"/>
    <col min="15618" max="15618" width="5.19921875" style="1532" customWidth="1"/>
    <col min="15619" max="15619" width="5.69921875" style="1532" customWidth="1"/>
    <col min="15620" max="15620" width="79.8984375" style="1532" customWidth="1"/>
    <col min="15621" max="15621" width="16.19921875" style="1532" customWidth="1"/>
    <col min="15622" max="15622" width="13.3984375" style="1532" customWidth="1"/>
    <col min="15623" max="15872" width="9" style="1532"/>
    <col min="15873" max="15873" width="4.69921875" style="1532" customWidth="1"/>
    <col min="15874" max="15874" width="5.19921875" style="1532" customWidth="1"/>
    <col min="15875" max="15875" width="5.69921875" style="1532" customWidth="1"/>
    <col min="15876" max="15876" width="79.8984375" style="1532" customWidth="1"/>
    <col min="15877" max="15877" width="16.19921875" style="1532" customWidth="1"/>
    <col min="15878" max="15878" width="13.3984375" style="1532" customWidth="1"/>
    <col min="15879" max="16128" width="9" style="1532"/>
    <col min="16129" max="16129" width="4.69921875" style="1532" customWidth="1"/>
    <col min="16130" max="16130" width="5.19921875" style="1532" customWidth="1"/>
    <col min="16131" max="16131" width="5.69921875" style="1532" customWidth="1"/>
    <col min="16132" max="16132" width="79.8984375" style="1532" customWidth="1"/>
    <col min="16133" max="16133" width="16.19921875" style="1532" customWidth="1"/>
    <col min="16134" max="16134" width="13.3984375" style="1532" customWidth="1"/>
    <col min="16135" max="16384" width="9" style="1532"/>
  </cols>
  <sheetData>
    <row r="1" spans="1:12" ht="20.100000000000001" customHeight="1">
      <c r="A1" s="3963" t="s">
        <v>5708</v>
      </c>
      <c r="B1" s="3963"/>
      <c r="C1" s="3963"/>
      <c r="D1" s="3963"/>
      <c r="E1" s="3963"/>
      <c r="F1" s="1937"/>
    </row>
    <row r="2" spans="1:12" ht="25.5" customHeight="1">
      <c r="A2" s="1937"/>
      <c r="B2" s="3401" t="s">
        <v>5709</v>
      </c>
      <c r="C2" s="3401"/>
      <c r="D2" s="3401"/>
      <c r="E2" s="3401"/>
      <c r="F2" s="1854"/>
    </row>
    <row r="3" spans="1:12" ht="14.25" customHeight="1">
      <c r="A3" s="1941"/>
      <c r="B3" s="1846" t="s">
        <v>5710</v>
      </c>
      <c r="C3" s="3407" t="s">
        <v>5711</v>
      </c>
      <c r="D3" s="3407"/>
      <c r="E3" s="3407"/>
      <c r="F3" s="1846" t="s">
        <v>5712</v>
      </c>
      <c r="G3" s="1614"/>
    </row>
    <row r="4" spans="1:12" ht="14.25" customHeight="1">
      <c r="A4" s="3487" t="s">
        <v>5713</v>
      </c>
      <c r="B4" s="1846">
        <v>1</v>
      </c>
      <c r="C4" s="3492" t="s">
        <v>5714</v>
      </c>
      <c r="D4" s="1938" t="s">
        <v>5715</v>
      </c>
      <c r="E4" s="2089">
        <f>软件、集成电路企业优惠情况审核表!E4</f>
        <v>0</v>
      </c>
      <c r="F4" s="1941"/>
    </row>
    <row r="5" spans="1:12" ht="14.25" customHeight="1">
      <c r="A5" s="3488"/>
      <c r="B5" s="1846">
        <v>2</v>
      </c>
      <c r="C5" s="3493"/>
      <c r="D5" s="1940" t="s">
        <v>5716</v>
      </c>
      <c r="E5" s="2089">
        <f>软件、集成电路企业优惠情况审核表!E5</f>
        <v>0</v>
      </c>
      <c r="F5" s="1941"/>
    </row>
    <row r="6" spans="1:12" ht="14.25" customHeight="1">
      <c r="A6" s="3488"/>
      <c r="B6" s="1846">
        <v>3</v>
      </c>
      <c r="C6" s="3493"/>
      <c r="D6" s="1938" t="s">
        <v>5717</v>
      </c>
      <c r="E6" s="2089">
        <f>软件、集成电路企业优惠情况审核表!E6</f>
        <v>0</v>
      </c>
      <c r="F6" s="1941"/>
    </row>
    <row r="7" spans="1:12" ht="14.25" customHeight="1">
      <c r="A7" s="3488"/>
      <c r="B7" s="1846">
        <v>4</v>
      </c>
      <c r="C7" s="3493"/>
      <c r="D7" s="1938" t="s">
        <v>5718</v>
      </c>
      <c r="E7" s="2089">
        <f>软件、集成电路企业优惠情况审核表!E7</f>
        <v>0</v>
      </c>
      <c r="F7" s="1941"/>
    </row>
    <row r="8" spans="1:12" ht="14.25" customHeight="1">
      <c r="A8" s="3488"/>
      <c r="B8" s="1846">
        <v>5</v>
      </c>
      <c r="C8" s="3493"/>
      <c r="D8" s="1940" t="s">
        <v>5719</v>
      </c>
      <c r="E8" s="2089">
        <f>软件、集成电路企业优惠情况审核表!E8</f>
        <v>0</v>
      </c>
      <c r="F8" s="1960"/>
      <c r="L8" s="1615"/>
    </row>
    <row r="9" spans="1:12" ht="14.25" customHeight="1">
      <c r="A9" s="3488"/>
      <c r="B9" s="1846">
        <v>6</v>
      </c>
      <c r="C9" s="3493"/>
      <c r="D9" s="1938" t="s">
        <v>5720</v>
      </c>
      <c r="E9" s="2089">
        <f>软件、集成电路企业优惠情况审核表!E9</f>
        <v>0</v>
      </c>
      <c r="F9" s="1960"/>
      <c r="L9" s="1615"/>
    </row>
    <row r="10" spans="1:12" ht="14.25" customHeight="1">
      <c r="A10" s="3488"/>
      <c r="B10" s="1846">
        <v>7</v>
      </c>
      <c r="C10" s="3494"/>
      <c r="D10" s="1938" t="s">
        <v>5721</v>
      </c>
      <c r="E10" s="2089">
        <f>软件、集成电路企业优惠情况审核表!E10</f>
        <v>0</v>
      </c>
      <c r="F10" s="1941"/>
    </row>
    <row r="11" spans="1:12" ht="14.25" customHeight="1">
      <c r="A11" s="3487" t="s">
        <v>5722</v>
      </c>
      <c r="B11" s="1846">
        <v>8</v>
      </c>
      <c r="C11" s="3407" t="s">
        <v>5723</v>
      </c>
      <c r="D11" s="1942" t="s">
        <v>5724</v>
      </c>
      <c r="E11" s="2072">
        <f>软件、集成电路企业优惠情况审核表!E11</f>
        <v>0</v>
      </c>
      <c r="F11" s="1941"/>
    </row>
    <row r="12" spans="1:12" ht="14.25" customHeight="1">
      <c r="A12" s="3488"/>
      <c r="B12" s="1846">
        <v>9</v>
      </c>
      <c r="C12" s="3407"/>
      <c r="D12" s="1942" t="s">
        <v>5725</v>
      </c>
      <c r="E12" s="2072">
        <f>软件、集成电路企业优惠情况审核表!E12</f>
        <v>0</v>
      </c>
      <c r="F12" s="1941"/>
    </row>
    <row r="13" spans="1:12" ht="14.25" customHeight="1">
      <c r="A13" s="3488"/>
      <c r="B13" s="1846">
        <v>10</v>
      </c>
      <c r="C13" s="3407"/>
      <c r="D13" s="1942" t="s">
        <v>5726</v>
      </c>
      <c r="E13" s="2072">
        <f>软件、集成电路企业优惠情况审核表!E13</f>
        <v>0</v>
      </c>
      <c r="F13" s="1941"/>
    </row>
    <row r="14" spans="1:12" ht="22.5" customHeight="1">
      <c r="A14" s="3488"/>
      <c r="B14" s="1846">
        <v>11</v>
      </c>
      <c r="C14" s="3407"/>
      <c r="D14" s="1942" t="s">
        <v>5727</v>
      </c>
      <c r="E14" s="2072">
        <f>软件、集成电路企业优惠情况审核表!E14</f>
        <v>0</v>
      </c>
      <c r="F14" s="1986"/>
    </row>
    <row r="15" spans="1:12" ht="14.25" customHeight="1">
      <c r="A15" s="3488"/>
      <c r="B15" s="1846">
        <v>12</v>
      </c>
      <c r="C15" s="3407"/>
      <c r="D15" s="1942" t="s">
        <v>5728</v>
      </c>
      <c r="E15" s="2072">
        <f>软件、集成电路企业优惠情况审核表!E15</f>
        <v>0</v>
      </c>
      <c r="F15" s="1941"/>
    </row>
    <row r="16" spans="1:12" ht="14.25" customHeight="1">
      <c r="A16" s="3488"/>
      <c r="B16" s="1846">
        <v>13</v>
      </c>
      <c r="C16" s="3407" t="s">
        <v>5729</v>
      </c>
      <c r="D16" s="1942" t="s">
        <v>5730</v>
      </c>
      <c r="E16" s="2072">
        <f>软件、集成电路企业优惠情况审核表!E16</f>
        <v>0</v>
      </c>
      <c r="F16" s="1941"/>
      <c r="G16" s="1675" t="s">
        <v>6473</v>
      </c>
    </row>
    <row r="17" spans="1:6" ht="14.25" customHeight="1">
      <c r="A17" s="3488"/>
      <c r="B17" s="1846">
        <v>14</v>
      </c>
      <c r="C17" s="3407"/>
      <c r="D17" s="1942" t="s">
        <v>5731</v>
      </c>
      <c r="E17" s="2072">
        <f>软件、集成电路企业优惠情况审核表!E17</f>
        <v>0</v>
      </c>
      <c r="F17" s="1941"/>
    </row>
    <row r="18" spans="1:6" ht="14.25" customHeight="1">
      <c r="A18" s="3488"/>
      <c r="B18" s="1846">
        <v>15</v>
      </c>
      <c r="C18" s="3407"/>
      <c r="D18" s="1942" t="s">
        <v>5732</v>
      </c>
      <c r="E18" s="2072">
        <f>软件、集成电路企业优惠情况审核表!E18</f>
        <v>0</v>
      </c>
      <c r="F18" s="1941"/>
    </row>
    <row r="19" spans="1:6" ht="14.25" customHeight="1">
      <c r="A19" s="3488"/>
      <c r="B19" s="1846">
        <v>16</v>
      </c>
      <c r="C19" s="3407"/>
      <c r="D19" s="1942" t="s">
        <v>5733</v>
      </c>
      <c r="E19" s="2072">
        <f>软件、集成电路企业优惠情况审核表!E19</f>
        <v>0</v>
      </c>
      <c r="F19" s="1941"/>
    </row>
    <row r="20" spans="1:6" ht="14.25" customHeight="1">
      <c r="A20" s="3488"/>
      <c r="B20" s="1846">
        <v>17</v>
      </c>
      <c r="C20" s="3407"/>
      <c r="D20" s="1942" t="s">
        <v>5734</v>
      </c>
      <c r="E20" s="2072">
        <f>软件、集成电路企业优惠情况审核表!E20</f>
        <v>0</v>
      </c>
      <c r="F20" s="1941"/>
    </row>
    <row r="21" spans="1:6" ht="15.75" customHeight="1">
      <c r="A21" s="3488"/>
      <c r="B21" s="1846">
        <v>18</v>
      </c>
      <c r="C21" s="3407"/>
      <c r="D21" s="1942" t="s">
        <v>5735</v>
      </c>
      <c r="E21" s="2072">
        <f>软件、集成电路企业优惠情况审核表!E21</f>
        <v>0</v>
      </c>
      <c r="F21" s="1954"/>
    </row>
    <row r="22" spans="1:6" ht="14.25" customHeight="1">
      <c r="A22" s="3488"/>
      <c r="B22" s="1846">
        <v>19</v>
      </c>
      <c r="C22" s="3407"/>
      <c r="D22" s="1942" t="s">
        <v>5736</v>
      </c>
      <c r="E22" s="2072">
        <f>软件、集成电路企业优惠情况审核表!E22</f>
        <v>0</v>
      </c>
      <c r="F22" s="1954"/>
    </row>
    <row r="23" spans="1:6" ht="14.25" customHeight="1">
      <c r="A23" s="3488"/>
      <c r="B23" s="1846">
        <v>20</v>
      </c>
      <c r="C23" s="3407"/>
      <c r="D23" s="1942" t="s">
        <v>5737</v>
      </c>
      <c r="E23" s="2072">
        <f>软件、集成电路企业优惠情况审核表!E23</f>
        <v>0</v>
      </c>
      <c r="F23" s="1941"/>
    </row>
    <row r="24" spans="1:6" ht="14.25" customHeight="1">
      <c r="A24" s="3488"/>
      <c r="B24" s="1846">
        <v>21</v>
      </c>
      <c r="C24" s="3407"/>
      <c r="D24" s="1942" t="s">
        <v>5738</v>
      </c>
      <c r="E24" s="2072">
        <f>软件、集成电路企业优惠情况审核表!E24</f>
        <v>0</v>
      </c>
      <c r="F24" s="1941"/>
    </row>
    <row r="25" spans="1:6" ht="14.25" customHeight="1">
      <c r="A25" s="3488"/>
      <c r="B25" s="1846">
        <v>22</v>
      </c>
      <c r="C25" s="3407"/>
      <c r="D25" s="1942" t="s">
        <v>5739</v>
      </c>
      <c r="E25" s="2072">
        <f>软件、集成电路企业优惠情况审核表!E25</f>
        <v>0</v>
      </c>
      <c r="F25" s="1941"/>
    </row>
    <row r="26" spans="1:6" ht="14.25" customHeight="1">
      <c r="A26" s="3488"/>
      <c r="B26" s="1846">
        <v>23</v>
      </c>
      <c r="C26" s="3407"/>
      <c r="D26" s="1942" t="s">
        <v>5740</v>
      </c>
      <c r="E26" s="2072">
        <f>软件、集成电路企业优惠情况审核表!E26</f>
        <v>0</v>
      </c>
      <c r="F26" s="1954"/>
    </row>
    <row r="27" spans="1:6" ht="18" customHeight="1">
      <c r="A27" s="3488"/>
      <c r="B27" s="1846">
        <v>24</v>
      </c>
      <c r="C27" s="3407"/>
      <c r="D27" s="1942" t="s">
        <v>5741</v>
      </c>
      <c r="E27" s="2072">
        <f>软件、集成电路企业优惠情况审核表!E27</f>
        <v>0</v>
      </c>
      <c r="F27" s="1954"/>
    </row>
    <row r="28" spans="1:6" ht="14.25" customHeight="1">
      <c r="A28" s="3488"/>
      <c r="B28" s="1846">
        <v>25</v>
      </c>
      <c r="C28" s="3407"/>
      <c r="D28" s="1942" t="s">
        <v>5742</v>
      </c>
      <c r="E28" s="2072">
        <f>软件、集成电路企业优惠情况审核表!E28</f>
        <v>0</v>
      </c>
      <c r="F28" s="1954"/>
    </row>
    <row r="29" spans="1:6" ht="19.5" customHeight="1">
      <c r="A29" s="3488"/>
      <c r="B29" s="1846">
        <v>26</v>
      </c>
      <c r="C29" s="3407"/>
      <c r="D29" s="1942" t="s">
        <v>5743</v>
      </c>
      <c r="E29" s="2072">
        <f>软件、集成电路企业优惠情况审核表!E29</f>
        <v>0</v>
      </c>
      <c r="F29" s="1954"/>
    </row>
    <row r="30" spans="1:6" ht="14.25" customHeight="1">
      <c r="A30" s="3488"/>
      <c r="B30" s="1846">
        <v>27</v>
      </c>
      <c r="C30" s="3407"/>
      <c r="D30" s="1942" t="s">
        <v>5744</v>
      </c>
      <c r="E30" s="2072">
        <f>软件、集成电路企业优惠情况审核表!E30</f>
        <v>0</v>
      </c>
      <c r="F30" s="1954"/>
    </row>
    <row r="31" spans="1:6" ht="14.25" customHeight="1">
      <c r="A31" s="3488"/>
      <c r="B31" s="1846">
        <v>28</v>
      </c>
      <c r="C31" s="3407" t="s">
        <v>5745</v>
      </c>
      <c r="D31" s="1942" t="s">
        <v>5746</v>
      </c>
      <c r="E31" s="2072">
        <f>软件、集成电路企业优惠情况审核表!E31</f>
        <v>0</v>
      </c>
      <c r="F31" s="1941"/>
    </row>
    <row r="32" spans="1:6" ht="14.25" customHeight="1">
      <c r="A32" s="3488"/>
      <c r="B32" s="1846">
        <v>29</v>
      </c>
      <c r="C32" s="3407"/>
      <c r="D32" s="1942" t="s">
        <v>5747</v>
      </c>
      <c r="E32" s="2072">
        <f>软件、集成电路企业优惠情况审核表!E32</f>
        <v>0</v>
      </c>
      <c r="F32" s="1941"/>
    </row>
    <row r="33" spans="1:6" ht="14.25" customHeight="1">
      <c r="A33" s="3488"/>
      <c r="B33" s="1846">
        <v>30</v>
      </c>
      <c r="C33" s="3407"/>
      <c r="D33" s="1942" t="s">
        <v>5748</v>
      </c>
      <c r="E33" s="2072">
        <f>软件、集成电路企业优惠情况审核表!E33</f>
        <v>0</v>
      </c>
      <c r="F33" s="1941"/>
    </row>
    <row r="34" spans="1:6" ht="14.25" customHeight="1">
      <c r="A34" s="3488"/>
      <c r="B34" s="1846">
        <v>31</v>
      </c>
      <c r="C34" s="3407"/>
      <c r="D34" s="1942" t="s">
        <v>5749</v>
      </c>
      <c r="E34" s="2072">
        <f>软件、集成电路企业优惠情况审核表!E34</f>
        <v>0</v>
      </c>
      <c r="F34" s="1954"/>
    </row>
    <row r="35" spans="1:6">
      <c r="A35" s="3487" t="s">
        <v>5750</v>
      </c>
      <c r="B35" s="1846">
        <v>32</v>
      </c>
      <c r="C35" s="3489" t="s">
        <v>5723</v>
      </c>
      <c r="D35" s="1938" t="s">
        <v>5751</v>
      </c>
      <c r="E35" s="2072">
        <f>软件、集成电路企业优惠情况审核表!E35</f>
        <v>0</v>
      </c>
      <c r="F35" s="1941"/>
    </row>
    <row r="36" spans="1:6" ht="14.25" customHeight="1">
      <c r="A36" s="3488"/>
      <c r="B36" s="1846">
        <v>33</v>
      </c>
      <c r="C36" s="3489"/>
      <c r="D36" s="1938" t="s">
        <v>5752</v>
      </c>
      <c r="E36" s="2072">
        <f>软件、集成电路企业优惠情况审核表!E36</f>
        <v>0</v>
      </c>
      <c r="F36" s="1941"/>
    </row>
    <row r="37" spans="1:6" ht="14.25" customHeight="1">
      <c r="A37" s="3488"/>
      <c r="B37" s="1846">
        <v>34</v>
      </c>
      <c r="C37" s="3489"/>
      <c r="D37" s="1938" t="s">
        <v>5753</v>
      </c>
      <c r="E37" s="2072">
        <f>软件、集成电路企业优惠情况审核表!E37</f>
        <v>0</v>
      </c>
      <c r="F37" s="1954"/>
    </row>
    <row r="38" spans="1:6">
      <c r="A38" s="3488"/>
      <c r="B38" s="1846">
        <v>35</v>
      </c>
      <c r="C38" s="3489" t="s">
        <v>5729</v>
      </c>
      <c r="D38" s="1938" t="s">
        <v>5754</v>
      </c>
      <c r="E38" s="2072">
        <f>软件、集成电路企业优惠情况审核表!E38</f>
        <v>0</v>
      </c>
      <c r="F38" s="1941"/>
    </row>
    <row r="39" spans="1:6" ht="16.5" customHeight="1">
      <c r="A39" s="3488"/>
      <c r="B39" s="1846">
        <v>36</v>
      </c>
      <c r="C39" s="3489"/>
      <c r="D39" s="1938" t="s">
        <v>5755</v>
      </c>
      <c r="E39" s="2072">
        <f>软件、集成电路企业优惠情况审核表!E39</f>
        <v>0</v>
      </c>
      <c r="F39" s="1941"/>
    </row>
    <row r="40" spans="1:6" ht="24" customHeight="1">
      <c r="A40" s="3488"/>
      <c r="B40" s="1846">
        <v>37</v>
      </c>
      <c r="C40" s="3489"/>
      <c r="D40" s="1938" t="s">
        <v>5756</v>
      </c>
      <c r="E40" s="2072">
        <f>软件、集成电路企业优惠情况审核表!E40</f>
        <v>0</v>
      </c>
      <c r="F40" s="1941"/>
    </row>
    <row r="41" spans="1:6" ht="18.75" customHeight="1">
      <c r="A41" s="3488"/>
      <c r="B41" s="1846">
        <v>38</v>
      </c>
      <c r="C41" s="3489"/>
      <c r="D41" s="1938" t="s">
        <v>5757</v>
      </c>
      <c r="E41" s="2072">
        <f>软件、集成电路企业优惠情况审核表!E41</f>
        <v>0</v>
      </c>
      <c r="F41" s="1941"/>
    </row>
    <row r="42" spans="1:6" ht="20.25" customHeight="1">
      <c r="A42" s="3488"/>
      <c r="B42" s="1846">
        <v>39</v>
      </c>
      <c r="C42" s="3489"/>
      <c r="D42" s="1938" t="s">
        <v>5758</v>
      </c>
      <c r="E42" s="2072">
        <f>软件、集成电路企业优惠情况审核表!E42</f>
        <v>0</v>
      </c>
      <c r="F42" s="1941"/>
    </row>
    <row r="43" spans="1:6" ht="24" customHeight="1">
      <c r="A43" s="3488"/>
      <c r="B43" s="1846">
        <v>40</v>
      </c>
      <c r="C43" s="3489" t="s">
        <v>5759</v>
      </c>
      <c r="D43" s="1938" t="s">
        <v>5760</v>
      </c>
      <c r="E43" s="2072">
        <f>软件、集成电路企业优惠情况审核表!E43</f>
        <v>0</v>
      </c>
      <c r="F43" s="1941"/>
    </row>
    <row r="44" spans="1:6" ht="40.5" customHeight="1">
      <c r="A44" s="3488"/>
      <c r="B44" s="1846">
        <v>41</v>
      </c>
      <c r="C44" s="3489"/>
      <c r="D44" s="1938" t="s">
        <v>5761</v>
      </c>
      <c r="E44" s="2072">
        <f>软件、集成电路企业优惠情况审核表!E44</f>
        <v>0</v>
      </c>
      <c r="F44" s="1954"/>
    </row>
    <row r="45" spans="1:6" ht="27" customHeight="1">
      <c r="A45" s="1941"/>
      <c r="B45" s="1846">
        <v>42</v>
      </c>
      <c r="C45" s="3490" t="s">
        <v>5762</v>
      </c>
      <c r="D45" s="3491"/>
      <c r="E45" s="2072">
        <f>软件、集成电路企业优惠情况审核表!E45</f>
        <v>0</v>
      </c>
      <c r="F45" s="1970" t="s">
        <v>5763</v>
      </c>
    </row>
    <row r="46" spans="1:6">
      <c r="A46" s="2000"/>
    </row>
  </sheetData>
  <mergeCells count="14">
    <mergeCell ref="A11:A34"/>
    <mergeCell ref="C11:C15"/>
    <mergeCell ref="C16:C30"/>
    <mergeCell ref="C31:C34"/>
    <mergeCell ref="A1:E1"/>
    <mergeCell ref="B2:E2"/>
    <mergeCell ref="C3:E3"/>
    <mergeCell ref="A4:A10"/>
    <mergeCell ref="C4:C10"/>
    <mergeCell ref="A35:A44"/>
    <mergeCell ref="C35:C37"/>
    <mergeCell ref="C38:C42"/>
    <mergeCell ref="C43:C44"/>
    <mergeCell ref="C45:D45"/>
  </mergeCells>
  <phoneticPr fontId="51" type="noConversion"/>
  <hyperlinks>
    <hyperlink ref="G16" location="软件、集成电路企业优惠情况审核表!A1" display="软件、集成电路企业优惠情况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tabColor rgb="FFFFFF00"/>
  </sheetPr>
  <dimension ref="A1:S16"/>
  <sheetViews>
    <sheetView workbookViewId="0">
      <selection sqref="A1:N1"/>
    </sheetView>
  </sheetViews>
  <sheetFormatPr defaultRowHeight="15.6"/>
  <cols>
    <col min="1" max="1" width="4.09765625" style="1570" customWidth="1"/>
    <col min="2" max="2" width="7.59765625" style="1570" customWidth="1"/>
    <col min="3" max="3" width="5.19921875" style="1570" customWidth="1"/>
    <col min="4" max="14" width="11.09765625" style="1570" customWidth="1"/>
    <col min="15" max="18" width="9" style="1570"/>
    <col min="19" max="19" width="33.19921875" style="1570" customWidth="1"/>
    <col min="20" max="256" width="9" style="1570"/>
    <col min="257" max="257" width="5.19921875" style="1570" customWidth="1"/>
    <col min="258" max="258" width="8.8984375" style="1570" customWidth="1"/>
    <col min="259" max="259" width="7.09765625" style="1570" customWidth="1"/>
    <col min="260" max="260" width="7.69921875" style="1570" customWidth="1"/>
    <col min="261" max="261" width="8.8984375" style="1570" customWidth="1"/>
    <col min="262" max="262" width="8.09765625" style="1570" customWidth="1"/>
    <col min="263" max="263" width="7.8984375" style="1570" customWidth="1"/>
    <col min="264" max="264" width="8" style="1570" customWidth="1"/>
    <col min="265" max="265" width="8.09765625" style="1570" customWidth="1"/>
    <col min="266" max="266" width="8" style="1570" customWidth="1"/>
    <col min="267" max="267" width="7.19921875" style="1570" customWidth="1"/>
    <col min="268" max="268" width="8.3984375" style="1570" customWidth="1"/>
    <col min="269" max="269" width="17.3984375" style="1570" customWidth="1"/>
    <col min="270" max="270" width="8.8984375" style="1570" customWidth="1"/>
    <col min="271" max="274" width="9" style="1570"/>
    <col min="275" max="275" width="33.19921875" style="1570" customWidth="1"/>
    <col min="276" max="512" width="9" style="1570"/>
    <col min="513" max="513" width="5.19921875" style="1570" customWidth="1"/>
    <col min="514" max="514" width="8.8984375" style="1570" customWidth="1"/>
    <col min="515" max="515" width="7.09765625" style="1570" customWidth="1"/>
    <col min="516" max="516" width="7.69921875" style="1570" customWidth="1"/>
    <col min="517" max="517" width="8.8984375" style="1570" customWidth="1"/>
    <col min="518" max="518" width="8.09765625" style="1570" customWidth="1"/>
    <col min="519" max="519" width="7.8984375" style="1570" customWidth="1"/>
    <col min="520" max="520" width="8" style="1570" customWidth="1"/>
    <col min="521" max="521" width="8.09765625" style="1570" customWidth="1"/>
    <col min="522" max="522" width="8" style="1570" customWidth="1"/>
    <col min="523" max="523" width="7.19921875" style="1570" customWidth="1"/>
    <col min="524" max="524" width="8.3984375" style="1570" customWidth="1"/>
    <col min="525" max="525" width="17.3984375" style="1570" customWidth="1"/>
    <col min="526" max="526" width="8.8984375" style="1570" customWidth="1"/>
    <col min="527" max="530" width="9" style="1570"/>
    <col min="531" max="531" width="33.19921875" style="1570" customWidth="1"/>
    <col min="532" max="768" width="9" style="1570"/>
    <col min="769" max="769" width="5.19921875" style="1570" customWidth="1"/>
    <col min="770" max="770" width="8.8984375" style="1570" customWidth="1"/>
    <col min="771" max="771" width="7.09765625" style="1570" customWidth="1"/>
    <col min="772" max="772" width="7.69921875" style="1570" customWidth="1"/>
    <col min="773" max="773" width="8.8984375" style="1570" customWidth="1"/>
    <col min="774" max="774" width="8.09765625" style="1570" customWidth="1"/>
    <col min="775" max="775" width="7.8984375" style="1570" customWidth="1"/>
    <col min="776" max="776" width="8" style="1570" customWidth="1"/>
    <col min="777" max="777" width="8.09765625" style="1570" customWidth="1"/>
    <col min="778" max="778" width="8" style="1570" customWidth="1"/>
    <col min="779" max="779" width="7.19921875" style="1570" customWidth="1"/>
    <col min="780" max="780" width="8.3984375" style="1570" customWidth="1"/>
    <col min="781" max="781" width="17.3984375" style="1570" customWidth="1"/>
    <col min="782" max="782" width="8.8984375" style="1570" customWidth="1"/>
    <col min="783" max="786" width="9" style="1570"/>
    <col min="787" max="787" width="33.19921875" style="1570" customWidth="1"/>
    <col min="788" max="1024" width="9" style="1570"/>
    <col min="1025" max="1025" width="5.19921875" style="1570" customWidth="1"/>
    <col min="1026" max="1026" width="8.8984375" style="1570" customWidth="1"/>
    <col min="1027" max="1027" width="7.09765625" style="1570" customWidth="1"/>
    <col min="1028" max="1028" width="7.69921875" style="1570" customWidth="1"/>
    <col min="1029" max="1029" width="8.8984375" style="1570" customWidth="1"/>
    <col min="1030" max="1030" width="8.09765625" style="1570" customWidth="1"/>
    <col min="1031" max="1031" width="7.8984375" style="1570" customWidth="1"/>
    <col min="1032" max="1032" width="8" style="1570" customWidth="1"/>
    <col min="1033" max="1033" width="8.09765625" style="1570" customWidth="1"/>
    <col min="1034" max="1034" width="8" style="1570" customWidth="1"/>
    <col min="1035" max="1035" width="7.19921875" style="1570" customWidth="1"/>
    <col min="1036" max="1036" width="8.3984375" style="1570" customWidth="1"/>
    <col min="1037" max="1037" width="17.3984375" style="1570" customWidth="1"/>
    <col min="1038" max="1038" width="8.8984375" style="1570" customWidth="1"/>
    <col min="1039" max="1042" width="9" style="1570"/>
    <col min="1043" max="1043" width="33.19921875" style="1570" customWidth="1"/>
    <col min="1044" max="1280" width="9" style="1570"/>
    <col min="1281" max="1281" width="5.19921875" style="1570" customWidth="1"/>
    <col min="1282" max="1282" width="8.8984375" style="1570" customWidth="1"/>
    <col min="1283" max="1283" width="7.09765625" style="1570" customWidth="1"/>
    <col min="1284" max="1284" width="7.69921875" style="1570" customWidth="1"/>
    <col min="1285" max="1285" width="8.8984375" style="1570" customWidth="1"/>
    <col min="1286" max="1286" width="8.09765625" style="1570" customWidth="1"/>
    <col min="1287" max="1287" width="7.8984375" style="1570" customWidth="1"/>
    <col min="1288" max="1288" width="8" style="1570" customWidth="1"/>
    <col min="1289" max="1289" width="8.09765625" style="1570" customWidth="1"/>
    <col min="1290" max="1290" width="8" style="1570" customWidth="1"/>
    <col min="1291" max="1291" width="7.19921875" style="1570" customWidth="1"/>
    <col min="1292" max="1292" width="8.3984375" style="1570" customWidth="1"/>
    <col min="1293" max="1293" width="17.3984375" style="1570" customWidth="1"/>
    <col min="1294" max="1294" width="8.8984375" style="1570" customWidth="1"/>
    <col min="1295" max="1298" width="9" style="1570"/>
    <col min="1299" max="1299" width="33.19921875" style="1570" customWidth="1"/>
    <col min="1300" max="1536" width="9" style="1570"/>
    <col min="1537" max="1537" width="5.19921875" style="1570" customWidth="1"/>
    <col min="1538" max="1538" width="8.8984375" style="1570" customWidth="1"/>
    <col min="1539" max="1539" width="7.09765625" style="1570" customWidth="1"/>
    <col min="1540" max="1540" width="7.69921875" style="1570" customWidth="1"/>
    <col min="1541" max="1541" width="8.8984375" style="1570" customWidth="1"/>
    <col min="1542" max="1542" width="8.09765625" style="1570" customWidth="1"/>
    <col min="1543" max="1543" width="7.8984375" style="1570" customWidth="1"/>
    <col min="1544" max="1544" width="8" style="1570" customWidth="1"/>
    <col min="1545" max="1545" width="8.09765625" style="1570" customWidth="1"/>
    <col min="1546" max="1546" width="8" style="1570" customWidth="1"/>
    <col min="1547" max="1547" width="7.19921875" style="1570" customWidth="1"/>
    <col min="1548" max="1548" width="8.3984375" style="1570" customWidth="1"/>
    <col min="1549" max="1549" width="17.3984375" style="1570" customWidth="1"/>
    <col min="1550" max="1550" width="8.8984375" style="1570" customWidth="1"/>
    <col min="1551" max="1554" width="9" style="1570"/>
    <col min="1555" max="1555" width="33.19921875" style="1570" customWidth="1"/>
    <col min="1556" max="1792" width="9" style="1570"/>
    <col min="1793" max="1793" width="5.19921875" style="1570" customWidth="1"/>
    <col min="1794" max="1794" width="8.8984375" style="1570" customWidth="1"/>
    <col min="1795" max="1795" width="7.09765625" style="1570" customWidth="1"/>
    <col min="1796" max="1796" width="7.69921875" style="1570" customWidth="1"/>
    <col min="1797" max="1797" width="8.8984375" style="1570" customWidth="1"/>
    <col min="1798" max="1798" width="8.09765625" style="1570" customWidth="1"/>
    <col min="1799" max="1799" width="7.8984375" style="1570" customWidth="1"/>
    <col min="1800" max="1800" width="8" style="1570" customWidth="1"/>
    <col min="1801" max="1801" width="8.09765625" style="1570" customWidth="1"/>
    <col min="1802" max="1802" width="8" style="1570" customWidth="1"/>
    <col min="1803" max="1803" width="7.19921875" style="1570" customWidth="1"/>
    <col min="1804" max="1804" width="8.3984375" style="1570" customWidth="1"/>
    <col min="1805" max="1805" width="17.3984375" style="1570" customWidth="1"/>
    <col min="1806" max="1806" width="8.8984375" style="1570" customWidth="1"/>
    <col min="1807" max="1810" width="9" style="1570"/>
    <col min="1811" max="1811" width="33.19921875" style="1570" customWidth="1"/>
    <col min="1812" max="2048" width="9" style="1570"/>
    <col min="2049" max="2049" width="5.19921875" style="1570" customWidth="1"/>
    <col min="2050" max="2050" width="8.8984375" style="1570" customWidth="1"/>
    <col min="2051" max="2051" width="7.09765625" style="1570" customWidth="1"/>
    <col min="2052" max="2052" width="7.69921875" style="1570" customWidth="1"/>
    <col min="2053" max="2053" width="8.8984375" style="1570" customWidth="1"/>
    <col min="2054" max="2054" width="8.09765625" style="1570" customWidth="1"/>
    <col min="2055" max="2055" width="7.8984375" style="1570" customWidth="1"/>
    <col min="2056" max="2056" width="8" style="1570" customWidth="1"/>
    <col min="2057" max="2057" width="8.09765625" style="1570" customWidth="1"/>
    <col min="2058" max="2058" width="8" style="1570" customWidth="1"/>
    <col min="2059" max="2059" width="7.19921875" style="1570" customWidth="1"/>
    <col min="2060" max="2060" width="8.3984375" style="1570" customWidth="1"/>
    <col min="2061" max="2061" width="17.3984375" style="1570" customWidth="1"/>
    <col min="2062" max="2062" width="8.8984375" style="1570" customWidth="1"/>
    <col min="2063" max="2066" width="9" style="1570"/>
    <col min="2067" max="2067" width="33.19921875" style="1570" customWidth="1"/>
    <col min="2068" max="2304" width="9" style="1570"/>
    <col min="2305" max="2305" width="5.19921875" style="1570" customWidth="1"/>
    <col min="2306" max="2306" width="8.8984375" style="1570" customWidth="1"/>
    <col min="2307" max="2307" width="7.09765625" style="1570" customWidth="1"/>
    <col min="2308" max="2308" width="7.69921875" style="1570" customWidth="1"/>
    <col min="2309" max="2309" width="8.8984375" style="1570" customWidth="1"/>
    <col min="2310" max="2310" width="8.09765625" style="1570" customWidth="1"/>
    <col min="2311" max="2311" width="7.8984375" style="1570" customWidth="1"/>
    <col min="2312" max="2312" width="8" style="1570" customWidth="1"/>
    <col min="2313" max="2313" width="8.09765625" style="1570" customWidth="1"/>
    <col min="2314" max="2314" width="8" style="1570" customWidth="1"/>
    <col min="2315" max="2315" width="7.19921875" style="1570" customWidth="1"/>
    <col min="2316" max="2316" width="8.3984375" style="1570" customWidth="1"/>
    <col min="2317" max="2317" width="17.3984375" style="1570" customWidth="1"/>
    <col min="2318" max="2318" width="8.8984375" style="1570" customWidth="1"/>
    <col min="2319" max="2322" width="9" style="1570"/>
    <col min="2323" max="2323" width="33.19921875" style="1570" customWidth="1"/>
    <col min="2324" max="2560" width="9" style="1570"/>
    <col min="2561" max="2561" width="5.19921875" style="1570" customWidth="1"/>
    <col min="2562" max="2562" width="8.8984375" style="1570" customWidth="1"/>
    <col min="2563" max="2563" width="7.09765625" style="1570" customWidth="1"/>
    <col min="2564" max="2564" width="7.69921875" style="1570" customWidth="1"/>
    <col min="2565" max="2565" width="8.8984375" style="1570" customWidth="1"/>
    <col min="2566" max="2566" width="8.09765625" style="1570" customWidth="1"/>
    <col min="2567" max="2567" width="7.8984375" style="1570" customWidth="1"/>
    <col min="2568" max="2568" width="8" style="1570" customWidth="1"/>
    <col min="2569" max="2569" width="8.09765625" style="1570" customWidth="1"/>
    <col min="2570" max="2570" width="8" style="1570" customWidth="1"/>
    <col min="2571" max="2571" width="7.19921875" style="1570" customWidth="1"/>
    <col min="2572" max="2572" width="8.3984375" style="1570" customWidth="1"/>
    <col min="2573" max="2573" width="17.3984375" style="1570" customWidth="1"/>
    <col min="2574" max="2574" width="8.8984375" style="1570" customWidth="1"/>
    <col min="2575" max="2578" width="9" style="1570"/>
    <col min="2579" max="2579" width="33.19921875" style="1570" customWidth="1"/>
    <col min="2580" max="2816" width="9" style="1570"/>
    <col min="2817" max="2817" width="5.19921875" style="1570" customWidth="1"/>
    <col min="2818" max="2818" width="8.8984375" style="1570" customWidth="1"/>
    <col min="2819" max="2819" width="7.09765625" style="1570" customWidth="1"/>
    <col min="2820" max="2820" width="7.69921875" style="1570" customWidth="1"/>
    <col min="2821" max="2821" width="8.8984375" style="1570" customWidth="1"/>
    <col min="2822" max="2822" width="8.09765625" style="1570" customWidth="1"/>
    <col min="2823" max="2823" width="7.8984375" style="1570" customWidth="1"/>
    <col min="2824" max="2824" width="8" style="1570" customWidth="1"/>
    <col min="2825" max="2825" width="8.09765625" style="1570" customWidth="1"/>
    <col min="2826" max="2826" width="8" style="1570" customWidth="1"/>
    <col min="2827" max="2827" width="7.19921875" style="1570" customWidth="1"/>
    <col min="2828" max="2828" width="8.3984375" style="1570" customWidth="1"/>
    <col min="2829" max="2829" width="17.3984375" style="1570" customWidth="1"/>
    <col min="2830" max="2830" width="8.8984375" style="1570" customWidth="1"/>
    <col min="2831" max="2834" width="9" style="1570"/>
    <col min="2835" max="2835" width="33.19921875" style="1570" customWidth="1"/>
    <col min="2836" max="3072" width="9" style="1570"/>
    <col min="3073" max="3073" width="5.19921875" style="1570" customWidth="1"/>
    <col min="3074" max="3074" width="8.8984375" style="1570" customWidth="1"/>
    <col min="3075" max="3075" width="7.09765625" style="1570" customWidth="1"/>
    <col min="3076" max="3076" width="7.69921875" style="1570" customWidth="1"/>
    <col min="3077" max="3077" width="8.8984375" style="1570" customWidth="1"/>
    <col min="3078" max="3078" width="8.09765625" style="1570" customWidth="1"/>
    <col min="3079" max="3079" width="7.8984375" style="1570" customWidth="1"/>
    <col min="3080" max="3080" width="8" style="1570" customWidth="1"/>
    <col min="3081" max="3081" width="8.09765625" style="1570" customWidth="1"/>
    <col min="3082" max="3082" width="8" style="1570" customWidth="1"/>
    <col min="3083" max="3083" width="7.19921875" style="1570" customWidth="1"/>
    <col min="3084" max="3084" width="8.3984375" style="1570" customWidth="1"/>
    <col min="3085" max="3085" width="17.3984375" style="1570" customWidth="1"/>
    <col min="3086" max="3086" width="8.8984375" style="1570" customWidth="1"/>
    <col min="3087" max="3090" width="9" style="1570"/>
    <col min="3091" max="3091" width="33.19921875" style="1570" customWidth="1"/>
    <col min="3092" max="3328" width="9" style="1570"/>
    <col min="3329" max="3329" width="5.19921875" style="1570" customWidth="1"/>
    <col min="3330" max="3330" width="8.8984375" style="1570" customWidth="1"/>
    <col min="3331" max="3331" width="7.09765625" style="1570" customWidth="1"/>
    <col min="3332" max="3332" width="7.69921875" style="1570" customWidth="1"/>
    <col min="3333" max="3333" width="8.8984375" style="1570" customWidth="1"/>
    <col min="3334" max="3334" width="8.09765625" style="1570" customWidth="1"/>
    <col min="3335" max="3335" width="7.8984375" style="1570" customWidth="1"/>
    <col min="3336" max="3336" width="8" style="1570" customWidth="1"/>
    <col min="3337" max="3337" width="8.09765625" style="1570" customWidth="1"/>
    <col min="3338" max="3338" width="8" style="1570" customWidth="1"/>
    <col min="3339" max="3339" width="7.19921875" style="1570" customWidth="1"/>
    <col min="3340" max="3340" width="8.3984375" style="1570" customWidth="1"/>
    <col min="3341" max="3341" width="17.3984375" style="1570" customWidth="1"/>
    <col min="3342" max="3342" width="8.8984375" style="1570" customWidth="1"/>
    <col min="3343" max="3346" width="9" style="1570"/>
    <col min="3347" max="3347" width="33.19921875" style="1570" customWidth="1"/>
    <col min="3348" max="3584" width="9" style="1570"/>
    <col min="3585" max="3585" width="5.19921875" style="1570" customWidth="1"/>
    <col min="3586" max="3586" width="8.8984375" style="1570" customWidth="1"/>
    <col min="3587" max="3587" width="7.09765625" style="1570" customWidth="1"/>
    <col min="3588" max="3588" width="7.69921875" style="1570" customWidth="1"/>
    <col min="3589" max="3589" width="8.8984375" style="1570" customWidth="1"/>
    <col min="3590" max="3590" width="8.09765625" style="1570" customWidth="1"/>
    <col min="3591" max="3591" width="7.8984375" style="1570" customWidth="1"/>
    <col min="3592" max="3592" width="8" style="1570" customWidth="1"/>
    <col min="3593" max="3593" width="8.09765625" style="1570" customWidth="1"/>
    <col min="3594" max="3594" width="8" style="1570" customWidth="1"/>
    <col min="3595" max="3595" width="7.19921875" style="1570" customWidth="1"/>
    <col min="3596" max="3596" width="8.3984375" style="1570" customWidth="1"/>
    <col min="3597" max="3597" width="17.3984375" style="1570" customWidth="1"/>
    <col min="3598" max="3598" width="8.8984375" style="1570" customWidth="1"/>
    <col min="3599" max="3602" width="9" style="1570"/>
    <col min="3603" max="3603" width="33.19921875" style="1570" customWidth="1"/>
    <col min="3604" max="3840" width="9" style="1570"/>
    <col min="3841" max="3841" width="5.19921875" style="1570" customWidth="1"/>
    <col min="3842" max="3842" width="8.8984375" style="1570" customWidth="1"/>
    <col min="3843" max="3843" width="7.09765625" style="1570" customWidth="1"/>
    <col min="3844" max="3844" width="7.69921875" style="1570" customWidth="1"/>
    <col min="3845" max="3845" width="8.8984375" style="1570" customWidth="1"/>
    <col min="3846" max="3846" width="8.09765625" style="1570" customWidth="1"/>
    <col min="3847" max="3847" width="7.8984375" style="1570" customWidth="1"/>
    <col min="3848" max="3848" width="8" style="1570" customWidth="1"/>
    <col min="3849" max="3849" width="8.09765625" style="1570" customWidth="1"/>
    <col min="3850" max="3850" width="8" style="1570" customWidth="1"/>
    <col min="3851" max="3851" width="7.19921875" style="1570" customWidth="1"/>
    <col min="3852" max="3852" width="8.3984375" style="1570" customWidth="1"/>
    <col min="3853" max="3853" width="17.3984375" style="1570" customWidth="1"/>
    <col min="3854" max="3854" width="8.8984375" style="1570" customWidth="1"/>
    <col min="3855" max="3858" width="9" style="1570"/>
    <col min="3859" max="3859" width="33.19921875" style="1570" customWidth="1"/>
    <col min="3860" max="4096" width="9" style="1570"/>
    <col min="4097" max="4097" width="5.19921875" style="1570" customWidth="1"/>
    <col min="4098" max="4098" width="8.8984375" style="1570" customWidth="1"/>
    <col min="4099" max="4099" width="7.09765625" style="1570" customWidth="1"/>
    <col min="4100" max="4100" width="7.69921875" style="1570" customWidth="1"/>
    <col min="4101" max="4101" width="8.8984375" style="1570" customWidth="1"/>
    <col min="4102" max="4102" width="8.09765625" style="1570" customWidth="1"/>
    <col min="4103" max="4103" width="7.8984375" style="1570" customWidth="1"/>
    <col min="4104" max="4104" width="8" style="1570" customWidth="1"/>
    <col min="4105" max="4105" width="8.09765625" style="1570" customWidth="1"/>
    <col min="4106" max="4106" width="8" style="1570" customWidth="1"/>
    <col min="4107" max="4107" width="7.19921875" style="1570" customWidth="1"/>
    <col min="4108" max="4108" width="8.3984375" style="1570" customWidth="1"/>
    <col min="4109" max="4109" width="17.3984375" style="1570" customWidth="1"/>
    <col min="4110" max="4110" width="8.8984375" style="1570" customWidth="1"/>
    <col min="4111" max="4114" width="9" style="1570"/>
    <col min="4115" max="4115" width="33.19921875" style="1570" customWidth="1"/>
    <col min="4116" max="4352" width="9" style="1570"/>
    <col min="4353" max="4353" width="5.19921875" style="1570" customWidth="1"/>
    <col min="4354" max="4354" width="8.8984375" style="1570" customWidth="1"/>
    <col min="4355" max="4355" width="7.09765625" style="1570" customWidth="1"/>
    <col min="4356" max="4356" width="7.69921875" style="1570" customWidth="1"/>
    <col min="4357" max="4357" width="8.8984375" style="1570" customWidth="1"/>
    <col min="4358" max="4358" width="8.09765625" style="1570" customWidth="1"/>
    <col min="4359" max="4359" width="7.8984375" style="1570" customWidth="1"/>
    <col min="4360" max="4360" width="8" style="1570" customWidth="1"/>
    <col min="4361" max="4361" width="8.09765625" style="1570" customWidth="1"/>
    <col min="4362" max="4362" width="8" style="1570" customWidth="1"/>
    <col min="4363" max="4363" width="7.19921875" style="1570" customWidth="1"/>
    <col min="4364" max="4364" width="8.3984375" style="1570" customWidth="1"/>
    <col min="4365" max="4365" width="17.3984375" style="1570" customWidth="1"/>
    <col min="4366" max="4366" width="8.8984375" style="1570" customWidth="1"/>
    <col min="4367" max="4370" width="9" style="1570"/>
    <col min="4371" max="4371" width="33.19921875" style="1570" customWidth="1"/>
    <col min="4372" max="4608" width="9" style="1570"/>
    <col min="4609" max="4609" width="5.19921875" style="1570" customWidth="1"/>
    <col min="4610" max="4610" width="8.8984375" style="1570" customWidth="1"/>
    <col min="4611" max="4611" width="7.09765625" style="1570" customWidth="1"/>
    <col min="4612" max="4612" width="7.69921875" style="1570" customWidth="1"/>
    <col min="4613" max="4613" width="8.8984375" style="1570" customWidth="1"/>
    <col min="4614" max="4614" width="8.09765625" style="1570" customWidth="1"/>
    <col min="4615" max="4615" width="7.8984375" style="1570" customWidth="1"/>
    <col min="4616" max="4616" width="8" style="1570" customWidth="1"/>
    <col min="4617" max="4617" width="8.09765625" style="1570" customWidth="1"/>
    <col min="4618" max="4618" width="8" style="1570" customWidth="1"/>
    <col min="4619" max="4619" width="7.19921875" style="1570" customWidth="1"/>
    <col min="4620" max="4620" width="8.3984375" style="1570" customWidth="1"/>
    <col min="4621" max="4621" width="17.3984375" style="1570" customWidth="1"/>
    <col min="4622" max="4622" width="8.8984375" style="1570" customWidth="1"/>
    <col min="4623" max="4626" width="9" style="1570"/>
    <col min="4627" max="4627" width="33.19921875" style="1570" customWidth="1"/>
    <col min="4628" max="4864" width="9" style="1570"/>
    <col min="4865" max="4865" width="5.19921875" style="1570" customWidth="1"/>
    <col min="4866" max="4866" width="8.8984375" style="1570" customWidth="1"/>
    <col min="4867" max="4867" width="7.09765625" style="1570" customWidth="1"/>
    <col min="4868" max="4868" width="7.69921875" style="1570" customWidth="1"/>
    <col min="4869" max="4869" width="8.8984375" style="1570" customWidth="1"/>
    <col min="4870" max="4870" width="8.09765625" style="1570" customWidth="1"/>
    <col min="4871" max="4871" width="7.8984375" style="1570" customWidth="1"/>
    <col min="4872" max="4872" width="8" style="1570" customWidth="1"/>
    <col min="4873" max="4873" width="8.09765625" style="1570" customWidth="1"/>
    <col min="4874" max="4874" width="8" style="1570" customWidth="1"/>
    <col min="4875" max="4875" width="7.19921875" style="1570" customWidth="1"/>
    <col min="4876" max="4876" width="8.3984375" style="1570" customWidth="1"/>
    <col min="4877" max="4877" width="17.3984375" style="1570" customWidth="1"/>
    <col min="4878" max="4878" width="8.8984375" style="1570" customWidth="1"/>
    <col min="4879" max="4882" width="9" style="1570"/>
    <col min="4883" max="4883" width="33.19921875" style="1570" customWidth="1"/>
    <col min="4884" max="5120" width="9" style="1570"/>
    <col min="5121" max="5121" width="5.19921875" style="1570" customWidth="1"/>
    <col min="5122" max="5122" width="8.8984375" style="1570" customWidth="1"/>
    <col min="5123" max="5123" width="7.09765625" style="1570" customWidth="1"/>
    <col min="5124" max="5124" width="7.69921875" style="1570" customWidth="1"/>
    <col min="5125" max="5125" width="8.8984375" style="1570" customWidth="1"/>
    <col min="5126" max="5126" width="8.09765625" style="1570" customWidth="1"/>
    <col min="5127" max="5127" width="7.8984375" style="1570" customWidth="1"/>
    <col min="5128" max="5128" width="8" style="1570" customWidth="1"/>
    <col min="5129" max="5129" width="8.09765625" style="1570" customWidth="1"/>
    <col min="5130" max="5130" width="8" style="1570" customWidth="1"/>
    <col min="5131" max="5131" width="7.19921875" style="1570" customWidth="1"/>
    <col min="5132" max="5132" width="8.3984375" style="1570" customWidth="1"/>
    <col min="5133" max="5133" width="17.3984375" style="1570" customWidth="1"/>
    <col min="5134" max="5134" width="8.8984375" style="1570" customWidth="1"/>
    <col min="5135" max="5138" width="9" style="1570"/>
    <col min="5139" max="5139" width="33.19921875" style="1570" customWidth="1"/>
    <col min="5140" max="5376" width="9" style="1570"/>
    <col min="5377" max="5377" width="5.19921875" style="1570" customWidth="1"/>
    <col min="5378" max="5378" width="8.8984375" style="1570" customWidth="1"/>
    <col min="5379" max="5379" width="7.09765625" style="1570" customWidth="1"/>
    <col min="5380" max="5380" width="7.69921875" style="1570" customWidth="1"/>
    <col min="5381" max="5381" width="8.8984375" style="1570" customWidth="1"/>
    <col min="5382" max="5382" width="8.09765625" style="1570" customWidth="1"/>
    <col min="5383" max="5383" width="7.8984375" style="1570" customWidth="1"/>
    <col min="5384" max="5384" width="8" style="1570" customWidth="1"/>
    <col min="5385" max="5385" width="8.09765625" style="1570" customWidth="1"/>
    <col min="5386" max="5386" width="8" style="1570" customWidth="1"/>
    <col min="5387" max="5387" width="7.19921875" style="1570" customWidth="1"/>
    <col min="5388" max="5388" width="8.3984375" style="1570" customWidth="1"/>
    <col min="5389" max="5389" width="17.3984375" style="1570" customWidth="1"/>
    <col min="5390" max="5390" width="8.8984375" style="1570" customWidth="1"/>
    <col min="5391" max="5394" width="9" style="1570"/>
    <col min="5395" max="5395" width="33.19921875" style="1570" customWidth="1"/>
    <col min="5396" max="5632" width="9" style="1570"/>
    <col min="5633" max="5633" width="5.19921875" style="1570" customWidth="1"/>
    <col min="5634" max="5634" width="8.8984375" style="1570" customWidth="1"/>
    <col min="5635" max="5635" width="7.09765625" style="1570" customWidth="1"/>
    <col min="5636" max="5636" width="7.69921875" style="1570" customWidth="1"/>
    <col min="5637" max="5637" width="8.8984375" style="1570" customWidth="1"/>
    <col min="5638" max="5638" width="8.09765625" style="1570" customWidth="1"/>
    <col min="5639" max="5639" width="7.8984375" style="1570" customWidth="1"/>
    <col min="5640" max="5640" width="8" style="1570" customWidth="1"/>
    <col min="5641" max="5641" width="8.09765625" style="1570" customWidth="1"/>
    <col min="5642" max="5642" width="8" style="1570" customWidth="1"/>
    <col min="5643" max="5643" width="7.19921875" style="1570" customWidth="1"/>
    <col min="5644" max="5644" width="8.3984375" style="1570" customWidth="1"/>
    <col min="5645" max="5645" width="17.3984375" style="1570" customWidth="1"/>
    <col min="5646" max="5646" width="8.8984375" style="1570" customWidth="1"/>
    <col min="5647" max="5650" width="9" style="1570"/>
    <col min="5651" max="5651" width="33.19921875" style="1570" customWidth="1"/>
    <col min="5652" max="5888" width="9" style="1570"/>
    <col min="5889" max="5889" width="5.19921875" style="1570" customWidth="1"/>
    <col min="5890" max="5890" width="8.8984375" style="1570" customWidth="1"/>
    <col min="5891" max="5891" width="7.09765625" style="1570" customWidth="1"/>
    <col min="5892" max="5892" width="7.69921875" style="1570" customWidth="1"/>
    <col min="5893" max="5893" width="8.8984375" style="1570" customWidth="1"/>
    <col min="5894" max="5894" width="8.09765625" style="1570" customWidth="1"/>
    <col min="5895" max="5895" width="7.8984375" style="1570" customWidth="1"/>
    <col min="5896" max="5896" width="8" style="1570" customWidth="1"/>
    <col min="5897" max="5897" width="8.09765625" style="1570" customWidth="1"/>
    <col min="5898" max="5898" width="8" style="1570" customWidth="1"/>
    <col min="5899" max="5899" width="7.19921875" style="1570" customWidth="1"/>
    <col min="5900" max="5900" width="8.3984375" style="1570" customWidth="1"/>
    <col min="5901" max="5901" width="17.3984375" style="1570" customWidth="1"/>
    <col min="5902" max="5902" width="8.8984375" style="1570" customWidth="1"/>
    <col min="5903" max="5906" width="9" style="1570"/>
    <col min="5907" max="5907" width="33.19921875" style="1570" customWidth="1"/>
    <col min="5908" max="6144" width="9" style="1570"/>
    <col min="6145" max="6145" width="5.19921875" style="1570" customWidth="1"/>
    <col min="6146" max="6146" width="8.8984375" style="1570" customWidth="1"/>
    <col min="6147" max="6147" width="7.09765625" style="1570" customWidth="1"/>
    <col min="6148" max="6148" width="7.69921875" style="1570" customWidth="1"/>
    <col min="6149" max="6149" width="8.8984375" style="1570" customWidth="1"/>
    <col min="6150" max="6150" width="8.09765625" style="1570" customWidth="1"/>
    <col min="6151" max="6151" width="7.8984375" style="1570" customWidth="1"/>
    <col min="6152" max="6152" width="8" style="1570" customWidth="1"/>
    <col min="6153" max="6153" width="8.09765625" style="1570" customWidth="1"/>
    <col min="6154" max="6154" width="8" style="1570" customWidth="1"/>
    <col min="6155" max="6155" width="7.19921875" style="1570" customWidth="1"/>
    <col min="6156" max="6156" width="8.3984375" style="1570" customWidth="1"/>
    <col min="6157" max="6157" width="17.3984375" style="1570" customWidth="1"/>
    <col min="6158" max="6158" width="8.8984375" style="1570" customWidth="1"/>
    <col min="6159" max="6162" width="9" style="1570"/>
    <col min="6163" max="6163" width="33.19921875" style="1570" customWidth="1"/>
    <col min="6164" max="6400" width="9" style="1570"/>
    <col min="6401" max="6401" width="5.19921875" style="1570" customWidth="1"/>
    <col min="6402" max="6402" width="8.8984375" style="1570" customWidth="1"/>
    <col min="6403" max="6403" width="7.09765625" style="1570" customWidth="1"/>
    <col min="6404" max="6404" width="7.69921875" style="1570" customWidth="1"/>
    <col min="6405" max="6405" width="8.8984375" style="1570" customWidth="1"/>
    <col min="6406" max="6406" width="8.09765625" style="1570" customWidth="1"/>
    <col min="6407" max="6407" width="7.8984375" style="1570" customWidth="1"/>
    <col min="6408" max="6408" width="8" style="1570" customWidth="1"/>
    <col min="6409" max="6409" width="8.09765625" style="1570" customWidth="1"/>
    <col min="6410" max="6410" width="8" style="1570" customWidth="1"/>
    <col min="6411" max="6411" width="7.19921875" style="1570" customWidth="1"/>
    <col min="6412" max="6412" width="8.3984375" style="1570" customWidth="1"/>
    <col min="6413" max="6413" width="17.3984375" style="1570" customWidth="1"/>
    <col min="6414" max="6414" width="8.8984375" style="1570" customWidth="1"/>
    <col min="6415" max="6418" width="9" style="1570"/>
    <col min="6419" max="6419" width="33.19921875" style="1570" customWidth="1"/>
    <col min="6420" max="6656" width="9" style="1570"/>
    <col min="6657" max="6657" width="5.19921875" style="1570" customWidth="1"/>
    <col min="6658" max="6658" width="8.8984375" style="1570" customWidth="1"/>
    <col min="6659" max="6659" width="7.09765625" style="1570" customWidth="1"/>
    <col min="6660" max="6660" width="7.69921875" style="1570" customWidth="1"/>
    <col min="6661" max="6661" width="8.8984375" style="1570" customWidth="1"/>
    <col min="6662" max="6662" width="8.09765625" style="1570" customWidth="1"/>
    <col min="6663" max="6663" width="7.8984375" style="1570" customWidth="1"/>
    <col min="6664" max="6664" width="8" style="1570" customWidth="1"/>
    <col min="6665" max="6665" width="8.09765625" style="1570" customWidth="1"/>
    <col min="6666" max="6666" width="8" style="1570" customWidth="1"/>
    <col min="6667" max="6667" width="7.19921875" style="1570" customWidth="1"/>
    <col min="6668" max="6668" width="8.3984375" style="1570" customWidth="1"/>
    <col min="6669" max="6669" width="17.3984375" style="1570" customWidth="1"/>
    <col min="6670" max="6670" width="8.8984375" style="1570" customWidth="1"/>
    <col min="6671" max="6674" width="9" style="1570"/>
    <col min="6675" max="6675" width="33.19921875" style="1570" customWidth="1"/>
    <col min="6676" max="6912" width="9" style="1570"/>
    <col min="6913" max="6913" width="5.19921875" style="1570" customWidth="1"/>
    <col min="6914" max="6914" width="8.8984375" style="1570" customWidth="1"/>
    <col min="6915" max="6915" width="7.09765625" style="1570" customWidth="1"/>
    <col min="6916" max="6916" width="7.69921875" style="1570" customWidth="1"/>
    <col min="6917" max="6917" width="8.8984375" style="1570" customWidth="1"/>
    <col min="6918" max="6918" width="8.09765625" style="1570" customWidth="1"/>
    <col min="6919" max="6919" width="7.8984375" style="1570" customWidth="1"/>
    <col min="6920" max="6920" width="8" style="1570" customWidth="1"/>
    <col min="6921" max="6921" width="8.09765625" style="1570" customWidth="1"/>
    <col min="6922" max="6922" width="8" style="1570" customWidth="1"/>
    <col min="6923" max="6923" width="7.19921875" style="1570" customWidth="1"/>
    <col min="6924" max="6924" width="8.3984375" style="1570" customWidth="1"/>
    <col min="6925" max="6925" width="17.3984375" style="1570" customWidth="1"/>
    <col min="6926" max="6926" width="8.8984375" style="1570" customWidth="1"/>
    <col min="6927" max="6930" width="9" style="1570"/>
    <col min="6931" max="6931" width="33.19921875" style="1570" customWidth="1"/>
    <col min="6932" max="7168" width="9" style="1570"/>
    <col min="7169" max="7169" width="5.19921875" style="1570" customWidth="1"/>
    <col min="7170" max="7170" width="8.8984375" style="1570" customWidth="1"/>
    <col min="7171" max="7171" width="7.09765625" style="1570" customWidth="1"/>
    <col min="7172" max="7172" width="7.69921875" style="1570" customWidth="1"/>
    <col min="7173" max="7173" width="8.8984375" style="1570" customWidth="1"/>
    <col min="7174" max="7174" width="8.09765625" style="1570" customWidth="1"/>
    <col min="7175" max="7175" width="7.8984375" style="1570" customWidth="1"/>
    <col min="7176" max="7176" width="8" style="1570" customWidth="1"/>
    <col min="7177" max="7177" width="8.09765625" style="1570" customWidth="1"/>
    <col min="7178" max="7178" width="8" style="1570" customWidth="1"/>
    <col min="7179" max="7179" width="7.19921875" style="1570" customWidth="1"/>
    <col min="7180" max="7180" width="8.3984375" style="1570" customWidth="1"/>
    <col min="7181" max="7181" width="17.3984375" style="1570" customWidth="1"/>
    <col min="7182" max="7182" width="8.8984375" style="1570" customWidth="1"/>
    <col min="7183" max="7186" width="9" style="1570"/>
    <col min="7187" max="7187" width="33.19921875" style="1570" customWidth="1"/>
    <col min="7188" max="7424" width="9" style="1570"/>
    <col min="7425" max="7425" width="5.19921875" style="1570" customWidth="1"/>
    <col min="7426" max="7426" width="8.8984375" style="1570" customWidth="1"/>
    <col min="7427" max="7427" width="7.09765625" style="1570" customWidth="1"/>
    <col min="7428" max="7428" width="7.69921875" style="1570" customWidth="1"/>
    <col min="7429" max="7429" width="8.8984375" style="1570" customWidth="1"/>
    <col min="7430" max="7430" width="8.09765625" style="1570" customWidth="1"/>
    <col min="7431" max="7431" width="7.8984375" style="1570" customWidth="1"/>
    <col min="7432" max="7432" width="8" style="1570" customWidth="1"/>
    <col min="7433" max="7433" width="8.09765625" style="1570" customWidth="1"/>
    <col min="7434" max="7434" width="8" style="1570" customWidth="1"/>
    <col min="7435" max="7435" width="7.19921875" style="1570" customWidth="1"/>
    <col min="7436" max="7436" width="8.3984375" style="1570" customWidth="1"/>
    <col min="7437" max="7437" width="17.3984375" style="1570" customWidth="1"/>
    <col min="7438" max="7438" width="8.8984375" style="1570" customWidth="1"/>
    <col min="7439" max="7442" width="9" style="1570"/>
    <col min="7443" max="7443" width="33.19921875" style="1570" customWidth="1"/>
    <col min="7444" max="7680" width="9" style="1570"/>
    <col min="7681" max="7681" width="5.19921875" style="1570" customWidth="1"/>
    <col min="7682" max="7682" width="8.8984375" style="1570" customWidth="1"/>
    <col min="7683" max="7683" width="7.09765625" style="1570" customWidth="1"/>
    <col min="7684" max="7684" width="7.69921875" style="1570" customWidth="1"/>
    <col min="7685" max="7685" width="8.8984375" style="1570" customWidth="1"/>
    <col min="7686" max="7686" width="8.09765625" style="1570" customWidth="1"/>
    <col min="7687" max="7687" width="7.8984375" style="1570" customWidth="1"/>
    <col min="7688" max="7688" width="8" style="1570" customWidth="1"/>
    <col min="7689" max="7689" width="8.09765625" style="1570" customWidth="1"/>
    <col min="7690" max="7690" width="8" style="1570" customWidth="1"/>
    <col min="7691" max="7691" width="7.19921875" style="1570" customWidth="1"/>
    <col min="7692" max="7692" width="8.3984375" style="1570" customWidth="1"/>
    <col min="7693" max="7693" width="17.3984375" style="1570" customWidth="1"/>
    <col min="7694" max="7694" width="8.8984375" style="1570" customWidth="1"/>
    <col min="7695" max="7698" width="9" style="1570"/>
    <col min="7699" max="7699" width="33.19921875" style="1570" customWidth="1"/>
    <col min="7700" max="7936" width="9" style="1570"/>
    <col min="7937" max="7937" width="5.19921875" style="1570" customWidth="1"/>
    <col min="7938" max="7938" width="8.8984375" style="1570" customWidth="1"/>
    <col min="7939" max="7939" width="7.09765625" style="1570" customWidth="1"/>
    <col min="7940" max="7940" width="7.69921875" style="1570" customWidth="1"/>
    <col min="7941" max="7941" width="8.8984375" style="1570" customWidth="1"/>
    <col min="7942" max="7942" width="8.09765625" style="1570" customWidth="1"/>
    <col min="7943" max="7943" width="7.8984375" style="1570" customWidth="1"/>
    <col min="7944" max="7944" width="8" style="1570" customWidth="1"/>
    <col min="7945" max="7945" width="8.09765625" style="1570" customWidth="1"/>
    <col min="7946" max="7946" width="8" style="1570" customWidth="1"/>
    <col min="7947" max="7947" width="7.19921875" style="1570" customWidth="1"/>
    <col min="7948" max="7948" width="8.3984375" style="1570" customWidth="1"/>
    <col min="7949" max="7949" width="17.3984375" style="1570" customWidth="1"/>
    <col min="7950" max="7950" width="8.8984375" style="1570" customWidth="1"/>
    <col min="7951" max="7954" width="9" style="1570"/>
    <col min="7955" max="7955" width="33.19921875" style="1570" customWidth="1"/>
    <col min="7956" max="8192" width="9" style="1570"/>
    <col min="8193" max="8193" width="5.19921875" style="1570" customWidth="1"/>
    <col min="8194" max="8194" width="8.8984375" style="1570" customWidth="1"/>
    <col min="8195" max="8195" width="7.09765625" style="1570" customWidth="1"/>
    <col min="8196" max="8196" width="7.69921875" style="1570" customWidth="1"/>
    <col min="8197" max="8197" width="8.8984375" style="1570" customWidth="1"/>
    <col min="8198" max="8198" width="8.09765625" style="1570" customWidth="1"/>
    <col min="8199" max="8199" width="7.8984375" style="1570" customWidth="1"/>
    <col min="8200" max="8200" width="8" style="1570" customWidth="1"/>
    <col min="8201" max="8201" width="8.09765625" style="1570" customWidth="1"/>
    <col min="8202" max="8202" width="8" style="1570" customWidth="1"/>
    <col min="8203" max="8203" width="7.19921875" style="1570" customWidth="1"/>
    <col min="8204" max="8204" width="8.3984375" style="1570" customWidth="1"/>
    <col min="8205" max="8205" width="17.3984375" style="1570" customWidth="1"/>
    <col min="8206" max="8206" width="8.8984375" style="1570" customWidth="1"/>
    <col min="8207" max="8210" width="9" style="1570"/>
    <col min="8211" max="8211" width="33.19921875" style="1570" customWidth="1"/>
    <col min="8212" max="8448" width="9" style="1570"/>
    <col min="8449" max="8449" width="5.19921875" style="1570" customWidth="1"/>
    <col min="8450" max="8450" width="8.8984375" style="1570" customWidth="1"/>
    <col min="8451" max="8451" width="7.09765625" style="1570" customWidth="1"/>
    <col min="8452" max="8452" width="7.69921875" style="1570" customWidth="1"/>
    <col min="8453" max="8453" width="8.8984375" style="1570" customWidth="1"/>
    <col min="8454" max="8454" width="8.09765625" style="1570" customWidth="1"/>
    <col min="8455" max="8455" width="7.8984375" style="1570" customWidth="1"/>
    <col min="8456" max="8456" width="8" style="1570" customWidth="1"/>
    <col min="8457" max="8457" width="8.09765625" style="1570" customWidth="1"/>
    <col min="8458" max="8458" width="8" style="1570" customWidth="1"/>
    <col min="8459" max="8459" width="7.19921875" style="1570" customWidth="1"/>
    <col min="8460" max="8460" width="8.3984375" style="1570" customWidth="1"/>
    <col min="8461" max="8461" width="17.3984375" style="1570" customWidth="1"/>
    <col min="8462" max="8462" width="8.8984375" style="1570" customWidth="1"/>
    <col min="8463" max="8466" width="9" style="1570"/>
    <col min="8467" max="8467" width="33.19921875" style="1570" customWidth="1"/>
    <col min="8468" max="8704" width="9" style="1570"/>
    <col min="8705" max="8705" width="5.19921875" style="1570" customWidth="1"/>
    <col min="8706" max="8706" width="8.8984375" style="1570" customWidth="1"/>
    <col min="8707" max="8707" width="7.09765625" style="1570" customWidth="1"/>
    <col min="8708" max="8708" width="7.69921875" style="1570" customWidth="1"/>
    <col min="8709" max="8709" width="8.8984375" style="1570" customWidth="1"/>
    <col min="8710" max="8710" width="8.09765625" style="1570" customWidth="1"/>
    <col min="8711" max="8711" width="7.8984375" style="1570" customWidth="1"/>
    <col min="8712" max="8712" width="8" style="1570" customWidth="1"/>
    <col min="8713" max="8713" width="8.09765625" style="1570" customWidth="1"/>
    <col min="8714" max="8714" width="8" style="1570" customWidth="1"/>
    <col min="8715" max="8715" width="7.19921875" style="1570" customWidth="1"/>
    <col min="8716" max="8716" width="8.3984375" style="1570" customWidth="1"/>
    <col min="8717" max="8717" width="17.3984375" style="1570" customWidth="1"/>
    <col min="8718" max="8718" width="8.8984375" style="1570" customWidth="1"/>
    <col min="8719" max="8722" width="9" style="1570"/>
    <col min="8723" max="8723" width="33.19921875" style="1570" customWidth="1"/>
    <col min="8724" max="8960" width="9" style="1570"/>
    <col min="8961" max="8961" width="5.19921875" style="1570" customWidth="1"/>
    <col min="8962" max="8962" width="8.8984375" style="1570" customWidth="1"/>
    <col min="8963" max="8963" width="7.09765625" style="1570" customWidth="1"/>
    <col min="8964" max="8964" width="7.69921875" style="1570" customWidth="1"/>
    <col min="8965" max="8965" width="8.8984375" style="1570" customWidth="1"/>
    <col min="8966" max="8966" width="8.09765625" style="1570" customWidth="1"/>
    <col min="8967" max="8967" width="7.8984375" style="1570" customWidth="1"/>
    <col min="8968" max="8968" width="8" style="1570" customWidth="1"/>
    <col min="8969" max="8969" width="8.09765625" style="1570" customWidth="1"/>
    <col min="8970" max="8970" width="8" style="1570" customWidth="1"/>
    <col min="8971" max="8971" width="7.19921875" style="1570" customWidth="1"/>
    <col min="8972" max="8972" width="8.3984375" style="1570" customWidth="1"/>
    <col min="8973" max="8973" width="17.3984375" style="1570" customWidth="1"/>
    <col min="8974" max="8974" width="8.8984375" style="1570" customWidth="1"/>
    <col min="8975" max="8978" width="9" style="1570"/>
    <col min="8979" max="8979" width="33.19921875" style="1570" customWidth="1"/>
    <col min="8980" max="9216" width="9" style="1570"/>
    <col min="9217" max="9217" width="5.19921875" style="1570" customWidth="1"/>
    <col min="9218" max="9218" width="8.8984375" style="1570" customWidth="1"/>
    <col min="9219" max="9219" width="7.09765625" style="1570" customWidth="1"/>
    <col min="9220" max="9220" width="7.69921875" style="1570" customWidth="1"/>
    <col min="9221" max="9221" width="8.8984375" style="1570" customWidth="1"/>
    <col min="9222" max="9222" width="8.09765625" style="1570" customWidth="1"/>
    <col min="9223" max="9223" width="7.8984375" style="1570" customWidth="1"/>
    <col min="9224" max="9224" width="8" style="1570" customWidth="1"/>
    <col min="9225" max="9225" width="8.09765625" style="1570" customWidth="1"/>
    <col min="9226" max="9226" width="8" style="1570" customWidth="1"/>
    <col min="9227" max="9227" width="7.19921875" style="1570" customWidth="1"/>
    <col min="9228" max="9228" width="8.3984375" style="1570" customWidth="1"/>
    <col min="9229" max="9229" width="17.3984375" style="1570" customWidth="1"/>
    <col min="9230" max="9230" width="8.8984375" style="1570" customWidth="1"/>
    <col min="9231" max="9234" width="9" style="1570"/>
    <col min="9235" max="9235" width="33.19921875" style="1570" customWidth="1"/>
    <col min="9236" max="9472" width="9" style="1570"/>
    <col min="9473" max="9473" width="5.19921875" style="1570" customWidth="1"/>
    <col min="9474" max="9474" width="8.8984375" style="1570" customWidth="1"/>
    <col min="9475" max="9475" width="7.09765625" style="1570" customWidth="1"/>
    <col min="9476" max="9476" width="7.69921875" style="1570" customWidth="1"/>
    <col min="9477" max="9477" width="8.8984375" style="1570" customWidth="1"/>
    <col min="9478" max="9478" width="8.09765625" style="1570" customWidth="1"/>
    <col min="9479" max="9479" width="7.8984375" style="1570" customWidth="1"/>
    <col min="9480" max="9480" width="8" style="1570" customWidth="1"/>
    <col min="9481" max="9481" width="8.09765625" style="1570" customWidth="1"/>
    <col min="9482" max="9482" width="8" style="1570" customWidth="1"/>
    <col min="9483" max="9483" width="7.19921875" style="1570" customWidth="1"/>
    <col min="9484" max="9484" width="8.3984375" style="1570" customWidth="1"/>
    <col min="9485" max="9485" width="17.3984375" style="1570" customWidth="1"/>
    <col min="9486" max="9486" width="8.8984375" style="1570" customWidth="1"/>
    <col min="9487" max="9490" width="9" style="1570"/>
    <col min="9491" max="9491" width="33.19921875" style="1570" customWidth="1"/>
    <col min="9492" max="9728" width="9" style="1570"/>
    <col min="9729" max="9729" width="5.19921875" style="1570" customWidth="1"/>
    <col min="9730" max="9730" width="8.8984375" style="1570" customWidth="1"/>
    <col min="9731" max="9731" width="7.09765625" style="1570" customWidth="1"/>
    <col min="9732" max="9732" width="7.69921875" style="1570" customWidth="1"/>
    <col min="9733" max="9733" width="8.8984375" style="1570" customWidth="1"/>
    <col min="9734" max="9734" width="8.09765625" style="1570" customWidth="1"/>
    <col min="9735" max="9735" width="7.8984375" style="1570" customWidth="1"/>
    <col min="9736" max="9736" width="8" style="1570" customWidth="1"/>
    <col min="9737" max="9737" width="8.09765625" style="1570" customWidth="1"/>
    <col min="9738" max="9738" width="8" style="1570" customWidth="1"/>
    <col min="9739" max="9739" width="7.19921875" style="1570" customWidth="1"/>
    <col min="9740" max="9740" width="8.3984375" style="1570" customWidth="1"/>
    <col min="9741" max="9741" width="17.3984375" style="1570" customWidth="1"/>
    <col min="9742" max="9742" width="8.8984375" style="1570" customWidth="1"/>
    <col min="9743" max="9746" width="9" style="1570"/>
    <col min="9747" max="9747" width="33.19921875" style="1570" customWidth="1"/>
    <col min="9748" max="9984" width="9" style="1570"/>
    <col min="9985" max="9985" width="5.19921875" style="1570" customWidth="1"/>
    <col min="9986" max="9986" width="8.8984375" style="1570" customWidth="1"/>
    <col min="9987" max="9987" width="7.09765625" style="1570" customWidth="1"/>
    <col min="9988" max="9988" width="7.69921875" style="1570" customWidth="1"/>
    <col min="9989" max="9989" width="8.8984375" style="1570" customWidth="1"/>
    <col min="9990" max="9990" width="8.09765625" style="1570" customWidth="1"/>
    <col min="9991" max="9991" width="7.8984375" style="1570" customWidth="1"/>
    <col min="9992" max="9992" width="8" style="1570" customWidth="1"/>
    <col min="9993" max="9993" width="8.09765625" style="1570" customWidth="1"/>
    <col min="9994" max="9994" width="8" style="1570" customWidth="1"/>
    <col min="9995" max="9995" width="7.19921875" style="1570" customWidth="1"/>
    <col min="9996" max="9996" width="8.3984375" style="1570" customWidth="1"/>
    <col min="9997" max="9997" width="17.3984375" style="1570" customWidth="1"/>
    <col min="9998" max="9998" width="8.8984375" style="1570" customWidth="1"/>
    <col min="9999" max="10002" width="9" style="1570"/>
    <col min="10003" max="10003" width="33.19921875" style="1570" customWidth="1"/>
    <col min="10004" max="10240" width="9" style="1570"/>
    <col min="10241" max="10241" width="5.19921875" style="1570" customWidth="1"/>
    <col min="10242" max="10242" width="8.8984375" style="1570" customWidth="1"/>
    <col min="10243" max="10243" width="7.09765625" style="1570" customWidth="1"/>
    <col min="10244" max="10244" width="7.69921875" style="1570" customWidth="1"/>
    <col min="10245" max="10245" width="8.8984375" style="1570" customWidth="1"/>
    <col min="10246" max="10246" width="8.09765625" style="1570" customWidth="1"/>
    <col min="10247" max="10247" width="7.8984375" style="1570" customWidth="1"/>
    <col min="10248" max="10248" width="8" style="1570" customWidth="1"/>
    <col min="10249" max="10249" width="8.09765625" style="1570" customWidth="1"/>
    <col min="10250" max="10250" width="8" style="1570" customWidth="1"/>
    <col min="10251" max="10251" width="7.19921875" style="1570" customWidth="1"/>
    <col min="10252" max="10252" width="8.3984375" style="1570" customWidth="1"/>
    <col min="10253" max="10253" width="17.3984375" style="1570" customWidth="1"/>
    <col min="10254" max="10254" width="8.8984375" style="1570" customWidth="1"/>
    <col min="10255" max="10258" width="9" style="1570"/>
    <col min="10259" max="10259" width="33.19921875" style="1570" customWidth="1"/>
    <col min="10260" max="10496" width="9" style="1570"/>
    <col min="10497" max="10497" width="5.19921875" style="1570" customWidth="1"/>
    <col min="10498" max="10498" width="8.8984375" style="1570" customWidth="1"/>
    <col min="10499" max="10499" width="7.09765625" style="1570" customWidth="1"/>
    <col min="10500" max="10500" width="7.69921875" style="1570" customWidth="1"/>
    <col min="10501" max="10501" width="8.8984375" style="1570" customWidth="1"/>
    <col min="10502" max="10502" width="8.09765625" style="1570" customWidth="1"/>
    <col min="10503" max="10503" width="7.8984375" style="1570" customWidth="1"/>
    <col min="10504" max="10504" width="8" style="1570" customWidth="1"/>
    <col min="10505" max="10505" width="8.09765625" style="1570" customWidth="1"/>
    <col min="10506" max="10506" width="8" style="1570" customWidth="1"/>
    <col min="10507" max="10507" width="7.19921875" style="1570" customWidth="1"/>
    <col min="10508" max="10508" width="8.3984375" style="1570" customWidth="1"/>
    <col min="10509" max="10509" width="17.3984375" style="1570" customWidth="1"/>
    <col min="10510" max="10510" width="8.8984375" style="1570" customWidth="1"/>
    <col min="10511" max="10514" width="9" style="1570"/>
    <col min="10515" max="10515" width="33.19921875" style="1570" customWidth="1"/>
    <col min="10516" max="10752" width="9" style="1570"/>
    <col min="10753" max="10753" width="5.19921875" style="1570" customWidth="1"/>
    <col min="10754" max="10754" width="8.8984375" style="1570" customWidth="1"/>
    <col min="10755" max="10755" width="7.09765625" style="1570" customWidth="1"/>
    <col min="10756" max="10756" width="7.69921875" style="1570" customWidth="1"/>
    <col min="10757" max="10757" width="8.8984375" style="1570" customWidth="1"/>
    <col min="10758" max="10758" width="8.09765625" style="1570" customWidth="1"/>
    <col min="10759" max="10759" width="7.8984375" style="1570" customWidth="1"/>
    <col min="10760" max="10760" width="8" style="1570" customWidth="1"/>
    <col min="10761" max="10761" width="8.09765625" style="1570" customWidth="1"/>
    <col min="10762" max="10762" width="8" style="1570" customWidth="1"/>
    <col min="10763" max="10763" width="7.19921875" style="1570" customWidth="1"/>
    <col min="10764" max="10764" width="8.3984375" style="1570" customWidth="1"/>
    <col min="10765" max="10765" width="17.3984375" style="1570" customWidth="1"/>
    <col min="10766" max="10766" width="8.8984375" style="1570" customWidth="1"/>
    <col min="10767" max="10770" width="9" style="1570"/>
    <col min="10771" max="10771" width="33.19921875" style="1570" customWidth="1"/>
    <col min="10772" max="11008" width="9" style="1570"/>
    <col min="11009" max="11009" width="5.19921875" style="1570" customWidth="1"/>
    <col min="11010" max="11010" width="8.8984375" style="1570" customWidth="1"/>
    <col min="11011" max="11011" width="7.09765625" style="1570" customWidth="1"/>
    <col min="11012" max="11012" width="7.69921875" style="1570" customWidth="1"/>
    <col min="11013" max="11013" width="8.8984375" style="1570" customWidth="1"/>
    <col min="11014" max="11014" width="8.09765625" style="1570" customWidth="1"/>
    <col min="11015" max="11015" width="7.8984375" style="1570" customWidth="1"/>
    <col min="11016" max="11016" width="8" style="1570" customWidth="1"/>
    <col min="11017" max="11017" width="8.09765625" style="1570" customWidth="1"/>
    <col min="11018" max="11018" width="8" style="1570" customWidth="1"/>
    <col min="11019" max="11019" width="7.19921875" style="1570" customWidth="1"/>
    <col min="11020" max="11020" width="8.3984375" style="1570" customWidth="1"/>
    <col min="11021" max="11021" width="17.3984375" style="1570" customWidth="1"/>
    <col min="11022" max="11022" width="8.8984375" style="1570" customWidth="1"/>
    <col min="11023" max="11026" width="9" style="1570"/>
    <col min="11027" max="11027" width="33.19921875" style="1570" customWidth="1"/>
    <col min="11028" max="11264" width="9" style="1570"/>
    <col min="11265" max="11265" width="5.19921875" style="1570" customWidth="1"/>
    <col min="11266" max="11266" width="8.8984375" style="1570" customWidth="1"/>
    <col min="11267" max="11267" width="7.09765625" style="1570" customWidth="1"/>
    <col min="11268" max="11268" width="7.69921875" style="1570" customWidth="1"/>
    <col min="11269" max="11269" width="8.8984375" style="1570" customWidth="1"/>
    <col min="11270" max="11270" width="8.09765625" style="1570" customWidth="1"/>
    <col min="11271" max="11271" width="7.8984375" style="1570" customWidth="1"/>
    <col min="11272" max="11272" width="8" style="1570" customWidth="1"/>
    <col min="11273" max="11273" width="8.09765625" style="1570" customWidth="1"/>
    <col min="11274" max="11274" width="8" style="1570" customWidth="1"/>
    <col min="11275" max="11275" width="7.19921875" style="1570" customWidth="1"/>
    <col min="11276" max="11276" width="8.3984375" style="1570" customWidth="1"/>
    <col min="11277" max="11277" width="17.3984375" style="1570" customWidth="1"/>
    <col min="11278" max="11278" width="8.8984375" style="1570" customWidth="1"/>
    <col min="11279" max="11282" width="9" style="1570"/>
    <col min="11283" max="11283" width="33.19921875" style="1570" customWidth="1"/>
    <col min="11284" max="11520" width="9" style="1570"/>
    <col min="11521" max="11521" width="5.19921875" style="1570" customWidth="1"/>
    <col min="11522" max="11522" width="8.8984375" style="1570" customWidth="1"/>
    <col min="11523" max="11523" width="7.09765625" style="1570" customWidth="1"/>
    <col min="11524" max="11524" width="7.69921875" style="1570" customWidth="1"/>
    <col min="11525" max="11525" width="8.8984375" style="1570" customWidth="1"/>
    <col min="11526" max="11526" width="8.09765625" style="1570" customWidth="1"/>
    <col min="11527" max="11527" width="7.8984375" style="1570" customWidth="1"/>
    <col min="11528" max="11528" width="8" style="1570" customWidth="1"/>
    <col min="11529" max="11529" width="8.09765625" style="1570" customWidth="1"/>
    <col min="11530" max="11530" width="8" style="1570" customWidth="1"/>
    <col min="11531" max="11531" width="7.19921875" style="1570" customWidth="1"/>
    <col min="11532" max="11532" width="8.3984375" style="1570" customWidth="1"/>
    <col min="11533" max="11533" width="17.3984375" style="1570" customWidth="1"/>
    <col min="11534" max="11534" width="8.8984375" style="1570" customWidth="1"/>
    <col min="11535" max="11538" width="9" style="1570"/>
    <col min="11539" max="11539" width="33.19921875" style="1570" customWidth="1"/>
    <col min="11540" max="11776" width="9" style="1570"/>
    <col min="11777" max="11777" width="5.19921875" style="1570" customWidth="1"/>
    <col min="11778" max="11778" width="8.8984375" style="1570" customWidth="1"/>
    <col min="11779" max="11779" width="7.09765625" style="1570" customWidth="1"/>
    <col min="11780" max="11780" width="7.69921875" style="1570" customWidth="1"/>
    <col min="11781" max="11781" width="8.8984375" style="1570" customWidth="1"/>
    <col min="11782" max="11782" width="8.09765625" style="1570" customWidth="1"/>
    <col min="11783" max="11783" width="7.8984375" style="1570" customWidth="1"/>
    <col min="11784" max="11784" width="8" style="1570" customWidth="1"/>
    <col min="11785" max="11785" width="8.09765625" style="1570" customWidth="1"/>
    <col min="11786" max="11786" width="8" style="1570" customWidth="1"/>
    <col min="11787" max="11787" width="7.19921875" style="1570" customWidth="1"/>
    <col min="11788" max="11788" width="8.3984375" style="1570" customWidth="1"/>
    <col min="11789" max="11789" width="17.3984375" style="1570" customWidth="1"/>
    <col min="11790" max="11790" width="8.8984375" style="1570" customWidth="1"/>
    <col min="11791" max="11794" width="9" style="1570"/>
    <col min="11795" max="11795" width="33.19921875" style="1570" customWidth="1"/>
    <col min="11796" max="12032" width="9" style="1570"/>
    <col min="12033" max="12033" width="5.19921875" style="1570" customWidth="1"/>
    <col min="12034" max="12034" width="8.8984375" style="1570" customWidth="1"/>
    <col min="12035" max="12035" width="7.09765625" style="1570" customWidth="1"/>
    <col min="12036" max="12036" width="7.69921875" style="1570" customWidth="1"/>
    <col min="12037" max="12037" width="8.8984375" style="1570" customWidth="1"/>
    <col min="12038" max="12038" width="8.09765625" style="1570" customWidth="1"/>
    <col min="12039" max="12039" width="7.8984375" style="1570" customWidth="1"/>
    <col min="12040" max="12040" width="8" style="1570" customWidth="1"/>
    <col min="12041" max="12041" width="8.09765625" style="1570" customWidth="1"/>
    <col min="12042" max="12042" width="8" style="1570" customWidth="1"/>
    <col min="12043" max="12043" width="7.19921875" style="1570" customWidth="1"/>
    <col min="12044" max="12044" width="8.3984375" style="1570" customWidth="1"/>
    <col min="12045" max="12045" width="17.3984375" style="1570" customWidth="1"/>
    <col min="12046" max="12046" width="8.8984375" style="1570" customWidth="1"/>
    <col min="12047" max="12050" width="9" style="1570"/>
    <col min="12051" max="12051" width="33.19921875" style="1570" customWidth="1"/>
    <col min="12052" max="12288" width="9" style="1570"/>
    <col min="12289" max="12289" width="5.19921875" style="1570" customWidth="1"/>
    <col min="12290" max="12290" width="8.8984375" style="1570" customWidth="1"/>
    <col min="12291" max="12291" width="7.09765625" style="1570" customWidth="1"/>
    <col min="12292" max="12292" width="7.69921875" style="1570" customWidth="1"/>
    <col min="12293" max="12293" width="8.8984375" style="1570" customWidth="1"/>
    <col min="12294" max="12294" width="8.09765625" style="1570" customWidth="1"/>
    <col min="12295" max="12295" width="7.8984375" style="1570" customWidth="1"/>
    <col min="12296" max="12296" width="8" style="1570" customWidth="1"/>
    <col min="12297" max="12297" width="8.09765625" style="1570" customWidth="1"/>
    <col min="12298" max="12298" width="8" style="1570" customWidth="1"/>
    <col min="12299" max="12299" width="7.19921875" style="1570" customWidth="1"/>
    <col min="12300" max="12300" width="8.3984375" style="1570" customWidth="1"/>
    <col min="12301" max="12301" width="17.3984375" style="1570" customWidth="1"/>
    <col min="12302" max="12302" width="8.8984375" style="1570" customWidth="1"/>
    <col min="12303" max="12306" width="9" style="1570"/>
    <col min="12307" max="12307" width="33.19921875" style="1570" customWidth="1"/>
    <col min="12308" max="12544" width="9" style="1570"/>
    <col min="12545" max="12545" width="5.19921875" style="1570" customWidth="1"/>
    <col min="12546" max="12546" width="8.8984375" style="1570" customWidth="1"/>
    <col min="12547" max="12547" width="7.09765625" style="1570" customWidth="1"/>
    <col min="12548" max="12548" width="7.69921875" style="1570" customWidth="1"/>
    <col min="12549" max="12549" width="8.8984375" style="1570" customWidth="1"/>
    <col min="12550" max="12550" width="8.09765625" style="1570" customWidth="1"/>
    <col min="12551" max="12551" width="7.8984375" style="1570" customWidth="1"/>
    <col min="12552" max="12552" width="8" style="1570" customWidth="1"/>
    <col min="12553" max="12553" width="8.09765625" style="1570" customWidth="1"/>
    <col min="12554" max="12554" width="8" style="1570" customWidth="1"/>
    <col min="12555" max="12555" width="7.19921875" style="1570" customWidth="1"/>
    <col min="12556" max="12556" width="8.3984375" style="1570" customWidth="1"/>
    <col min="12557" max="12557" width="17.3984375" style="1570" customWidth="1"/>
    <col min="12558" max="12558" width="8.8984375" style="1570" customWidth="1"/>
    <col min="12559" max="12562" width="9" style="1570"/>
    <col min="12563" max="12563" width="33.19921875" style="1570" customWidth="1"/>
    <col min="12564" max="12800" width="9" style="1570"/>
    <col min="12801" max="12801" width="5.19921875" style="1570" customWidth="1"/>
    <col min="12802" max="12802" width="8.8984375" style="1570" customWidth="1"/>
    <col min="12803" max="12803" width="7.09765625" style="1570" customWidth="1"/>
    <col min="12804" max="12804" width="7.69921875" style="1570" customWidth="1"/>
    <col min="12805" max="12805" width="8.8984375" style="1570" customWidth="1"/>
    <col min="12806" max="12806" width="8.09765625" style="1570" customWidth="1"/>
    <col min="12807" max="12807" width="7.8984375" style="1570" customWidth="1"/>
    <col min="12808" max="12808" width="8" style="1570" customWidth="1"/>
    <col min="12809" max="12809" width="8.09765625" style="1570" customWidth="1"/>
    <col min="12810" max="12810" width="8" style="1570" customWidth="1"/>
    <col min="12811" max="12811" width="7.19921875" style="1570" customWidth="1"/>
    <col min="12812" max="12812" width="8.3984375" style="1570" customWidth="1"/>
    <col min="12813" max="12813" width="17.3984375" style="1570" customWidth="1"/>
    <col min="12814" max="12814" width="8.8984375" style="1570" customWidth="1"/>
    <col min="12815" max="12818" width="9" style="1570"/>
    <col min="12819" max="12819" width="33.19921875" style="1570" customWidth="1"/>
    <col min="12820" max="13056" width="9" style="1570"/>
    <col min="13057" max="13057" width="5.19921875" style="1570" customWidth="1"/>
    <col min="13058" max="13058" width="8.8984375" style="1570" customWidth="1"/>
    <col min="13059" max="13059" width="7.09765625" style="1570" customWidth="1"/>
    <col min="13060" max="13060" width="7.69921875" style="1570" customWidth="1"/>
    <col min="13061" max="13061" width="8.8984375" style="1570" customWidth="1"/>
    <col min="13062" max="13062" width="8.09765625" style="1570" customWidth="1"/>
    <col min="13063" max="13063" width="7.8984375" style="1570" customWidth="1"/>
    <col min="13064" max="13064" width="8" style="1570" customWidth="1"/>
    <col min="13065" max="13065" width="8.09765625" style="1570" customWidth="1"/>
    <col min="13066" max="13066" width="8" style="1570" customWidth="1"/>
    <col min="13067" max="13067" width="7.19921875" style="1570" customWidth="1"/>
    <col min="13068" max="13068" width="8.3984375" style="1570" customWidth="1"/>
    <col min="13069" max="13069" width="17.3984375" style="1570" customWidth="1"/>
    <col min="13070" max="13070" width="8.8984375" style="1570" customWidth="1"/>
    <col min="13071" max="13074" width="9" style="1570"/>
    <col min="13075" max="13075" width="33.19921875" style="1570" customWidth="1"/>
    <col min="13076" max="13312" width="9" style="1570"/>
    <col min="13313" max="13313" width="5.19921875" style="1570" customWidth="1"/>
    <col min="13314" max="13314" width="8.8984375" style="1570" customWidth="1"/>
    <col min="13315" max="13315" width="7.09765625" style="1570" customWidth="1"/>
    <col min="13316" max="13316" width="7.69921875" style="1570" customWidth="1"/>
    <col min="13317" max="13317" width="8.8984375" style="1570" customWidth="1"/>
    <col min="13318" max="13318" width="8.09765625" style="1570" customWidth="1"/>
    <col min="13319" max="13319" width="7.8984375" style="1570" customWidth="1"/>
    <col min="13320" max="13320" width="8" style="1570" customWidth="1"/>
    <col min="13321" max="13321" width="8.09765625" style="1570" customWidth="1"/>
    <col min="13322" max="13322" width="8" style="1570" customWidth="1"/>
    <col min="13323" max="13323" width="7.19921875" style="1570" customWidth="1"/>
    <col min="13324" max="13324" width="8.3984375" style="1570" customWidth="1"/>
    <col min="13325" max="13325" width="17.3984375" style="1570" customWidth="1"/>
    <col min="13326" max="13326" width="8.8984375" style="1570" customWidth="1"/>
    <col min="13327" max="13330" width="9" style="1570"/>
    <col min="13331" max="13331" width="33.19921875" style="1570" customWidth="1"/>
    <col min="13332" max="13568" width="9" style="1570"/>
    <col min="13569" max="13569" width="5.19921875" style="1570" customWidth="1"/>
    <col min="13570" max="13570" width="8.8984375" style="1570" customWidth="1"/>
    <col min="13571" max="13571" width="7.09765625" style="1570" customWidth="1"/>
    <col min="13572" max="13572" width="7.69921875" style="1570" customWidth="1"/>
    <col min="13573" max="13573" width="8.8984375" style="1570" customWidth="1"/>
    <col min="13574" max="13574" width="8.09765625" style="1570" customWidth="1"/>
    <col min="13575" max="13575" width="7.8984375" style="1570" customWidth="1"/>
    <col min="13576" max="13576" width="8" style="1570" customWidth="1"/>
    <col min="13577" max="13577" width="8.09765625" style="1570" customWidth="1"/>
    <col min="13578" max="13578" width="8" style="1570" customWidth="1"/>
    <col min="13579" max="13579" width="7.19921875" style="1570" customWidth="1"/>
    <col min="13580" max="13580" width="8.3984375" style="1570" customWidth="1"/>
    <col min="13581" max="13581" width="17.3984375" style="1570" customWidth="1"/>
    <col min="13582" max="13582" width="8.8984375" style="1570" customWidth="1"/>
    <col min="13583" max="13586" width="9" style="1570"/>
    <col min="13587" max="13587" width="33.19921875" style="1570" customWidth="1"/>
    <col min="13588" max="13824" width="9" style="1570"/>
    <col min="13825" max="13825" width="5.19921875" style="1570" customWidth="1"/>
    <col min="13826" max="13826" width="8.8984375" style="1570" customWidth="1"/>
    <col min="13827" max="13827" width="7.09765625" style="1570" customWidth="1"/>
    <col min="13828" max="13828" width="7.69921875" style="1570" customWidth="1"/>
    <col min="13829" max="13829" width="8.8984375" style="1570" customWidth="1"/>
    <col min="13830" max="13830" width="8.09765625" style="1570" customWidth="1"/>
    <col min="13831" max="13831" width="7.8984375" style="1570" customWidth="1"/>
    <col min="13832" max="13832" width="8" style="1570" customWidth="1"/>
    <col min="13833" max="13833" width="8.09765625" style="1570" customWidth="1"/>
    <col min="13834" max="13834" width="8" style="1570" customWidth="1"/>
    <col min="13835" max="13835" width="7.19921875" style="1570" customWidth="1"/>
    <col min="13836" max="13836" width="8.3984375" style="1570" customWidth="1"/>
    <col min="13837" max="13837" width="17.3984375" style="1570" customWidth="1"/>
    <col min="13838" max="13838" width="8.8984375" style="1570" customWidth="1"/>
    <col min="13839" max="13842" width="9" style="1570"/>
    <col min="13843" max="13843" width="33.19921875" style="1570" customWidth="1"/>
    <col min="13844" max="14080" width="9" style="1570"/>
    <col min="14081" max="14081" width="5.19921875" style="1570" customWidth="1"/>
    <col min="14082" max="14082" width="8.8984375" style="1570" customWidth="1"/>
    <col min="14083" max="14083" width="7.09765625" style="1570" customWidth="1"/>
    <col min="14084" max="14084" width="7.69921875" style="1570" customWidth="1"/>
    <col min="14085" max="14085" width="8.8984375" style="1570" customWidth="1"/>
    <col min="14086" max="14086" width="8.09765625" style="1570" customWidth="1"/>
    <col min="14087" max="14087" width="7.8984375" style="1570" customWidth="1"/>
    <col min="14088" max="14088" width="8" style="1570" customWidth="1"/>
    <col min="14089" max="14089" width="8.09765625" style="1570" customWidth="1"/>
    <col min="14090" max="14090" width="8" style="1570" customWidth="1"/>
    <col min="14091" max="14091" width="7.19921875" style="1570" customWidth="1"/>
    <col min="14092" max="14092" width="8.3984375" style="1570" customWidth="1"/>
    <col min="14093" max="14093" width="17.3984375" style="1570" customWidth="1"/>
    <col min="14094" max="14094" width="8.8984375" style="1570" customWidth="1"/>
    <col min="14095" max="14098" width="9" style="1570"/>
    <col min="14099" max="14099" width="33.19921875" style="1570" customWidth="1"/>
    <col min="14100" max="14336" width="9" style="1570"/>
    <col min="14337" max="14337" width="5.19921875" style="1570" customWidth="1"/>
    <col min="14338" max="14338" width="8.8984375" style="1570" customWidth="1"/>
    <col min="14339" max="14339" width="7.09765625" style="1570" customWidth="1"/>
    <col min="14340" max="14340" width="7.69921875" style="1570" customWidth="1"/>
    <col min="14341" max="14341" width="8.8984375" style="1570" customWidth="1"/>
    <col min="14342" max="14342" width="8.09765625" style="1570" customWidth="1"/>
    <col min="14343" max="14343" width="7.8984375" style="1570" customWidth="1"/>
    <col min="14344" max="14344" width="8" style="1570" customWidth="1"/>
    <col min="14345" max="14345" width="8.09765625" style="1570" customWidth="1"/>
    <col min="14346" max="14346" width="8" style="1570" customWidth="1"/>
    <col min="14347" max="14347" width="7.19921875" style="1570" customWidth="1"/>
    <col min="14348" max="14348" width="8.3984375" style="1570" customWidth="1"/>
    <col min="14349" max="14349" width="17.3984375" style="1570" customWidth="1"/>
    <col min="14350" max="14350" width="8.8984375" style="1570" customWidth="1"/>
    <col min="14351" max="14354" width="9" style="1570"/>
    <col min="14355" max="14355" width="33.19921875" style="1570" customWidth="1"/>
    <col min="14356" max="14592" width="9" style="1570"/>
    <col min="14593" max="14593" width="5.19921875" style="1570" customWidth="1"/>
    <col min="14594" max="14594" width="8.8984375" style="1570" customWidth="1"/>
    <col min="14595" max="14595" width="7.09765625" style="1570" customWidth="1"/>
    <col min="14596" max="14596" width="7.69921875" style="1570" customWidth="1"/>
    <col min="14597" max="14597" width="8.8984375" style="1570" customWidth="1"/>
    <col min="14598" max="14598" width="8.09765625" style="1570" customWidth="1"/>
    <col min="14599" max="14599" width="7.8984375" style="1570" customWidth="1"/>
    <col min="14600" max="14600" width="8" style="1570" customWidth="1"/>
    <col min="14601" max="14601" width="8.09765625" style="1570" customWidth="1"/>
    <col min="14602" max="14602" width="8" style="1570" customWidth="1"/>
    <col min="14603" max="14603" width="7.19921875" style="1570" customWidth="1"/>
    <col min="14604" max="14604" width="8.3984375" style="1570" customWidth="1"/>
    <col min="14605" max="14605" width="17.3984375" style="1570" customWidth="1"/>
    <col min="14606" max="14606" width="8.8984375" style="1570" customWidth="1"/>
    <col min="14607" max="14610" width="9" style="1570"/>
    <col min="14611" max="14611" width="33.19921875" style="1570" customWidth="1"/>
    <col min="14612" max="14848" width="9" style="1570"/>
    <col min="14849" max="14849" width="5.19921875" style="1570" customWidth="1"/>
    <col min="14850" max="14850" width="8.8984375" style="1570" customWidth="1"/>
    <col min="14851" max="14851" width="7.09765625" style="1570" customWidth="1"/>
    <col min="14852" max="14852" width="7.69921875" style="1570" customWidth="1"/>
    <col min="14853" max="14853" width="8.8984375" style="1570" customWidth="1"/>
    <col min="14854" max="14854" width="8.09765625" style="1570" customWidth="1"/>
    <col min="14855" max="14855" width="7.8984375" style="1570" customWidth="1"/>
    <col min="14856" max="14856" width="8" style="1570" customWidth="1"/>
    <col min="14857" max="14857" width="8.09765625" style="1570" customWidth="1"/>
    <col min="14858" max="14858" width="8" style="1570" customWidth="1"/>
    <col min="14859" max="14859" width="7.19921875" style="1570" customWidth="1"/>
    <col min="14860" max="14860" width="8.3984375" style="1570" customWidth="1"/>
    <col min="14861" max="14861" width="17.3984375" style="1570" customWidth="1"/>
    <col min="14862" max="14862" width="8.8984375" style="1570" customWidth="1"/>
    <col min="14863" max="14866" width="9" style="1570"/>
    <col min="14867" max="14867" width="33.19921875" style="1570" customWidth="1"/>
    <col min="14868" max="15104" width="9" style="1570"/>
    <col min="15105" max="15105" width="5.19921875" style="1570" customWidth="1"/>
    <col min="15106" max="15106" width="8.8984375" style="1570" customWidth="1"/>
    <col min="15107" max="15107" width="7.09765625" style="1570" customWidth="1"/>
    <col min="15108" max="15108" width="7.69921875" style="1570" customWidth="1"/>
    <col min="15109" max="15109" width="8.8984375" style="1570" customWidth="1"/>
    <col min="15110" max="15110" width="8.09765625" style="1570" customWidth="1"/>
    <col min="15111" max="15111" width="7.8984375" style="1570" customWidth="1"/>
    <col min="15112" max="15112" width="8" style="1570" customWidth="1"/>
    <col min="15113" max="15113" width="8.09765625" style="1570" customWidth="1"/>
    <col min="15114" max="15114" width="8" style="1570" customWidth="1"/>
    <col min="15115" max="15115" width="7.19921875" style="1570" customWidth="1"/>
    <col min="15116" max="15116" width="8.3984375" style="1570" customWidth="1"/>
    <col min="15117" max="15117" width="17.3984375" style="1570" customWidth="1"/>
    <col min="15118" max="15118" width="8.8984375" style="1570" customWidth="1"/>
    <col min="15119" max="15122" width="9" style="1570"/>
    <col min="15123" max="15123" width="33.19921875" style="1570" customWidth="1"/>
    <col min="15124" max="15360" width="9" style="1570"/>
    <col min="15361" max="15361" width="5.19921875" style="1570" customWidth="1"/>
    <col min="15362" max="15362" width="8.8984375" style="1570" customWidth="1"/>
    <col min="15363" max="15363" width="7.09765625" style="1570" customWidth="1"/>
    <col min="15364" max="15364" width="7.69921875" style="1570" customWidth="1"/>
    <col min="15365" max="15365" width="8.8984375" style="1570" customWidth="1"/>
    <col min="15366" max="15366" width="8.09765625" style="1570" customWidth="1"/>
    <col min="15367" max="15367" width="7.8984375" style="1570" customWidth="1"/>
    <col min="15368" max="15368" width="8" style="1570" customWidth="1"/>
    <col min="15369" max="15369" width="8.09765625" style="1570" customWidth="1"/>
    <col min="15370" max="15370" width="8" style="1570" customWidth="1"/>
    <col min="15371" max="15371" width="7.19921875" style="1570" customWidth="1"/>
    <col min="15372" max="15372" width="8.3984375" style="1570" customWidth="1"/>
    <col min="15373" max="15373" width="17.3984375" style="1570" customWidth="1"/>
    <col min="15374" max="15374" width="8.8984375" style="1570" customWidth="1"/>
    <col min="15375" max="15378" width="9" style="1570"/>
    <col min="15379" max="15379" width="33.19921875" style="1570" customWidth="1"/>
    <col min="15380" max="15616" width="9" style="1570"/>
    <col min="15617" max="15617" width="5.19921875" style="1570" customWidth="1"/>
    <col min="15618" max="15618" width="8.8984375" style="1570" customWidth="1"/>
    <col min="15619" max="15619" width="7.09765625" style="1570" customWidth="1"/>
    <col min="15620" max="15620" width="7.69921875" style="1570" customWidth="1"/>
    <col min="15621" max="15621" width="8.8984375" style="1570" customWidth="1"/>
    <col min="15622" max="15622" width="8.09765625" style="1570" customWidth="1"/>
    <col min="15623" max="15623" width="7.8984375" style="1570" customWidth="1"/>
    <col min="15624" max="15624" width="8" style="1570" customWidth="1"/>
    <col min="15625" max="15625" width="8.09765625" style="1570" customWidth="1"/>
    <col min="15626" max="15626" width="8" style="1570" customWidth="1"/>
    <col min="15627" max="15627" width="7.19921875" style="1570" customWidth="1"/>
    <col min="15628" max="15628" width="8.3984375" style="1570" customWidth="1"/>
    <col min="15629" max="15629" width="17.3984375" style="1570" customWidth="1"/>
    <col min="15630" max="15630" width="8.8984375" style="1570" customWidth="1"/>
    <col min="15631" max="15634" width="9" style="1570"/>
    <col min="15635" max="15635" width="33.19921875" style="1570" customWidth="1"/>
    <col min="15636" max="15872" width="9" style="1570"/>
    <col min="15873" max="15873" width="5.19921875" style="1570" customWidth="1"/>
    <col min="15874" max="15874" width="8.8984375" style="1570" customWidth="1"/>
    <col min="15875" max="15875" width="7.09765625" style="1570" customWidth="1"/>
    <col min="15876" max="15876" width="7.69921875" style="1570" customWidth="1"/>
    <col min="15877" max="15877" width="8.8984375" style="1570" customWidth="1"/>
    <col min="15878" max="15878" width="8.09765625" style="1570" customWidth="1"/>
    <col min="15879" max="15879" width="7.8984375" style="1570" customWidth="1"/>
    <col min="15880" max="15880" width="8" style="1570" customWidth="1"/>
    <col min="15881" max="15881" width="8.09765625" style="1570" customWidth="1"/>
    <col min="15882" max="15882" width="8" style="1570" customWidth="1"/>
    <col min="15883" max="15883" width="7.19921875" style="1570" customWidth="1"/>
    <col min="15884" max="15884" width="8.3984375" style="1570" customWidth="1"/>
    <col min="15885" max="15885" width="17.3984375" style="1570" customWidth="1"/>
    <col min="15886" max="15886" width="8.8984375" style="1570" customWidth="1"/>
    <col min="15887" max="15890" width="9" style="1570"/>
    <col min="15891" max="15891" width="33.19921875" style="1570" customWidth="1"/>
    <col min="15892" max="16128" width="9" style="1570"/>
    <col min="16129" max="16129" width="5.19921875" style="1570" customWidth="1"/>
    <col min="16130" max="16130" width="8.8984375" style="1570" customWidth="1"/>
    <col min="16131" max="16131" width="7.09765625" style="1570" customWidth="1"/>
    <col min="16132" max="16132" width="7.69921875" style="1570" customWidth="1"/>
    <col min="16133" max="16133" width="8.8984375" style="1570" customWidth="1"/>
    <col min="16134" max="16134" width="8.09765625" style="1570" customWidth="1"/>
    <col min="16135" max="16135" width="7.8984375" style="1570" customWidth="1"/>
    <col min="16136" max="16136" width="8" style="1570" customWidth="1"/>
    <col min="16137" max="16137" width="8.09765625" style="1570" customWidth="1"/>
    <col min="16138" max="16138" width="8" style="1570" customWidth="1"/>
    <col min="16139" max="16139" width="7.19921875" style="1570" customWidth="1"/>
    <col min="16140" max="16140" width="8.3984375" style="1570" customWidth="1"/>
    <col min="16141" max="16141" width="17.3984375" style="1570" customWidth="1"/>
    <col min="16142" max="16142" width="8.8984375" style="1570" customWidth="1"/>
    <col min="16143" max="16146" width="9" style="1570"/>
    <col min="16147" max="16147" width="33.19921875" style="1570" customWidth="1"/>
    <col min="16148" max="16384" width="9" style="1570"/>
  </cols>
  <sheetData>
    <row r="1" spans="1:19" ht="20.100000000000001" customHeight="1">
      <c r="A1" s="3400" t="s">
        <v>5764</v>
      </c>
      <c r="B1" s="3400"/>
      <c r="C1" s="3400"/>
      <c r="D1" s="3400"/>
      <c r="E1" s="3400"/>
      <c r="F1" s="3400"/>
      <c r="G1" s="3400"/>
      <c r="H1" s="3400"/>
      <c r="I1" s="3400"/>
      <c r="J1" s="3400"/>
      <c r="K1" s="3400"/>
      <c r="L1" s="3400"/>
      <c r="M1" s="3400"/>
      <c r="N1" s="3400"/>
      <c r="O1" s="2015"/>
    </row>
    <row r="2" spans="1:19" ht="25.5" customHeight="1">
      <c r="A2" s="3401" t="s">
        <v>5765</v>
      </c>
      <c r="B2" s="3401"/>
      <c r="C2" s="3401"/>
      <c r="D2" s="3401"/>
      <c r="E2" s="3401"/>
      <c r="F2" s="3401"/>
      <c r="G2" s="3401"/>
      <c r="H2" s="3401"/>
      <c r="I2" s="3401"/>
      <c r="J2" s="3401"/>
      <c r="K2" s="3401"/>
      <c r="L2" s="3401"/>
      <c r="M2" s="3401"/>
      <c r="N2" s="3401"/>
      <c r="O2" s="1834"/>
    </row>
    <row r="3" spans="1:19" ht="33.75" customHeight="1">
      <c r="A3" s="3399" t="s">
        <v>1853</v>
      </c>
      <c r="B3" s="3399" t="s">
        <v>665</v>
      </c>
      <c r="C3" s="3399" t="s">
        <v>16</v>
      </c>
      <c r="D3" s="3407" t="s">
        <v>5766</v>
      </c>
      <c r="E3" s="3407" t="s">
        <v>5767</v>
      </c>
      <c r="F3" s="3407" t="s">
        <v>5768</v>
      </c>
      <c r="G3" s="3399" t="s">
        <v>5769</v>
      </c>
      <c r="H3" s="3399"/>
      <c r="I3" s="3399"/>
      <c r="J3" s="3399"/>
      <c r="K3" s="3399"/>
      <c r="L3" s="3399"/>
      <c r="M3" s="3407" t="s">
        <v>5770</v>
      </c>
      <c r="N3" s="3407" t="s">
        <v>5771</v>
      </c>
      <c r="O3" s="3407" t="s">
        <v>4899</v>
      </c>
    </row>
    <row r="4" spans="1:19">
      <c r="A4" s="3399"/>
      <c r="B4" s="3399"/>
      <c r="C4" s="3399"/>
      <c r="D4" s="3407"/>
      <c r="E4" s="3407"/>
      <c r="F4" s="3407"/>
      <c r="G4" s="1890" t="s">
        <v>5772</v>
      </c>
      <c r="H4" s="1891" t="s">
        <v>1348</v>
      </c>
      <c r="I4" s="1891" t="s">
        <v>1349</v>
      </c>
      <c r="J4" s="1891" t="s">
        <v>1350</v>
      </c>
      <c r="K4" s="1891" t="s">
        <v>1351</v>
      </c>
      <c r="L4" s="1891" t="s">
        <v>1280</v>
      </c>
      <c r="M4" s="3496"/>
      <c r="N4" s="3496"/>
      <c r="O4" s="3496"/>
    </row>
    <row r="5" spans="1:19" ht="63" customHeight="1">
      <c r="A5" s="3399"/>
      <c r="B5" s="3399"/>
      <c r="C5" s="1892">
        <v>1</v>
      </c>
      <c r="D5" s="1892">
        <v>2</v>
      </c>
      <c r="E5" s="1892">
        <v>3</v>
      </c>
      <c r="F5" s="1892" t="s">
        <v>5773</v>
      </c>
      <c r="G5" s="1892">
        <v>5</v>
      </c>
      <c r="H5" s="1892">
        <v>6</v>
      </c>
      <c r="I5" s="1892">
        <v>7</v>
      </c>
      <c r="J5" s="1892">
        <v>8</v>
      </c>
      <c r="K5" s="1892">
        <v>9</v>
      </c>
      <c r="L5" s="1893" t="s">
        <v>5774</v>
      </c>
      <c r="M5" s="1894" t="s">
        <v>5775</v>
      </c>
      <c r="N5" s="1893" t="s">
        <v>5776</v>
      </c>
      <c r="O5" s="1967"/>
    </row>
    <row r="6" spans="1:19" ht="55.5" customHeight="1">
      <c r="A6" s="1891">
        <v>1</v>
      </c>
      <c r="B6" s="1891" t="s">
        <v>6629</v>
      </c>
      <c r="C6" s="1895">
        <f>税额抵免优惠审核表!C6</f>
        <v>2011</v>
      </c>
      <c r="D6" s="2072">
        <f>税额抵免优惠审核表!D6</f>
        <v>0</v>
      </c>
      <c r="E6" s="2072">
        <f>税额抵免优惠审核表!E6</f>
        <v>0</v>
      </c>
      <c r="F6" s="2072">
        <f>税额抵免优惠审核表!F6</f>
        <v>0</v>
      </c>
      <c r="G6" s="2072">
        <f>税额抵免优惠审核表!G6</f>
        <v>0</v>
      </c>
      <c r="H6" s="2072">
        <f>税额抵免优惠审核表!H6</f>
        <v>0</v>
      </c>
      <c r="I6" s="2072">
        <f>税额抵免优惠审核表!I6</f>
        <v>0</v>
      </c>
      <c r="J6" s="2072">
        <f>税额抵免优惠审核表!J6</f>
        <v>0</v>
      </c>
      <c r="K6" s="2072">
        <f>税额抵免优惠审核表!K6</f>
        <v>0</v>
      </c>
      <c r="L6" s="2072">
        <f>税额抵免优惠审核表!L6</f>
        <v>0</v>
      </c>
      <c r="M6" s="2072">
        <f>税额抵免优惠审核表!M6</f>
        <v>0</v>
      </c>
      <c r="N6" s="1961" t="s">
        <v>1859</v>
      </c>
      <c r="O6" s="1978" t="s">
        <v>5777</v>
      </c>
      <c r="S6" s="1575"/>
    </row>
    <row r="7" spans="1:19">
      <c r="A7" s="1891">
        <v>2</v>
      </c>
      <c r="B7" s="1891" t="s">
        <v>1348</v>
      </c>
      <c r="C7" s="1895">
        <f>税额抵免优惠审核表!C7</f>
        <v>2012</v>
      </c>
      <c r="D7" s="2072">
        <f>税额抵免优惠审核表!D7</f>
        <v>0</v>
      </c>
      <c r="E7" s="2072">
        <f>税额抵免优惠审核表!E7</f>
        <v>0</v>
      </c>
      <c r="F7" s="2072">
        <f>税额抵免优惠审核表!F7</f>
        <v>0</v>
      </c>
      <c r="G7" s="1961" t="s">
        <v>1859</v>
      </c>
      <c r="H7" s="2072">
        <f>税额抵免优惠审核表!H7</f>
        <v>0</v>
      </c>
      <c r="I7" s="2072">
        <f>税额抵免优惠审核表!I7</f>
        <v>0</v>
      </c>
      <c r="J7" s="2072">
        <f>税额抵免优惠审核表!J7</f>
        <v>0</v>
      </c>
      <c r="K7" s="2072">
        <f>税额抵免优惠审核表!K7</f>
        <v>0</v>
      </c>
      <c r="L7" s="2072">
        <f>税额抵免优惠审核表!L7</f>
        <v>0</v>
      </c>
      <c r="M7" s="2072">
        <f>税额抵免优惠审核表!M7</f>
        <v>0</v>
      </c>
      <c r="N7" s="2072">
        <f>税额抵免优惠审核表!N7</f>
        <v>0</v>
      </c>
      <c r="O7" s="1974"/>
      <c r="P7" s="1675" t="s">
        <v>6475</v>
      </c>
    </row>
    <row r="8" spans="1:19">
      <c r="A8" s="1891">
        <v>3</v>
      </c>
      <c r="B8" s="1891" t="s">
        <v>1349</v>
      </c>
      <c r="C8" s="1895">
        <f>税额抵免优惠审核表!C8</f>
        <v>2013</v>
      </c>
      <c r="D8" s="2072">
        <f>税额抵免优惠审核表!D8</f>
        <v>0</v>
      </c>
      <c r="E8" s="2072">
        <f>税额抵免优惠审核表!E8</f>
        <v>0</v>
      </c>
      <c r="F8" s="2072">
        <f>税额抵免优惠审核表!F8</f>
        <v>0</v>
      </c>
      <c r="G8" s="1961" t="s">
        <v>1859</v>
      </c>
      <c r="H8" s="2068" t="s">
        <v>1859</v>
      </c>
      <c r="I8" s="2072">
        <f>税额抵免优惠审核表!I8</f>
        <v>0</v>
      </c>
      <c r="J8" s="2072">
        <f>税额抵免优惠审核表!J8</f>
        <v>0</v>
      </c>
      <c r="K8" s="2072">
        <f>税额抵免优惠审核表!K8</f>
        <v>0</v>
      </c>
      <c r="L8" s="2072">
        <f>税额抵免优惠审核表!L8</f>
        <v>0</v>
      </c>
      <c r="M8" s="2072">
        <f>税额抵免优惠审核表!M8</f>
        <v>0</v>
      </c>
      <c r="N8" s="2072">
        <f>税额抵免优惠审核表!N8</f>
        <v>0</v>
      </c>
      <c r="O8" s="1974"/>
    </row>
    <row r="9" spans="1:19">
      <c r="A9" s="1891">
        <v>4</v>
      </c>
      <c r="B9" s="1891" t="s">
        <v>1350</v>
      </c>
      <c r="C9" s="1895">
        <f>税额抵免优惠审核表!C9</f>
        <v>2014</v>
      </c>
      <c r="D9" s="2072">
        <f>税额抵免优惠审核表!D9</f>
        <v>0</v>
      </c>
      <c r="E9" s="2072">
        <f>税额抵免优惠审核表!E9</f>
        <v>0</v>
      </c>
      <c r="F9" s="2072">
        <f>税额抵免优惠审核表!F9</f>
        <v>0</v>
      </c>
      <c r="G9" s="1961" t="s">
        <v>1859</v>
      </c>
      <c r="H9" s="2068" t="s">
        <v>1859</v>
      </c>
      <c r="I9" s="1961" t="s">
        <v>1859</v>
      </c>
      <c r="J9" s="2072">
        <f>税额抵免优惠审核表!J9</f>
        <v>0</v>
      </c>
      <c r="K9" s="2072">
        <f>税额抵免优惠审核表!K9</f>
        <v>0</v>
      </c>
      <c r="L9" s="2072">
        <f>税额抵免优惠审核表!L9</f>
        <v>0</v>
      </c>
      <c r="M9" s="2072">
        <f>税额抵免优惠审核表!M9</f>
        <v>0</v>
      </c>
      <c r="N9" s="2072">
        <f>税额抵免优惠审核表!N9</f>
        <v>0</v>
      </c>
      <c r="O9" s="1974"/>
    </row>
    <row r="10" spans="1:19">
      <c r="A10" s="1891">
        <v>5</v>
      </c>
      <c r="B10" s="1891" t="s">
        <v>1351</v>
      </c>
      <c r="C10" s="1895">
        <f>税额抵免优惠审核表!C10</f>
        <v>2015</v>
      </c>
      <c r="D10" s="2072">
        <f>税额抵免优惠审核表!D10</f>
        <v>0</v>
      </c>
      <c r="E10" s="2072">
        <f>税额抵免优惠审核表!E10</f>
        <v>0</v>
      </c>
      <c r="F10" s="2072">
        <f>税额抵免优惠审核表!F10</f>
        <v>0</v>
      </c>
      <c r="G10" s="1961" t="s">
        <v>1859</v>
      </c>
      <c r="H10" s="2068" t="s">
        <v>1859</v>
      </c>
      <c r="I10" s="1961" t="s">
        <v>1859</v>
      </c>
      <c r="J10" s="1961" t="s">
        <v>1859</v>
      </c>
      <c r="K10" s="2072">
        <f>税额抵免优惠审核表!K10</f>
        <v>0</v>
      </c>
      <c r="L10" s="2072">
        <f>税额抵免优惠审核表!L10</f>
        <v>0</v>
      </c>
      <c r="M10" s="2072">
        <f>税额抵免优惠审核表!M10</f>
        <v>0</v>
      </c>
      <c r="N10" s="2072">
        <f>税额抵免优惠审核表!N10</f>
        <v>0</v>
      </c>
      <c r="O10" s="1974"/>
    </row>
    <row r="11" spans="1:19">
      <c r="A11" s="1891">
        <v>6</v>
      </c>
      <c r="B11" s="1891" t="s">
        <v>5483</v>
      </c>
      <c r="C11" s="1895">
        <f>税额抵免优惠审核表!C11</f>
        <v>2016</v>
      </c>
      <c r="D11" s="2072">
        <f ca="1">税额抵免优惠审核表!D11</f>
        <v>0</v>
      </c>
      <c r="E11" s="2072">
        <f>税额抵免优惠审核表!E11</f>
        <v>0</v>
      </c>
      <c r="F11" s="2072">
        <f>税额抵免优惠审核表!F11</f>
        <v>0</v>
      </c>
      <c r="G11" s="1961" t="s">
        <v>1859</v>
      </c>
      <c r="H11" s="1961" t="s">
        <v>1859</v>
      </c>
      <c r="I11" s="1961" t="s">
        <v>1859</v>
      </c>
      <c r="J11" s="1961" t="s">
        <v>1859</v>
      </c>
      <c r="K11" s="1961" t="s">
        <v>1859</v>
      </c>
      <c r="L11" s="1961" t="s">
        <v>1866</v>
      </c>
      <c r="M11" s="2072">
        <f ca="1">税额抵免优惠审核表!M11</f>
        <v>0</v>
      </c>
      <c r="N11" s="2072">
        <f ca="1">税额抵免优惠审核表!N11</f>
        <v>0</v>
      </c>
      <c r="O11" s="1974"/>
      <c r="P11" s="1675"/>
    </row>
    <row r="12" spans="1:19" ht="23.25" customHeight="1">
      <c r="A12" s="1891">
        <v>7</v>
      </c>
      <c r="B12" s="3497" t="s">
        <v>5778</v>
      </c>
      <c r="C12" s="3497"/>
      <c r="D12" s="3497"/>
      <c r="E12" s="3497"/>
      <c r="F12" s="3497"/>
      <c r="G12" s="3497"/>
      <c r="H12" s="3497"/>
      <c r="I12" s="3497"/>
      <c r="J12" s="3497"/>
      <c r="K12" s="3497"/>
      <c r="L12" s="3497"/>
      <c r="M12" s="2072">
        <f ca="1">税额抵免优惠审核表!M12</f>
        <v>0</v>
      </c>
      <c r="N12" s="1961" t="s">
        <v>1859</v>
      </c>
      <c r="O12" s="1978" t="s">
        <v>5779</v>
      </c>
    </row>
    <row r="13" spans="1:19">
      <c r="A13" s="1891">
        <v>8</v>
      </c>
      <c r="B13" s="3497" t="s">
        <v>5780</v>
      </c>
      <c r="C13" s="3497"/>
      <c r="D13" s="3497"/>
      <c r="E13" s="3497"/>
      <c r="F13" s="3497"/>
      <c r="G13" s="3497"/>
      <c r="H13" s="3497"/>
      <c r="I13" s="3497"/>
      <c r="J13" s="3497"/>
      <c r="K13" s="3497"/>
      <c r="L13" s="3497"/>
      <c r="M13" s="3497"/>
      <c r="N13" s="2072">
        <f ca="1">税额抵免优惠审核表!N13</f>
        <v>0</v>
      </c>
      <c r="O13" s="1974"/>
    </row>
    <row r="14" spans="1:19">
      <c r="A14" s="1891">
        <v>9</v>
      </c>
      <c r="B14" s="3407" t="s">
        <v>5781</v>
      </c>
      <c r="C14" s="3498" t="s">
        <v>5782</v>
      </c>
      <c r="D14" s="3498"/>
      <c r="E14" s="3498"/>
      <c r="F14" s="3498"/>
      <c r="G14" s="3498"/>
      <c r="H14" s="3498"/>
      <c r="I14" s="3498"/>
      <c r="J14" s="3498"/>
      <c r="K14" s="3506">
        <f>税额抵免优惠审核表!K14</f>
        <v>0</v>
      </c>
      <c r="L14" s="3506"/>
      <c r="M14" s="3506"/>
      <c r="N14" s="3506"/>
      <c r="O14" s="1974"/>
    </row>
    <row r="15" spans="1:19">
      <c r="A15" s="1891">
        <v>10</v>
      </c>
      <c r="B15" s="3399"/>
      <c r="C15" s="3498" t="s">
        <v>5783</v>
      </c>
      <c r="D15" s="3498"/>
      <c r="E15" s="3498"/>
      <c r="F15" s="3498"/>
      <c r="G15" s="3498"/>
      <c r="H15" s="3498"/>
      <c r="I15" s="3498"/>
      <c r="J15" s="3498"/>
      <c r="K15" s="3506">
        <f>税额抵免优惠审核表!K15</f>
        <v>0</v>
      </c>
      <c r="L15" s="3506"/>
      <c r="M15" s="3506"/>
      <c r="N15" s="3506"/>
      <c r="O15" s="1974"/>
    </row>
    <row r="16" spans="1:19">
      <c r="A16" s="1891">
        <v>11</v>
      </c>
      <c r="B16" s="3399"/>
      <c r="C16" s="3498" t="s">
        <v>5784</v>
      </c>
      <c r="D16" s="3498"/>
      <c r="E16" s="3498"/>
      <c r="F16" s="3498"/>
      <c r="G16" s="3498"/>
      <c r="H16" s="3498"/>
      <c r="I16" s="3498"/>
      <c r="J16" s="3498"/>
      <c r="K16" s="3506">
        <f>税额抵免优惠审核表!K16</f>
        <v>0</v>
      </c>
      <c r="L16" s="3506"/>
      <c r="M16" s="3506"/>
      <c r="N16" s="3506"/>
      <c r="O16" s="1974"/>
    </row>
  </sheetData>
  <mergeCells count="21">
    <mergeCell ref="A1:N1"/>
    <mergeCell ref="A2:N2"/>
    <mergeCell ref="A3:A5"/>
    <mergeCell ref="B3:B5"/>
    <mergeCell ref="C3:C4"/>
    <mergeCell ref="D3:D4"/>
    <mergeCell ref="E3:E4"/>
    <mergeCell ref="F3:F4"/>
    <mergeCell ref="G3:L3"/>
    <mergeCell ref="M3:M4"/>
    <mergeCell ref="K16:N16"/>
    <mergeCell ref="N3:N4"/>
    <mergeCell ref="O3:O4"/>
    <mergeCell ref="B12:L12"/>
    <mergeCell ref="B13:M13"/>
    <mergeCell ref="B14:B16"/>
    <mergeCell ref="C14:J14"/>
    <mergeCell ref="K14:N14"/>
    <mergeCell ref="C15:J15"/>
    <mergeCell ref="K15:N15"/>
    <mergeCell ref="C16:J16"/>
  </mergeCells>
  <phoneticPr fontId="51" type="noConversion"/>
  <hyperlinks>
    <hyperlink ref="P7" location="税额抵免优惠审核表!A1" display="税额抵免优惠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tabColor rgb="FFFFFF00"/>
  </sheetPr>
  <dimension ref="A1:U22"/>
  <sheetViews>
    <sheetView workbookViewId="0">
      <selection activeCell="A2" sqref="A2:T2"/>
    </sheetView>
  </sheetViews>
  <sheetFormatPr defaultColWidth="8.69921875" defaultRowHeight="13.2"/>
  <cols>
    <col min="1" max="1" width="5.19921875" style="1617" customWidth="1"/>
    <col min="2" max="2" width="9.3984375" style="1617" customWidth="1"/>
    <col min="3" max="20" width="10.19921875" style="1617" customWidth="1"/>
    <col min="21" max="256" width="8.69921875" style="1617"/>
    <col min="257" max="257" width="5.19921875" style="1617" customWidth="1"/>
    <col min="258" max="258" width="11.8984375" style="1617" customWidth="1"/>
    <col min="259" max="259" width="5.19921875" style="1617" customWidth="1"/>
    <col min="260" max="260" width="5.8984375" style="1617" customWidth="1"/>
    <col min="261" max="261" width="6.19921875" style="1617" customWidth="1"/>
    <col min="262" max="263" width="5.19921875" style="1617" customWidth="1"/>
    <col min="264" max="264" width="6.09765625" style="1617" customWidth="1"/>
    <col min="265" max="268" width="5.19921875" style="1617" customWidth="1"/>
    <col min="269" max="269" width="8.09765625" style="1617" customWidth="1"/>
    <col min="270" max="272" width="6.09765625" style="1617" customWidth="1"/>
    <col min="273" max="274" width="5.19921875" style="1617" customWidth="1"/>
    <col min="275" max="275" width="6.59765625" style="1617" customWidth="1"/>
    <col min="276" max="276" width="6.09765625" style="1617" customWidth="1"/>
    <col min="277" max="512" width="8.69921875" style="1617"/>
    <col min="513" max="513" width="5.19921875" style="1617" customWidth="1"/>
    <col min="514" max="514" width="11.8984375" style="1617" customWidth="1"/>
    <col min="515" max="515" width="5.19921875" style="1617" customWidth="1"/>
    <col min="516" max="516" width="5.8984375" style="1617" customWidth="1"/>
    <col min="517" max="517" width="6.19921875" style="1617" customWidth="1"/>
    <col min="518" max="519" width="5.19921875" style="1617" customWidth="1"/>
    <col min="520" max="520" width="6.09765625" style="1617" customWidth="1"/>
    <col min="521" max="524" width="5.19921875" style="1617" customWidth="1"/>
    <col min="525" max="525" width="8.09765625" style="1617" customWidth="1"/>
    <col min="526" max="528" width="6.09765625" style="1617" customWidth="1"/>
    <col min="529" max="530" width="5.19921875" style="1617" customWidth="1"/>
    <col min="531" max="531" width="6.59765625" style="1617" customWidth="1"/>
    <col min="532" max="532" width="6.09765625" style="1617" customWidth="1"/>
    <col min="533" max="768" width="8.69921875" style="1617"/>
    <col min="769" max="769" width="5.19921875" style="1617" customWidth="1"/>
    <col min="770" max="770" width="11.8984375" style="1617" customWidth="1"/>
    <col min="771" max="771" width="5.19921875" style="1617" customWidth="1"/>
    <col min="772" max="772" width="5.8984375" style="1617" customWidth="1"/>
    <col min="773" max="773" width="6.19921875" style="1617" customWidth="1"/>
    <col min="774" max="775" width="5.19921875" style="1617" customWidth="1"/>
    <col min="776" max="776" width="6.09765625" style="1617" customWidth="1"/>
    <col min="777" max="780" width="5.19921875" style="1617" customWidth="1"/>
    <col min="781" max="781" width="8.09765625" style="1617" customWidth="1"/>
    <col min="782" max="784" width="6.09765625" style="1617" customWidth="1"/>
    <col min="785" max="786" width="5.19921875" style="1617" customWidth="1"/>
    <col min="787" max="787" width="6.59765625" style="1617" customWidth="1"/>
    <col min="788" max="788" width="6.09765625" style="1617" customWidth="1"/>
    <col min="789" max="1024" width="8.69921875" style="1617"/>
    <col min="1025" max="1025" width="5.19921875" style="1617" customWidth="1"/>
    <col min="1026" max="1026" width="11.8984375" style="1617" customWidth="1"/>
    <col min="1027" max="1027" width="5.19921875" style="1617" customWidth="1"/>
    <col min="1028" max="1028" width="5.8984375" style="1617" customWidth="1"/>
    <col min="1029" max="1029" width="6.19921875" style="1617" customWidth="1"/>
    <col min="1030" max="1031" width="5.19921875" style="1617" customWidth="1"/>
    <col min="1032" max="1032" width="6.09765625" style="1617" customWidth="1"/>
    <col min="1033" max="1036" width="5.19921875" style="1617" customWidth="1"/>
    <col min="1037" max="1037" width="8.09765625" style="1617" customWidth="1"/>
    <col min="1038" max="1040" width="6.09765625" style="1617" customWidth="1"/>
    <col min="1041" max="1042" width="5.19921875" style="1617" customWidth="1"/>
    <col min="1043" max="1043" width="6.59765625" style="1617" customWidth="1"/>
    <col min="1044" max="1044" width="6.09765625" style="1617" customWidth="1"/>
    <col min="1045" max="1280" width="8.69921875" style="1617"/>
    <col min="1281" max="1281" width="5.19921875" style="1617" customWidth="1"/>
    <col min="1282" max="1282" width="11.8984375" style="1617" customWidth="1"/>
    <col min="1283" max="1283" width="5.19921875" style="1617" customWidth="1"/>
    <col min="1284" max="1284" width="5.8984375" style="1617" customWidth="1"/>
    <col min="1285" max="1285" width="6.19921875" style="1617" customWidth="1"/>
    <col min="1286" max="1287" width="5.19921875" style="1617" customWidth="1"/>
    <col min="1288" max="1288" width="6.09765625" style="1617" customWidth="1"/>
    <col min="1289" max="1292" width="5.19921875" style="1617" customWidth="1"/>
    <col min="1293" max="1293" width="8.09765625" style="1617" customWidth="1"/>
    <col min="1294" max="1296" width="6.09765625" style="1617" customWidth="1"/>
    <col min="1297" max="1298" width="5.19921875" style="1617" customWidth="1"/>
    <col min="1299" max="1299" width="6.59765625" style="1617" customWidth="1"/>
    <col min="1300" max="1300" width="6.09765625" style="1617" customWidth="1"/>
    <col min="1301" max="1536" width="8.69921875" style="1617"/>
    <col min="1537" max="1537" width="5.19921875" style="1617" customWidth="1"/>
    <col min="1538" max="1538" width="11.8984375" style="1617" customWidth="1"/>
    <col min="1539" max="1539" width="5.19921875" style="1617" customWidth="1"/>
    <col min="1540" max="1540" width="5.8984375" style="1617" customWidth="1"/>
    <col min="1541" max="1541" width="6.19921875" style="1617" customWidth="1"/>
    <col min="1542" max="1543" width="5.19921875" style="1617" customWidth="1"/>
    <col min="1544" max="1544" width="6.09765625" style="1617" customWidth="1"/>
    <col min="1545" max="1548" width="5.19921875" style="1617" customWidth="1"/>
    <col min="1549" max="1549" width="8.09765625" style="1617" customWidth="1"/>
    <col min="1550" max="1552" width="6.09765625" style="1617" customWidth="1"/>
    <col min="1553" max="1554" width="5.19921875" style="1617" customWidth="1"/>
    <col min="1555" max="1555" width="6.59765625" style="1617" customWidth="1"/>
    <col min="1556" max="1556" width="6.09765625" style="1617" customWidth="1"/>
    <col min="1557" max="1792" width="8.69921875" style="1617"/>
    <col min="1793" max="1793" width="5.19921875" style="1617" customWidth="1"/>
    <col min="1794" max="1794" width="11.8984375" style="1617" customWidth="1"/>
    <col min="1795" max="1795" width="5.19921875" style="1617" customWidth="1"/>
    <col min="1796" max="1796" width="5.8984375" style="1617" customWidth="1"/>
    <col min="1797" max="1797" width="6.19921875" style="1617" customWidth="1"/>
    <col min="1798" max="1799" width="5.19921875" style="1617" customWidth="1"/>
    <col min="1800" max="1800" width="6.09765625" style="1617" customWidth="1"/>
    <col min="1801" max="1804" width="5.19921875" style="1617" customWidth="1"/>
    <col min="1805" max="1805" width="8.09765625" style="1617" customWidth="1"/>
    <col min="1806" max="1808" width="6.09765625" style="1617" customWidth="1"/>
    <col min="1809" max="1810" width="5.19921875" style="1617" customWidth="1"/>
    <col min="1811" max="1811" width="6.59765625" style="1617" customWidth="1"/>
    <col min="1812" max="1812" width="6.09765625" style="1617" customWidth="1"/>
    <col min="1813" max="2048" width="8.69921875" style="1617"/>
    <col min="2049" max="2049" width="5.19921875" style="1617" customWidth="1"/>
    <col min="2050" max="2050" width="11.8984375" style="1617" customWidth="1"/>
    <col min="2051" max="2051" width="5.19921875" style="1617" customWidth="1"/>
    <col min="2052" max="2052" width="5.8984375" style="1617" customWidth="1"/>
    <col min="2053" max="2053" width="6.19921875" style="1617" customWidth="1"/>
    <col min="2054" max="2055" width="5.19921875" style="1617" customWidth="1"/>
    <col min="2056" max="2056" width="6.09765625" style="1617" customWidth="1"/>
    <col min="2057" max="2060" width="5.19921875" style="1617" customWidth="1"/>
    <col min="2061" max="2061" width="8.09765625" style="1617" customWidth="1"/>
    <col min="2062" max="2064" width="6.09765625" style="1617" customWidth="1"/>
    <col min="2065" max="2066" width="5.19921875" style="1617" customWidth="1"/>
    <col min="2067" max="2067" width="6.59765625" style="1617" customWidth="1"/>
    <col min="2068" max="2068" width="6.09765625" style="1617" customWidth="1"/>
    <col min="2069" max="2304" width="8.69921875" style="1617"/>
    <col min="2305" max="2305" width="5.19921875" style="1617" customWidth="1"/>
    <col min="2306" max="2306" width="11.8984375" style="1617" customWidth="1"/>
    <col min="2307" max="2307" width="5.19921875" style="1617" customWidth="1"/>
    <col min="2308" max="2308" width="5.8984375" style="1617" customWidth="1"/>
    <col min="2309" max="2309" width="6.19921875" style="1617" customWidth="1"/>
    <col min="2310" max="2311" width="5.19921875" style="1617" customWidth="1"/>
    <col min="2312" max="2312" width="6.09765625" style="1617" customWidth="1"/>
    <col min="2313" max="2316" width="5.19921875" style="1617" customWidth="1"/>
    <col min="2317" max="2317" width="8.09765625" style="1617" customWidth="1"/>
    <col min="2318" max="2320" width="6.09765625" style="1617" customWidth="1"/>
    <col min="2321" max="2322" width="5.19921875" style="1617" customWidth="1"/>
    <col min="2323" max="2323" width="6.59765625" style="1617" customWidth="1"/>
    <col min="2324" max="2324" width="6.09765625" style="1617" customWidth="1"/>
    <col min="2325" max="2560" width="8.69921875" style="1617"/>
    <col min="2561" max="2561" width="5.19921875" style="1617" customWidth="1"/>
    <col min="2562" max="2562" width="11.8984375" style="1617" customWidth="1"/>
    <col min="2563" max="2563" width="5.19921875" style="1617" customWidth="1"/>
    <col min="2564" max="2564" width="5.8984375" style="1617" customWidth="1"/>
    <col min="2565" max="2565" width="6.19921875" style="1617" customWidth="1"/>
    <col min="2566" max="2567" width="5.19921875" style="1617" customWidth="1"/>
    <col min="2568" max="2568" width="6.09765625" style="1617" customWidth="1"/>
    <col min="2569" max="2572" width="5.19921875" style="1617" customWidth="1"/>
    <col min="2573" max="2573" width="8.09765625" style="1617" customWidth="1"/>
    <col min="2574" max="2576" width="6.09765625" style="1617" customWidth="1"/>
    <col min="2577" max="2578" width="5.19921875" style="1617" customWidth="1"/>
    <col min="2579" max="2579" width="6.59765625" style="1617" customWidth="1"/>
    <col min="2580" max="2580" width="6.09765625" style="1617" customWidth="1"/>
    <col min="2581" max="2816" width="8.69921875" style="1617"/>
    <col min="2817" max="2817" width="5.19921875" style="1617" customWidth="1"/>
    <col min="2818" max="2818" width="11.8984375" style="1617" customWidth="1"/>
    <col min="2819" max="2819" width="5.19921875" style="1617" customWidth="1"/>
    <col min="2820" max="2820" width="5.8984375" style="1617" customWidth="1"/>
    <col min="2821" max="2821" width="6.19921875" style="1617" customWidth="1"/>
    <col min="2822" max="2823" width="5.19921875" style="1617" customWidth="1"/>
    <col min="2824" max="2824" width="6.09765625" style="1617" customWidth="1"/>
    <col min="2825" max="2828" width="5.19921875" style="1617" customWidth="1"/>
    <col min="2829" max="2829" width="8.09765625" style="1617" customWidth="1"/>
    <col min="2830" max="2832" width="6.09765625" style="1617" customWidth="1"/>
    <col min="2833" max="2834" width="5.19921875" style="1617" customWidth="1"/>
    <col min="2835" max="2835" width="6.59765625" style="1617" customWidth="1"/>
    <col min="2836" max="2836" width="6.09765625" style="1617" customWidth="1"/>
    <col min="2837" max="3072" width="8.69921875" style="1617"/>
    <col min="3073" max="3073" width="5.19921875" style="1617" customWidth="1"/>
    <col min="3074" max="3074" width="11.8984375" style="1617" customWidth="1"/>
    <col min="3075" max="3075" width="5.19921875" style="1617" customWidth="1"/>
    <col min="3076" max="3076" width="5.8984375" style="1617" customWidth="1"/>
    <col min="3077" max="3077" width="6.19921875" style="1617" customWidth="1"/>
    <col min="3078" max="3079" width="5.19921875" style="1617" customWidth="1"/>
    <col min="3080" max="3080" width="6.09765625" style="1617" customWidth="1"/>
    <col min="3081" max="3084" width="5.19921875" style="1617" customWidth="1"/>
    <col min="3085" max="3085" width="8.09765625" style="1617" customWidth="1"/>
    <col min="3086" max="3088" width="6.09765625" style="1617" customWidth="1"/>
    <col min="3089" max="3090" width="5.19921875" style="1617" customWidth="1"/>
    <col min="3091" max="3091" width="6.59765625" style="1617" customWidth="1"/>
    <col min="3092" max="3092" width="6.09765625" style="1617" customWidth="1"/>
    <col min="3093" max="3328" width="8.69921875" style="1617"/>
    <col min="3329" max="3329" width="5.19921875" style="1617" customWidth="1"/>
    <col min="3330" max="3330" width="11.8984375" style="1617" customWidth="1"/>
    <col min="3331" max="3331" width="5.19921875" style="1617" customWidth="1"/>
    <col min="3332" max="3332" width="5.8984375" style="1617" customWidth="1"/>
    <col min="3333" max="3333" width="6.19921875" style="1617" customWidth="1"/>
    <col min="3334" max="3335" width="5.19921875" style="1617" customWidth="1"/>
    <col min="3336" max="3336" width="6.09765625" style="1617" customWidth="1"/>
    <col min="3337" max="3340" width="5.19921875" style="1617" customWidth="1"/>
    <col min="3341" max="3341" width="8.09765625" style="1617" customWidth="1"/>
    <col min="3342" max="3344" width="6.09765625" style="1617" customWidth="1"/>
    <col min="3345" max="3346" width="5.19921875" style="1617" customWidth="1"/>
    <col min="3347" max="3347" width="6.59765625" style="1617" customWidth="1"/>
    <col min="3348" max="3348" width="6.09765625" style="1617" customWidth="1"/>
    <col min="3349" max="3584" width="8.69921875" style="1617"/>
    <col min="3585" max="3585" width="5.19921875" style="1617" customWidth="1"/>
    <col min="3586" max="3586" width="11.8984375" style="1617" customWidth="1"/>
    <col min="3587" max="3587" width="5.19921875" style="1617" customWidth="1"/>
    <col min="3588" max="3588" width="5.8984375" style="1617" customWidth="1"/>
    <col min="3589" max="3589" width="6.19921875" style="1617" customWidth="1"/>
    <col min="3590" max="3591" width="5.19921875" style="1617" customWidth="1"/>
    <col min="3592" max="3592" width="6.09765625" style="1617" customWidth="1"/>
    <col min="3593" max="3596" width="5.19921875" style="1617" customWidth="1"/>
    <col min="3597" max="3597" width="8.09765625" style="1617" customWidth="1"/>
    <col min="3598" max="3600" width="6.09765625" style="1617" customWidth="1"/>
    <col min="3601" max="3602" width="5.19921875" style="1617" customWidth="1"/>
    <col min="3603" max="3603" width="6.59765625" style="1617" customWidth="1"/>
    <col min="3604" max="3604" width="6.09765625" style="1617" customWidth="1"/>
    <col min="3605" max="3840" width="8.69921875" style="1617"/>
    <col min="3841" max="3841" width="5.19921875" style="1617" customWidth="1"/>
    <col min="3842" max="3842" width="11.8984375" style="1617" customWidth="1"/>
    <col min="3843" max="3843" width="5.19921875" style="1617" customWidth="1"/>
    <col min="3844" max="3844" width="5.8984375" style="1617" customWidth="1"/>
    <col min="3845" max="3845" width="6.19921875" style="1617" customWidth="1"/>
    <col min="3846" max="3847" width="5.19921875" style="1617" customWidth="1"/>
    <col min="3848" max="3848" width="6.09765625" style="1617" customWidth="1"/>
    <col min="3849" max="3852" width="5.19921875" style="1617" customWidth="1"/>
    <col min="3853" max="3853" width="8.09765625" style="1617" customWidth="1"/>
    <col min="3854" max="3856" width="6.09765625" style="1617" customWidth="1"/>
    <col min="3857" max="3858" width="5.19921875" style="1617" customWidth="1"/>
    <col min="3859" max="3859" width="6.59765625" style="1617" customWidth="1"/>
    <col min="3860" max="3860" width="6.09765625" style="1617" customWidth="1"/>
    <col min="3861" max="4096" width="8.69921875" style="1617"/>
    <col min="4097" max="4097" width="5.19921875" style="1617" customWidth="1"/>
    <col min="4098" max="4098" width="11.8984375" style="1617" customWidth="1"/>
    <col min="4099" max="4099" width="5.19921875" style="1617" customWidth="1"/>
    <col min="4100" max="4100" width="5.8984375" style="1617" customWidth="1"/>
    <col min="4101" max="4101" width="6.19921875" style="1617" customWidth="1"/>
    <col min="4102" max="4103" width="5.19921875" style="1617" customWidth="1"/>
    <col min="4104" max="4104" width="6.09765625" style="1617" customWidth="1"/>
    <col min="4105" max="4108" width="5.19921875" style="1617" customWidth="1"/>
    <col min="4109" max="4109" width="8.09765625" style="1617" customWidth="1"/>
    <col min="4110" max="4112" width="6.09765625" style="1617" customWidth="1"/>
    <col min="4113" max="4114" width="5.19921875" style="1617" customWidth="1"/>
    <col min="4115" max="4115" width="6.59765625" style="1617" customWidth="1"/>
    <col min="4116" max="4116" width="6.09765625" style="1617" customWidth="1"/>
    <col min="4117" max="4352" width="8.69921875" style="1617"/>
    <col min="4353" max="4353" width="5.19921875" style="1617" customWidth="1"/>
    <col min="4354" max="4354" width="11.8984375" style="1617" customWidth="1"/>
    <col min="4355" max="4355" width="5.19921875" style="1617" customWidth="1"/>
    <col min="4356" max="4356" width="5.8984375" style="1617" customWidth="1"/>
    <col min="4357" max="4357" width="6.19921875" style="1617" customWidth="1"/>
    <col min="4358" max="4359" width="5.19921875" style="1617" customWidth="1"/>
    <col min="4360" max="4360" width="6.09765625" style="1617" customWidth="1"/>
    <col min="4361" max="4364" width="5.19921875" style="1617" customWidth="1"/>
    <col min="4365" max="4365" width="8.09765625" style="1617" customWidth="1"/>
    <col min="4366" max="4368" width="6.09765625" style="1617" customWidth="1"/>
    <col min="4369" max="4370" width="5.19921875" style="1617" customWidth="1"/>
    <col min="4371" max="4371" width="6.59765625" style="1617" customWidth="1"/>
    <col min="4372" max="4372" width="6.09765625" style="1617" customWidth="1"/>
    <col min="4373" max="4608" width="8.69921875" style="1617"/>
    <col min="4609" max="4609" width="5.19921875" style="1617" customWidth="1"/>
    <col min="4610" max="4610" width="11.8984375" style="1617" customWidth="1"/>
    <col min="4611" max="4611" width="5.19921875" style="1617" customWidth="1"/>
    <col min="4612" max="4612" width="5.8984375" style="1617" customWidth="1"/>
    <col min="4613" max="4613" width="6.19921875" style="1617" customWidth="1"/>
    <col min="4614" max="4615" width="5.19921875" style="1617" customWidth="1"/>
    <col min="4616" max="4616" width="6.09765625" style="1617" customWidth="1"/>
    <col min="4617" max="4620" width="5.19921875" style="1617" customWidth="1"/>
    <col min="4621" max="4621" width="8.09765625" style="1617" customWidth="1"/>
    <col min="4622" max="4624" width="6.09765625" style="1617" customWidth="1"/>
    <col min="4625" max="4626" width="5.19921875" style="1617" customWidth="1"/>
    <col min="4627" max="4627" width="6.59765625" style="1617" customWidth="1"/>
    <col min="4628" max="4628" width="6.09765625" style="1617" customWidth="1"/>
    <col min="4629" max="4864" width="8.69921875" style="1617"/>
    <col min="4865" max="4865" width="5.19921875" style="1617" customWidth="1"/>
    <col min="4866" max="4866" width="11.8984375" style="1617" customWidth="1"/>
    <col min="4867" max="4867" width="5.19921875" style="1617" customWidth="1"/>
    <col min="4868" max="4868" width="5.8984375" style="1617" customWidth="1"/>
    <col min="4869" max="4869" width="6.19921875" style="1617" customWidth="1"/>
    <col min="4870" max="4871" width="5.19921875" style="1617" customWidth="1"/>
    <col min="4872" max="4872" width="6.09765625" style="1617" customWidth="1"/>
    <col min="4873" max="4876" width="5.19921875" style="1617" customWidth="1"/>
    <col min="4877" max="4877" width="8.09765625" style="1617" customWidth="1"/>
    <col min="4878" max="4880" width="6.09765625" style="1617" customWidth="1"/>
    <col min="4881" max="4882" width="5.19921875" style="1617" customWidth="1"/>
    <col min="4883" max="4883" width="6.59765625" style="1617" customWidth="1"/>
    <col min="4884" max="4884" width="6.09765625" style="1617" customWidth="1"/>
    <col min="4885" max="5120" width="8.69921875" style="1617"/>
    <col min="5121" max="5121" width="5.19921875" style="1617" customWidth="1"/>
    <col min="5122" max="5122" width="11.8984375" style="1617" customWidth="1"/>
    <col min="5123" max="5123" width="5.19921875" style="1617" customWidth="1"/>
    <col min="5124" max="5124" width="5.8984375" style="1617" customWidth="1"/>
    <col min="5125" max="5125" width="6.19921875" style="1617" customWidth="1"/>
    <col min="5126" max="5127" width="5.19921875" style="1617" customWidth="1"/>
    <col min="5128" max="5128" width="6.09765625" style="1617" customWidth="1"/>
    <col min="5129" max="5132" width="5.19921875" style="1617" customWidth="1"/>
    <col min="5133" max="5133" width="8.09765625" style="1617" customWidth="1"/>
    <col min="5134" max="5136" width="6.09765625" style="1617" customWidth="1"/>
    <col min="5137" max="5138" width="5.19921875" style="1617" customWidth="1"/>
    <col min="5139" max="5139" width="6.59765625" style="1617" customWidth="1"/>
    <col min="5140" max="5140" width="6.09765625" style="1617" customWidth="1"/>
    <col min="5141" max="5376" width="8.69921875" style="1617"/>
    <col min="5377" max="5377" width="5.19921875" style="1617" customWidth="1"/>
    <col min="5378" max="5378" width="11.8984375" style="1617" customWidth="1"/>
    <col min="5379" max="5379" width="5.19921875" style="1617" customWidth="1"/>
    <col min="5380" max="5380" width="5.8984375" style="1617" customWidth="1"/>
    <col min="5381" max="5381" width="6.19921875" style="1617" customWidth="1"/>
    <col min="5382" max="5383" width="5.19921875" style="1617" customWidth="1"/>
    <col min="5384" max="5384" width="6.09765625" style="1617" customWidth="1"/>
    <col min="5385" max="5388" width="5.19921875" style="1617" customWidth="1"/>
    <col min="5389" max="5389" width="8.09765625" style="1617" customWidth="1"/>
    <col min="5390" max="5392" width="6.09765625" style="1617" customWidth="1"/>
    <col min="5393" max="5394" width="5.19921875" style="1617" customWidth="1"/>
    <col min="5395" max="5395" width="6.59765625" style="1617" customWidth="1"/>
    <col min="5396" max="5396" width="6.09765625" style="1617" customWidth="1"/>
    <col min="5397" max="5632" width="8.69921875" style="1617"/>
    <col min="5633" max="5633" width="5.19921875" style="1617" customWidth="1"/>
    <col min="5634" max="5634" width="11.8984375" style="1617" customWidth="1"/>
    <col min="5635" max="5635" width="5.19921875" style="1617" customWidth="1"/>
    <col min="5636" max="5636" width="5.8984375" style="1617" customWidth="1"/>
    <col min="5637" max="5637" width="6.19921875" style="1617" customWidth="1"/>
    <col min="5638" max="5639" width="5.19921875" style="1617" customWidth="1"/>
    <col min="5640" max="5640" width="6.09765625" style="1617" customWidth="1"/>
    <col min="5641" max="5644" width="5.19921875" style="1617" customWidth="1"/>
    <col min="5645" max="5645" width="8.09765625" style="1617" customWidth="1"/>
    <col min="5646" max="5648" width="6.09765625" style="1617" customWidth="1"/>
    <col min="5649" max="5650" width="5.19921875" style="1617" customWidth="1"/>
    <col min="5651" max="5651" width="6.59765625" style="1617" customWidth="1"/>
    <col min="5652" max="5652" width="6.09765625" style="1617" customWidth="1"/>
    <col min="5653" max="5888" width="8.69921875" style="1617"/>
    <col min="5889" max="5889" width="5.19921875" style="1617" customWidth="1"/>
    <col min="5890" max="5890" width="11.8984375" style="1617" customWidth="1"/>
    <col min="5891" max="5891" width="5.19921875" style="1617" customWidth="1"/>
    <col min="5892" max="5892" width="5.8984375" style="1617" customWidth="1"/>
    <col min="5893" max="5893" width="6.19921875" style="1617" customWidth="1"/>
    <col min="5894" max="5895" width="5.19921875" style="1617" customWidth="1"/>
    <col min="5896" max="5896" width="6.09765625" style="1617" customWidth="1"/>
    <col min="5897" max="5900" width="5.19921875" style="1617" customWidth="1"/>
    <col min="5901" max="5901" width="8.09765625" style="1617" customWidth="1"/>
    <col min="5902" max="5904" width="6.09765625" style="1617" customWidth="1"/>
    <col min="5905" max="5906" width="5.19921875" style="1617" customWidth="1"/>
    <col min="5907" max="5907" width="6.59765625" style="1617" customWidth="1"/>
    <col min="5908" max="5908" width="6.09765625" style="1617" customWidth="1"/>
    <col min="5909" max="6144" width="8.69921875" style="1617"/>
    <col min="6145" max="6145" width="5.19921875" style="1617" customWidth="1"/>
    <col min="6146" max="6146" width="11.8984375" style="1617" customWidth="1"/>
    <col min="6147" max="6147" width="5.19921875" style="1617" customWidth="1"/>
    <col min="6148" max="6148" width="5.8984375" style="1617" customWidth="1"/>
    <col min="6149" max="6149" width="6.19921875" style="1617" customWidth="1"/>
    <col min="6150" max="6151" width="5.19921875" style="1617" customWidth="1"/>
    <col min="6152" max="6152" width="6.09765625" style="1617" customWidth="1"/>
    <col min="6153" max="6156" width="5.19921875" style="1617" customWidth="1"/>
    <col min="6157" max="6157" width="8.09765625" style="1617" customWidth="1"/>
    <col min="6158" max="6160" width="6.09765625" style="1617" customWidth="1"/>
    <col min="6161" max="6162" width="5.19921875" style="1617" customWidth="1"/>
    <col min="6163" max="6163" width="6.59765625" style="1617" customWidth="1"/>
    <col min="6164" max="6164" width="6.09765625" style="1617" customWidth="1"/>
    <col min="6165" max="6400" width="8.69921875" style="1617"/>
    <col min="6401" max="6401" width="5.19921875" style="1617" customWidth="1"/>
    <col min="6402" max="6402" width="11.8984375" style="1617" customWidth="1"/>
    <col min="6403" max="6403" width="5.19921875" style="1617" customWidth="1"/>
    <col min="6404" max="6404" width="5.8984375" style="1617" customWidth="1"/>
    <col min="6405" max="6405" width="6.19921875" style="1617" customWidth="1"/>
    <col min="6406" max="6407" width="5.19921875" style="1617" customWidth="1"/>
    <col min="6408" max="6408" width="6.09765625" style="1617" customWidth="1"/>
    <col min="6409" max="6412" width="5.19921875" style="1617" customWidth="1"/>
    <col min="6413" max="6413" width="8.09765625" style="1617" customWidth="1"/>
    <col min="6414" max="6416" width="6.09765625" style="1617" customWidth="1"/>
    <col min="6417" max="6418" width="5.19921875" style="1617" customWidth="1"/>
    <col min="6419" max="6419" width="6.59765625" style="1617" customWidth="1"/>
    <col min="6420" max="6420" width="6.09765625" style="1617" customWidth="1"/>
    <col min="6421" max="6656" width="8.69921875" style="1617"/>
    <col min="6657" max="6657" width="5.19921875" style="1617" customWidth="1"/>
    <col min="6658" max="6658" width="11.8984375" style="1617" customWidth="1"/>
    <col min="6659" max="6659" width="5.19921875" style="1617" customWidth="1"/>
    <col min="6660" max="6660" width="5.8984375" style="1617" customWidth="1"/>
    <col min="6661" max="6661" width="6.19921875" style="1617" customWidth="1"/>
    <col min="6662" max="6663" width="5.19921875" style="1617" customWidth="1"/>
    <col min="6664" max="6664" width="6.09765625" style="1617" customWidth="1"/>
    <col min="6665" max="6668" width="5.19921875" style="1617" customWidth="1"/>
    <col min="6669" max="6669" width="8.09765625" style="1617" customWidth="1"/>
    <col min="6670" max="6672" width="6.09765625" style="1617" customWidth="1"/>
    <col min="6673" max="6674" width="5.19921875" style="1617" customWidth="1"/>
    <col min="6675" max="6675" width="6.59765625" style="1617" customWidth="1"/>
    <col min="6676" max="6676" width="6.09765625" style="1617" customWidth="1"/>
    <col min="6677" max="6912" width="8.69921875" style="1617"/>
    <col min="6913" max="6913" width="5.19921875" style="1617" customWidth="1"/>
    <col min="6914" max="6914" width="11.8984375" style="1617" customWidth="1"/>
    <col min="6915" max="6915" width="5.19921875" style="1617" customWidth="1"/>
    <col min="6916" max="6916" width="5.8984375" style="1617" customWidth="1"/>
    <col min="6917" max="6917" width="6.19921875" style="1617" customWidth="1"/>
    <col min="6918" max="6919" width="5.19921875" style="1617" customWidth="1"/>
    <col min="6920" max="6920" width="6.09765625" style="1617" customWidth="1"/>
    <col min="6921" max="6924" width="5.19921875" style="1617" customWidth="1"/>
    <col min="6925" max="6925" width="8.09765625" style="1617" customWidth="1"/>
    <col min="6926" max="6928" width="6.09765625" style="1617" customWidth="1"/>
    <col min="6929" max="6930" width="5.19921875" style="1617" customWidth="1"/>
    <col min="6931" max="6931" width="6.59765625" style="1617" customWidth="1"/>
    <col min="6932" max="6932" width="6.09765625" style="1617" customWidth="1"/>
    <col min="6933" max="7168" width="8.69921875" style="1617"/>
    <col min="7169" max="7169" width="5.19921875" style="1617" customWidth="1"/>
    <col min="7170" max="7170" width="11.8984375" style="1617" customWidth="1"/>
    <col min="7171" max="7171" width="5.19921875" style="1617" customWidth="1"/>
    <col min="7172" max="7172" width="5.8984375" style="1617" customWidth="1"/>
    <col min="7173" max="7173" width="6.19921875" style="1617" customWidth="1"/>
    <col min="7174" max="7175" width="5.19921875" style="1617" customWidth="1"/>
    <col min="7176" max="7176" width="6.09765625" style="1617" customWidth="1"/>
    <col min="7177" max="7180" width="5.19921875" style="1617" customWidth="1"/>
    <col min="7181" max="7181" width="8.09765625" style="1617" customWidth="1"/>
    <col min="7182" max="7184" width="6.09765625" style="1617" customWidth="1"/>
    <col min="7185" max="7186" width="5.19921875" style="1617" customWidth="1"/>
    <col min="7187" max="7187" width="6.59765625" style="1617" customWidth="1"/>
    <col min="7188" max="7188" width="6.09765625" style="1617" customWidth="1"/>
    <col min="7189" max="7424" width="8.69921875" style="1617"/>
    <col min="7425" max="7425" width="5.19921875" style="1617" customWidth="1"/>
    <col min="7426" max="7426" width="11.8984375" style="1617" customWidth="1"/>
    <col min="7427" max="7427" width="5.19921875" style="1617" customWidth="1"/>
    <col min="7428" max="7428" width="5.8984375" style="1617" customWidth="1"/>
    <col min="7429" max="7429" width="6.19921875" style="1617" customWidth="1"/>
    <col min="7430" max="7431" width="5.19921875" style="1617" customWidth="1"/>
    <col min="7432" max="7432" width="6.09765625" style="1617" customWidth="1"/>
    <col min="7433" max="7436" width="5.19921875" style="1617" customWidth="1"/>
    <col min="7437" max="7437" width="8.09765625" style="1617" customWidth="1"/>
    <col min="7438" max="7440" width="6.09765625" style="1617" customWidth="1"/>
    <col min="7441" max="7442" width="5.19921875" style="1617" customWidth="1"/>
    <col min="7443" max="7443" width="6.59765625" style="1617" customWidth="1"/>
    <col min="7444" max="7444" width="6.09765625" style="1617" customWidth="1"/>
    <col min="7445" max="7680" width="8.69921875" style="1617"/>
    <col min="7681" max="7681" width="5.19921875" style="1617" customWidth="1"/>
    <col min="7682" max="7682" width="11.8984375" style="1617" customWidth="1"/>
    <col min="7683" max="7683" width="5.19921875" style="1617" customWidth="1"/>
    <col min="7684" max="7684" width="5.8984375" style="1617" customWidth="1"/>
    <col min="7685" max="7685" width="6.19921875" style="1617" customWidth="1"/>
    <col min="7686" max="7687" width="5.19921875" style="1617" customWidth="1"/>
    <col min="7688" max="7688" width="6.09765625" style="1617" customWidth="1"/>
    <col min="7689" max="7692" width="5.19921875" style="1617" customWidth="1"/>
    <col min="7693" max="7693" width="8.09765625" style="1617" customWidth="1"/>
    <col min="7694" max="7696" width="6.09765625" style="1617" customWidth="1"/>
    <col min="7697" max="7698" width="5.19921875" style="1617" customWidth="1"/>
    <col min="7699" max="7699" width="6.59765625" style="1617" customWidth="1"/>
    <col min="7700" max="7700" width="6.09765625" style="1617" customWidth="1"/>
    <col min="7701" max="7936" width="8.69921875" style="1617"/>
    <col min="7937" max="7937" width="5.19921875" style="1617" customWidth="1"/>
    <col min="7938" max="7938" width="11.8984375" style="1617" customWidth="1"/>
    <col min="7939" max="7939" width="5.19921875" style="1617" customWidth="1"/>
    <col min="7940" max="7940" width="5.8984375" style="1617" customWidth="1"/>
    <col min="7941" max="7941" width="6.19921875" style="1617" customWidth="1"/>
    <col min="7942" max="7943" width="5.19921875" style="1617" customWidth="1"/>
    <col min="7944" max="7944" width="6.09765625" style="1617" customWidth="1"/>
    <col min="7945" max="7948" width="5.19921875" style="1617" customWidth="1"/>
    <col min="7949" max="7949" width="8.09765625" style="1617" customWidth="1"/>
    <col min="7950" max="7952" width="6.09765625" style="1617" customWidth="1"/>
    <col min="7953" max="7954" width="5.19921875" style="1617" customWidth="1"/>
    <col min="7955" max="7955" width="6.59765625" style="1617" customWidth="1"/>
    <col min="7956" max="7956" width="6.09765625" style="1617" customWidth="1"/>
    <col min="7957" max="8192" width="8.69921875" style="1617"/>
    <col min="8193" max="8193" width="5.19921875" style="1617" customWidth="1"/>
    <col min="8194" max="8194" width="11.8984375" style="1617" customWidth="1"/>
    <col min="8195" max="8195" width="5.19921875" style="1617" customWidth="1"/>
    <col min="8196" max="8196" width="5.8984375" style="1617" customWidth="1"/>
    <col min="8197" max="8197" width="6.19921875" style="1617" customWidth="1"/>
    <col min="8198" max="8199" width="5.19921875" style="1617" customWidth="1"/>
    <col min="8200" max="8200" width="6.09765625" style="1617" customWidth="1"/>
    <col min="8201" max="8204" width="5.19921875" style="1617" customWidth="1"/>
    <col min="8205" max="8205" width="8.09765625" style="1617" customWidth="1"/>
    <col min="8206" max="8208" width="6.09765625" style="1617" customWidth="1"/>
    <col min="8209" max="8210" width="5.19921875" style="1617" customWidth="1"/>
    <col min="8211" max="8211" width="6.59765625" style="1617" customWidth="1"/>
    <col min="8212" max="8212" width="6.09765625" style="1617" customWidth="1"/>
    <col min="8213" max="8448" width="8.69921875" style="1617"/>
    <col min="8449" max="8449" width="5.19921875" style="1617" customWidth="1"/>
    <col min="8450" max="8450" width="11.8984375" style="1617" customWidth="1"/>
    <col min="8451" max="8451" width="5.19921875" style="1617" customWidth="1"/>
    <col min="8452" max="8452" width="5.8984375" style="1617" customWidth="1"/>
    <col min="8453" max="8453" width="6.19921875" style="1617" customWidth="1"/>
    <col min="8454" max="8455" width="5.19921875" style="1617" customWidth="1"/>
    <col min="8456" max="8456" width="6.09765625" style="1617" customWidth="1"/>
    <col min="8457" max="8460" width="5.19921875" style="1617" customWidth="1"/>
    <col min="8461" max="8461" width="8.09765625" style="1617" customWidth="1"/>
    <col min="8462" max="8464" width="6.09765625" style="1617" customWidth="1"/>
    <col min="8465" max="8466" width="5.19921875" style="1617" customWidth="1"/>
    <col min="8467" max="8467" width="6.59765625" style="1617" customWidth="1"/>
    <col min="8468" max="8468" width="6.09765625" style="1617" customWidth="1"/>
    <col min="8469" max="8704" width="8.69921875" style="1617"/>
    <col min="8705" max="8705" width="5.19921875" style="1617" customWidth="1"/>
    <col min="8706" max="8706" width="11.8984375" style="1617" customWidth="1"/>
    <col min="8707" max="8707" width="5.19921875" style="1617" customWidth="1"/>
    <col min="8708" max="8708" width="5.8984375" style="1617" customWidth="1"/>
    <col min="8709" max="8709" width="6.19921875" style="1617" customWidth="1"/>
    <col min="8710" max="8711" width="5.19921875" style="1617" customWidth="1"/>
    <col min="8712" max="8712" width="6.09765625" style="1617" customWidth="1"/>
    <col min="8713" max="8716" width="5.19921875" style="1617" customWidth="1"/>
    <col min="8717" max="8717" width="8.09765625" style="1617" customWidth="1"/>
    <col min="8718" max="8720" width="6.09765625" style="1617" customWidth="1"/>
    <col min="8721" max="8722" width="5.19921875" style="1617" customWidth="1"/>
    <col min="8723" max="8723" width="6.59765625" style="1617" customWidth="1"/>
    <col min="8724" max="8724" width="6.09765625" style="1617" customWidth="1"/>
    <col min="8725" max="8960" width="8.69921875" style="1617"/>
    <col min="8961" max="8961" width="5.19921875" style="1617" customWidth="1"/>
    <col min="8962" max="8962" width="11.8984375" style="1617" customWidth="1"/>
    <col min="8963" max="8963" width="5.19921875" style="1617" customWidth="1"/>
    <col min="8964" max="8964" width="5.8984375" style="1617" customWidth="1"/>
    <col min="8965" max="8965" width="6.19921875" style="1617" customWidth="1"/>
    <col min="8966" max="8967" width="5.19921875" style="1617" customWidth="1"/>
    <col min="8968" max="8968" width="6.09765625" style="1617" customWidth="1"/>
    <col min="8969" max="8972" width="5.19921875" style="1617" customWidth="1"/>
    <col min="8973" max="8973" width="8.09765625" style="1617" customWidth="1"/>
    <col min="8974" max="8976" width="6.09765625" style="1617" customWidth="1"/>
    <col min="8977" max="8978" width="5.19921875" style="1617" customWidth="1"/>
    <col min="8979" max="8979" width="6.59765625" style="1617" customWidth="1"/>
    <col min="8980" max="8980" width="6.09765625" style="1617" customWidth="1"/>
    <col min="8981" max="9216" width="8.69921875" style="1617"/>
    <col min="9217" max="9217" width="5.19921875" style="1617" customWidth="1"/>
    <col min="9218" max="9218" width="11.8984375" style="1617" customWidth="1"/>
    <col min="9219" max="9219" width="5.19921875" style="1617" customWidth="1"/>
    <col min="9220" max="9220" width="5.8984375" style="1617" customWidth="1"/>
    <col min="9221" max="9221" width="6.19921875" style="1617" customWidth="1"/>
    <col min="9222" max="9223" width="5.19921875" style="1617" customWidth="1"/>
    <col min="9224" max="9224" width="6.09765625" style="1617" customWidth="1"/>
    <col min="9225" max="9228" width="5.19921875" style="1617" customWidth="1"/>
    <col min="9229" max="9229" width="8.09765625" style="1617" customWidth="1"/>
    <col min="9230" max="9232" width="6.09765625" style="1617" customWidth="1"/>
    <col min="9233" max="9234" width="5.19921875" style="1617" customWidth="1"/>
    <col min="9235" max="9235" width="6.59765625" style="1617" customWidth="1"/>
    <col min="9236" max="9236" width="6.09765625" style="1617" customWidth="1"/>
    <col min="9237" max="9472" width="8.69921875" style="1617"/>
    <col min="9473" max="9473" width="5.19921875" style="1617" customWidth="1"/>
    <col min="9474" max="9474" width="11.8984375" style="1617" customWidth="1"/>
    <col min="9475" max="9475" width="5.19921875" style="1617" customWidth="1"/>
    <col min="9476" max="9476" width="5.8984375" style="1617" customWidth="1"/>
    <col min="9477" max="9477" width="6.19921875" style="1617" customWidth="1"/>
    <col min="9478" max="9479" width="5.19921875" style="1617" customWidth="1"/>
    <col min="9480" max="9480" width="6.09765625" style="1617" customWidth="1"/>
    <col min="9481" max="9484" width="5.19921875" style="1617" customWidth="1"/>
    <col min="9485" max="9485" width="8.09765625" style="1617" customWidth="1"/>
    <col min="9486" max="9488" width="6.09765625" style="1617" customWidth="1"/>
    <col min="9489" max="9490" width="5.19921875" style="1617" customWidth="1"/>
    <col min="9491" max="9491" width="6.59765625" style="1617" customWidth="1"/>
    <col min="9492" max="9492" width="6.09765625" style="1617" customWidth="1"/>
    <col min="9493" max="9728" width="8.69921875" style="1617"/>
    <col min="9729" max="9729" width="5.19921875" style="1617" customWidth="1"/>
    <col min="9730" max="9730" width="11.8984375" style="1617" customWidth="1"/>
    <col min="9731" max="9731" width="5.19921875" style="1617" customWidth="1"/>
    <col min="9732" max="9732" width="5.8984375" style="1617" customWidth="1"/>
    <col min="9733" max="9733" width="6.19921875" style="1617" customWidth="1"/>
    <col min="9734" max="9735" width="5.19921875" style="1617" customWidth="1"/>
    <col min="9736" max="9736" width="6.09765625" style="1617" customWidth="1"/>
    <col min="9737" max="9740" width="5.19921875" style="1617" customWidth="1"/>
    <col min="9741" max="9741" width="8.09765625" style="1617" customWidth="1"/>
    <col min="9742" max="9744" width="6.09765625" style="1617" customWidth="1"/>
    <col min="9745" max="9746" width="5.19921875" style="1617" customWidth="1"/>
    <col min="9747" max="9747" width="6.59765625" style="1617" customWidth="1"/>
    <col min="9748" max="9748" width="6.09765625" style="1617" customWidth="1"/>
    <col min="9749" max="9984" width="8.69921875" style="1617"/>
    <col min="9985" max="9985" width="5.19921875" style="1617" customWidth="1"/>
    <col min="9986" max="9986" width="11.8984375" style="1617" customWidth="1"/>
    <col min="9987" max="9987" width="5.19921875" style="1617" customWidth="1"/>
    <col min="9988" max="9988" width="5.8984375" style="1617" customWidth="1"/>
    <col min="9989" max="9989" width="6.19921875" style="1617" customWidth="1"/>
    <col min="9990" max="9991" width="5.19921875" style="1617" customWidth="1"/>
    <col min="9992" max="9992" width="6.09765625" style="1617" customWidth="1"/>
    <col min="9993" max="9996" width="5.19921875" style="1617" customWidth="1"/>
    <col min="9997" max="9997" width="8.09765625" style="1617" customWidth="1"/>
    <col min="9998" max="10000" width="6.09765625" style="1617" customWidth="1"/>
    <col min="10001" max="10002" width="5.19921875" style="1617" customWidth="1"/>
    <col min="10003" max="10003" width="6.59765625" style="1617" customWidth="1"/>
    <col min="10004" max="10004" width="6.09765625" style="1617" customWidth="1"/>
    <col min="10005" max="10240" width="8.69921875" style="1617"/>
    <col min="10241" max="10241" width="5.19921875" style="1617" customWidth="1"/>
    <col min="10242" max="10242" width="11.8984375" style="1617" customWidth="1"/>
    <col min="10243" max="10243" width="5.19921875" style="1617" customWidth="1"/>
    <col min="10244" max="10244" width="5.8984375" style="1617" customWidth="1"/>
    <col min="10245" max="10245" width="6.19921875" style="1617" customWidth="1"/>
    <col min="10246" max="10247" width="5.19921875" style="1617" customWidth="1"/>
    <col min="10248" max="10248" width="6.09765625" style="1617" customWidth="1"/>
    <col min="10249" max="10252" width="5.19921875" style="1617" customWidth="1"/>
    <col min="10253" max="10253" width="8.09765625" style="1617" customWidth="1"/>
    <col min="10254" max="10256" width="6.09765625" style="1617" customWidth="1"/>
    <col min="10257" max="10258" width="5.19921875" style="1617" customWidth="1"/>
    <col min="10259" max="10259" width="6.59765625" style="1617" customWidth="1"/>
    <col min="10260" max="10260" width="6.09765625" style="1617" customWidth="1"/>
    <col min="10261" max="10496" width="8.69921875" style="1617"/>
    <col min="10497" max="10497" width="5.19921875" style="1617" customWidth="1"/>
    <col min="10498" max="10498" width="11.8984375" style="1617" customWidth="1"/>
    <col min="10499" max="10499" width="5.19921875" style="1617" customWidth="1"/>
    <col min="10500" max="10500" width="5.8984375" style="1617" customWidth="1"/>
    <col min="10501" max="10501" width="6.19921875" style="1617" customWidth="1"/>
    <col min="10502" max="10503" width="5.19921875" style="1617" customWidth="1"/>
    <col min="10504" max="10504" width="6.09765625" style="1617" customWidth="1"/>
    <col min="10505" max="10508" width="5.19921875" style="1617" customWidth="1"/>
    <col min="10509" max="10509" width="8.09765625" style="1617" customWidth="1"/>
    <col min="10510" max="10512" width="6.09765625" style="1617" customWidth="1"/>
    <col min="10513" max="10514" width="5.19921875" style="1617" customWidth="1"/>
    <col min="10515" max="10515" width="6.59765625" style="1617" customWidth="1"/>
    <col min="10516" max="10516" width="6.09765625" style="1617" customWidth="1"/>
    <col min="10517" max="10752" width="8.69921875" style="1617"/>
    <col min="10753" max="10753" width="5.19921875" style="1617" customWidth="1"/>
    <col min="10754" max="10754" width="11.8984375" style="1617" customWidth="1"/>
    <col min="10755" max="10755" width="5.19921875" style="1617" customWidth="1"/>
    <col min="10756" max="10756" width="5.8984375" style="1617" customWidth="1"/>
    <col min="10757" max="10757" width="6.19921875" style="1617" customWidth="1"/>
    <col min="10758" max="10759" width="5.19921875" style="1617" customWidth="1"/>
    <col min="10760" max="10760" width="6.09765625" style="1617" customWidth="1"/>
    <col min="10761" max="10764" width="5.19921875" style="1617" customWidth="1"/>
    <col min="10765" max="10765" width="8.09765625" style="1617" customWidth="1"/>
    <col min="10766" max="10768" width="6.09765625" style="1617" customWidth="1"/>
    <col min="10769" max="10770" width="5.19921875" style="1617" customWidth="1"/>
    <col min="10771" max="10771" width="6.59765625" style="1617" customWidth="1"/>
    <col min="10772" max="10772" width="6.09765625" style="1617" customWidth="1"/>
    <col min="10773" max="11008" width="8.69921875" style="1617"/>
    <col min="11009" max="11009" width="5.19921875" style="1617" customWidth="1"/>
    <col min="11010" max="11010" width="11.8984375" style="1617" customWidth="1"/>
    <col min="11011" max="11011" width="5.19921875" style="1617" customWidth="1"/>
    <col min="11012" max="11012" width="5.8984375" style="1617" customWidth="1"/>
    <col min="11013" max="11013" width="6.19921875" style="1617" customWidth="1"/>
    <col min="11014" max="11015" width="5.19921875" style="1617" customWidth="1"/>
    <col min="11016" max="11016" width="6.09765625" style="1617" customWidth="1"/>
    <col min="11017" max="11020" width="5.19921875" style="1617" customWidth="1"/>
    <col min="11021" max="11021" width="8.09765625" style="1617" customWidth="1"/>
    <col min="11022" max="11024" width="6.09765625" style="1617" customWidth="1"/>
    <col min="11025" max="11026" width="5.19921875" style="1617" customWidth="1"/>
    <col min="11027" max="11027" width="6.59765625" style="1617" customWidth="1"/>
    <col min="11028" max="11028" width="6.09765625" style="1617" customWidth="1"/>
    <col min="11029" max="11264" width="8.69921875" style="1617"/>
    <col min="11265" max="11265" width="5.19921875" style="1617" customWidth="1"/>
    <col min="11266" max="11266" width="11.8984375" style="1617" customWidth="1"/>
    <col min="11267" max="11267" width="5.19921875" style="1617" customWidth="1"/>
    <col min="11268" max="11268" width="5.8984375" style="1617" customWidth="1"/>
    <col min="11269" max="11269" width="6.19921875" style="1617" customWidth="1"/>
    <col min="11270" max="11271" width="5.19921875" style="1617" customWidth="1"/>
    <col min="11272" max="11272" width="6.09765625" style="1617" customWidth="1"/>
    <col min="11273" max="11276" width="5.19921875" style="1617" customWidth="1"/>
    <col min="11277" max="11277" width="8.09765625" style="1617" customWidth="1"/>
    <col min="11278" max="11280" width="6.09765625" style="1617" customWidth="1"/>
    <col min="11281" max="11282" width="5.19921875" style="1617" customWidth="1"/>
    <col min="11283" max="11283" width="6.59765625" style="1617" customWidth="1"/>
    <col min="11284" max="11284" width="6.09765625" style="1617" customWidth="1"/>
    <col min="11285" max="11520" width="8.69921875" style="1617"/>
    <col min="11521" max="11521" width="5.19921875" style="1617" customWidth="1"/>
    <col min="11522" max="11522" width="11.8984375" style="1617" customWidth="1"/>
    <col min="11523" max="11523" width="5.19921875" style="1617" customWidth="1"/>
    <col min="11524" max="11524" width="5.8984375" style="1617" customWidth="1"/>
    <col min="11525" max="11525" width="6.19921875" style="1617" customWidth="1"/>
    <col min="11526" max="11527" width="5.19921875" style="1617" customWidth="1"/>
    <col min="11528" max="11528" width="6.09765625" style="1617" customWidth="1"/>
    <col min="11529" max="11532" width="5.19921875" style="1617" customWidth="1"/>
    <col min="11533" max="11533" width="8.09765625" style="1617" customWidth="1"/>
    <col min="11534" max="11536" width="6.09765625" style="1617" customWidth="1"/>
    <col min="11537" max="11538" width="5.19921875" style="1617" customWidth="1"/>
    <col min="11539" max="11539" width="6.59765625" style="1617" customWidth="1"/>
    <col min="11540" max="11540" width="6.09765625" style="1617" customWidth="1"/>
    <col min="11541" max="11776" width="8.69921875" style="1617"/>
    <col min="11777" max="11777" width="5.19921875" style="1617" customWidth="1"/>
    <col min="11778" max="11778" width="11.8984375" style="1617" customWidth="1"/>
    <col min="11779" max="11779" width="5.19921875" style="1617" customWidth="1"/>
    <col min="11780" max="11780" width="5.8984375" style="1617" customWidth="1"/>
    <col min="11781" max="11781" width="6.19921875" style="1617" customWidth="1"/>
    <col min="11782" max="11783" width="5.19921875" style="1617" customWidth="1"/>
    <col min="11784" max="11784" width="6.09765625" style="1617" customWidth="1"/>
    <col min="11785" max="11788" width="5.19921875" style="1617" customWidth="1"/>
    <col min="11789" max="11789" width="8.09765625" style="1617" customWidth="1"/>
    <col min="11790" max="11792" width="6.09765625" style="1617" customWidth="1"/>
    <col min="11793" max="11794" width="5.19921875" style="1617" customWidth="1"/>
    <col min="11795" max="11795" width="6.59765625" style="1617" customWidth="1"/>
    <col min="11796" max="11796" width="6.09765625" style="1617" customWidth="1"/>
    <col min="11797" max="12032" width="8.69921875" style="1617"/>
    <col min="12033" max="12033" width="5.19921875" style="1617" customWidth="1"/>
    <col min="12034" max="12034" width="11.8984375" style="1617" customWidth="1"/>
    <col min="12035" max="12035" width="5.19921875" style="1617" customWidth="1"/>
    <col min="12036" max="12036" width="5.8984375" style="1617" customWidth="1"/>
    <col min="12037" max="12037" width="6.19921875" style="1617" customWidth="1"/>
    <col min="12038" max="12039" width="5.19921875" style="1617" customWidth="1"/>
    <col min="12040" max="12040" width="6.09765625" style="1617" customWidth="1"/>
    <col min="12041" max="12044" width="5.19921875" style="1617" customWidth="1"/>
    <col min="12045" max="12045" width="8.09765625" style="1617" customWidth="1"/>
    <col min="12046" max="12048" width="6.09765625" style="1617" customWidth="1"/>
    <col min="12049" max="12050" width="5.19921875" style="1617" customWidth="1"/>
    <col min="12051" max="12051" width="6.59765625" style="1617" customWidth="1"/>
    <col min="12052" max="12052" width="6.09765625" style="1617" customWidth="1"/>
    <col min="12053" max="12288" width="8.69921875" style="1617"/>
    <col min="12289" max="12289" width="5.19921875" style="1617" customWidth="1"/>
    <col min="12290" max="12290" width="11.8984375" style="1617" customWidth="1"/>
    <col min="12291" max="12291" width="5.19921875" style="1617" customWidth="1"/>
    <col min="12292" max="12292" width="5.8984375" style="1617" customWidth="1"/>
    <col min="12293" max="12293" width="6.19921875" style="1617" customWidth="1"/>
    <col min="12294" max="12295" width="5.19921875" style="1617" customWidth="1"/>
    <col min="12296" max="12296" width="6.09765625" style="1617" customWidth="1"/>
    <col min="12297" max="12300" width="5.19921875" style="1617" customWidth="1"/>
    <col min="12301" max="12301" width="8.09765625" style="1617" customWidth="1"/>
    <col min="12302" max="12304" width="6.09765625" style="1617" customWidth="1"/>
    <col min="12305" max="12306" width="5.19921875" style="1617" customWidth="1"/>
    <col min="12307" max="12307" width="6.59765625" style="1617" customWidth="1"/>
    <col min="12308" max="12308" width="6.09765625" style="1617" customWidth="1"/>
    <col min="12309" max="12544" width="8.69921875" style="1617"/>
    <col min="12545" max="12545" width="5.19921875" style="1617" customWidth="1"/>
    <col min="12546" max="12546" width="11.8984375" style="1617" customWidth="1"/>
    <col min="12547" max="12547" width="5.19921875" style="1617" customWidth="1"/>
    <col min="12548" max="12548" width="5.8984375" style="1617" customWidth="1"/>
    <col min="12549" max="12549" width="6.19921875" style="1617" customWidth="1"/>
    <col min="12550" max="12551" width="5.19921875" style="1617" customWidth="1"/>
    <col min="12552" max="12552" width="6.09765625" style="1617" customWidth="1"/>
    <col min="12553" max="12556" width="5.19921875" style="1617" customWidth="1"/>
    <col min="12557" max="12557" width="8.09765625" style="1617" customWidth="1"/>
    <col min="12558" max="12560" width="6.09765625" style="1617" customWidth="1"/>
    <col min="12561" max="12562" width="5.19921875" style="1617" customWidth="1"/>
    <col min="12563" max="12563" width="6.59765625" style="1617" customWidth="1"/>
    <col min="12564" max="12564" width="6.09765625" style="1617" customWidth="1"/>
    <col min="12565" max="12800" width="8.69921875" style="1617"/>
    <col min="12801" max="12801" width="5.19921875" style="1617" customWidth="1"/>
    <col min="12802" max="12802" width="11.8984375" style="1617" customWidth="1"/>
    <col min="12803" max="12803" width="5.19921875" style="1617" customWidth="1"/>
    <col min="12804" max="12804" width="5.8984375" style="1617" customWidth="1"/>
    <col min="12805" max="12805" width="6.19921875" style="1617" customWidth="1"/>
    <col min="12806" max="12807" width="5.19921875" style="1617" customWidth="1"/>
    <col min="12808" max="12808" width="6.09765625" style="1617" customWidth="1"/>
    <col min="12809" max="12812" width="5.19921875" style="1617" customWidth="1"/>
    <col min="12813" max="12813" width="8.09765625" style="1617" customWidth="1"/>
    <col min="12814" max="12816" width="6.09765625" style="1617" customWidth="1"/>
    <col min="12817" max="12818" width="5.19921875" style="1617" customWidth="1"/>
    <col min="12819" max="12819" width="6.59765625" style="1617" customWidth="1"/>
    <col min="12820" max="12820" width="6.09765625" style="1617" customWidth="1"/>
    <col min="12821" max="13056" width="8.69921875" style="1617"/>
    <col min="13057" max="13057" width="5.19921875" style="1617" customWidth="1"/>
    <col min="13058" max="13058" width="11.8984375" style="1617" customWidth="1"/>
    <col min="13059" max="13059" width="5.19921875" style="1617" customWidth="1"/>
    <col min="13060" max="13060" width="5.8984375" style="1617" customWidth="1"/>
    <col min="13061" max="13061" width="6.19921875" style="1617" customWidth="1"/>
    <col min="13062" max="13063" width="5.19921875" style="1617" customWidth="1"/>
    <col min="13064" max="13064" width="6.09765625" style="1617" customWidth="1"/>
    <col min="13065" max="13068" width="5.19921875" style="1617" customWidth="1"/>
    <col min="13069" max="13069" width="8.09765625" style="1617" customWidth="1"/>
    <col min="13070" max="13072" width="6.09765625" style="1617" customWidth="1"/>
    <col min="13073" max="13074" width="5.19921875" style="1617" customWidth="1"/>
    <col min="13075" max="13075" width="6.59765625" style="1617" customWidth="1"/>
    <col min="13076" max="13076" width="6.09765625" style="1617" customWidth="1"/>
    <col min="13077" max="13312" width="8.69921875" style="1617"/>
    <col min="13313" max="13313" width="5.19921875" style="1617" customWidth="1"/>
    <col min="13314" max="13314" width="11.8984375" style="1617" customWidth="1"/>
    <col min="13315" max="13315" width="5.19921875" style="1617" customWidth="1"/>
    <col min="13316" max="13316" width="5.8984375" style="1617" customWidth="1"/>
    <col min="13317" max="13317" width="6.19921875" style="1617" customWidth="1"/>
    <col min="13318" max="13319" width="5.19921875" style="1617" customWidth="1"/>
    <col min="13320" max="13320" width="6.09765625" style="1617" customWidth="1"/>
    <col min="13321" max="13324" width="5.19921875" style="1617" customWidth="1"/>
    <col min="13325" max="13325" width="8.09765625" style="1617" customWidth="1"/>
    <col min="13326" max="13328" width="6.09765625" style="1617" customWidth="1"/>
    <col min="13329" max="13330" width="5.19921875" style="1617" customWidth="1"/>
    <col min="13331" max="13331" width="6.59765625" style="1617" customWidth="1"/>
    <col min="13332" max="13332" width="6.09765625" style="1617" customWidth="1"/>
    <col min="13333" max="13568" width="8.69921875" style="1617"/>
    <col min="13569" max="13569" width="5.19921875" style="1617" customWidth="1"/>
    <col min="13570" max="13570" width="11.8984375" style="1617" customWidth="1"/>
    <col min="13571" max="13571" width="5.19921875" style="1617" customWidth="1"/>
    <col min="13572" max="13572" width="5.8984375" style="1617" customWidth="1"/>
    <col min="13573" max="13573" width="6.19921875" style="1617" customWidth="1"/>
    <col min="13574" max="13575" width="5.19921875" style="1617" customWidth="1"/>
    <col min="13576" max="13576" width="6.09765625" style="1617" customWidth="1"/>
    <col min="13577" max="13580" width="5.19921875" style="1617" customWidth="1"/>
    <col min="13581" max="13581" width="8.09765625" style="1617" customWidth="1"/>
    <col min="13582" max="13584" width="6.09765625" style="1617" customWidth="1"/>
    <col min="13585" max="13586" width="5.19921875" style="1617" customWidth="1"/>
    <col min="13587" max="13587" width="6.59765625" style="1617" customWidth="1"/>
    <col min="13588" max="13588" width="6.09765625" style="1617" customWidth="1"/>
    <col min="13589" max="13824" width="8.69921875" style="1617"/>
    <col min="13825" max="13825" width="5.19921875" style="1617" customWidth="1"/>
    <col min="13826" max="13826" width="11.8984375" style="1617" customWidth="1"/>
    <col min="13827" max="13827" width="5.19921875" style="1617" customWidth="1"/>
    <col min="13828" max="13828" width="5.8984375" style="1617" customWidth="1"/>
    <col min="13829" max="13829" width="6.19921875" style="1617" customWidth="1"/>
    <col min="13830" max="13831" width="5.19921875" style="1617" customWidth="1"/>
    <col min="13832" max="13832" width="6.09765625" style="1617" customWidth="1"/>
    <col min="13833" max="13836" width="5.19921875" style="1617" customWidth="1"/>
    <col min="13837" max="13837" width="8.09765625" style="1617" customWidth="1"/>
    <col min="13838" max="13840" width="6.09765625" style="1617" customWidth="1"/>
    <col min="13841" max="13842" width="5.19921875" style="1617" customWidth="1"/>
    <col min="13843" max="13843" width="6.59765625" style="1617" customWidth="1"/>
    <col min="13844" max="13844" width="6.09765625" style="1617" customWidth="1"/>
    <col min="13845" max="14080" width="8.69921875" style="1617"/>
    <col min="14081" max="14081" width="5.19921875" style="1617" customWidth="1"/>
    <col min="14082" max="14082" width="11.8984375" style="1617" customWidth="1"/>
    <col min="14083" max="14083" width="5.19921875" style="1617" customWidth="1"/>
    <col min="14084" max="14084" width="5.8984375" style="1617" customWidth="1"/>
    <col min="14085" max="14085" width="6.19921875" style="1617" customWidth="1"/>
    <col min="14086" max="14087" width="5.19921875" style="1617" customWidth="1"/>
    <col min="14088" max="14088" width="6.09765625" style="1617" customWidth="1"/>
    <col min="14089" max="14092" width="5.19921875" style="1617" customWidth="1"/>
    <col min="14093" max="14093" width="8.09765625" style="1617" customWidth="1"/>
    <col min="14094" max="14096" width="6.09765625" style="1617" customWidth="1"/>
    <col min="14097" max="14098" width="5.19921875" style="1617" customWidth="1"/>
    <col min="14099" max="14099" width="6.59765625" style="1617" customWidth="1"/>
    <col min="14100" max="14100" width="6.09765625" style="1617" customWidth="1"/>
    <col min="14101" max="14336" width="8.69921875" style="1617"/>
    <col min="14337" max="14337" width="5.19921875" style="1617" customWidth="1"/>
    <col min="14338" max="14338" width="11.8984375" style="1617" customWidth="1"/>
    <col min="14339" max="14339" width="5.19921875" style="1617" customWidth="1"/>
    <col min="14340" max="14340" width="5.8984375" style="1617" customWidth="1"/>
    <col min="14341" max="14341" width="6.19921875" style="1617" customWidth="1"/>
    <col min="14342" max="14343" width="5.19921875" style="1617" customWidth="1"/>
    <col min="14344" max="14344" width="6.09765625" style="1617" customWidth="1"/>
    <col min="14345" max="14348" width="5.19921875" style="1617" customWidth="1"/>
    <col min="14349" max="14349" width="8.09765625" style="1617" customWidth="1"/>
    <col min="14350" max="14352" width="6.09765625" style="1617" customWidth="1"/>
    <col min="14353" max="14354" width="5.19921875" style="1617" customWidth="1"/>
    <col min="14355" max="14355" width="6.59765625" style="1617" customWidth="1"/>
    <col min="14356" max="14356" width="6.09765625" style="1617" customWidth="1"/>
    <col min="14357" max="14592" width="8.69921875" style="1617"/>
    <col min="14593" max="14593" width="5.19921875" style="1617" customWidth="1"/>
    <col min="14594" max="14594" width="11.8984375" style="1617" customWidth="1"/>
    <col min="14595" max="14595" width="5.19921875" style="1617" customWidth="1"/>
    <col min="14596" max="14596" width="5.8984375" style="1617" customWidth="1"/>
    <col min="14597" max="14597" width="6.19921875" style="1617" customWidth="1"/>
    <col min="14598" max="14599" width="5.19921875" style="1617" customWidth="1"/>
    <col min="14600" max="14600" width="6.09765625" style="1617" customWidth="1"/>
    <col min="14601" max="14604" width="5.19921875" style="1617" customWidth="1"/>
    <col min="14605" max="14605" width="8.09765625" style="1617" customWidth="1"/>
    <col min="14606" max="14608" width="6.09765625" style="1617" customWidth="1"/>
    <col min="14609" max="14610" width="5.19921875" style="1617" customWidth="1"/>
    <col min="14611" max="14611" width="6.59765625" style="1617" customWidth="1"/>
    <col min="14612" max="14612" width="6.09765625" style="1617" customWidth="1"/>
    <col min="14613" max="14848" width="8.69921875" style="1617"/>
    <col min="14849" max="14849" width="5.19921875" style="1617" customWidth="1"/>
    <col min="14850" max="14850" width="11.8984375" style="1617" customWidth="1"/>
    <col min="14851" max="14851" width="5.19921875" style="1617" customWidth="1"/>
    <col min="14852" max="14852" width="5.8984375" style="1617" customWidth="1"/>
    <col min="14853" max="14853" width="6.19921875" style="1617" customWidth="1"/>
    <col min="14854" max="14855" width="5.19921875" style="1617" customWidth="1"/>
    <col min="14856" max="14856" width="6.09765625" style="1617" customWidth="1"/>
    <col min="14857" max="14860" width="5.19921875" style="1617" customWidth="1"/>
    <col min="14861" max="14861" width="8.09765625" style="1617" customWidth="1"/>
    <col min="14862" max="14864" width="6.09765625" style="1617" customWidth="1"/>
    <col min="14865" max="14866" width="5.19921875" style="1617" customWidth="1"/>
    <col min="14867" max="14867" width="6.59765625" style="1617" customWidth="1"/>
    <col min="14868" max="14868" width="6.09765625" style="1617" customWidth="1"/>
    <col min="14869" max="15104" width="8.69921875" style="1617"/>
    <col min="15105" max="15105" width="5.19921875" style="1617" customWidth="1"/>
    <col min="15106" max="15106" width="11.8984375" style="1617" customWidth="1"/>
    <col min="15107" max="15107" width="5.19921875" style="1617" customWidth="1"/>
    <col min="15108" max="15108" width="5.8984375" style="1617" customWidth="1"/>
    <col min="15109" max="15109" width="6.19921875" style="1617" customWidth="1"/>
    <col min="15110" max="15111" width="5.19921875" style="1617" customWidth="1"/>
    <col min="15112" max="15112" width="6.09765625" style="1617" customWidth="1"/>
    <col min="15113" max="15116" width="5.19921875" style="1617" customWidth="1"/>
    <col min="15117" max="15117" width="8.09765625" style="1617" customWidth="1"/>
    <col min="15118" max="15120" width="6.09765625" style="1617" customWidth="1"/>
    <col min="15121" max="15122" width="5.19921875" style="1617" customWidth="1"/>
    <col min="15123" max="15123" width="6.59765625" style="1617" customWidth="1"/>
    <col min="15124" max="15124" width="6.09765625" style="1617" customWidth="1"/>
    <col min="15125" max="15360" width="8.69921875" style="1617"/>
    <col min="15361" max="15361" width="5.19921875" style="1617" customWidth="1"/>
    <col min="15362" max="15362" width="11.8984375" style="1617" customWidth="1"/>
    <col min="15363" max="15363" width="5.19921875" style="1617" customWidth="1"/>
    <col min="15364" max="15364" width="5.8984375" style="1617" customWidth="1"/>
    <col min="15365" max="15365" width="6.19921875" style="1617" customWidth="1"/>
    <col min="15366" max="15367" width="5.19921875" style="1617" customWidth="1"/>
    <col min="15368" max="15368" width="6.09765625" style="1617" customWidth="1"/>
    <col min="15369" max="15372" width="5.19921875" style="1617" customWidth="1"/>
    <col min="15373" max="15373" width="8.09765625" style="1617" customWidth="1"/>
    <col min="15374" max="15376" width="6.09765625" style="1617" customWidth="1"/>
    <col min="15377" max="15378" width="5.19921875" style="1617" customWidth="1"/>
    <col min="15379" max="15379" width="6.59765625" style="1617" customWidth="1"/>
    <col min="15380" max="15380" width="6.09765625" style="1617" customWidth="1"/>
    <col min="15381" max="15616" width="8.69921875" style="1617"/>
    <col min="15617" max="15617" width="5.19921875" style="1617" customWidth="1"/>
    <col min="15618" max="15618" width="11.8984375" style="1617" customWidth="1"/>
    <col min="15619" max="15619" width="5.19921875" style="1617" customWidth="1"/>
    <col min="15620" max="15620" width="5.8984375" style="1617" customWidth="1"/>
    <col min="15621" max="15621" width="6.19921875" style="1617" customWidth="1"/>
    <col min="15622" max="15623" width="5.19921875" style="1617" customWidth="1"/>
    <col min="15624" max="15624" width="6.09765625" style="1617" customWidth="1"/>
    <col min="15625" max="15628" width="5.19921875" style="1617" customWidth="1"/>
    <col min="15629" max="15629" width="8.09765625" style="1617" customWidth="1"/>
    <col min="15630" max="15632" width="6.09765625" style="1617" customWidth="1"/>
    <col min="15633" max="15634" width="5.19921875" style="1617" customWidth="1"/>
    <col min="15635" max="15635" width="6.59765625" style="1617" customWidth="1"/>
    <col min="15636" max="15636" width="6.09765625" style="1617" customWidth="1"/>
    <col min="15637" max="15872" width="8.69921875" style="1617"/>
    <col min="15873" max="15873" width="5.19921875" style="1617" customWidth="1"/>
    <col min="15874" max="15874" width="11.8984375" style="1617" customWidth="1"/>
    <col min="15875" max="15875" width="5.19921875" style="1617" customWidth="1"/>
    <col min="15876" max="15876" width="5.8984375" style="1617" customWidth="1"/>
    <col min="15877" max="15877" width="6.19921875" style="1617" customWidth="1"/>
    <col min="15878" max="15879" width="5.19921875" style="1617" customWidth="1"/>
    <col min="15880" max="15880" width="6.09765625" style="1617" customWidth="1"/>
    <col min="15881" max="15884" width="5.19921875" style="1617" customWidth="1"/>
    <col min="15885" max="15885" width="8.09765625" style="1617" customWidth="1"/>
    <col min="15886" max="15888" width="6.09765625" style="1617" customWidth="1"/>
    <col min="15889" max="15890" width="5.19921875" style="1617" customWidth="1"/>
    <col min="15891" max="15891" width="6.59765625" style="1617" customWidth="1"/>
    <col min="15892" max="15892" width="6.09765625" style="1617" customWidth="1"/>
    <col min="15893" max="16128" width="8.69921875" style="1617"/>
    <col min="16129" max="16129" width="5.19921875" style="1617" customWidth="1"/>
    <col min="16130" max="16130" width="11.8984375" style="1617" customWidth="1"/>
    <col min="16131" max="16131" width="5.19921875" style="1617" customWidth="1"/>
    <col min="16132" max="16132" width="5.8984375" style="1617" customWidth="1"/>
    <col min="16133" max="16133" width="6.19921875" style="1617" customWidth="1"/>
    <col min="16134" max="16135" width="5.19921875" style="1617" customWidth="1"/>
    <col min="16136" max="16136" width="6.09765625" style="1617" customWidth="1"/>
    <col min="16137" max="16140" width="5.19921875" style="1617" customWidth="1"/>
    <col min="16141" max="16141" width="8.09765625" style="1617" customWidth="1"/>
    <col min="16142" max="16144" width="6.09765625" style="1617" customWidth="1"/>
    <col min="16145" max="16146" width="5.19921875" style="1617" customWidth="1"/>
    <col min="16147" max="16147" width="6.59765625" style="1617" customWidth="1"/>
    <col min="16148" max="16148" width="6.09765625" style="1617" customWidth="1"/>
    <col min="16149" max="16384" width="8.69921875" style="1617"/>
  </cols>
  <sheetData>
    <row r="1" spans="1:21" s="1616" customFormat="1" ht="20.100000000000001" customHeight="1">
      <c r="A1" s="3400" t="s">
        <v>5785</v>
      </c>
      <c r="B1" s="3400"/>
      <c r="C1" s="3400"/>
      <c r="D1" s="3400"/>
      <c r="E1" s="3400"/>
      <c r="F1" s="3400"/>
      <c r="G1" s="3400"/>
      <c r="H1" s="3400"/>
      <c r="I1" s="3400"/>
      <c r="J1" s="3400"/>
      <c r="K1" s="3400"/>
      <c r="L1" s="3400"/>
      <c r="M1" s="3400"/>
      <c r="N1" s="3400"/>
      <c r="O1" s="3400"/>
      <c r="P1" s="3400"/>
      <c r="Q1" s="3400"/>
      <c r="R1" s="3400"/>
      <c r="S1" s="3400"/>
      <c r="T1" s="3400"/>
    </row>
    <row r="2" spans="1:21" ht="25.5" customHeight="1">
      <c r="A2" s="3500" t="s">
        <v>5786</v>
      </c>
      <c r="B2" s="3500"/>
      <c r="C2" s="3500"/>
      <c r="D2" s="3500"/>
      <c r="E2" s="3500"/>
      <c r="F2" s="3500"/>
      <c r="G2" s="3500"/>
      <c r="H2" s="3500"/>
      <c r="I2" s="3500"/>
      <c r="J2" s="3500"/>
      <c r="K2" s="3500"/>
      <c r="L2" s="3500"/>
      <c r="M2" s="3500"/>
      <c r="N2" s="3500"/>
      <c r="O2" s="3500"/>
      <c r="P2" s="3500"/>
      <c r="Q2" s="3500"/>
      <c r="R2" s="3500"/>
      <c r="S2" s="3500"/>
      <c r="T2" s="3501"/>
    </row>
    <row r="3" spans="1:21" s="1618" customFormat="1" ht="14.25" customHeight="1">
      <c r="A3" s="3407" t="s">
        <v>5671</v>
      </c>
      <c r="B3" s="3405" t="s">
        <v>5787</v>
      </c>
      <c r="C3" s="3405" t="s">
        <v>5788</v>
      </c>
      <c r="D3" s="3405" t="s">
        <v>5789</v>
      </c>
      <c r="E3" s="3405" t="s">
        <v>1865</v>
      </c>
      <c r="F3" s="3405" t="s">
        <v>847</v>
      </c>
      <c r="G3" s="3405" t="s">
        <v>5790</v>
      </c>
      <c r="H3" s="3405" t="s">
        <v>5791</v>
      </c>
      <c r="I3" s="3405" t="s">
        <v>187</v>
      </c>
      <c r="J3" s="3405" t="s">
        <v>848</v>
      </c>
      <c r="K3" s="3405" t="s">
        <v>849</v>
      </c>
      <c r="L3" s="3405" t="s">
        <v>5792</v>
      </c>
      <c r="M3" s="3405" t="s">
        <v>5793</v>
      </c>
      <c r="N3" s="3405" t="s">
        <v>5794</v>
      </c>
      <c r="O3" s="3405" t="s">
        <v>5795</v>
      </c>
      <c r="P3" s="3502" t="s">
        <v>5796</v>
      </c>
      <c r="Q3" s="3503"/>
      <c r="R3" s="3503"/>
      <c r="S3" s="3503"/>
      <c r="T3" s="3407" t="s">
        <v>5797</v>
      </c>
    </row>
    <row r="4" spans="1:21" s="1618" customFormat="1" ht="77.25" customHeight="1">
      <c r="A4" s="3407"/>
      <c r="B4" s="3409"/>
      <c r="C4" s="3409"/>
      <c r="D4" s="3409"/>
      <c r="E4" s="3409"/>
      <c r="F4" s="3409"/>
      <c r="G4" s="3409"/>
      <c r="H4" s="3409"/>
      <c r="I4" s="3409"/>
      <c r="J4" s="3409"/>
      <c r="K4" s="3409"/>
      <c r="L4" s="3409"/>
      <c r="M4" s="3409"/>
      <c r="N4" s="3409"/>
      <c r="O4" s="3409"/>
      <c r="P4" s="1897" t="s">
        <v>5798</v>
      </c>
      <c r="Q4" s="1897" t="s">
        <v>5799</v>
      </c>
      <c r="R4" s="1897" t="s">
        <v>5800</v>
      </c>
      <c r="S4" s="1897" t="s">
        <v>1280</v>
      </c>
      <c r="T4" s="3407"/>
    </row>
    <row r="5" spans="1:21" s="1618" customFormat="1" ht="27" customHeight="1">
      <c r="A5" s="3407"/>
      <c r="B5" s="1898">
        <v>1</v>
      </c>
      <c r="C5" s="1898">
        <v>2</v>
      </c>
      <c r="D5" s="1898">
        <v>3</v>
      </c>
      <c r="E5" s="1898">
        <v>4</v>
      </c>
      <c r="F5" s="1898" t="s">
        <v>5801</v>
      </c>
      <c r="G5" s="1898">
        <v>6</v>
      </c>
      <c r="H5" s="1898" t="s">
        <v>2341</v>
      </c>
      <c r="I5" s="1898">
        <v>8</v>
      </c>
      <c r="J5" s="1898" t="s">
        <v>5802</v>
      </c>
      <c r="K5" s="1898">
        <v>10</v>
      </c>
      <c r="L5" s="1898">
        <v>11</v>
      </c>
      <c r="M5" s="1899" t="s">
        <v>5803</v>
      </c>
      <c r="N5" s="1898" t="s">
        <v>5804</v>
      </c>
      <c r="O5" s="1899" t="s">
        <v>5805</v>
      </c>
      <c r="P5" s="1898">
        <v>15</v>
      </c>
      <c r="Q5" s="1898">
        <v>16</v>
      </c>
      <c r="R5" s="1898">
        <v>17</v>
      </c>
      <c r="S5" s="1898" t="s">
        <v>5806</v>
      </c>
      <c r="T5" s="1897" t="s">
        <v>5807</v>
      </c>
    </row>
    <row r="6" spans="1:21" s="1616" customFormat="1" ht="14.25" customHeight="1">
      <c r="A6" s="1897">
        <v>1</v>
      </c>
      <c r="B6" s="1903">
        <f>境外所得税收抵免审核表!B6</f>
        <v>0</v>
      </c>
      <c r="C6" s="2072">
        <f>境外所得税收抵免审核表!C6</f>
        <v>0</v>
      </c>
      <c r="D6" s="2072">
        <f>境外所得税收抵免审核表!D6</f>
        <v>0</v>
      </c>
      <c r="E6" s="2072">
        <f>境外所得税收抵免审核表!E6</f>
        <v>0</v>
      </c>
      <c r="F6" s="2072">
        <f>境外所得税收抵免审核表!F6</f>
        <v>0</v>
      </c>
      <c r="G6" s="2072">
        <f>境外所得税收抵免审核表!G6</f>
        <v>0</v>
      </c>
      <c r="H6" s="2072">
        <f>境外所得税收抵免审核表!H6</f>
        <v>0</v>
      </c>
      <c r="I6" s="2072">
        <f>境外所得税收抵免审核表!I6</f>
        <v>0</v>
      </c>
      <c r="J6" s="2072">
        <f>境外所得税收抵免审核表!J6</f>
        <v>0</v>
      </c>
      <c r="K6" s="2072">
        <f>境外所得税收抵免审核表!K6</f>
        <v>0</v>
      </c>
      <c r="L6" s="2072">
        <f>境外所得税收抵免审核表!L6</f>
        <v>0</v>
      </c>
      <c r="M6" s="2072">
        <f>境外所得税收抵免审核表!M6</f>
        <v>0</v>
      </c>
      <c r="N6" s="2072">
        <f>境外所得税收抵免审核表!N6</f>
        <v>0</v>
      </c>
      <c r="O6" s="2072">
        <f>境外所得税收抵免审核表!O6</f>
        <v>0</v>
      </c>
      <c r="P6" s="2072">
        <f>境外所得税收抵免审核表!P6</f>
        <v>0</v>
      </c>
      <c r="Q6" s="2072">
        <f>境外所得税收抵免审核表!Q6</f>
        <v>0</v>
      </c>
      <c r="R6" s="2072">
        <f>境外所得税收抵免审核表!R6</f>
        <v>0</v>
      </c>
      <c r="S6" s="2072">
        <f>境外所得税收抵免审核表!S6</f>
        <v>0</v>
      </c>
      <c r="T6" s="2072">
        <f>境外所得税收抵免审核表!T6</f>
        <v>0</v>
      </c>
    </row>
    <row r="7" spans="1:21" s="1616" customFormat="1" ht="14.25" customHeight="1">
      <c r="A7" s="1897">
        <v>2</v>
      </c>
      <c r="B7" s="1903">
        <f>境外所得税收抵免审核表!B7</f>
        <v>0</v>
      </c>
      <c r="C7" s="2072">
        <f>境外所得税收抵免审核表!C7</f>
        <v>0</v>
      </c>
      <c r="D7" s="2072">
        <f>境外所得税收抵免审核表!D7</f>
        <v>0</v>
      </c>
      <c r="E7" s="2072">
        <f>境外所得税收抵免审核表!E7</f>
        <v>0</v>
      </c>
      <c r="F7" s="2072">
        <f>境外所得税收抵免审核表!F7</f>
        <v>0</v>
      </c>
      <c r="G7" s="2072">
        <f>境外所得税收抵免审核表!G7</f>
        <v>0</v>
      </c>
      <c r="H7" s="2072">
        <f>境外所得税收抵免审核表!H7</f>
        <v>0</v>
      </c>
      <c r="I7" s="2072">
        <f>境外所得税收抵免审核表!I7</f>
        <v>0</v>
      </c>
      <c r="J7" s="2072">
        <f>境外所得税收抵免审核表!J7</f>
        <v>0</v>
      </c>
      <c r="K7" s="2072">
        <f>境外所得税收抵免审核表!K7</f>
        <v>0</v>
      </c>
      <c r="L7" s="2072">
        <f>境外所得税收抵免审核表!L7</f>
        <v>0</v>
      </c>
      <c r="M7" s="2072">
        <f>境外所得税收抵免审核表!M7</f>
        <v>0</v>
      </c>
      <c r="N7" s="2072">
        <f>境外所得税收抵免审核表!N7</f>
        <v>0</v>
      </c>
      <c r="O7" s="2072">
        <f>境外所得税收抵免审核表!O7</f>
        <v>0</v>
      </c>
      <c r="P7" s="2072">
        <f>境外所得税收抵免审核表!P7</f>
        <v>0</v>
      </c>
      <c r="Q7" s="2072">
        <f>境外所得税收抵免审核表!Q7</f>
        <v>0</v>
      </c>
      <c r="R7" s="2072">
        <f>境外所得税收抵免审核表!R7</f>
        <v>0</v>
      </c>
      <c r="S7" s="2072">
        <f>境外所得税收抵免审核表!S7</f>
        <v>0</v>
      </c>
      <c r="T7" s="2072">
        <f>境外所得税收抵免审核表!T7</f>
        <v>0</v>
      </c>
    </row>
    <row r="8" spans="1:21" s="1616" customFormat="1" ht="14.25" customHeight="1">
      <c r="A8" s="1897">
        <v>3</v>
      </c>
      <c r="B8" s="1903">
        <f>境外所得税收抵免审核表!B8</f>
        <v>0</v>
      </c>
      <c r="C8" s="2072">
        <f>境外所得税收抵免审核表!C8</f>
        <v>0</v>
      </c>
      <c r="D8" s="2072">
        <f>境外所得税收抵免审核表!D8</f>
        <v>0</v>
      </c>
      <c r="E8" s="2072">
        <f>境外所得税收抵免审核表!E8</f>
        <v>0</v>
      </c>
      <c r="F8" s="2072">
        <f>境外所得税收抵免审核表!F8</f>
        <v>0</v>
      </c>
      <c r="G8" s="2072">
        <f>境外所得税收抵免审核表!G8</f>
        <v>0</v>
      </c>
      <c r="H8" s="2072">
        <f>境外所得税收抵免审核表!H8</f>
        <v>0</v>
      </c>
      <c r="I8" s="2072">
        <f>境外所得税收抵免审核表!I8</f>
        <v>0</v>
      </c>
      <c r="J8" s="2072">
        <f>境外所得税收抵免审核表!J8</f>
        <v>0</v>
      </c>
      <c r="K8" s="2072">
        <f>境外所得税收抵免审核表!K8</f>
        <v>0</v>
      </c>
      <c r="L8" s="2072">
        <f>境外所得税收抵免审核表!L8</f>
        <v>0</v>
      </c>
      <c r="M8" s="2072">
        <f>境外所得税收抵免审核表!M8</f>
        <v>0</v>
      </c>
      <c r="N8" s="2072">
        <f>境外所得税收抵免审核表!N8</f>
        <v>0</v>
      </c>
      <c r="O8" s="2072">
        <f>境外所得税收抵免审核表!O8</f>
        <v>0</v>
      </c>
      <c r="P8" s="2072">
        <f>境外所得税收抵免审核表!P8</f>
        <v>0</v>
      </c>
      <c r="Q8" s="2072">
        <f>境外所得税收抵免审核表!Q8</f>
        <v>0</v>
      </c>
      <c r="R8" s="2072">
        <f>境外所得税收抵免审核表!R8</f>
        <v>0</v>
      </c>
      <c r="S8" s="2072">
        <f>境外所得税收抵免审核表!S8</f>
        <v>0</v>
      </c>
      <c r="T8" s="2072">
        <f>境外所得税收抵免审核表!T8</f>
        <v>0</v>
      </c>
    </row>
    <row r="9" spans="1:21" s="1616" customFormat="1" ht="14.25" customHeight="1">
      <c r="A9" s="1897">
        <v>4</v>
      </c>
      <c r="B9" s="1903">
        <f>境外所得税收抵免审核表!B9</f>
        <v>0</v>
      </c>
      <c r="C9" s="2072">
        <f>境外所得税收抵免审核表!C9</f>
        <v>0</v>
      </c>
      <c r="D9" s="2072">
        <f>境外所得税收抵免审核表!D9</f>
        <v>0</v>
      </c>
      <c r="E9" s="2072">
        <f>境外所得税收抵免审核表!E9</f>
        <v>0</v>
      </c>
      <c r="F9" s="2072">
        <f>境外所得税收抵免审核表!F9</f>
        <v>0</v>
      </c>
      <c r="G9" s="2072">
        <f>境外所得税收抵免审核表!G9</f>
        <v>0</v>
      </c>
      <c r="H9" s="2072">
        <f>境外所得税收抵免审核表!H9</f>
        <v>0</v>
      </c>
      <c r="I9" s="2072">
        <f>境外所得税收抵免审核表!I9</f>
        <v>0</v>
      </c>
      <c r="J9" s="2072">
        <f>境外所得税收抵免审核表!J9</f>
        <v>0</v>
      </c>
      <c r="K9" s="2072">
        <f>境外所得税收抵免审核表!K9</f>
        <v>0</v>
      </c>
      <c r="L9" s="2072">
        <f>境外所得税收抵免审核表!L9</f>
        <v>0</v>
      </c>
      <c r="M9" s="2072">
        <f>境外所得税收抵免审核表!M9</f>
        <v>0</v>
      </c>
      <c r="N9" s="2072">
        <f>境外所得税收抵免审核表!N9</f>
        <v>0</v>
      </c>
      <c r="O9" s="2072">
        <f>境外所得税收抵免审核表!O9</f>
        <v>0</v>
      </c>
      <c r="P9" s="2072">
        <f>境外所得税收抵免审核表!P9</f>
        <v>0</v>
      </c>
      <c r="Q9" s="2072">
        <f>境外所得税收抵免审核表!Q9</f>
        <v>0</v>
      </c>
      <c r="R9" s="2072">
        <f>境外所得税收抵免审核表!R9</f>
        <v>0</v>
      </c>
      <c r="S9" s="2072">
        <f>境外所得税收抵免审核表!S9</f>
        <v>0</v>
      </c>
      <c r="T9" s="2072">
        <f>境外所得税收抵免审核表!T9</f>
        <v>0</v>
      </c>
    </row>
    <row r="10" spans="1:21" s="1616" customFormat="1" ht="14.25" customHeight="1">
      <c r="A10" s="1897">
        <v>5</v>
      </c>
      <c r="B10" s="1903">
        <f>境外所得税收抵免审核表!B10</f>
        <v>0</v>
      </c>
      <c r="C10" s="2072">
        <f>境外所得税收抵免审核表!C10</f>
        <v>0</v>
      </c>
      <c r="D10" s="2072">
        <f>境外所得税收抵免审核表!D10</f>
        <v>0</v>
      </c>
      <c r="E10" s="2072">
        <f>境外所得税收抵免审核表!E10</f>
        <v>0</v>
      </c>
      <c r="F10" s="2072">
        <f>境外所得税收抵免审核表!F10</f>
        <v>0</v>
      </c>
      <c r="G10" s="2072">
        <f>境外所得税收抵免审核表!G10</f>
        <v>0</v>
      </c>
      <c r="H10" s="2072">
        <f>境外所得税收抵免审核表!H10</f>
        <v>0</v>
      </c>
      <c r="I10" s="2072">
        <f>境外所得税收抵免审核表!I10</f>
        <v>0</v>
      </c>
      <c r="J10" s="2072">
        <f>境外所得税收抵免审核表!J10</f>
        <v>0</v>
      </c>
      <c r="K10" s="2072">
        <f>境外所得税收抵免审核表!K10</f>
        <v>0</v>
      </c>
      <c r="L10" s="2072">
        <f>境外所得税收抵免审核表!L10</f>
        <v>0</v>
      </c>
      <c r="M10" s="2072">
        <f>境外所得税收抵免审核表!M10</f>
        <v>0</v>
      </c>
      <c r="N10" s="2072">
        <f>境外所得税收抵免审核表!N10</f>
        <v>0</v>
      </c>
      <c r="O10" s="2072">
        <f>境外所得税收抵免审核表!O10</f>
        <v>0</v>
      </c>
      <c r="P10" s="2072">
        <f>境外所得税收抵免审核表!P10</f>
        <v>0</v>
      </c>
      <c r="Q10" s="2072">
        <f>境外所得税收抵免审核表!Q10</f>
        <v>0</v>
      </c>
      <c r="R10" s="2072">
        <f>境外所得税收抵免审核表!R10</f>
        <v>0</v>
      </c>
      <c r="S10" s="2072">
        <f>境外所得税收抵免审核表!S10</f>
        <v>0</v>
      </c>
      <c r="T10" s="2072">
        <f>境外所得税收抵免审核表!T10</f>
        <v>0</v>
      </c>
    </row>
    <row r="11" spans="1:21" s="1616" customFormat="1" ht="14.25" customHeight="1">
      <c r="A11" s="1897">
        <v>6</v>
      </c>
      <c r="B11" s="1903">
        <f>境外所得税收抵免审核表!B11</f>
        <v>0</v>
      </c>
      <c r="C11" s="2072">
        <f>境外所得税收抵免审核表!C11</f>
        <v>0</v>
      </c>
      <c r="D11" s="2072">
        <f>境外所得税收抵免审核表!D11</f>
        <v>0</v>
      </c>
      <c r="E11" s="2072">
        <f>境外所得税收抵免审核表!E11</f>
        <v>0</v>
      </c>
      <c r="F11" s="2072">
        <f>境外所得税收抵免审核表!F11</f>
        <v>0</v>
      </c>
      <c r="G11" s="2072">
        <f>境外所得税收抵免审核表!G11</f>
        <v>0</v>
      </c>
      <c r="H11" s="2072">
        <f>境外所得税收抵免审核表!H11</f>
        <v>0</v>
      </c>
      <c r="I11" s="2072">
        <f>境外所得税收抵免审核表!I11</f>
        <v>0</v>
      </c>
      <c r="J11" s="2072">
        <f>境外所得税收抵免审核表!J11</f>
        <v>0</v>
      </c>
      <c r="K11" s="2072">
        <f>境外所得税收抵免审核表!K11</f>
        <v>0</v>
      </c>
      <c r="L11" s="2072">
        <f>境外所得税收抵免审核表!L11</f>
        <v>0</v>
      </c>
      <c r="M11" s="2072">
        <f>境外所得税收抵免审核表!M11</f>
        <v>0</v>
      </c>
      <c r="N11" s="2072">
        <f>境外所得税收抵免审核表!N11</f>
        <v>0</v>
      </c>
      <c r="O11" s="2072">
        <f>境外所得税收抵免审核表!O11</f>
        <v>0</v>
      </c>
      <c r="P11" s="2072">
        <f>境外所得税收抵免审核表!P11</f>
        <v>0</v>
      </c>
      <c r="Q11" s="2072">
        <f>境外所得税收抵免审核表!Q11</f>
        <v>0</v>
      </c>
      <c r="R11" s="2072">
        <f>境外所得税收抵免审核表!R11</f>
        <v>0</v>
      </c>
      <c r="S11" s="2072">
        <f>境外所得税收抵免审核表!S11</f>
        <v>0</v>
      </c>
      <c r="T11" s="2072">
        <f>境外所得税收抵免审核表!T11</f>
        <v>0</v>
      </c>
    </row>
    <row r="12" spans="1:21" s="1616" customFormat="1" ht="14.25" customHeight="1">
      <c r="A12" s="1897">
        <v>7</v>
      </c>
      <c r="B12" s="1903">
        <f>境外所得税收抵免审核表!B12</f>
        <v>0</v>
      </c>
      <c r="C12" s="2072">
        <f>境外所得税收抵免审核表!C12</f>
        <v>0</v>
      </c>
      <c r="D12" s="2072">
        <f>境外所得税收抵免审核表!D12</f>
        <v>0</v>
      </c>
      <c r="E12" s="2072">
        <f>境外所得税收抵免审核表!E12</f>
        <v>0</v>
      </c>
      <c r="F12" s="2072">
        <f>境外所得税收抵免审核表!F12</f>
        <v>0</v>
      </c>
      <c r="G12" s="2072">
        <f>境外所得税收抵免审核表!G12</f>
        <v>0</v>
      </c>
      <c r="H12" s="2072">
        <f>境外所得税收抵免审核表!H12</f>
        <v>0</v>
      </c>
      <c r="I12" s="2072">
        <f>境外所得税收抵免审核表!I12</f>
        <v>0</v>
      </c>
      <c r="J12" s="2072">
        <f>境外所得税收抵免审核表!J12</f>
        <v>0</v>
      </c>
      <c r="K12" s="2072">
        <f>境外所得税收抵免审核表!K12</f>
        <v>0</v>
      </c>
      <c r="L12" s="2072">
        <f>境外所得税收抵免审核表!L12</f>
        <v>0</v>
      </c>
      <c r="M12" s="2072">
        <f>境外所得税收抵免审核表!M12</f>
        <v>0</v>
      </c>
      <c r="N12" s="2072">
        <f>境外所得税收抵免审核表!N12</f>
        <v>0</v>
      </c>
      <c r="O12" s="2072">
        <f>境外所得税收抵免审核表!O12</f>
        <v>0</v>
      </c>
      <c r="P12" s="2072">
        <f>境外所得税收抵免审核表!P12</f>
        <v>0</v>
      </c>
      <c r="Q12" s="2072">
        <f>境外所得税收抵免审核表!Q12</f>
        <v>0</v>
      </c>
      <c r="R12" s="2072">
        <f>境外所得税收抵免审核表!R12</f>
        <v>0</v>
      </c>
      <c r="S12" s="2072">
        <f>境外所得税收抵免审核表!S12</f>
        <v>0</v>
      </c>
      <c r="T12" s="2072">
        <f>境外所得税收抵免审核表!T12</f>
        <v>0</v>
      </c>
    </row>
    <row r="13" spans="1:21" s="1616" customFormat="1" ht="14.25" customHeight="1">
      <c r="A13" s="1897">
        <v>8</v>
      </c>
      <c r="B13" s="1903">
        <f>境外所得税收抵免审核表!B13</f>
        <v>0</v>
      </c>
      <c r="C13" s="2072">
        <f>境外所得税收抵免审核表!C13</f>
        <v>0</v>
      </c>
      <c r="D13" s="2072">
        <f>境外所得税收抵免审核表!D13</f>
        <v>0</v>
      </c>
      <c r="E13" s="2072">
        <f>境外所得税收抵免审核表!E13</f>
        <v>0</v>
      </c>
      <c r="F13" s="2072">
        <f>境外所得税收抵免审核表!F13</f>
        <v>0</v>
      </c>
      <c r="G13" s="2072">
        <f>境外所得税收抵免审核表!G13</f>
        <v>0</v>
      </c>
      <c r="H13" s="2072">
        <f>境外所得税收抵免审核表!H13</f>
        <v>0</v>
      </c>
      <c r="I13" s="2072">
        <f>境外所得税收抵免审核表!I13</f>
        <v>0</v>
      </c>
      <c r="J13" s="2072">
        <f>境外所得税收抵免审核表!J13</f>
        <v>0</v>
      </c>
      <c r="K13" s="2072">
        <f>境外所得税收抵免审核表!K13</f>
        <v>0</v>
      </c>
      <c r="L13" s="2072">
        <f>境外所得税收抵免审核表!L13</f>
        <v>0</v>
      </c>
      <c r="M13" s="2072">
        <f>境外所得税收抵免审核表!M13</f>
        <v>0</v>
      </c>
      <c r="N13" s="2072">
        <f>境外所得税收抵免审核表!N13</f>
        <v>0</v>
      </c>
      <c r="O13" s="2072">
        <f>境外所得税收抵免审核表!O13</f>
        <v>0</v>
      </c>
      <c r="P13" s="2072">
        <f>境外所得税收抵免审核表!P13</f>
        <v>0</v>
      </c>
      <c r="Q13" s="2072">
        <f>境外所得税收抵免审核表!Q13</f>
        <v>0</v>
      </c>
      <c r="R13" s="2072">
        <f>境外所得税收抵免审核表!R13</f>
        <v>0</v>
      </c>
      <c r="S13" s="2072">
        <f>境外所得税收抵免审核表!S13</f>
        <v>0</v>
      </c>
      <c r="T13" s="2072">
        <f>境外所得税收抵免审核表!T13</f>
        <v>0</v>
      </c>
    </row>
    <row r="14" spans="1:21" s="1616" customFormat="1" ht="14.25" customHeight="1">
      <c r="A14" s="1897">
        <v>9</v>
      </c>
      <c r="B14" s="1903">
        <f>境外所得税收抵免审核表!B14</f>
        <v>0</v>
      </c>
      <c r="C14" s="2072">
        <f>境外所得税收抵免审核表!C14</f>
        <v>0</v>
      </c>
      <c r="D14" s="2072">
        <f>境外所得税收抵免审核表!D14</f>
        <v>0</v>
      </c>
      <c r="E14" s="2072">
        <f>境外所得税收抵免审核表!E14</f>
        <v>0</v>
      </c>
      <c r="F14" s="2072">
        <f>境外所得税收抵免审核表!F14</f>
        <v>0</v>
      </c>
      <c r="G14" s="2072">
        <f>境外所得税收抵免审核表!G14</f>
        <v>0</v>
      </c>
      <c r="H14" s="2072">
        <f>境外所得税收抵免审核表!H14</f>
        <v>0</v>
      </c>
      <c r="I14" s="2072">
        <f>境外所得税收抵免审核表!I14</f>
        <v>0</v>
      </c>
      <c r="J14" s="2072">
        <f>境外所得税收抵免审核表!J14</f>
        <v>0</v>
      </c>
      <c r="K14" s="2072">
        <f>境外所得税收抵免审核表!K14</f>
        <v>0</v>
      </c>
      <c r="L14" s="2072">
        <f>境外所得税收抵免审核表!L14</f>
        <v>0</v>
      </c>
      <c r="M14" s="2072">
        <f>境外所得税收抵免审核表!M14</f>
        <v>0</v>
      </c>
      <c r="N14" s="2072">
        <f>境外所得税收抵免审核表!N14</f>
        <v>0</v>
      </c>
      <c r="O14" s="2072">
        <f>境外所得税收抵免审核表!O14</f>
        <v>0</v>
      </c>
      <c r="P14" s="2072">
        <f>境外所得税收抵免审核表!P14</f>
        <v>0</v>
      </c>
      <c r="Q14" s="2072">
        <f>境外所得税收抵免审核表!Q14</f>
        <v>0</v>
      </c>
      <c r="R14" s="2072">
        <f>境外所得税收抵免审核表!R14</f>
        <v>0</v>
      </c>
      <c r="S14" s="2072">
        <f>境外所得税收抵免审核表!S14</f>
        <v>0</v>
      </c>
      <c r="T14" s="2072">
        <f>境外所得税收抵免审核表!T14</f>
        <v>0</v>
      </c>
    </row>
    <row r="15" spans="1:21" s="1616" customFormat="1" ht="14.25" customHeight="1">
      <c r="A15" s="1897">
        <v>10</v>
      </c>
      <c r="B15" s="1897" t="s">
        <v>5558</v>
      </c>
      <c r="C15" s="2072">
        <f>境外所得税收抵免审核表!C15</f>
        <v>0</v>
      </c>
      <c r="D15" s="2072">
        <f>境外所得税收抵免审核表!D15</f>
        <v>0</v>
      </c>
      <c r="E15" s="2072">
        <f>境外所得税收抵免审核表!E15</f>
        <v>0</v>
      </c>
      <c r="F15" s="2072">
        <f>境外所得税收抵免审核表!F15</f>
        <v>0</v>
      </c>
      <c r="G15" s="2072">
        <f>境外所得税收抵免审核表!G15</f>
        <v>0</v>
      </c>
      <c r="H15" s="2072">
        <f>境外所得税收抵免审核表!H15</f>
        <v>0</v>
      </c>
      <c r="I15" s="2072">
        <f>境外所得税收抵免审核表!I15</f>
        <v>0</v>
      </c>
      <c r="J15" s="2072">
        <f>境外所得税收抵免审核表!J15</f>
        <v>0</v>
      </c>
      <c r="K15" s="2072">
        <f>境外所得税收抵免审核表!K15</f>
        <v>0</v>
      </c>
      <c r="L15" s="2072">
        <f>境外所得税收抵免审核表!L15</f>
        <v>0</v>
      </c>
      <c r="M15" s="2072">
        <f>境外所得税收抵免审核表!M15</f>
        <v>0</v>
      </c>
      <c r="N15" s="2072">
        <f>境外所得税收抵免审核表!N15</f>
        <v>0</v>
      </c>
      <c r="O15" s="2072">
        <f>境外所得税收抵免审核表!O15</f>
        <v>0</v>
      </c>
      <c r="P15" s="2072">
        <f>境外所得税收抵免审核表!P15</f>
        <v>0</v>
      </c>
      <c r="Q15" s="2072">
        <f>境外所得税收抵免审核表!Q15</f>
        <v>0</v>
      </c>
      <c r="R15" s="2072">
        <f>境外所得税收抵免审核表!R15</f>
        <v>0</v>
      </c>
      <c r="S15" s="2072">
        <f>境外所得税收抵免审核表!S15</f>
        <v>0</v>
      </c>
      <c r="T15" s="2072">
        <f>境外所得税收抵免审核表!T15</f>
        <v>0</v>
      </c>
      <c r="U15" s="1770" t="s">
        <v>6477</v>
      </c>
    </row>
    <row r="16" spans="1:21" ht="215.25" customHeight="1">
      <c r="A16" s="1900"/>
      <c r="B16" s="1962" t="s">
        <v>4899</v>
      </c>
      <c r="C16" s="1900" t="s">
        <v>5808</v>
      </c>
      <c r="D16" s="1902" t="s">
        <v>5809</v>
      </c>
      <c r="E16" s="1902" t="s">
        <v>5810</v>
      </c>
      <c r="F16" s="1900"/>
      <c r="G16" s="1902" t="s">
        <v>5811</v>
      </c>
      <c r="H16" s="1900"/>
      <c r="I16" s="1900"/>
      <c r="J16" s="1902" t="s">
        <v>5812</v>
      </c>
      <c r="K16" s="1902" t="s">
        <v>5813</v>
      </c>
      <c r="L16" s="1900"/>
      <c r="M16" s="1900"/>
      <c r="N16" s="1900"/>
      <c r="O16" s="1902" t="s">
        <v>5814</v>
      </c>
      <c r="P16" s="1902"/>
      <c r="Q16" s="1900"/>
      <c r="R16" s="1900"/>
      <c r="S16" s="1900"/>
      <c r="T16" s="1902" t="s">
        <v>5815</v>
      </c>
    </row>
    <row r="17" spans="1:1">
      <c r="A17" s="1999"/>
    </row>
    <row r="18" spans="1:1">
      <c r="A18" s="1999"/>
    </row>
    <row r="19" spans="1:1">
      <c r="A19" s="1999"/>
    </row>
    <row r="20" spans="1:1">
      <c r="A20" s="1999"/>
    </row>
    <row r="21" spans="1:1">
      <c r="A21" s="1999"/>
    </row>
    <row r="22" spans="1:1">
      <c r="A22" s="1999"/>
    </row>
  </sheetData>
  <mergeCells count="19">
    <mergeCell ref="I3:I4"/>
    <mergeCell ref="J3:J4"/>
    <mergeCell ref="K3:K4"/>
    <mergeCell ref="L3:L4"/>
    <mergeCell ref="M3:M4"/>
    <mergeCell ref="N3:N4"/>
    <mergeCell ref="A1:T1"/>
    <mergeCell ref="A2:T2"/>
    <mergeCell ref="A3:A5"/>
    <mergeCell ref="B3:B4"/>
    <mergeCell ref="C3:C4"/>
    <mergeCell ref="D3:D4"/>
    <mergeCell ref="E3:E4"/>
    <mergeCell ref="F3:F4"/>
    <mergeCell ref="G3:G4"/>
    <mergeCell ref="H3:H4"/>
    <mergeCell ref="O3:O4"/>
    <mergeCell ref="P3:S3"/>
    <mergeCell ref="T3:T4"/>
  </mergeCells>
  <phoneticPr fontId="51" type="noConversion"/>
  <hyperlinks>
    <hyperlink ref="U15" location="境外所得税收抵免审核表!A1" display="境外所得税收抵免审核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tabColor rgb="FFFFFF00"/>
  </sheetPr>
  <dimension ref="A1:T20"/>
  <sheetViews>
    <sheetView workbookViewId="0">
      <selection activeCell="E5" sqref="E5"/>
    </sheetView>
  </sheetViews>
  <sheetFormatPr defaultColWidth="8.69921875" defaultRowHeight="13.2"/>
  <cols>
    <col min="1" max="1" width="3.5" style="1617" customWidth="1"/>
    <col min="2" max="2" width="9.3984375" style="1617" customWidth="1"/>
    <col min="3" max="19" width="10.19921875" style="1617" customWidth="1"/>
    <col min="20" max="256" width="8.69921875" style="1617"/>
    <col min="257" max="257" width="5.19921875" style="1617" customWidth="1"/>
    <col min="258" max="258" width="10.19921875" style="1617" customWidth="1"/>
    <col min="259" max="275" width="6.5" style="1617" customWidth="1"/>
    <col min="276" max="512" width="8.69921875" style="1617"/>
    <col min="513" max="513" width="5.19921875" style="1617" customWidth="1"/>
    <col min="514" max="514" width="10.19921875" style="1617" customWidth="1"/>
    <col min="515" max="531" width="6.5" style="1617" customWidth="1"/>
    <col min="532" max="768" width="8.69921875" style="1617"/>
    <col min="769" max="769" width="5.19921875" style="1617" customWidth="1"/>
    <col min="770" max="770" width="10.19921875" style="1617" customWidth="1"/>
    <col min="771" max="787" width="6.5" style="1617" customWidth="1"/>
    <col min="788" max="1024" width="8.69921875" style="1617"/>
    <col min="1025" max="1025" width="5.19921875" style="1617" customWidth="1"/>
    <col min="1026" max="1026" width="10.19921875" style="1617" customWidth="1"/>
    <col min="1027" max="1043" width="6.5" style="1617" customWidth="1"/>
    <col min="1044" max="1280" width="8.69921875" style="1617"/>
    <col min="1281" max="1281" width="5.19921875" style="1617" customWidth="1"/>
    <col min="1282" max="1282" width="10.19921875" style="1617" customWidth="1"/>
    <col min="1283" max="1299" width="6.5" style="1617" customWidth="1"/>
    <col min="1300" max="1536" width="8.69921875" style="1617"/>
    <col min="1537" max="1537" width="5.19921875" style="1617" customWidth="1"/>
    <col min="1538" max="1538" width="10.19921875" style="1617" customWidth="1"/>
    <col min="1539" max="1555" width="6.5" style="1617" customWidth="1"/>
    <col min="1556" max="1792" width="8.69921875" style="1617"/>
    <col min="1793" max="1793" width="5.19921875" style="1617" customWidth="1"/>
    <col min="1794" max="1794" width="10.19921875" style="1617" customWidth="1"/>
    <col min="1795" max="1811" width="6.5" style="1617" customWidth="1"/>
    <col min="1812" max="2048" width="8.69921875" style="1617"/>
    <col min="2049" max="2049" width="5.19921875" style="1617" customWidth="1"/>
    <col min="2050" max="2050" width="10.19921875" style="1617" customWidth="1"/>
    <col min="2051" max="2067" width="6.5" style="1617" customWidth="1"/>
    <col min="2068" max="2304" width="8.69921875" style="1617"/>
    <col min="2305" max="2305" width="5.19921875" style="1617" customWidth="1"/>
    <col min="2306" max="2306" width="10.19921875" style="1617" customWidth="1"/>
    <col min="2307" max="2323" width="6.5" style="1617" customWidth="1"/>
    <col min="2324" max="2560" width="8.69921875" style="1617"/>
    <col min="2561" max="2561" width="5.19921875" style="1617" customWidth="1"/>
    <col min="2562" max="2562" width="10.19921875" style="1617" customWidth="1"/>
    <col min="2563" max="2579" width="6.5" style="1617" customWidth="1"/>
    <col min="2580" max="2816" width="8.69921875" style="1617"/>
    <col min="2817" max="2817" width="5.19921875" style="1617" customWidth="1"/>
    <col min="2818" max="2818" width="10.19921875" style="1617" customWidth="1"/>
    <col min="2819" max="2835" width="6.5" style="1617" customWidth="1"/>
    <col min="2836" max="3072" width="8.69921875" style="1617"/>
    <col min="3073" max="3073" width="5.19921875" style="1617" customWidth="1"/>
    <col min="3074" max="3074" width="10.19921875" style="1617" customWidth="1"/>
    <col min="3075" max="3091" width="6.5" style="1617" customWidth="1"/>
    <col min="3092" max="3328" width="8.69921875" style="1617"/>
    <col min="3329" max="3329" width="5.19921875" style="1617" customWidth="1"/>
    <col min="3330" max="3330" width="10.19921875" style="1617" customWidth="1"/>
    <col min="3331" max="3347" width="6.5" style="1617" customWidth="1"/>
    <col min="3348" max="3584" width="8.69921875" style="1617"/>
    <col min="3585" max="3585" width="5.19921875" style="1617" customWidth="1"/>
    <col min="3586" max="3586" width="10.19921875" style="1617" customWidth="1"/>
    <col min="3587" max="3603" width="6.5" style="1617" customWidth="1"/>
    <col min="3604" max="3840" width="8.69921875" style="1617"/>
    <col min="3841" max="3841" width="5.19921875" style="1617" customWidth="1"/>
    <col min="3842" max="3842" width="10.19921875" style="1617" customWidth="1"/>
    <col min="3843" max="3859" width="6.5" style="1617" customWidth="1"/>
    <col min="3860" max="4096" width="8.69921875" style="1617"/>
    <col min="4097" max="4097" width="5.19921875" style="1617" customWidth="1"/>
    <col min="4098" max="4098" width="10.19921875" style="1617" customWidth="1"/>
    <col min="4099" max="4115" width="6.5" style="1617" customWidth="1"/>
    <col min="4116" max="4352" width="8.69921875" style="1617"/>
    <col min="4353" max="4353" width="5.19921875" style="1617" customWidth="1"/>
    <col min="4354" max="4354" width="10.19921875" style="1617" customWidth="1"/>
    <col min="4355" max="4371" width="6.5" style="1617" customWidth="1"/>
    <col min="4372" max="4608" width="8.69921875" style="1617"/>
    <col min="4609" max="4609" width="5.19921875" style="1617" customWidth="1"/>
    <col min="4610" max="4610" width="10.19921875" style="1617" customWidth="1"/>
    <col min="4611" max="4627" width="6.5" style="1617" customWidth="1"/>
    <col min="4628" max="4864" width="8.69921875" style="1617"/>
    <col min="4865" max="4865" width="5.19921875" style="1617" customWidth="1"/>
    <col min="4866" max="4866" width="10.19921875" style="1617" customWidth="1"/>
    <col min="4867" max="4883" width="6.5" style="1617" customWidth="1"/>
    <col min="4884" max="5120" width="8.69921875" style="1617"/>
    <col min="5121" max="5121" width="5.19921875" style="1617" customWidth="1"/>
    <col min="5122" max="5122" width="10.19921875" style="1617" customWidth="1"/>
    <col min="5123" max="5139" width="6.5" style="1617" customWidth="1"/>
    <col min="5140" max="5376" width="8.69921875" style="1617"/>
    <col min="5377" max="5377" width="5.19921875" style="1617" customWidth="1"/>
    <col min="5378" max="5378" width="10.19921875" style="1617" customWidth="1"/>
    <col min="5379" max="5395" width="6.5" style="1617" customWidth="1"/>
    <col min="5396" max="5632" width="8.69921875" style="1617"/>
    <col min="5633" max="5633" width="5.19921875" style="1617" customWidth="1"/>
    <col min="5634" max="5634" width="10.19921875" style="1617" customWidth="1"/>
    <col min="5635" max="5651" width="6.5" style="1617" customWidth="1"/>
    <col min="5652" max="5888" width="8.69921875" style="1617"/>
    <col min="5889" max="5889" width="5.19921875" style="1617" customWidth="1"/>
    <col min="5890" max="5890" width="10.19921875" style="1617" customWidth="1"/>
    <col min="5891" max="5907" width="6.5" style="1617" customWidth="1"/>
    <col min="5908" max="6144" width="8.69921875" style="1617"/>
    <col min="6145" max="6145" width="5.19921875" style="1617" customWidth="1"/>
    <col min="6146" max="6146" width="10.19921875" style="1617" customWidth="1"/>
    <col min="6147" max="6163" width="6.5" style="1617" customWidth="1"/>
    <col min="6164" max="6400" width="8.69921875" style="1617"/>
    <col min="6401" max="6401" width="5.19921875" style="1617" customWidth="1"/>
    <col min="6402" max="6402" width="10.19921875" style="1617" customWidth="1"/>
    <col min="6403" max="6419" width="6.5" style="1617" customWidth="1"/>
    <col min="6420" max="6656" width="8.69921875" style="1617"/>
    <col min="6657" max="6657" width="5.19921875" style="1617" customWidth="1"/>
    <col min="6658" max="6658" width="10.19921875" style="1617" customWidth="1"/>
    <col min="6659" max="6675" width="6.5" style="1617" customWidth="1"/>
    <col min="6676" max="6912" width="8.69921875" style="1617"/>
    <col min="6913" max="6913" width="5.19921875" style="1617" customWidth="1"/>
    <col min="6914" max="6914" width="10.19921875" style="1617" customWidth="1"/>
    <col min="6915" max="6931" width="6.5" style="1617" customWidth="1"/>
    <col min="6932" max="7168" width="8.69921875" style="1617"/>
    <col min="7169" max="7169" width="5.19921875" style="1617" customWidth="1"/>
    <col min="7170" max="7170" width="10.19921875" style="1617" customWidth="1"/>
    <col min="7171" max="7187" width="6.5" style="1617" customWidth="1"/>
    <col min="7188" max="7424" width="8.69921875" style="1617"/>
    <col min="7425" max="7425" width="5.19921875" style="1617" customWidth="1"/>
    <col min="7426" max="7426" width="10.19921875" style="1617" customWidth="1"/>
    <col min="7427" max="7443" width="6.5" style="1617" customWidth="1"/>
    <col min="7444" max="7680" width="8.69921875" style="1617"/>
    <col min="7681" max="7681" width="5.19921875" style="1617" customWidth="1"/>
    <col min="7682" max="7682" width="10.19921875" style="1617" customWidth="1"/>
    <col min="7683" max="7699" width="6.5" style="1617" customWidth="1"/>
    <col min="7700" max="7936" width="8.69921875" style="1617"/>
    <col min="7937" max="7937" width="5.19921875" style="1617" customWidth="1"/>
    <col min="7938" max="7938" width="10.19921875" style="1617" customWidth="1"/>
    <col min="7939" max="7955" width="6.5" style="1617" customWidth="1"/>
    <col min="7956" max="8192" width="8.69921875" style="1617"/>
    <col min="8193" max="8193" width="5.19921875" style="1617" customWidth="1"/>
    <col min="8194" max="8194" width="10.19921875" style="1617" customWidth="1"/>
    <col min="8195" max="8211" width="6.5" style="1617" customWidth="1"/>
    <col min="8212" max="8448" width="8.69921875" style="1617"/>
    <col min="8449" max="8449" width="5.19921875" style="1617" customWidth="1"/>
    <col min="8450" max="8450" width="10.19921875" style="1617" customWidth="1"/>
    <col min="8451" max="8467" width="6.5" style="1617" customWidth="1"/>
    <col min="8468" max="8704" width="8.69921875" style="1617"/>
    <col min="8705" max="8705" width="5.19921875" style="1617" customWidth="1"/>
    <col min="8706" max="8706" width="10.19921875" style="1617" customWidth="1"/>
    <col min="8707" max="8723" width="6.5" style="1617" customWidth="1"/>
    <col min="8724" max="8960" width="8.69921875" style="1617"/>
    <col min="8961" max="8961" width="5.19921875" style="1617" customWidth="1"/>
    <col min="8962" max="8962" width="10.19921875" style="1617" customWidth="1"/>
    <col min="8963" max="8979" width="6.5" style="1617" customWidth="1"/>
    <col min="8980" max="9216" width="8.69921875" style="1617"/>
    <col min="9217" max="9217" width="5.19921875" style="1617" customWidth="1"/>
    <col min="9218" max="9218" width="10.19921875" style="1617" customWidth="1"/>
    <col min="9219" max="9235" width="6.5" style="1617" customWidth="1"/>
    <col min="9236" max="9472" width="8.69921875" style="1617"/>
    <col min="9473" max="9473" width="5.19921875" style="1617" customWidth="1"/>
    <col min="9474" max="9474" width="10.19921875" style="1617" customWidth="1"/>
    <col min="9475" max="9491" width="6.5" style="1617" customWidth="1"/>
    <col min="9492" max="9728" width="8.69921875" style="1617"/>
    <col min="9729" max="9729" width="5.19921875" style="1617" customWidth="1"/>
    <col min="9730" max="9730" width="10.19921875" style="1617" customWidth="1"/>
    <col min="9731" max="9747" width="6.5" style="1617" customWidth="1"/>
    <col min="9748" max="9984" width="8.69921875" style="1617"/>
    <col min="9985" max="9985" width="5.19921875" style="1617" customWidth="1"/>
    <col min="9986" max="9986" width="10.19921875" style="1617" customWidth="1"/>
    <col min="9987" max="10003" width="6.5" style="1617" customWidth="1"/>
    <col min="10004" max="10240" width="8.69921875" style="1617"/>
    <col min="10241" max="10241" width="5.19921875" style="1617" customWidth="1"/>
    <col min="10242" max="10242" width="10.19921875" style="1617" customWidth="1"/>
    <col min="10243" max="10259" width="6.5" style="1617" customWidth="1"/>
    <col min="10260" max="10496" width="8.69921875" style="1617"/>
    <col min="10497" max="10497" width="5.19921875" style="1617" customWidth="1"/>
    <col min="10498" max="10498" width="10.19921875" style="1617" customWidth="1"/>
    <col min="10499" max="10515" width="6.5" style="1617" customWidth="1"/>
    <col min="10516" max="10752" width="8.69921875" style="1617"/>
    <col min="10753" max="10753" width="5.19921875" style="1617" customWidth="1"/>
    <col min="10754" max="10754" width="10.19921875" style="1617" customWidth="1"/>
    <col min="10755" max="10771" width="6.5" style="1617" customWidth="1"/>
    <col min="10772" max="11008" width="8.69921875" style="1617"/>
    <col min="11009" max="11009" width="5.19921875" style="1617" customWidth="1"/>
    <col min="11010" max="11010" width="10.19921875" style="1617" customWidth="1"/>
    <col min="11011" max="11027" width="6.5" style="1617" customWidth="1"/>
    <col min="11028" max="11264" width="8.69921875" style="1617"/>
    <col min="11265" max="11265" width="5.19921875" style="1617" customWidth="1"/>
    <col min="11266" max="11266" width="10.19921875" style="1617" customWidth="1"/>
    <col min="11267" max="11283" width="6.5" style="1617" customWidth="1"/>
    <col min="11284" max="11520" width="8.69921875" style="1617"/>
    <col min="11521" max="11521" width="5.19921875" style="1617" customWidth="1"/>
    <col min="11522" max="11522" width="10.19921875" style="1617" customWidth="1"/>
    <col min="11523" max="11539" width="6.5" style="1617" customWidth="1"/>
    <col min="11540" max="11776" width="8.69921875" style="1617"/>
    <col min="11777" max="11777" width="5.19921875" style="1617" customWidth="1"/>
    <col min="11778" max="11778" width="10.19921875" style="1617" customWidth="1"/>
    <col min="11779" max="11795" width="6.5" style="1617" customWidth="1"/>
    <col min="11796" max="12032" width="8.69921875" style="1617"/>
    <col min="12033" max="12033" width="5.19921875" style="1617" customWidth="1"/>
    <col min="12034" max="12034" width="10.19921875" style="1617" customWidth="1"/>
    <col min="12035" max="12051" width="6.5" style="1617" customWidth="1"/>
    <col min="12052" max="12288" width="8.69921875" style="1617"/>
    <col min="12289" max="12289" width="5.19921875" style="1617" customWidth="1"/>
    <col min="12290" max="12290" width="10.19921875" style="1617" customWidth="1"/>
    <col min="12291" max="12307" width="6.5" style="1617" customWidth="1"/>
    <col min="12308" max="12544" width="8.69921875" style="1617"/>
    <col min="12545" max="12545" width="5.19921875" style="1617" customWidth="1"/>
    <col min="12546" max="12546" width="10.19921875" style="1617" customWidth="1"/>
    <col min="12547" max="12563" width="6.5" style="1617" customWidth="1"/>
    <col min="12564" max="12800" width="8.69921875" style="1617"/>
    <col min="12801" max="12801" width="5.19921875" style="1617" customWidth="1"/>
    <col min="12802" max="12802" width="10.19921875" style="1617" customWidth="1"/>
    <col min="12803" max="12819" width="6.5" style="1617" customWidth="1"/>
    <col min="12820" max="13056" width="8.69921875" style="1617"/>
    <col min="13057" max="13057" width="5.19921875" style="1617" customWidth="1"/>
    <col min="13058" max="13058" width="10.19921875" style="1617" customWidth="1"/>
    <col min="13059" max="13075" width="6.5" style="1617" customWidth="1"/>
    <col min="13076" max="13312" width="8.69921875" style="1617"/>
    <col min="13313" max="13313" width="5.19921875" style="1617" customWidth="1"/>
    <col min="13314" max="13314" width="10.19921875" style="1617" customWidth="1"/>
    <col min="13315" max="13331" width="6.5" style="1617" customWidth="1"/>
    <col min="13332" max="13568" width="8.69921875" style="1617"/>
    <col min="13569" max="13569" width="5.19921875" style="1617" customWidth="1"/>
    <col min="13570" max="13570" width="10.19921875" style="1617" customWidth="1"/>
    <col min="13571" max="13587" width="6.5" style="1617" customWidth="1"/>
    <col min="13588" max="13824" width="8.69921875" style="1617"/>
    <col min="13825" max="13825" width="5.19921875" style="1617" customWidth="1"/>
    <col min="13826" max="13826" width="10.19921875" style="1617" customWidth="1"/>
    <col min="13827" max="13843" width="6.5" style="1617" customWidth="1"/>
    <col min="13844" max="14080" width="8.69921875" style="1617"/>
    <col min="14081" max="14081" width="5.19921875" style="1617" customWidth="1"/>
    <col min="14082" max="14082" width="10.19921875" style="1617" customWidth="1"/>
    <col min="14083" max="14099" width="6.5" style="1617" customWidth="1"/>
    <col min="14100" max="14336" width="8.69921875" style="1617"/>
    <col min="14337" max="14337" width="5.19921875" style="1617" customWidth="1"/>
    <col min="14338" max="14338" width="10.19921875" style="1617" customWidth="1"/>
    <col min="14339" max="14355" width="6.5" style="1617" customWidth="1"/>
    <col min="14356" max="14592" width="8.69921875" style="1617"/>
    <col min="14593" max="14593" width="5.19921875" style="1617" customWidth="1"/>
    <col min="14594" max="14594" width="10.19921875" style="1617" customWidth="1"/>
    <col min="14595" max="14611" width="6.5" style="1617" customWidth="1"/>
    <col min="14612" max="14848" width="8.69921875" style="1617"/>
    <col min="14849" max="14849" width="5.19921875" style="1617" customWidth="1"/>
    <col min="14850" max="14850" width="10.19921875" style="1617" customWidth="1"/>
    <col min="14851" max="14867" width="6.5" style="1617" customWidth="1"/>
    <col min="14868" max="15104" width="8.69921875" style="1617"/>
    <col min="15105" max="15105" width="5.19921875" style="1617" customWidth="1"/>
    <col min="15106" max="15106" width="10.19921875" style="1617" customWidth="1"/>
    <col min="15107" max="15123" width="6.5" style="1617" customWidth="1"/>
    <col min="15124" max="15360" width="8.69921875" style="1617"/>
    <col min="15361" max="15361" width="5.19921875" style="1617" customWidth="1"/>
    <col min="15362" max="15362" width="10.19921875" style="1617" customWidth="1"/>
    <col min="15363" max="15379" width="6.5" style="1617" customWidth="1"/>
    <col min="15380" max="15616" width="8.69921875" style="1617"/>
    <col min="15617" max="15617" width="5.19921875" style="1617" customWidth="1"/>
    <col min="15618" max="15618" width="10.19921875" style="1617" customWidth="1"/>
    <col min="15619" max="15635" width="6.5" style="1617" customWidth="1"/>
    <col min="15636" max="15872" width="8.69921875" style="1617"/>
    <col min="15873" max="15873" width="5.19921875" style="1617" customWidth="1"/>
    <col min="15874" max="15874" width="10.19921875" style="1617" customWidth="1"/>
    <col min="15875" max="15891" width="6.5" style="1617" customWidth="1"/>
    <col min="15892" max="16128" width="8.69921875" style="1617"/>
    <col min="16129" max="16129" width="5.19921875" style="1617" customWidth="1"/>
    <col min="16130" max="16130" width="10.19921875" style="1617" customWidth="1"/>
    <col min="16131" max="16147" width="6.5" style="1617" customWidth="1"/>
    <col min="16148" max="16384" width="8.69921875" style="1617"/>
  </cols>
  <sheetData>
    <row r="1" spans="1:20" s="1616" customFormat="1" ht="20.100000000000001" customHeight="1">
      <c r="A1" s="3400" t="s">
        <v>6626</v>
      </c>
      <c r="B1" s="3400"/>
      <c r="C1" s="3400"/>
      <c r="D1" s="3400"/>
      <c r="E1" s="3400"/>
      <c r="F1" s="3400"/>
      <c r="G1" s="3400"/>
      <c r="H1" s="3400"/>
      <c r="I1" s="3400"/>
      <c r="J1" s="3400"/>
      <c r="K1" s="3400"/>
      <c r="L1" s="3400"/>
      <c r="M1" s="3400"/>
      <c r="N1" s="3400"/>
      <c r="O1" s="3400"/>
      <c r="P1" s="3400"/>
      <c r="Q1" s="3400"/>
      <c r="R1" s="3400"/>
      <c r="S1" s="3400"/>
    </row>
    <row r="2" spans="1:20" s="1620" customFormat="1" ht="25.5" customHeight="1">
      <c r="A2" s="3500" t="s">
        <v>5816</v>
      </c>
      <c r="B2" s="3500"/>
      <c r="C2" s="3500"/>
      <c r="D2" s="3500"/>
      <c r="E2" s="3500"/>
      <c r="F2" s="3500"/>
      <c r="G2" s="3500"/>
      <c r="H2" s="3500"/>
      <c r="I2" s="3500"/>
      <c r="J2" s="3500"/>
      <c r="K2" s="3500"/>
      <c r="L2" s="3500"/>
      <c r="M2" s="3500"/>
      <c r="N2" s="3500"/>
      <c r="O2" s="3500"/>
      <c r="P2" s="3500"/>
      <c r="Q2" s="3500"/>
      <c r="R2" s="3500"/>
      <c r="S2" s="3501"/>
    </row>
    <row r="3" spans="1:20" s="1618" customFormat="1" ht="24" customHeight="1">
      <c r="A3" s="3407" t="s">
        <v>5671</v>
      </c>
      <c r="B3" s="3407" t="s">
        <v>5787</v>
      </c>
      <c r="C3" s="3502" t="s">
        <v>5817</v>
      </c>
      <c r="D3" s="3503"/>
      <c r="E3" s="3503"/>
      <c r="F3" s="3503"/>
      <c r="G3" s="3503"/>
      <c r="H3" s="3503"/>
      <c r="I3" s="3503"/>
      <c r="J3" s="3504"/>
      <c r="K3" s="3502" t="s">
        <v>5818</v>
      </c>
      <c r="L3" s="3503"/>
      <c r="M3" s="3503"/>
      <c r="N3" s="3504"/>
      <c r="O3" s="3407" t="s">
        <v>5788</v>
      </c>
      <c r="P3" s="3407" t="s">
        <v>5819</v>
      </c>
      <c r="Q3" s="3407" t="s">
        <v>5820</v>
      </c>
      <c r="R3" s="3407" t="s">
        <v>5821</v>
      </c>
      <c r="S3" s="3407" t="s">
        <v>5789</v>
      </c>
    </row>
    <row r="4" spans="1:20" s="1618" customFormat="1" ht="68.25" customHeight="1">
      <c r="A4" s="3407"/>
      <c r="B4" s="3407"/>
      <c r="C4" s="1898" t="s">
        <v>5822</v>
      </c>
      <c r="D4" s="1898" t="s">
        <v>5823</v>
      </c>
      <c r="E4" s="1898" t="s">
        <v>5824</v>
      </c>
      <c r="F4" s="1898" t="s">
        <v>5825</v>
      </c>
      <c r="G4" s="1898" t="s">
        <v>5826</v>
      </c>
      <c r="H4" s="1898" t="s">
        <v>5827</v>
      </c>
      <c r="I4" s="1898" t="s">
        <v>5828</v>
      </c>
      <c r="J4" s="1898" t="s">
        <v>1280</v>
      </c>
      <c r="K4" s="1898" t="s">
        <v>5829</v>
      </c>
      <c r="L4" s="1898" t="s">
        <v>5830</v>
      </c>
      <c r="M4" s="1898" t="s">
        <v>5831</v>
      </c>
      <c r="N4" s="1898" t="s">
        <v>1280</v>
      </c>
      <c r="O4" s="3407"/>
      <c r="P4" s="3407"/>
      <c r="Q4" s="3407"/>
      <c r="R4" s="3407"/>
      <c r="S4" s="3407"/>
    </row>
    <row r="5" spans="1:20" s="1618" customFormat="1" ht="49.5" customHeight="1">
      <c r="A5" s="3407"/>
      <c r="B5" s="1898">
        <v>1</v>
      </c>
      <c r="C5" s="1898">
        <v>2</v>
      </c>
      <c r="D5" s="1898">
        <v>3</v>
      </c>
      <c r="E5" s="1898">
        <v>4</v>
      </c>
      <c r="F5" s="1898">
        <v>5</v>
      </c>
      <c r="G5" s="1898">
        <v>6</v>
      </c>
      <c r="H5" s="1898">
        <v>7</v>
      </c>
      <c r="I5" s="1898">
        <v>8</v>
      </c>
      <c r="J5" s="1898" t="s">
        <v>5832</v>
      </c>
      <c r="K5" s="1898">
        <v>10</v>
      </c>
      <c r="L5" s="1898">
        <v>11</v>
      </c>
      <c r="M5" s="1898">
        <v>12</v>
      </c>
      <c r="N5" s="1898" t="s">
        <v>5833</v>
      </c>
      <c r="O5" s="1898" t="s">
        <v>5834</v>
      </c>
      <c r="P5" s="1898">
        <v>15</v>
      </c>
      <c r="Q5" s="1898">
        <v>16</v>
      </c>
      <c r="R5" s="1898">
        <v>17</v>
      </c>
      <c r="S5" s="1898" t="s">
        <v>5835</v>
      </c>
    </row>
    <row r="6" spans="1:20" s="1616" customFormat="1" ht="14.25" customHeight="1">
      <c r="A6" s="1897">
        <v>1</v>
      </c>
      <c r="B6" s="1903">
        <f>境外所得纳税调整后所得审核表!B6</f>
        <v>0</v>
      </c>
      <c r="C6" s="2072">
        <f>境外所得纳税调整后所得审核表!C6</f>
        <v>0</v>
      </c>
      <c r="D6" s="2072">
        <f>境外所得纳税调整后所得审核表!D6</f>
        <v>0</v>
      </c>
      <c r="E6" s="2072">
        <f>境外所得纳税调整后所得审核表!E6</f>
        <v>0</v>
      </c>
      <c r="F6" s="2072">
        <f>境外所得纳税调整后所得审核表!F6</f>
        <v>0</v>
      </c>
      <c r="G6" s="2072">
        <f>境外所得纳税调整后所得审核表!G6</f>
        <v>0</v>
      </c>
      <c r="H6" s="2072">
        <f>境外所得纳税调整后所得审核表!H6</f>
        <v>0</v>
      </c>
      <c r="I6" s="2072">
        <f>境外所得纳税调整后所得审核表!I6</f>
        <v>0</v>
      </c>
      <c r="J6" s="2072">
        <f>境外所得纳税调整后所得审核表!J6</f>
        <v>0</v>
      </c>
      <c r="K6" s="2072">
        <f>境外所得纳税调整后所得审核表!K6</f>
        <v>0</v>
      </c>
      <c r="L6" s="2072">
        <f>境外所得纳税调整后所得审核表!L6</f>
        <v>0</v>
      </c>
      <c r="M6" s="2072">
        <f>境外所得纳税调整后所得审核表!M6</f>
        <v>0</v>
      </c>
      <c r="N6" s="2072">
        <f>境外所得纳税调整后所得审核表!N6</f>
        <v>0</v>
      </c>
      <c r="O6" s="2072">
        <f>境外所得纳税调整后所得审核表!O6</f>
        <v>0</v>
      </c>
      <c r="P6" s="2072">
        <f>境外所得纳税调整后所得审核表!P6</f>
        <v>0</v>
      </c>
      <c r="Q6" s="2072">
        <f>境外所得纳税调整后所得审核表!Q6</f>
        <v>0</v>
      </c>
      <c r="R6" s="2072">
        <f>境外所得纳税调整后所得审核表!R6</f>
        <v>0</v>
      </c>
      <c r="S6" s="2072">
        <f>境外所得纳税调整后所得审核表!S6</f>
        <v>0</v>
      </c>
    </row>
    <row r="7" spans="1:20" s="1616" customFormat="1" ht="14.25" customHeight="1">
      <c r="A7" s="1897">
        <v>2</v>
      </c>
      <c r="B7" s="1903">
        <f>境外所得纳税调整后所得审核表!B7</f>
        <v>0</v>
      </c>
      <c r="C7" s="2072">
        <f>境外所得纳税调整后所得审核表!C7</f>
        <v>0</v>
      </c>
      <c r="D7" s="2072">
        <f>境外所得纳税调整后所得审核表!D7</f>
        <v>0</v>
      </c>
      <c r="E7" s="2072">
        <f>境外所得纳税调整后所得审核表!E7</f>
        <v>0</v>
      </c>
      <c r="F7" s="2072">
        <f>境外所得纳税调整后所得审核表!F7</f>
        <v>0</v>
      </c>
      <c r="G7" s="2072">
        <f>境外所得纳税调整后所得审核表!G7</f>
        <v>0</v>
      </c>
      <c r="H7" s="2072">
        <f>境外所得纳税调整后所得审核表!H7</f>
        <v>0</v>
      </c>
      <c r="I7" s="2072">
        <f>境外所得纳税调整后所得审核表!I7</f>
        <v>0</v>
      </c>
      <c r="J7" s="2072">
        <f>境外所得纳税调整后所得审核表!J7</f>
        <v>0</v>
      </c>
      <c r="K7" s="2072">
        <f>境外所得纳税调整后所得审核表!K7</f>
        <v>0</v>
      </c>
      <c r="L7" s="2072">
        <f>境外所得纳税调整后所得审核表!L7</f>
        <v>0</v>
      </c>
      <c r="M7" s="2072">
        <f>境外所得纳税调整后所得审核表!M7</f>
        <v>0</v>
      </c>
      <c r="N7" s="2072">
        <f>境外所得纳税调整后所得审核表!N7</f>
        <v>0</v>
      </c>
      <c r="O7" s="2072">
        <f>境外所得纳税调整后所得审核表!O7</f>
        <v>0</v>
      </c>
      <c r="P7" s="2072">
        <f>境外所得纳税调整后所得审核表!P7</f>
        <v>0</v>
      </c>
      <c r="Q7" s="2072">
        <f>境外所得纳税调整后所得审核表!Q7</f>
        <v>0</v>
      </c>
      <c r="R7" s="2072">
        <f>境外所得纳税调整后所得审核表!R7</f>
        <v>0</v>
      </c>
      <c r="S7" s="2072">
        <f>境外所得纳税调整后所得审核表!S7</f>
        <v>0</v>
      </c>
    </row>
    <row r="8" spans="1:20" s="1616" customFormat="1" ht="14.25" customHeight="1">
      <c r="A8" s="1897">
        <v>3</v>
      </c>
      <c r="B8" s="1903">
        <f>境外所得纳税调整后所得审核表!B8</f>
        <v>0</v>
      </c>
      <c r="C8" s="2072">
        <f>境外所得纳税调整后所得审核表!C8</f>
        <v>0</v>
      </c>
      <c r="D8" s="2072">
        <f>境外所得纳税调整后所得审核表!D8</f>
        <v>0</v>
      </c>
      <c r="E8" s="2072">
        <f>境外所得纳税调整后所得审核表!E8</f>
        <v>0</v>
      </c>
      <c r="F8" s="2072">
        <f>境外所得纳税调整后所得审核表!F8</f>
        <v>0</v>
      </c>
      <c r="G8" s="2072">
        <f>境外所得纳税调整后所得审核表!G8</f>
        <v>0</v>
      </c>
      <c r="H8" s="2072">
        <f>境外所得纳税调整后所得审核表!H8</f>
        <v>0</v>
      </c>
      <c r="I8" s="2072">
        <f>境外所得纳税调整后所得审核表!I8</f>
        <v>0</v>
      </c>
      <c r="J8" s="2072">
        <f>境外所得纳税调整后所得审核表!J8</f>
        <v>0</v>
      </c>
      <c r="K8" s="2072">
        <f>境外所得纳税调整后所得审核表!K8</f>
        <v>0</v>
      </c>
      <c r="L8" s="2072">
        <f>境外所得纳税调整后所得审核表!L8</f>
        <v>0</v>
      </c>
      <c r="M8" s="2072">
        <f>境外所得纳税调整后所得审核表!M8</f>
        <v>0</v>
      </c>
      <c r="N8" s="2072">
        <f>境外所得纳税调整后所得审核表!N8</f>
        <v>0</v>
      </c>
      <c r="O8" s="2072">
        <f>境外所得纳税调整后所得审核表!O8</f>
        <v>0</v>
      </c>
      <c r="P8" s="2072">
        <f>境外所得纳税调整后所得审核表!P8</f>
        <v>0</v>
      </c>
      <c r="Q8" s="2072">
        <f>境外所得纳税调整后所得审核表!Q8</f>
        <v>0</v>
      </c>
      <c r="R8" s="2072">
        <f>境外所得纳税调整后所得审核表!R8</f>
        <v>0</v>
      </c>
      <c r="S8" s="2072">
        <f>境外所得纳税调整后所得审核表!S8</f>
        <v>0</v>
      </c>
    </row>
    <row r="9" spans="1:20" s="1616" customFormat="1" ht="14.25" customHeight="1">
      <c r="A9" s="1897">
        <v>4</v>
      </c>
      <c r="B9" s="1903">
        <f>境外所得纳税调整后所得审核表!B9</f>
        <v>0</v>
      </c>
      <c r="C9" s="2072">
        <f>境外所得纳税调整后所得审核表!C9</f>
        <v>0</v>
      </c>
      <c r="D9" s="2072">
        <f>境外所得纳税调整后所得审核表!D9</f>
        <v>0</v>
      </c>
      <c r="E9" s="2072">
        <f>境外所得纳税调整后所得审核表!E9</f>
        <v>0</v>
      </c>
      <c r="F9" s="2072">
        <f>境外所得纳税调整后所得审核表!F9</f>
        <v>0</v>
      </c>
      <c r="G9" s="2072">
        <f>境外所得纳税调整后所得审核表!G9</f>
        <v>0</v>
      </c>
      <c r="H9" s="2072">
        <f>境外所得纳税调整后所得审核表!H9</f>
        <v>0</v>
      </c>
      <c r="I9" s="2072">
        <f>境外所得纳税调整后所得审核表!I9</f>
        <v>0</v>
      </c>
      <c r="J9" s="2072">
        <f>境外所得纳税调整后所得审核表!J9</f>
        <v>0</v>
      </c>
      <c r="K9" s="2072">
        <f>境外所得纳税调整后所得审核表!K9</f>
        <v>0</v>
      </c>
      <c r="L9" s="2072">
        <f>境外所得纳税调整后所得审核表!L9</f>
        <v>0</v>
      </c>
      <c r="M9" s="2072">
        <f>境外所得纳税调整后所得审核表!M9</f>
        <v>0</v>
      </c>
      <c r="N9" s="2072">
        <f>境外所得纳税调整后所得审核表!N9</f>
        <v>0</v>
      </c>
      <c r="O9" s="2072">
        <f>境外所得纳税调整后所得审核表!O9</f>
        <v>0</v>
      </c>
      <c r="P9" s="2072">
        <f>境外所得纳税调整后所得审核表!P9</f>
        <v>0</v>
      </c>
      <c r="Q9" s="2072">
        <f>境外所得纳税调整后所得审核表!Q9</f>
        <v>0</v>
      </c>
      <c r="R9" s="2072">
        <f>境外所得纳税调整后所得审核表!R9</f>
        <v>0</v>
      </c>
      <c r="S9" s="2072">
        <f>境外所得纳税调整后所得审核表!S9</f>
        <v>0</v>
      </c>
    </row>
    <row r="10" spans="1:20" s="1616" customFormat="1" ht="14.25" customHeight="1">
      <c r="A10" s="1897">
        <v>5</v>
      </c>
      <c r="B10" s="1903">
        <f>境外所得纳税调整后所得审核表!B10</f>
        <v>0</v>
      </c>
      <c r="C10" s="2072">
        <f>境外所得纳税调整后所得审核表!C10</f>
        <v>0</v>
      </c>
      <c r="D10" s="2072">
        <f>境外所得纳税调整后所得审核表!D10</f>
        <v>0</v>
      </c>
      <c r="E10" s="2072">
        <f>境外所得纳税调整后所得审核表!E10</f>
        <v>0</v>
      </c>
      <c r="F10" s="2072">
        <f>境外所得纳税调整后所得审核表!F10</f>
        <v>0</v>
      </c>
      <c r="G10" s="2072">
        <f>境外所得纳税调整后所得审核表!G10</f>
        <v>0</v>
      </c>
      <c r="H10" s="2072">
        <f>境外所得纳税调整后所得审核表!H10</f>
        <v>0</v>
      </c>
      <c r="I10" s="2072">
        <f>境外所得纳税调整后所得审核表!I10</f>
        <v>0</v>
      </c>
      <c r="J10" s="2072">
        <f>境外所得纳税调整后所得审核表!J10</f>
        <v>0</v>
      </c>
      <c r="K10" s="2072">
        <f>境外所得纳税调整后所得审核表!K10</f>
        <v>0</v>
      </c>
      <c r="L10" s="2072">
        <f>境外所得纳税调整后所得审核表!L10</f>
        <v>0</v>
      </c>
      <c r="M10" s="2072">
        <f>境外所得纳税调整后所得审核表!M10</f>
        <v>0</v>
      </c>
      <c r="N10" s="2072">
        <f>境外所得纳税调整后所得审核表!N10</f>
        <v>0</v>
      </c>
      <c r="O10" s="2072">
        <f>境外所得纳税调整后所得审核表!O10</f>
        <v>0</v>
      </c>
      <c r="P10" s="2072">
        <f>境外所得纳税调整后所得审核表!P10</f>
        <v>0</v>
      </c>
      <c r="Q10" s="2072">
        <f>境外所得纳税调整后所得审核表!Q10</f>
        <v>0</v>
      </c>
      <c r="R10" s="2072">
        <f>境外所得纳税调整后所得审核表!R10</f>
        <v>0</v>
      </c>
      <c r="S10" s="2072">
        <f>境外所得纳税调整后所得审核表!S10</f>
        <v>0</v>
      </c>
    </row>
    <row r="11" spans="1:20" s="1616" customFormat="1" ht="14.25" customHeight="1">
      <c r="A11" s="1897">
        <v>6</v>
      </c>
      <c r="B11" s="1903">
        <f>境外所得纳税调整后所得审核表!B11</f>
        <v>0</v>
      </c>
      <c r="C11" s="2072">
        <f>境外所得纳税调整后所得审核表!C11</f>
        <v>0</v>
      </c>
      <c r="D11" s="2072">
        <f>境外所得纳税调整后所得审核表!D11</f>
        <v>0</v>
      </c>
      <c r="E11" s="2072">
        <f>境外所得纳税调整后所得审核表!E11</f>
        <v>0</v>
      </c>
      <c r="F11" s="2072">
        <f>境外所得纳税调整后所得审核表!F11</f>
        <v>0</v>
      </c>
      <c r="G11" s="2072">
        <f>境外所得纳税调整后所得审核表!G11</f>
        <v>0</v>
      </c>
      <c r="H11" s="2072">
        <f>境外所得纳税调整后所得审核表!H11</f>
        <v>0</v>
      </c>
      <c r="I11" s="2072">
        <f>境外所得纳税调整后所得审核表!I11</f>
        <v>0</v>
      </c>
      <c r="J11" s="2072">
        <f>境外所得纳税调整后所得审核表!J11</f>
        <v>0</v>
      </c>
      <c r="K11" s="2072">
        <f>境外所得纳税调整后所得审核表!K11</f>
        <v>0</v>
      </c>
      <c r="L11" s="2072">
        <f>境外所得纳税调整后所得审核表!L11</f>
        <v>0</v>
      </c>
      <c r="M11" s="2072">
        <f>境外所得纳税调整后所得审核表!M11</f>
        <v>0</v>
      </c>
      <c r="N11" s="2072">
        <f>境外所得纳税调整后所得审核表!N11</f>
        <v>0</v>
      </c>
      <c r="O11" s="2072">
        <f>境外所得纳税调整后所得审核表!O11</f>
        <v>0</v>
      </c>
      <c r="P11" s="2072">
        <f>境外所得纳税调整后所得审核表!P11</f>
        <v>0</v>
      </c>
      <c r="Q11" s="2072">
        <f>境外所得纳税调整后所得审核表!Q11</f>
        <v>0</v>
      </c>
      <c r="R11" s="2072">
        <f>境外所得纳税调整后所得审核表!R11</f>
        <v>0</v>
      </c>
      <c r="S11" s="2072">
        <f>境外所得纳税调整后所得审核表!S11</f>
        <v>0</v>
      </c>
    </row>
    <row r="12" spans="1:20" s="1616" customFormat="1" ht="14.25" customHeight="1">
      <c r="A12" s="1897">
        <v>7</v>
      </c>
      <c r="B12" s="1903">
        <f>境外所得纳税调整后所得审核表!B12</f>
        <v>0</v>
      </c>
      <c r="C12" s="2072">
        <f>境外所得纳税调整后所得审核表!C12</f>
        <v>0</v>
      </c>
      <c r="D12" s="2072">
        <f>境外所得纳税调整后所得审核表!D12</f>
        <v>0</v>
      </c>
      <c r="E12" s="2072">
        <f>境外所得纳税调整后所得审核表!E12</f>
        <v>0</v>
      </c>
      <c r="F12" s="2072">
        <f>境外所得纳税调整后所得审核表!F12</f>
        <v>0</v>
      </c>
      <c r="G12" s="2072">
        <f>境外所得纳税调整后所得审核表!G12</f>
        <v>0</v>
      </c>
      <c r="H12" s="2072">
        <f>境外所得纳税调整后所得审核表!H12</f>
        <v>0</v>
      </c>
      <c r="I12" s="2072">
        <f>境外所得纳税调整后所得审核表!I12</f>
        <v>0</v>
      </c>
      <c r="J12" s="2072">
        <f>境外所得纳税调整后所得审核表!J12</f>
        <v>0</v>
      </c>
      <c r="K12" s="2072">
        <f>境外所得纳税调整后所得审核表!K12</f>
        <v>0</v>
      </c>
      <c r="L12" s="2072">
        <f>境外所得纳税调整后所得审核表!L12</f>
        <v>0</v>
      </c>
      <c r="M12" s="2072">
        <f>境外所得纳税调整后所得审核表!M12</f>
        <v>0</v>
      </c>
      <c r="N12" s="2072">
        <f>境外所得纳税调整后所得审核表!N12</f>
        <v>0</v>
      </c>
      <c r="O12" s="2072">
        <f>境外所得纳税调整后所得审核表!O12</f>
        <v>0</v>
      </c>
      <c r="P12" s="2072">
        <f>境外所得纳税调整后所得审核表!P12</f>
        <v>0</v>
      </c>
      <c r="Q12" s="2072">
        <f>境外所得纳税调整后所得审核表!Q12</f>
        <v>0</v>
      </c>
      <c r="R12" s="2072">
        <f>境外所得纳税调整后所得审核表!R12</f>
        <v>0</v>
      </c>
      <c r="S12" s="2072">
        <f>境外所得纳税调整后所得审核表!S12</f>
        <v>0</v>
      </c>
    </row>
    <row r="13" spans="1:20" s="1616" customFormat="1" ht="14.25" customHeight="1">
      <c r="A13" s="1897">
        <v>8</v>
      </c>
      <c r="B13" s="1903">
        <f>境外所得纳税调整后所得审核表!B13</f>
        <v>0</v>
      </c>
      <c r="C13" s="2072">
        <f>境外所得纳税调整后所得审核表!C13</f>
        <v>0</v>
      </c>
      <c r="D13" s="2072">
        <f>境外所得纳税调整后所得审核表!D13</f>
        <v>0</v>
      </c>
      <c r="E13" s="2072">
        <f>境外所得纳税调整后所得审核表!E13</f>
        <v>0</v>
      </c>
      <c r="F13" s="2072">
        <f>境外所得纳税调整后所得审核表!F13</f>
        <v>0</v>
      </c>
      <c r="G13" s="2072">
        <f>境外所得纳税调整后所得审核表!G13</f>
        <v>0</v>
      </c>
      <c r="H13" s="2072">
        <f>境外所得纳税调整后所得审核表!H13</f>
        <v>0</v>
      </c>
      <c r="I13" s="2072">
        <f>境外所得纳税调整后所得审核表!I13</f>
        <v>0</v>
      </c>
      <c r="J13" s="2072">
        <f>境外所得纳税调整后所得审核表!J13</f>
        <v>0</v>
      </c>
      <c r="K13" s="2072">
        <f>境外所得纳税调整后所得审核表!K13</f>
        <v>0</v>
      </c>
      <c r="L13" s="2072">
        <f>境外所得纳税调整后所得审核表!L13</f>
        <v>0</v>
      </c>
      <c r="M13" s="2072">
        <f>境外所得纳税调整后所得审核表!M13</f>
        <v>0</v>
      </c>
      <c r="N13" s="2072">
        <f>境外所得纳税调整后所得审核表!N13</f>
        <v>0</v>
      </c>
      <c r="O13" s="2072">
        <f>境外所得纳税调整后所得审核表!O13</f>
        <v>0</v>
      </c>
      <c r="P13" s="2072">
        <f>境外所得纳税调整后所得审核表!P13</f>
        <v>0</v>
      </c>
      <c r="Q13" s="2072">
        <f>境外所得纳税调整后所得审核表!Q13</f>
        <v>0</v>
      </c>
      <c r="R13" s="2072">
        <f>境外所得纳税调整后所得审核表!R13</f>
        <v>0</v>
      </c>
      <c r="S13" s="2072">
        <f>境外所得纳税调整后所得审核表!S13</f>
        <v>0</v>
      </c>
    </row>
    <row r="14" spans="1:20" s="1616" customFormat="1" ht="14.25" customHeight="1">
      <c r="A14" s="1897">
        <v>9</v>
      </c>
      <c r="B14" s="1903">
        <f>境外所得纳税调整后所得审核表!B14</f>
        <v>0</v>
      </c>
      <c r="C14" s="2072">
        <f>境外所得纳税调整后所得审核表!C14</f>
        <v>0</v>
      </c>
      <c r="D14" s="2072">
        <f>境外所得纳税调整后所得审核表!D14</f>
        <v>0</v>
      </c>
      <c r="E14" s="2072">
        <f>境外所得纳税调整后所得审核表!E14</f>
        <v>0</v>
      </c>
      <c r="F14" s="2072">
        <f>境外所得纳税调整后所得审核表!F14</f>
        <v>0</v>
      </c>
      <c r="G14" s="2072">
        <f>境外所得纳税调整后所得审核表!G14</f>
        <v>0</v>
      </c>
      <c r="H14" s="2072">
        <f>境外所得纳税调整后所得审核表!H14</f>
        <v>0</v>
      </c>
      <c r="I14" s="2072">
        <f>境外所得纳税调整后所得审核表!I14</f>
        <v>0</v>
      </c>
      <c r="J14" s="2072">
        <f>境外所得纳税调整后所得审核表!J14</f>
        <v>0</v>
      </c>
      <c r="K14" s="2072">
        <f>境外所得纳税调整后所得审核表!K14</f>
        <v>0</v>
      </c>
      <c r="L14" s="2072">
        <f>境外所得纳税调整后所得审核表!L14</f>
        <v>0</v>
      </c>
      <c r="M14" s="2072">
        <f>境外所得纳税调整后所得审核表!M14</f>
        <v>0</v>
      </c>
      <c r="N14" s="2072">
        <f>境外所得纳税调整后所得审核表!N14</f>
        <v>0</v>
      </c>
      <c r="O14" s="2072">
        <f>境外所得纳税调整后所得审核表!O14</f>
        <v>0</v>
      </c>
      <c r="P14" s="2072">
        <f>境外所得纳税调整后所得审核表!P14</f>
        <v>0</v>
      </c>
      <c r="Q14" s="2072">
        <f>境外所得纳税调整后所得审核表!Q14</f>
        <v>0</v>
      </c>
      <c r="R14" s="2072">
        <f>境外所得纳税调整后所得审核表!R14</f>
        <v>0</v>
      </c>
      <c r="S14" s="2072">
        <f>境外所得纳税调整后所得审核表!S14</f>
        <v>0</v>
      </c>
    </row>
    <row r="15" spans="1:20" s="1616" customFormat="1" ht="14.25" customHeight="1">
      <c r="A15" s="1897">
        <v>10</v>
      </c>
      <c r="B15" s="1897" t="s">
        <v>5482</v>
      </c>
      <c r="C15" s="2072">
        <f>境外所得纳税调整后所得审核表!C15</f>
        <v>0</v>
      </c>
      <c r="D15" s="2072">
        <f>境外所得纳税调整后所得审核表!D15</f>
        <v>0</v>
      </c>
      <c r="E15" s="2072">
        <f>境外所得纳税调整后所得审核表!E15</f>
        <v>0</v>
      </c>
      <c r="F15" s="2072">
        <f>境外所得纳税调整后所得审核表!F15</f>
        <v>0</v>
      </c>
      <c r="G15" s="2072">
        <f>境外所得纳税调整后所得审核表!G15</f>
        <v>0</v>
      </c>
      <c r="H15" s="2072">
        <f>境外所得纳税调整后所得审核表!H15</f>
        <v>0</v>
      </c>
      <c r="I15" s="2072">
        <f>境外所得纳税调整后所得审核表!I15</f>
        <v>0</v>
      </c>
      <c r="J15" s="2072">
        <f>境外所得纳税调整后所得审核表!J15</f>
        <v>0</v>
      </c>
      <c r="K15" s="2072">
        <f>境外所得纳税调整后所得审核表!K15</f>
        <v>0</v>
      </c>
      <c r="L15" s="2072">
        <f>境外所得纳税调整后所得审核表!L15</f>
        <v>0</v>
      </c>
      <c r="M15" s="2072">
        <f>境外所得纳税调整后所得审核表!M15</f>
        <v>0</v>
      </c>
      <c r="N15" s="2072">
        <f>境外所得纳税调整后所得审核表!N15</f>
        <v>0</v>
      </c>
      <c r="O15" s="2072">
        <f>境外所得纳税调整后所得审核表!O15</f>
        <v>0</v>
      </c>
      <c r="P15" s="2072">
        <f>境外所得纳税调整后所得审核表!P15</f>
        <v>0</v>
      </c>
      <c r="Q15" s="2072">
        <f>境外所得纳税调整后所得审核表!Q15</f>
        <v>0</v>
      </c>
      <c r="R15" s="2072">
        <f>境外所得纳税调整后所得审核表!R15</f>
        <v>0</v>
      </c>
      <c r="S15" s="2072">
        <f>境外所得纳税调整后所得审核表!S15</f>
        <v>0</v>
      </c>
      <c r="T15" s="1770" t="s">
        <v>6627</v>
      </c>
    </row>
    <row r="16" spans="1:20" ht="192" customHeight="1">
      <c r="A16" s="1900"/>
      <c r="B16" s="1962" t="s">
        <v>4899</v>
      </c>
      <c r="C16" s="1900"/>
      <c r="D16" s="1900"/>
      <c r="E16" s="1900"/>
      <c r="F16" s="1900"/>
      <c r="G16" s="1900"/>
      <c r="H16" s="1900"/>
      <c r="I16" s="1900"/>
      <c r="J16" s="1900"/>
      <c r="K16" s="1900"/>
      <c r="L16" s="1900"/>
      <c r="M16" s="1900"/>
      <c r="N16" s="1902" t="s">
        <v>5836</v>
      </c>
      <c r="O16" s="1900" t="s">
        <v>5837</v>
      </c>
      <c r="P16" s="1900"/>
      <c r="Q16" s="1902" t="s">
        <v>5838</v>
      </c>
      <c r="R16" s="1900"/>
      <c r="S16" s="1902" t="s">
        <v>5839</v>
      </c>
    </row>
    <row r="17" spans="1:1">
      <c r="A17" s="2003"/>
    </row>
    <row r="18" spans="1:1">
      <c r="A18" s="2003"/>
    </row>
    <row r="19" spans="1:1">
      <c r="A19" s="2003"/>
    </row>
    <row r="20" spans="1:1">
      <c r="A20" s="2003"/>
    </row>
  </sheetData>
  <mergeCells count="11">
    <mergeCell ref="S3:S4"/>
    <mergeCell ref="A1:S1"/>
    <mergeCell ref="A2:S2"/>
    <mergeCell ref="A3:A5"/>
    <mergeCell ref="B3:B4"/>
    <mergeCell ref="C3:J3"/>
    <mergeCell ref="K3:N3"/>
    <mergeCell ref="O3:O4"/>
    <mergeCell ref="P3:P4"/>
    <mergeCell ref="Q3:Q4"/>
    <mergeCell ref="R3:R4"/>
  </mergeCells>
  <phoneticPr fontId="51" type="noConversion"/>
  <hyperlinks>
    <hyperlink ref="T15" location="境外所得纳税调整后所得审核表!A1" display="境外所得纳税调整后所得审核表!A1"/>
  </hyperlinks>
  <printOptions horizontalCentered="1"/>
  <pageMargins left="0.78740157480314998" right="0.35433070866141703" top="0.511811023622047" bottom="0.11811023622047198" header="0.511811023622047" footer="0.511811023622047"/>
  <pageSetup paperSize="9" scale="95" orientation="landscape" r:id="rId1"/>
  <headerFooter alignWithMargins="0"/>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tabColor rgb="FFFFFF00"/>
  </sheetPr>
  <dimension ref="A1:U19"/>
  <sheetViews>
    <sheetView workbookViewId="0">
      <selection sqref="A1:T1"/>
    </sheetView>
  </sheetViews>
  <sheetFormatPr defaultColWidth="8.69921875" defaultRowHeight="19.95" customHeight="1"/>
  <cols>
    <col min="1" max="1" width="3.69921875" style="1539" customWidth="1"/>
    <col min="2" max="2" width="9.3984375" style="1539" customWidth="1"/>
    <col min="3" max="20" width="10.19921875" style="1539" customWidth="1"/>
    <col min="21" max="256" width="8.69921875" style="1539"/>
    <col min="257" max="257" width="5.19921875" style="1539" customWidth="1"/>
    <col min="258" max="258" width="6" style="1539" customWidth="1"/>
    <col min="259" max="259" width="7.69921875" style="1539" customWidth="1"/>
    <col min="260" max="267" width="6" style="1539" customWidth="1"/>
    <col min="268" max="268" width="7.09765625" style="1539" customWidth="1"/>
    <col min="269" max="276" width="6" style="1539" customWidth="1"/>
    <col min="277" max="512" width="8.69921875" style="1539"/>
    <col min="513" max="513" width="5.19921875" style="1539" customWidth="1"/>
    <col min="514" max="514" width="6" style="1539" customWidth="1"/>
    <col min="515" max="515" width="7.69921875" style="1539" customWidth="1"/>
    <col min="516" max="523" width="6" style="1539" customWidth="1"/>
    <col min="524" max="524" width="7.09765625" style="1539" customWidth="1"/>
    <col min="525" max="532" width="6" style="1539" customWidth="1"/>
    <col min="533" max="768" width="8.69921875" style="1539"/>
    <col min="769" max="769" width="5.19921875" style="1539" customWidth="1"/>
    <col min="770" max="770" width="6" style="1539" customWidth="1"/>
    <col min="771" max="771" width="7.69921875" style="1539" customWidth="1"/>
    <col min="772" max="779" width="6" style="1539" customWidth="1"/>
    <col min="780" max="780" width="7.09765625" style="1539" customWidth="1"/>
    <col min="781" max="788" width="6" style="1539" customWidth="1"/>
    <col min="789" max="1024" width="8.69921875" style="1539"/>
    <col min="1025" max="1025" width="5.19921875" style="1539" customWidth="1"/>
    <col min="1026" max="1026" width="6" style="1539" customWidth="1"/>
    <col min="1027" max="1027" width="7.69921875" style="1539" customWidth="1"/>
    <col min="1028" max="1035" width="6" style="1539" customWidth="1"/>
    <col min="1036" max="1036" width="7.09765625" style="1539" customWidth="1"/>
    <col min="1037" max="1044" width="6" style="1539" customWidth="1"/>
    <col min="1045" max="1280" width="8.69921875" style="1539"/>
    <col min="1281" max="1281" width="5.19921875" style="1539" customWidth="1"/>
    <col min="1282" max="1282" width="6" style="1539" customWidth="1"/>
    <col min="1283" max="1283" width="7.69921875" style="1539" customWidth="1"/>
    <col min="1284" max="1291" width="6" style="1539" customWidth="1"/>
    <col min="1292" max="1292" width="7.09765625" style="1539" customWidth="1"/>
    <col min="1293" max="1300" width="6" style="1539" customWidth="1"/>
    <col min="1301" max="1536" width="8.69921875" style="1539"/>
    <col min="1537" max="1537" width="5.19921875" style="1539" customWidth="1"/>
    <col min="1538" max="1538" width="6" style="1539" customWidth="1"/>
    <col min="1539" max="1539" width="7.69921875" style="1539" customWidth="1"/>
    <col min="1540" max="1547" width="6" style="1539" customWidth="1"/>
    <col min="1548" max="1548" width="7.09765625" style="1539" customWidth="1"/>
    <col min="1549" max="1556" width="6" style="1539" customWidth="1"/>
    <col min="1557" max="1792" width="8.69921875" style="1539"/>
    <col min="1793" max="1793" width="5.19921875" style="1539" customWidth="1"/>
    <col min="1794" max="1794" width="6" style="1539" customWidth="1"/>
    <col min="1795" max="1795" width="7.69921875" style="1539" customWidth="1"/>
    <col min="1796" max="1803" width="6" style="1539" customWidth="1"/>
    <col min="1804" max="1804" width="7.09765625" style="1539" customWidth="1"/>
    <col min="1805" max="1812" width="6" style="1539" customWidth="1"/>
    <col min="1813" max="2048" width="8.69921875" style="1539"/>
    <col min="2049" max="2049" width="5.19921875" style="1539" customWidth="1"/>
    <col min="2050" max="2050" width="6" style="1539" customWidth="1"/>
    <col min="2051" max="2051" width="7.69921875" style="1539" customWidth="1"/>
    <col min="2052" max="2059" width="6" style="1539" customWidth="1"/>
    <col min="2060" max="2060" width="7.09765625" style="1539" customWidth="1"/>
    <col min="2061" max="2068" width="6" style="1539" customWidth="1"/>
    <col min="2069" max="2304" width="8.69921875" style="1539"/>
    <col min="2305" max="2305" width="5.19921875" style="1539" customWidth="1"/>
    <col min="2306" max="2306" width="6" style="1539" customWidth="1"/>
    <col min="2307" max="2307" width="7.69921875" style="1539" customWidth="1"/>
    <col min="2308" max="2315" width="6" style="1539" customWidth="1"/>
    <col min="2316" max="2316" width="7.09765625" style="1539" customWidth="1"/>
    <col min="2317" max="2324" width="6" style="1539" customWidth="1"/>
    <col min="2325" max="2560" width="8.69921875" style="1539"/>
    <col min="2561" max="2561" width="5.19921875" style="1539" customWidth="1"/>
    <col min="2562" max="2562" width="6" style="1539" customWidth="1"/>
    <col min="2563" max="2563" width="7.69921875" style="1539" customWidth="1"/>
    <col min="2564" max="2571" width="6" style="1539" customWidth="1"/>
    <col min="2572" max="2572" width="7.09765625" style="1539" customWidth="1"/>
    <col min="2573" max="2580" width="6" style="1539" customWidth="1"/>
    <col min="2581" max="2816" width="8.69921875" style="1539"/>
    <col min="2817" max="2817" width="5.19921875" style="1539" customWidth="1"/>
    <col min="2818" max="2818" width="6" style="1539" customWidth="1"/>
    <col min="2819" max="2819" width="7.69921875" style="1539" customWidth="1"/>
    <col min="2820" max="2827" width="6" style="1539" customWidth="1"/>
    <col min="2828" max="2828" width="7.09765625" style="1539" customWidth="1"/>
    <col min="2829" max="2836" width="6" style="1539" customWidth="1"/>
    <col min="2837" max="3072" width="8.69921875" style="1539"/>
    <col min="3073" max="3073" width="5.19921875" style="1539" customWidth="1"/>
    <col min="3074" max="3074" width="6" style="1539" customWidth="1"/>
    <col min="3075" max="3075" width="7.69921875" style="1539" customWidth="1"/>
    <col min="3076" max="3083" width="6" style="1539" customWidth="1"/>
    <col min="3084" max="3084" width="7.09765625" style="1539" customWidth="1"/>
    <col min="3085" max="3092" width="6" style="1539" customWidth="1"/>
    <col min="3093" max="3328" width="8.69921875" style="1539"/>
    <col min="3329" max="3329" width="5.19921875" style="1539" customWidth="1"/>
    <col min="3330" max="3330" width="6" style="1539" customWidth="1"/>
    <col min="3331" max="3331" width="7.69921875" style="1539" customWidth="1"/>
    <col min="3332" max="3339" width="6" style="1539" customWidth="1"/>
    <col min="3340" max="3340" width="7.09765625" style="1539" customWidth="1"/>
    <col min="3341" max="3348" width="6" style="1539" customWidth="1"/>
    <col min="3349" max="3584" width="8.69921875" style="1539"/>
    <col min="3585" max="3585" width="5.19921875" style="1539" customWidth="1"/>
    <col min="3586" max="3586" width="6" style="1539" customWidth="1"/>
    <col min="3587" max="3587" width="7.69921875" style="1539" customWidth="1"/>
    <col min="3588" max="3595" width="6" style="1539" customWidth="1"/>
    <col min="3596" max="3596" width="7.09765625" style="1539" customWidth="1"/>
    <col min="3597" max="3604" width="6" style="1539" customWidth="1"/>
    <col min="3605" max="3840" width="8.69921875" style="1539"/>
    <col min="3841" max="3841" width="5.19921875" style="1539" customWidth="1"/>
    <col min="3842" max="3842" width="6" style="1539" customWidth="1"/>
    <col min="3843" max="3843" width="7.69921875" style="1539" customWidth="1"/>
    <col min="3844" max="3851" width="6" style="1539" customWidth="1"/>
    <col min="3852" max="3852" width="7.09765625" style="1539" customWidth="1"/>
    <col min="3853" max="3860" width="6" style="1539" customWidth="1"/>
    <col min="3861" max="4096" width="8.69921875" style="1539"/>
    <col min="4097" max="4097" width="5.19921875" style="1539" customWidth="1"/>
    <col min="4098" max="4098" width="6" style="1539" customWidth="1"/>
    <col min="4099" max="4099" width="7.69921875" style="1539" customWidth="1"/>
    <col min="4100" max="4107" width="6" style="1539" customWidth="1"/>
    <col min="4108" max="4108" width="7.09765625" style="1539" customWidth="1"/>
    <col min="4109" max="4116" width="6" style="1539" customWidth="1"/>
    <col min="4117" max="4352" width="8.69921875" style="1539"/>
    <col min="4353" max="4353" width="5.19921875" style="1539" customWidth="1"/>
    <col min="4354" max="4354" width="6" style="1539" customWidth="1"/>
    <col min="4355" max="4355" width="7.69921875" style="1539" customWidth="1"/>
    <col min="4356" max="4363" width="6" style="1539" customWidth="1"/>
    <col min="4364" max="4364" width="7.09765625" style="1539" customWidth="1"/>
    <col min="4365" max="4372" width="6" style="1539" customWidth="1"/>
    <col min="4373" max="4608" width="8.69921875" style="1539"/>
    <col min="4609" max="4609" width="5.19921875" style="1539" customWidth="1"/>
    <col min="4610" max="4610" width="6" style="1539" customWidth="1"/>
    <col min="4611" max="4611" width="7.69921875" style="1539" customWidth="1"/>
    <col min="4612" max="4619" width="6" style="1539" customWidth="1"/>
    <col min="4620" max="4620" width="7.09765625" style="1539" customWidth="1"/>
    <col min="4621" max="4628" width="6" style="1539" customWidth="1"/>
    <col min="4629" max="4864" width="8.69921875" style="1539"/>
    <col min="4865" max="4865" width="5.19921875" style="1539" customWidth="1"/>
    <col min="4866" max="4866" width="6" style="1539" customWidth="1"/>
    <col min="4867" max="4867" width="7.69921875" style="1539" customWidth="1"/>
    <col min="4868" max="4875" width="6" style="1539" customWidth="1"/>
    <col min="4876" max="4876" width="7.09765625" style="1539" customWidth="1"/>
    <col min="4877" max="4884" width="6" style="1539" customWidth="1"/>
    <col min="4885" max="5120" width="8.69921875" style="1539"/>
    <col min="5121" max="5121" width="5.19921875" style="1539" customWidth="1"/>
    <col min="5122" max="5122" width="6" style="1539" customWidth="1"/>
    <col min="5123" max="5123" width="7.69921875" style="1539" customWidth="1"/>
    <col min="5124" max="5131" width="6" style="1539" customWidth="1"/>
    <col min="5132" max="5132" width="7.09765625" style="1539" customWidth="1"/>
    <col min="5133" max="5140" width="6" style="1539" customWidth="1"/>
    <col min="5141" max="5376" width="8.69921875" style="1539"/>
    <col min="5377" max="5377" width="5.19921875" style="1539" customWidth="1"/>
    <col min="5378" max="5378" width="6" style="1539" customWidth="1"/>
    <col min="5379" max="5379" width="7.69921875" style="1539" customWidth="1"/>
    <col min="5380" max="5387" width="6" style="1539" customWidth="1"/>
    <col min="5388" max="5388" width="7.09765625" style="1539" customWidth="1"/>
    <col min="5389" max="5396" width="6" style="1539" customWidth="1"/>
    <col min="5397" max="5632" width="8.69921875" style="1539"/>
    <col min="5633" max="5633" width="5.19921875" style="1539" customWidth="1"/>
    <col min="5634" max="5634" width="6" style="1539" customWidth="1"/>
    <col min="5635" max="5635" width="7.69921875" style="1539" customWidth="1"/>
    <col min="5636" max="5643" width="6" style="1539" customWidth="1"/>
    <col min="5644" max="5644" width="7.09765625" style="1539" customWidth="1"/>
    <col min="5645" max="5652" width="6" style="1539" customWidth="1"/>
    <col min="5653" max="5888" width="8.69921875" style="1539"/>
    <col min="5889" max="5889" width="5.19921875" style="1539" customWidth="1"/>
    <col min="5890" max="5890" width="6" style="1539" customWidth="1"/>
    <col min="5891" max="5891" width="7.69921875" style="1539" customWidth="1"/>
    <col min="5892" max="5899" width="6" style="1539" customWidth="1"/>
    <col min="5900" max="5900" width="7.09765625" style="1539" customWidth="1"/>
    <col min="5901" max="5908" width="6" style="1539" customWidth="1"/>
    <col min="5909" max="6144" width="8.69921875" style="1539"/>
    <col min="6145" max="6145" width="5.19921875" style="1539" customWidth="1"/>
    <col min="6146" max="6146" width="6" style="1539" customWidth="1"/>
    <col min="6147" max="6147" width="7.69921875" style="1539" customWidth="1"/>
    <col min="6148" max="6155" width="6" style="1539" customWidth="1"/>
    <col min="6156" max="6156" width="7.09765625" style="1539" customWidth="1"/>
    <col min="6157" max="6164" width="6" style="1539" customWidth="1"/>
    <col min="6165" max="6400" width="8.69921875" style="1539"/>
    <col min="6401" max="6401" width="5.19921875" style="1539" customWidth="1"/>
    <col min="6402" max="6402" width="6" style="1539" customWidth="1"/>
    <col min="6403" max="6403" width="7.69921875" style="1539" customWidth="1"/>
    <col min="6404" max="6411" width="6" style="1539" customWidth="1"/>
    <col min="6412" max="6412" width="7.09765625" style="1539" customWidth="1"/>
    <col min="6413" max="6420" width="6" style="1539" customWidth="1"/>
    <col min="6421" max="6656" width="8.69921875" style="1539"/>
    <col min="6657" max="6657" width="5.19921875" style="1539" customWidth="1"/>
    <col min="6658" max="6658" width="6" style="1539" customWidth="1"/>
    <col min="6659" max="6659" width="7.69921875" style="1539" customWidth="1"/>
    <col min="6660" max="6667" width="6" style="1539" customWidth="1"/>
    <col min="6668" max="6668" width="7.09765625" style="1539" customWidth="1"/>
    <col min="6669" max="6676" width="6" style="1539" customWidth="1"/>
    <col min="6677" max="6912" width="8.69921875" style="1539"/>
    <col min="6913" max="6913" width="5.19921875" style="1539" customWidth="1"/>
    <col min="6914" max="6914" width="6" style="1539" customWidth="1"/>
    <col min="6915" max="6915" width="7.69921875" style="1539" customWidth="1"/>
    <col min="6916" max="6923" width="6" style="1539" customWidth="1"/>
    <col min="6924" max="6924" width="7.09765625" style="1539" customWidth="1"/>
    <col min="6925" max="6932" width="6" style="1539" customWidth="1"/>
    <col min="6933" max="7168" width="8.69921875" style="1539"/>
    <col min="7169" max="7169" width="5.19921875" style="1539" customWidth="1"/>
    <col min="7170" max="7170" width="6" style="1539" customWidth="1"/>
    <col min="7171" max="7171" width="7.69921875" style="1539" customWidth="1"/>
    <col min="7172" max="7179" width="6" style="1539" customWidth="1"/>
    <col min="7180" max="7180" width="7.09765625" style="1539" customWidth="1"/>
    <col min="7181" max="7188" width="6" style="1539" customWidth="1"/>
    <col min="7189" max="7424" width="8.69921875" style="1539"/>
    <col min="7425" max="7425" width="5.19921875" style="1539" customWidth="1"/>
    <col min="7426" max="7426" width="6" style="1539" customWidth="1"/>
    <col min="7427" max="7427" width="7.69921875" style="1539" customWidth="1"/>
    <col min="7428" max="7435" width="6" style="1539" customWidth="1"/>
    <col min="7436" max="7436" width="7.09765625" style="1539" customWidth="1"/>
    <col min="7437" max="7444" width="6" style="1539" customWidth="1"/>
    <col min="7445" max="7680" width="8.69921875" style="1539"/>
    <col min="7681" max="7681" width="5.19921875" style="1539" customWidth="1"/>
    <col min="7682" max="7682" width="6" style="1539" customWidth="1"/>
    <col min="7683" max="7683" width="7.69921875" style="1539" customWidth="1"/>
    <col min="7684" max="7691" width="6" style="1539" customWidth="1"/>
    <col min="7692" max="7692" width="7.09765625" style="1539" customWidth="1"/>
    <col min="7693" max="7700" width="6" style="1539" customWidth="1"/>
    <col min="7701" max="7936" width="8.69921875" style="1539"/>
    <col min="7937" max="7937" width="5.19921875" style="1539" customWidth="1"/>
    <col min="7938" max="7938" width="6" style="1539" customWidth="1"/>
    <col min="7939" max="7939" width="7.69921875" style="1539" customWidth="1"/>
    <col min="7940" max="7947" width="6" style="1539" customWidth="1"/>
    <col min="7948" max="7948" width="7.09765625" style="1539" customWidth="1"/>
    <col min="7949" max="7956" width="6" style="1539" customWidth="1"/>
    <col min="7957" max="8192" width="8.69921875" style="1539"/>
    <col min="8193" max="8193" width="5.19921875" style="1539" customWidth="1"/>
    <col min="8194" max="8194" width="6" style="1539" customWidth="1"/>
    <col min="8195" max="8195" width="7.69921875" style="1539" customWidth="1"/>
    <col min="8196" max="8203" width="6" style="1539" customWidth="1"/>
    <col min="8204" max="8204" width="7.09765625" style="1539" customWidth="1"/>
    <col min="8205" max="8212" width="6" style="1539" customWidth="1"/>
    <col min="8213" max="8448" width="8.69921875" style="1539"/>
    <col min="8449" max="8449" width="5.19921875" style="1539" customWidth="1"/>
    <col min="8450" max="8450" width="6" style="1539" customWidth="1"/>
    <col min="8451" max="8451" width="7.69921875" style="1539" customWidth="1"/>
    <col min="8452" max="8459" width="6" style="1539" customWidth="1"/>
    <col min="8460" max="8460" width="7.09765625" style="1539" customWidth="1"/>
    <col min="8461" max="8468" width="6" style="1539" customWidth="1"/>
    <col min="8469" max="8704" width="8.69921875" style="1539"/>
    <col min="8705" max="8705" width="5.19921875" style="1539" customWidth="1"/>
    <col min="8706" max="8706" width="6" style="1539" customWidth="1"/>
    <col min="8707" max="8707" width="7.69921875" style="1539" customWidth="1"/>
    <col min="8708" max="8715" width="6" style="1539" customWidth="1"/>
    <col min="8716" max="8716" width="7.09765625" style="1539" customWidth="1"/>
    <col min="8717" max="8724" width="6" style="1539" customWidth="1"/>
    <col min="8725" max="8960" width="8.69921875" style="1539"/>
    <col min="8961" max="8961" width="5.19921875" style="1539" customWidth="1"/>
    <col min="8962" max="8962" width="6" style="1539" customWidth="1"/>
    <col min="8963" max="8963" width="7.69921875" style="1539" customWidth="1"/>
    <col min="8964" max="8971" width="6" style="1539" customWidth="1"/>
    <col min="8972" max="8972" width="7.09765625" style="1539" customWidth="1"/>
    <col min="8973" max="8980" width="6" style="1539" customWidth="1"/>
    <col min="8981" max="9216" width="8.69921875" style="1539"/>
    <col min="9217" max="9217" width="5.19921875" style="1539" customWidth="1"/>
    <col min="9218" max="9218" width="6" style="1539" customWidth="1"/>
    <col min="9219" max="9219" width="7.69921875" style="1539" customWidth="1"/>
    <col min="9220" max="9227" width="6" style="1539" customWidth="1"/>
    <col min="9228" max="9228" width="7.09765625" style="1539" customWidth="1"/>
    <col min="9229" max="9236" width="6" style="1539" customWidth="1"/>
    <col min="9237" max="9472" width="8.69921875" style="1539"/>
    <col min="9473" max="9473" width="5.19921875" style="1539" customWidth="1"/>
    <col min="9474" max="9474" width="6" style="1539" customWidth="1"/>
    <col min="9475" max="9475" width="7.69921875" style="1539" customWidth="1"/>
    <col min="9476" max="9483" width="6" style="1539" customWidth="1"/>
    <col min="9484" max="9484" width="7.09765625" style="1539" customWidth="1"/>
    <col min="9485" max="9492" width="6" style="1539" customWidth="1"/>
    <col min="9493" max="9728" width="8.69921875" style="1539"/>
    <col min="9729" max="9729" width="5.19921875" style="1539" customWidth="1"/>
    <col min="9730" max="9730" width="6" style="1539" customWidth="1"/>
    <col min="9731" max="9731" width="7.69921875" style="1539" customWidth="1"/>
    <col min="9732" max="9739" width="6" style="1539" customWidth="1"/>
    <col min="9740" max="9740" width="7.09765625" style="1539" customWidth="1"/>
    <col min="9741" max="9748" width="6" style="1539" customWidth="1"/>
    <col min="9749" max="9984" width="8.69921875" style="1539"/>
    <col min="9985" max="9985" width="5.19921875" style="1539" customWidth="1"/>
    <col min="9986" max="9986" width="6" style="1539" customWidth="1"/>
    <col min="9987" max="9987" width="7.69921875" style="1539" customWidth="1"/>
    <col min="9988" max="9995" width="6" style="1539" customWidth="1"/>
    <col min="9996" max="9996" width="7.09765625" style="1539" customWidth="1"/>
    <col min="9997" max="10004" width="6" style="1539" customWidth="1"/>
    <col min="10005" max="10240" width="8.69921875" style="1539"/>
    <col min="10241" max="10241" width="5.19921875" style="1539" customWidth="1"/>
    <col min="10242" max="10242" width="6" style="1539" customWidth="1"/>
    <col min="10243" max="10243" width="7.69921875" style="1539" customWidth="1"/>
    <col min="10244" max="10251" width="6" style="1539" customWidth="1"/>
    <col min="10252" max="10252" width="7.09765625" style="1539" customWidth="1"/>
    <col min="10253" max="10260" width="6" style="1539" customWidth="1"/>
    <col min="10261" max="10496" width="8.69921875" style="1539"/>
    <col min="10497" max="10497" width="5.19921875" style="1539" customWidth="1"/>
    <col min="10498" max="10498" width="6" style="1539" customWidth="1"/>
    <col min="10499" max="10499" width="7.69921875" style="1539" customWidth="1"/>
    <col min="10500" max="10507" width="6" style="1539" customWidth="1"/>
    <col min="10508" max="10508" width="7.09765625" style="1539" customWidth="1"/>
    <col min="10509" max="10516" width="6" style="1539" customWidth="1"/>
    <col min="10517" max="10752" width="8.69921875" style="1539"/>
    <col min="10753" max="10753" width="5.19921875" style="1539" customWidth="1"/>
    <col min="10754" max="10754" width="6" style="1539" customWidth="1"/>
    <col min="10755" max="10755" width="7.69921875" style="1539" customWidth="1"/>
    <col min="10756" max="10763" width="6" style="1539" customWidth="1"/>
    <col min="10764" max="10764" width="7.09765625" style="1539" customWidth="1"/>
    <col min="10765" max="10772" width="6" style="1539" customWidth="1"/>
    <col min="10773" max="11008" width="8.69921875" style="1539"/>
    <col min="11009" max="11009" width="5.19921875" style="1539" customWidth="1"/>
    <col min="11010" max="11010" width="6" style="1539" customWidth="1"/>
    <col min="11011" max="11011" width="7.69921875" style="1539" customWidth="1"/>
    <col min="11012" max="11019" width="6" style="1539" customWidth="1"/>
    <col min="11020" max="11020" width="7.09765625" style="1539" customWidth="1"/>
    <col min="11021" max="11028" width="6" style="1539" customWidth="1"/>
    <col min="11029" max="11264" width="8.69921875" style="1539"/>
    <col min="11265" max="11265" width="5.19921875" style="1539" customWidth="1"/>
    <col min="11266" max="11266" width="6" style="1539" customWidth="1"/>
    <col min="11267" max="11267" width="7.69921875" style="1539" customWidth="1"/>
    <col min="11268" max="11275" width="6" style="1539" customWidth="1"/>
    <col min="11276" max="11276" width="7.09765625" style="1539" customWidth="1"/>
    <col min="11277" max="11284" width="6" style="1539" customWidth="1"/>
    <col min="11285" max="11520" width="8.69921875" style="1539"/>
    <col min="11521" max="11521" width="5.19921875" style="1539" customWidth="1"/>
    <col min="11522" max="11522" width="6" style="1539" customWidth="1"/>
    <col min="11523" max="11523" width="7.69921875" style="1539" customWidth="1"/>
    <col min="11524" max="11531" width="6" style="1539" customWidth="1"/>
    <col min="11532" max="11532" width="7.09765625" style="1539" customWidth="1"/>
    <col min="11533" max="11540" width="6" style="1539" customWidth="1"/>
    <col min="11541" max="11776" width="8.69921875" style="1539"/>
    <col min="11777" max="11777" width="5.19921875" style="1539" customWidth="1"/>
    <col min="11778" max="11778" width="6" style="1539" customWidth="1"/>
    <col min="11779" max="11779" width="7.69921875" style="1539" customWidth="1"/>
    <col min="11780" max="11787" width="6" style="1539" customWidth="1"/>
    <col min="11788" max="11788" width="7.09765625" style="1539" customWidth="1"/>
    <col min="11789" max="11796" width="6" style="1539" customWidth="1"/>
    <col min="11797" max="12032" width="8.69921875" style="1539"/>
    <col min="12033" max="12033" width="5.19921875" style="1539" customWidth="1"/>
    <col min="12034" max="12034" width="6" style="1539" customWidth="1"/>
    <col min="12035" max="12035" width="7.69921875" style="1539" customWidth="1"/>
    <col min="12036" max="12043" width="6" style="1539" customWidth="1"/>
    <col min="12044" max="12044" width="7.09765625" style="1539" customWidth="1"/>
    <col min="12045" max="12052" width="6" style="1539" customWidth="1"/>
    <col min="12053" max="12288" width="8.69921875" style="1539"/>
    <col min="12289" max="12289" width="5.19921875" style="1539" customWidth="1"/>
    <col min="12290" max="12290" width="6" style="1539" customWidth="1"/>
    <col min="12291" max="12291" width="7.69921875" style="1539" customWidth="1"/>
    <col min="12292" max="12299" width="6" style="1539" customWidth="1"/>
    <col min="12300" max="12300" width="7.09765625" style="1539" customWidth="1"/>
    <col min="12301" max="12308" width="6" style="1539" customWidth="1"/>
    <col min="12309" max="12544" width="8.69921875" style="1539"/>
    <col min="12545" max="12545" width="5.19921875" style="1539" customWidth="1"/>
    <col min="12546" max="12546" width="6" style="1539" customWidth="1"/>
    <col min="12547" max="12547" width="7.69921875" style="1539" customWidth="1"/>
    <col min="12548" max="12555" width="6" style="1539" customWidth="1"/>
    <col min="12556" max="12556" width="7.09765625" style="1539" customWidth="1"/>
    <col min="12557" max="12564" width="6" style="1539" customWidth="1"/>
    <col min="12565" max="12800" width="8.69921875" style="1539"/>
    <col min="12801" max="12801" width="5.19921875" style="1539" customWidth="1"/>
    <col min="12802" max="12802" width="6" style="1539" customWidth="1"/>
    <col min="12803" max="12803" width="7.69921875" style="1539" customWidth="1"/>
    <col min="12804" max="12811" width="6" style="1539" customWidth="1"/>
    <col min="12812" max="12812" width="7.09765625" style="1539" customWidth="1"/>
    <col min="12813" max="12820" width="6" style="1539" customWidth="1"/>
    <col min="12821" max="13056" width="8.69921875" style="1539"/>
    <col min="13057" max="13057" width="5.19921875" style="1539" customWidth="1"/>
    <col min="13058" max="13058" width="6" style="1539" customWidth="1"/>
    <col min="13059" max="13059" width="7.69921875" style="1539" customWidth="1"/>
    <col min="13060" max="13067" width="6" style="1539" customWidth="1"/>
    <col min="13068" max="13068" width="7.09765625" style="1539" customWidth="1"/>
    <col min="13069" max="13076" width="6" style="1539" customWidth="1"/>
    <col min="13077" max="13312" width="8.69921875" style="1539"/>
    <col min="13313" max="13313" width="5.19921875" style="1539" customWidth="1"/>
    <col min="13314" max="13314" width="6" style="1539" customWidth="1"/>
    <col min="13315" max="13315" width="7.69921875" style="1539" customWidth="1"/>
    <col min="13316" max="13323" width="6" style="1539" customWidth="1"/>
    <col min="13324" max="13324" width="7.09765625" style="1539" customWidth="1"/>
    <col min="13325" max="13332" width="6" style="1539" customWidth="1"/>
    <col min="13333" max="13568" width="8.69921875" style="1539"/>
    <col min="13569" max="13569" width="5.19921875" style="1539" customWidth="1"/>
    <col min="13570" max="13570" width="6" style="1539" customWidth="1"/>
    <col min="13571" max="13571" width="7.69921875" style="1539" customWidth="1"/>
    <col min="13572" max="13579" width="6" style="1539" customWidth="1"/>
    <col min="13580" max="13580" width="7.09765625" style="1539" customWidth="1"/>
    <col min="13581" max="13588" width="6" style="1539" customWidth="1"/>
    <col min="13589" max="13824" width="8.69921875" style="1539"/>
    <col min="13825" max="13825" width="5.19921875" style="1539" customWidth="1"/>
    <col min="13826" max="13826" width="6" style="1539" customWidth="1"/>
    <col min="13827" max="13827" width="7.69921875" style="1539" customWidth="1"/>
    <col min="13828" max="13835" width="6" style="1539" customWidth="1"/>
    <col min="13836" max="13836" width="7.09765625" style="1539" customWidth="1"/>
    <col min="13837" max="13844" width="6" style="1539" customWidth="1"/>
    <col min="13845" max="14080" width="8.69921875" style="1539"/>
    <col min="14081" max="14081" width="5.19921875" style="1539" customWidth="1"/>
    <col min="14082" max="14082" width="6" style="1539" customWidth="1"/>
    <col min="14083" max="14083" width="7.69921875" style="1539" customWidth="1"/>
    <col min="14084" max="14091" width="6" style="1539" customWidth="1"/>
    <col min="14092" max="14092" width="7.09765625" style="1539" customWidth="1"/>
    <col min="14093" max="14100" width="6" style="1539" customWidth="1"/>
    <col min="14101" max="14336" width="8.69921875" style="1539"/>
    <col min="14337" max="14337" width="5.19921875" style="1539" customWidth="1"/>
    <col min="14338" max="14338" width="6" style="1539" customWidth="1"/>
    <col min="14339" max="14339" width="7.69921875" style="1539" customWidth="1"/>
    <col min="14340" max="14347" width="6" style="1539" customWidth="1"/>
    <col min="14348" max="14348" width="7.09765625" style="1539" customWidth="1"/>
    <col min="14349" max="14356" width="6" style="1539" customWidth="1"/>
    <col min="14357" max="14592" width="8.69921875" style="1539"/>
    <col min="14593" max="14593" width="5.19921875" style="1539" customWidth="1"/>
    <col min="14594" max="14594" width="6" style="1539" customWidth="1"/>
    <col min="14595" max="14595" width="7.69921875" style="1539" customWidth="1"/>
    <col min="14596" max="14603" width="6" style="1539" customWidth="1"/>
    <col min="14604" max="14604" width="7.09765625" style="1539" customWidth="1"/>
    <col min="14605" max="14612" width="6" style="1539" customWidth="1"/>
    <col min="14613" max="14848" width="8.69921875" style="1539"/>
    <col min="14849" max="14849" width="5.19921875" style="1539" customWidth="1"/>
    <col min="14850" max="14850" width="6" style="1539" customWidth="1"/>
    <col min="14851" max="14851" width="7.69921875" style="1539" customWidth="1"/>
    <col min="14852" max="14859" width="6" style="1539" customWidth="1"/>
    <col min="14860" max="14860" width="7.09765625" style="1539" customWidth="1"/>
    <col min="14861" max="14868" width="6" style="1539" customWidth="1"/>
    <col min="14869" max="15104" width="8.69921875" style="1539"/>
    <col min="15105" max="15105" width="5.19921875" style="1539" customWidth="1"/>
    <col min="15106" max="15106" width="6" style="1539" customWidth="1"/>
    <col min="15107" max="15107" width="7.69921875" style="1539" customWidth="1"/>
    <col min="15108" max="15115" width="6" style="1539" customWidth="1"/>
    <col min="15116" max="15116" width="7.09765625" style="1539" customWidth="1"/>
    <col min="15117" max="15124" width="6" style="1539" customWidth="1"/>
    <col min="15125" max="15360" width="8.69921875" style="1539"/>
    <col min="15361" max="15361" width="5.19921875" style="1539" customWidth="1"/>
    <col min="15362" max="15362" width="6" style="1539" customWidth="1"/>
    <col min="15363" max="15363" width="7.69921875" style="1539" customWidth="1"/>
    <col min="15364" max="15371" width="6" style="1539" customWidth="1"/>
    <col min="15372" max="15372" width="7.09765625" style="1539" customWidth="1"/>
    <col min="15373" max="15380" width="6" style="1539" customWidth="1"/>
    <col min="15381" max="15616" width="8.69921875" style="1539"/>
    <col min="15617" max="15617" width="5.19921875" style="1539" customWidth="1"/>
    <col min="15618" max="15618" width="6" style="1539" customWidth="1"/>
    <col min="15619" max="15619" width="7.69921875" style="1539" customWidth="1"/>
    <col min="15620" max="15627" width="6" style="1539" customWidth="1"/>
    <col min="15628" max="15628" width="7.09765625" style="1539" customWidth="1"/>
    <col min="15629" max="15636" width="6" style="1539" customWidth="1"/>
    <col min="15637" max="15872" width="8.69921875" style="1539"/>
    <col min="15873" max="15873" width="5.19921875" style="1539" customWidth="1"/>
    <col min="15874" max="15874" width="6" style="1539" customWidth="1"/>
    <col min="15875" max="15875" width="7.69921875" style="1539" customWidth="1"/>
    <col min="15876" max="15883" width="6" style="1539" customWidth="1"/>
    <col min="15884" max="15884" width="7.09765625" style="1539" customWidth="1"/>
    <col min="15885" max="15892" width="6" style="1539" customWidth="1"/>
    <col min="15893" max="16128" width="8.69921875" style="1539"/>
    <col min="16129" max="16129" width="5.19921875" style="1539" customWidth="1"/>
    <col min="16130" max="16130" width="6" style="1539" customWidth="1"/>
    <col min="16131" max="16131" width="7.69921875" style="1539" customWidth="1"/>
    <col min="16132" max="16139" width="6" style="1539" customWidth="1"/>
    <col min="16140" max="16140" width="7.09765625" style="1539" customWidth="1"/>
    <col min="16141" max="16148" width="6" style="1539" customWidth="1"/>
    <col min="16149" max="16384" width="8.69921875" style="1539"/>
  </cols>
  <sheetData>
    <row r="1" spans="1:20" s="1621" customFormat="1" ht="20.100000000000001" customHeight="1">
      <c r="A1" s="3400" t="s">
        <v>5840</v>
      </c>
      <c r="B1" s="3400"/>
      <c r="C1" s="3400"/>
      <c r="D1" s="3400"/>
      <c r="E1" s="3400"/>
      <c r="F1" s="3400"/>
      <c r="G1" s="3400"/>
      <c r="H1" s="3400"/>
      <c r="I1" s="3400"/>
      <c r="J1" s="3400"/>
      <c r="K1" s="3400"/>
      <c r="L1" s="3400"/>
      <c r="M1" s="3400"/>
      <c r="N1" s="3400"/>
      <c r="O1" s="3400"/>
      <c r="P1" s="3400"/>
      <c r="Q1" s="3400"/>
      <c r="R1" s="3400"/>
      <c r="S1" s="3400"/>
      <c r="T1" s="3400"/>
    </row>
    <row r="2" spans="1:20" s="1622" customFormat="1" ht="25.5" customHeight="1">
      <c r="A2" s="1906" t="s">
        <v>5841</v>
      </c>
      <c r="B2" s="1904"/>
      <c r="C2" s="1904"/>
      <c r="D2" s="1904"/>
      <c r="E2" s="1904"/>
      <c r="F2" s="1904"/>
      <c r="G2" s="1904"/>
      <c r="H2" s="1904"/>
      <c r="I2" s="1904"/>
      <c r="J2" s="1904"/>
      <c r="K2" s="1904"/>
      <c r="L2" s="1904"/>
      <c r="M2" s="1904"/>
      <c r="N2" s="1904"/>
      <c r="O2" s="1904"/>
      <c r="P2" s="1904"/>
      <c r="Q2" s="1904"/>
      <c r="R2" s="1904"/>
      <c r="S2" s="1904"/>
      <c r="T2" s="1905"/>
    </row>
    <row r="3" spans="1:20" s="1616" customFormat="1" ht="14.25" customHeight="1">
      <c r="A3" s="3405" t="s">
        <v>5671</v>
      </c>
      <c r="B3" s="3407" t="s">
        <v>5787</v>
      </c>
      <c r="C3" s="3407" t="s">
        <v>5842</v>
      </c>
      <c r="D3" s="3407"/>
      <c r="E3" s="3407"/>
      <c r="F3" s="3407"/>
      <c r="G3" s="3407" t="s">
        <v>5843</v>
      </c>
      <c r="H3" s="3407"/>
      <c r="I3" s="3407"/>
      <c r="J3" s="3407"/>
      <c r="K3" s="3407"/>
      <c r="L3" s="3407"/>
      <c r="M3" s="3407"/>
      <c r="N3" s="3407"/>
      <c r="O3" s="3407"/>
      <c r="P3" s="3407"/>
      <c r="Q3" s="3407"/>
      <c r="R3" s="3407"/>
      <c r="S3" s="3407"/>
      <c r="T3" s="3407"/>
    </row>
    <row r="4" spans="1:20" s="1616" customFormat="1" ht="14.25" customHeight="1">
      <c r="A4" s="3409"/>
      <c r="B4" s="3407"/>
      <c r="C4" s="3407" t="s">
        <v>5844</v>
      </c>
      <c r="D4" s="3407" t="s">
        <v>5845</v>
      </c>
      <c r="E4" s="3407" t="s">
        <v>5846</v>
      </c>
      <c r="F4" s="3407" t="s">
        <v>5847</v>
      </c>
      <c r="G4" s="3407" t="s">
        <v>5848</v>
      </c>
      <c r="H4" s="3407"/>
      <c r="I4" s="3407"/>
      <c r="J4" s="3407"/>
      <c r="K4" s="3407"/>
      <c r="L4" s="3407"/>
      <c r="M4" s="3407" t="s">
        <v>5849</v>
      </c>
      <c r="N4" s="3407" t="s">
        <v>5850</v>
      </c>
      <c r="O4" s="3407" t="s">
        <v>5851</v>
      </c>
      <c r="P4" s="3407"/>
      <c r="Q4" s="3407"/>
      <c r="R4" s="3407"/>
      <c r="S4" s="3407"/>
      <c r="T4" s="3407"/>
    </row>
    <row r="5" spans="1:20" s="1616" customFormat="1" ht="14.25" customHeight="1">
      <c r="A5" s="3409"/>
      <c r="B5" s="3407"/>
      <c r="C5" s="3407"/>
      <c r="D5" s="3407"/>
      <c r="E5" s="3407"/>
      <c r="F5" s="3407"/>
      <c r="G5" s="3407"/>
      <c r="H5" s="3407"/>
      <c r="I5" s="3407"/>
      <c r="J5" s="3407"/>
      <c r="K5" s="3407"/>
      <c r="L5" s="3407"/>
      <c r="M5" s="3407"/>
      <c r="N5" s="3407"/>
      <c r="O5" s="3407"/>
      <c r="P5" s="3407"/>
      <c r="Q5" s="3407"/>
      <c r="R5" s="3407"/>
      <c r="S5" s="3407"/>
      <c r="T5" s="3407"/>
    </row>
    <row r="6" spans="1:20" s="1616" customFormat="1" ht="14.25" customHeight="1">
      <c r="A6" s="3409"/>
      <c r="B6" s="3407"/>
      <c r="C6" s="3407"/>
      <c r="D6" s="3407"/>
      <c r="E6" s="3407"/>
      <c r="F6" s="3407"/>
      <c r="G6" s="3407"/>
      <c r="H6" s="3407"/>
      <c r="I6" s="3407"/>
      <c r="J6" s="3407"/>
      <c r="K6" s="3407"/>
      <c r="L6" s="3407"/>
      <c r="M6" s="3407"/>
      <c r="N6" s="3407"/>
      <c r="O6" s="3407"/>
      <c r="P6" s="3407"/>
      <c r="Q6" s="3407"/>
      <c r="R6" s="3407"/>
      <c r="S6" s="3407"/>
      <c r="T6" s="3407"/>
    </row>
    <row r="7" spans="1:20" s="1616" customFormat="1" ht="14.25" customHeight="1">
      <c r="A7" s="3409"/>
      <c r="B7" s="3407"/>
      <c r="C7" s="3407"/>
      <c r="D7" s="3407"/>
      <c r="E7" s="3407"/>
      <c r="F7" s="3407"/>
      <c r="G7" s="1897" t="s">
        <v>5852</v>
      </c>
      <c r="H7" s="1897" t="s">
        <v>5853</v>
      </c>
      <c r="I7" s="1897" t="s">
        <v>5854</v>
      </c>
      <c r="J7" s="1897" t="s">
        <v>5855</v>
      </c>
      <c r="K7" s="1897" t="s">
        <v>5856</v>
      </c>
      <c r="L7" s="1897" t="s">
        <v>5857</v>
      </c>
      <c r="M7" s="3407"/>
      <c r="N7" s="3407"/>
      <c r="O7" s="1897" t="s">
        <v>5853</v>
      </c>
      <c r="P7" s="1897" t="s">
        <v>5854</v>
      </c>
      <c r="Q7" s="1897" t="s">
        <v>5855</v>
      </c>
      <c r="R7" s="1897" t="s">
        <v>5856</v>
      </c>
      <c r="S7" s="1897" t="s">
        <v>1352</v>
      </c>
      <c r="T7" s="1897" t="s">
        <v>5857</v>
      </c>
    </row>
    <row r="8" spans="1:20" ht="39" customHeight="1">
      <c r="A8" s="3409"/>
      <c r="B8" s="1907">
        <v>1</v>
      </c>
      <c r="C8" s="1907">
        <v>2</v>
      </c>
      <c r="D8" s="1907">
        <v>3</v>
      </c>
      <c r="E8" s="1907">
        <v>4</v>
      </c>
      <c r="F8" s="1897" t="s">
        <v>5858</v>
      </c>
      <c r="G8" s="1907">
        <v>6</v>
      </c>
      <c r="H8" s="1907">
        <v>7</v>
      </c>
      <c r="I8" s="1907">
        <v>8</v>
      </c>
      <c r="J8" s="1907">
        <v>9</v>
      </c>
      <c r="K8" s="1907">
        <v>10</v>
      </c>
      <c r="L8" s="1898" t="s">
        <v>5859</v>
      </c>
      <c r="M8" s="1907">
        <v>12</v>
      </c>
      <c r="N8" s="1907">
        <v>13</v>
      </c>
      <c r="O8" s="1907">
        <v>14</v>
      </c>
      <c r="P8" s="1907">
        <v>15</v>
      </c>
      <c r="Q8" s="1907">
        <v>16</v>
      </c>
      <c r="R8" s="1907">
        <v>17</v>
      </c>
      <c r="S8" s="1907">
        <v>18</v>
      </c>
      <c r="T8" s="1898" t="s">
        <v>5860</v>
      </c>
    </row>
    <row r="9" spans="1:20" ht="14.25" customHeight="1">
      <c r="A9" s="1910">
        <v>1</v>
      </c>
      <c r="B9" s="1909">
        <f>境外分支机构弥补亏损审核表!B9</f>
        <v>0</v>
      </c>
      <c r="C9" s="2072">
        <f>境外分支机构弥补亏损审核表!C9</f>
        <v>0</v>
      </c>
      <c r="D9" s="2072">
        <f>境外分支机构弥补亏损审核表!D9</f>
        <v>0</v>
      </c>
      <c r="E9" s="2072">
        <f>境外分支机构弥补亏损审核表!E9</f>
        <v>0</v>
      </c>
      <c r="F9" s="2072">
        <f>境外分支机构弥补亏损审核表!F9</f>
        <v>0</v>
      </c>
      <c r="G9" s="2072">
        <f>境外分支机构弥补亏损审核表!G9</f>
        <v>0</v>
      </c>
      <c r="H9" s="2072">
        <f>境外分支机构弥补亏损审核表!H9</f>
        <v>0</v>
      </c>
      <c r="I9" s="2072">
        <f>境外分支机构弥补亏损审核表!I9</f>
        <v>0</v>
      </c>
      <c r="J9" s="2072">
        <f>境外分支机构弥补亏损审核表!J9</f>
        <v>0</v>
      </c>
      <c r="K9" s="2072">
        <f>境外分支机构弥补亏损审核表!K9</f>
        <v>0</v>
      </c>
      <c r="L9" s="2072">
        <f>境外分支机构弥补亏损审核表!L9</f>
        <v>0</v>
      </c>
      <c r="M9" s="2072">
        <f>境外分支机构弥补亏损审核表!M9</f>
        <v>0</v>
      </c>
      <c r="N9" s="2072">
        <f>境外分支机构弥补亏损审核表!N9</f>
        <v>0</v>
      </c>
      <c r="O9" s="2072">
        <f>境外分支机构弥补亏损审核表!O9</f>
        <v>0</v>
      </c>
      <c r="P9" s="2072">
        <f>境外分支机构弥补亏损审核表!P9</f>
        <v>0</v>
      </c>
      <c r="Q9" s="2072">
        <f>境外分支机构弥补亏损审核表!Q9</f>
        <v>0</v>
      </c>
      <c r="R9" s="2072">
        <f>境外分支机构弥补亏损审核表!R9</f>
        <v>0</v>
      </c>
      <c r="S9" s="2072">
        <f>境外分支机构弥补亏损审核表!S9</f>
        <v>0</v>
      </c>
      <c r="T9" s="2072">
        <f>境外分支机构弥补亏损审核表!T9</f>
        <v>0</v>
      </c>
    </row>
    <row r="10" spans="1:20" ht="14.25" customHeight="1">
      <c r="A10" s="1910">
        <v>2</v>
      </c>
      <c r="B10" s="1909">
        <f>境外分支机构弥补亏损审核表!B10</f>
        <v>0</v>
      </c>
      <c r="C10" s="2072">
        <f>境外分支机构弥补亏损审核表!C10</f>
        <v>0</v>
      </c>
      <c r="D10" s="2072">
        <f>境外分支机构弥补亏损审核表!D10</f>
        <v>0</v>
      </c>
      <c r="E10" s="2072">
        <f>境外分支机构弥补亏损审核表!E10</f>
        <v>0</v>
      </c>
      <c r="F10" s="2072">
        <f>境外分支机构弥补亏损审核表!F10</f>
        <v>0</v>
      </c>
      <c r="G10" s="2072">
        <f>境外分支机构弥补亏损审核表!G10</f>
        <v>0</v>
      </c>
      <c r="H10" s="2072">
        <f>境外分支机构弥补亏损审核表!H10</f>
        <v>0</v>
      </c>
      <c r="I10" s="2072">
        <f>境外分支机构弥补亏损审核表!I10</f>
        <v>0</v>
      </c>
      <c r="J10" s="2072">
        <f>境外分支机构弥补亏损审核表!J10</f>
        <v>0</v>
      </c>
      <c r="K10" s="2072">
        <f>境外分支机构弥补亏损审核表!K10</f>
        <v>0</v>
      </c>
      <c r="L10" s="2072">
        <f>境外分支机构弥补亏损审核表!L10</f>
        <v>0</v>
      </c>
      <c r="M10" s="2072">
        <f>境外分支机构弥补亏损审核表!M10</f>
        <v>0</v>
      </c>
      <c r="N10" s="2072">
        <f>境外分支机构弥补亏损审核表!N10</f>
        <v>0</v>
      </c>
      <c r="O10" s="2072">
        <f>境外分支机构弥补亏损审核表!O10</f>
        <v>0</v>
      </c>
      <c r="P10" s="2072">
        <f>境外分支机构弥补亏损审核表!P10</f>
        <v>0</v>
      </c>
      <c r="Q10" s="2072">
        <f>境外分支机构弥补亏损审核表!Q10</f>
        <v>0</v>
      </c>
      <c r="R10" s="2072">
        <f>境外分支机构弥补亏损审核表!R10</f>
        <v>0</v>
      </c>
      <c r="S10" s="2072">
        <f>境外分支机构弥补亏损审核表!S10</f>
        <v>0</v>
      </c>
      <c r="T10" s="2072">
        <f>境外分支机构弥补亏损审核表!T10</f>
        <v>0</v>
      </c>
    </row>
    <row r="11" spans="1:20" ht="14.25" customHeight="1">
      <c r="A11" s="1910">
        <v>3</v>
      </c>
      <c r="B11" s="1909">
        <f>境外分支机构弥补亏损审核表!B11</f>
        <v>0</v>
      </c>
      <c r="C11" s="2072">
        <f>境外分支机构弥补亏损审核表!C11</f>
        <v>0</v>
      </c>
      <c r="D11" s="2072">
        <f>境外分支机构弥补亏损审核表!D11</f>
        <v>0</v>
      </c>
      <c r="E11" s="2072">
        <f>境外分支机构弥补亏损审核表!E11</f>
        <v>0</v>
      </c>
      <c r="F11" s="2072">
        <f>境外分支机构弥补亏损审核表!F11</f>
        <v>0</v>
      </c>
      <c r="G11" s="2072">
        <f>境外分支机构弥补亏损审核表!G11</f>
        <v>0</v>
      </c>
      <c r="H11" s="2072">
        <f>境外分支机构弥补亏损审核表!H11</f>
        <v>0</v>
      </c>
      <c r="I11" s="2072">
        <f>境外分支机构弥补亏损审核表!I11</f>
        <v>0</v>
      </c>
      <c r="J11" s="2072">
        <f>境外分支机构弥补亏损审核表!J11</f>
        <v>0</v>
      </c>
      <c r="K11" s="2072">
        <f>境外分支机构弥补亏损审核表!K11</f>
        <v>0</v>
      </c>
      <c r="L11" s="2072">
        <f>境外分支机构弥补亏损审核表!L11</f>
        <v>0</v>
      </c>
      <c r="M11" s="2072">
        <f>境外分支机构弥补亏损审核表!M11</f>
        <v>0</v>
      </c>
      <c r="N11" s="2072">
        <f>境外分支机构弥补亏损审核表!N11</f>
        <v>0</v>
      </c>
      <c r="O11" s="2072">
        <f>境外分支机构弥补亏损审核表!O11</f>
        <v>0</v>
      </c>
      <c r="P11" s="2072">
        <f>境外分支机构弥补亏损审核表!P11</f>
        <v>0</v>
      </c>
      <c r="Q11" s="2072">
        <f>境外分支机构弥补亏损审核表!Q11</f>
        <v>0</v>
      </c>
      <c r="R11" s="2072">
        <f>境外分支机构弥补亏损审核表!R11</f>
        <v>0</v>
      </c>
      <c r="S11" s="2072">
        <f>境外分支机构弥补亏损审核表!S11</f>
        <v>0</v>
      </c>
      <c r="T11" s="2072">
        <f>境外分支机构弥补亏损审核表!T11</f>
        <v>0</v>
      </c>
    </row>
    <row r="12" spans="1:20" ht="14.25" customHeight="1">
      <c r="A12" s="1910">
        <v>4</v>
      </c>
      <c r="B12" s="1909">
        <f>境外分支机构弥补亏损审核表!B12</f>
        <v>0</v>
      </c>
      <c r="C12" s="2072">
        <f>境外分支机构弥补亏损审核表!C12</f>
        <v>0</v>
      </c>
      <c r="D12" s="2072">
        <f>境外分支机构弥补亏损审核表!D12</f>
        <v>0</v>
      </c>
      <c r="E12" s="2072">
        <f>境外分支机构弥补亏损审核表!E12</f>
        <v>0</v>
      </c>
      <c r="F12" s="2072">
        <f>境外分支机构弥补亏损审核表!F12</f>
        <v>0</v>
      </c>
      <c r="G12" s="2072">
        <f>境外分支机构弥补亏损审核表!G12</f>
        <v>0</v>
      </c>
      <c r="H12" s="2072">
        <f>境外分支机构弥补亏损审核表!H12</f>
        <v>0</v>
      </c>
      <c r="I12" s="2072">
        <f>境外分支机构弥补亏损审核表!I12</f>
        <v>0</v>
      </c>
      <c r="J12" s="2072">
        <f>境外分支机构弥补亏损审核表!J12</f>
        <v>0</v>
      </c>
      <c r="K12" s="2072">
        <f>境外分支机构弥补亏损审核表!K12</f>
        <v>0</v>
      </c>
      <c r="L12" s="2072">
        <f>境外分支机构弥补亏损审核表!L12</f>
        <v>0</v>
      </c>
      <c r="M12" s="2072">
        <f>境外分支机构弥补亏损审核表!M12</f>
        <v>0</v>
      </c>
      <c r="N12" s="2072">
        <f>境外分支机构弥补亏损审核表!N12</f>
        <v>0</v>
      </c>
      <c r="O12" s="2072">
        <f>境外分支机构弥补亏损审核表!O12</f>
        <v>0</v>
      </c>
      <c r="P12" s="2072">
        <f>境外分支机构弥补亏损审核表!P12</f>
        <v>0</v>
      </c>
      <c r="Q12" s="2072">
        <f>境外分支机构弥补亏损审核表!Q12</f>
        <v>0</v>
      </c>
      <c r="R12" s="2072">
        <f>境外分支机构弥补亏损审核表!R12</f>
        <v>0</v>
      </c>
      <c r="S12" s="2072">
        <f>境外分支机构弥补亏损审核表!S12</f>
        <v>0</v>
      </c>
      <c r="T12" s="2072">
        <f>境外分支机构弥补亏损审核表!T12</f>
        <v>0</v>
      </c>
    </row>
    <row r="13" spans="1:20" ht="14.25" customHeight="1">
      <c r="A13" s="1910">
        <v>5</v>
      </c>
      <c r="B13" s="1909">
        <f>境外分支机构弥补亏损审核表!B13</f>
        <v>0</v>
      </c>
      <c r="C13" s="2072">
        <f>境外分支机构弥补亏损审核表!C13</f>
        <v>0</v>
      </c>
      <c r="D13" s="2072">
        <f>境外分支机构弥补亏损审核表!D13</f>
        <v>0</v>
      </c>
      <c r="E13" s="2072">
        <f>境外分支机构弥补亏损审核表!E13</f>
        <v>0</v>
      </c>
      <c r="F13" s="2072">
        <f>境外分支机构弥补亏损审核表!F13</f>
        <v>0</v>
      </c>
      <c r="G13" s="2072">
        <f>境外分支机构弥补亏损审核表!G13</f>
        <v>0</v>
      </c>
      <c r="H13" s="2072">
        <f>境外分支机构弥补亏损审核表!H13</f>
        <v>0</v>
      </c>
      <c r="I13" s="2072">
        <f>境外分支机构弥补亏损审核表!I13</f>
        <v>0</v>
      </c>
      <c r="J13" s="2072">
        <f>境外分支机构弥补亏损审核表!J13</f>
        <v>0</v>
      </c>
      <c r="K13" s="2072">
        <f>境外分支机构弥补亏损审核表!K13</f>
        <v>0</v>
      </c>
      <c r="L13" s="2072">
        <f>境外分支机构弥补亏损审核表!L13</f>
        <v>0</v>
      </c>
      <c r="M13" s="2072">
        <f>境外分支机构弥补亏损审核表!M13</f>
        <v>0</v>
      </c>
      <c r="N13" s="2072">
        <f>境外分支机构弥补亏损审核表!N13</f>
        <v>0</v>
      </c>
      <c r="O13" s="2072">
        <f>境外分支机构弥补亏损审核表!O13</f>
        <v>0</v>
      </c>
      <c r="P13" s="2072">
        <f>境外分支机构弥补亏损审核表!P13</f>
        <v>0</v>
      </c>
      <c r="Q13" s="2072">
        <f>境外分支机构弥补亏损审核表!Q13</f>
        <v>0</v>
      </c>
      <c r="R13" s="2072">
        <f>境外分支机构弥补亏损审核表!R13</f>
        <v>0</v>
      </c>
      <c r="S13" s="2072">
        <f>境外分支机构弥补亏损审核表!S13</f>
        <v>0</v>
      </c>
      <c r="T13" s="2072">
        <f>境外分支机构弥补亏损审核表!T13</f>
        <v>0</v>
      </c>
    </row>
    <row r="14" spans="1:20" ht="14.25" customHeight="1">
      <c r="A14" s="1910">
        <v>6</v>
      </c>
      <c r="B14" s="1909">
        <f>境外分支机构弥补亏损审核表!B14</f>
        <v>0</v>
      </c>
      <c r="C14" s="2072">
        <f>境外分支机构弥补亏损审核表!C14</f>
        <v>0</v>
      </c>
      <c r="D14" s="2072">
        <f>境外分支机构弥补亏损审核表!D14</f>
        <v>0</v>
      </c>
      <c r="E14" s="2072">
        <f>境外分支机构弥补亏损审核表!E14</f>
        <v>0</v>
      </c>
      <c r="F14" s="2072">
        <f>境外分支机构弥补亏损审核表!F14</f>
        <v>0</v>
      </c>
      <c r="G14" s="2072">
        <f>境外分支机构弥补亏损审核表!G14</f>
        <v>0</v>
      </c>
      <c r="H14" s="2072">
        <f>境外分支机构弥补亏损审核表!H14</f>
        <v>0</v>
      </c>
      <c r="I14" s="2072">
        <f>境外分支机构弥补亏损审核表!I14</f>
        <v>0</v>
      </c>
      <c r="J14" s="2072">
        <f>境外分支机构弥补亏损审核表!J14</f>
        <v>0</v>
      </c>
      <c r="K14" s="2072">
        <f>境外分支机构弥补亏损审核表!K14</f>
        <v>0</v>
      </c>
      <c r="L14" s="2072">
        <f>境外分支机构弥补亏损审核表!L14</f>
        <v>0</v>
      </c>
      <c r="M14" s="2072">
        <f>境外分支机构弥补亏损审核表!M14</f>
        <v>0</v>
      </c>
      <c r="N14" s="2072">
        <f>境外分支机构弥补亏损审核表!N14</f>
        <v>0</v>
      </c>
      <c r="O14" s="2072">
        <f>境外分支机构弥补亏损审核表!O14</f>
        <v>0</v>
      </c>
      <c r="P14" s="2072">
        <f>境外分支机构弥补亏损审核表!P14</f>
        <v>0</v>
      </c>
      <c r="Q14" s="2072">
        <f>境外分支机构弥补亏损审核表!Q14</f>
        <v>0</v>
      </c>
      <c r="R14" s="2072">
        <f>境外分支机构弥补亏损审核表!R14</f>
        <v>0</v>
      </c>
      <c r="S14" s="2072">
        <f>境外分支机构弥补亏损审核表!S14</f>
        <v>0</v>
      </c>
      <c r="T14" s="2072">
        <f>境外分支机构弥补亏损审核表!T14</f>
        <v>0</v>
      </c>
    </row>
    <row r="15" spans="1:20" ht="14.25" customHeight="1">
      <c r="A15" s="1910">
        <v>7</v>
      </c>
      <c r="B15" s="1909">
        <f>境外分支机构弥补亏损审核表!B15</f>
        <v>0</v>
      </c>
      <c r="C15" s="2072">
        <f>境外分支机构弥补亏损审核表!C15</f>
        <v>0</v>
      </c>
      <c r="D15" s="2072">
        <f>境外分支机构弥补亏损审核表!D15</f>
        <v>0</v>
      </c>
      <c r="E15" s="2072">
        <f>境外分支机构弥补亏损审核表!E15</f>
        <v>0</v>
      </c>
      <c r="F15" s="2072">
        <f>境外分支机构弥补亏损审核表!F15</f>
        <v>0</v>
      </c>
      <c r="G15" s="2072">
        <f>境外分支机构弥补亏损审核表!G15</f>
        <v>0</v>
      </c>
      <c r="H15" s="2072">
        <f>境外分支机构弥补亏损审核表!H15</f>
        <v>0</v>
      </c>
      <c r="I15" s="2072">
        <f>境外分支机构弥补亏损审核表!I15</f>
        <v>0</v>
      </c>
      <c r="J15" s="2072">
        <f>境外分支机构弥补亏损审核表!J15</f>
        <v>0</v>
      </c>
      <c r="K15" s="2072">
        <f>境外分支机构弥补亏损审核表!K15</f>
        <v>0</v>
      </c>
      <c r="L15" s="2072">
        <f>境外分支机构弥补亏损审核表!L15</f>
        <v>0</v>
      </c>
      <c r="M15" s="2072">
        <f>境外分支机构弥补亏损审核表!M15</f>
        <v>0</v>
      </c>
      <c r="N15" s="2072">
        <f>境外分支机构弥补亏损审核表!N15</f>
        <v>0</v>
      </c>
      <c r="O15" s="2072">
        <f>境外分支机构弥补亏损审核表!O15</f>
        <v>0</v>
      </c>
      <c r="P15" s="2072">
        <f>境外分支机构弥补亏损审核表!P15</f>
        <v>0</v>
      </c>
      <c r="Q15" s="2072">
        <f>境外分支机构弥补亏损审核表!Q15</f>
        <v>0</v>
      </c>
      <c r="R15" s="2072">
        <f>境外分支机构弥补亏损审核表!R15</f>
        <v>0</v>
      </c>
      <c r="S15" s="2072">
        <f>境外分支机构弥补亏损审核表!S15</f>
        <v>0</v>
      </c>
      <c r="T15" s="2072">
        <f>境外分支机构弥补亏损审核表!T15</f>
        <v>0</v>
      </c>
    </row>
    <row r="16" spans="1:20" ht="14.25" customHeight="1">
      <c r="A16" s="1910">
        <v>8</v>
      </c>
      <c r="B16" s="1909">
        <f>境外分支机构弥补亏损审核表!B16</f>
        <v>0</v>
      </c>
      <c r="C16" s="2072">
        <f>境外分支机构弥补亏损审核表!C16</f>
        <v>0</v>
      </c>
      <c r="D16" s="2072">
        <f>境外分支机构弥补亏损审核表!D16</f>
        <v>0</v>
      </c>
      <c r="E16" s="2072">
        <f>境外分支机构弥补亏损审核表!E16</f>
        <v>0</v>
      </c>
      <c r="F16" s="2072">
        <f>境外分支机构弥补亏损审核表!F16</f>
        <v>0</v>
      </c>
      <c r="G16" s="2072">
        <f>境外分支机构弥补亏损审核表!G16</f>
        <v>0</v>
      </c>
      <c r="H16" s="2072">
        <f>境外分支机构弥补亏损审核表!H16</f>
        <v>0</v>
      </c>
      <c r="I16" s="2072">
        <f>境外分支机构弥补亏损审核表!I16</f>
        <v>0</v>
      </c>
      <c r="J16" s="2072">
        <f>境外分支机构弥补亏损审核表!J16</f>
        <v>0</v>
      </c>
      <c r="K16" s="2072">
        <f>境外分支机构弥补亏损审核表!K16</f>
        <v>0</v>
      </c>
      <c r="L16" s="2072">
        <f>境外分支机构弥补亏损审核表!L16</f>
        <v>0</v>
      </c>
      <c r="M16" s="2072">
        <f>境外分支机构弥补亏损审核表!M16</f>
        <v>0</v>
      </c>
      <c r="N16" s="2072">
        <f>境外分支机构弥补亏损审核表!N16</f>
        <v>0</v>
      </c>
      <c r="O16" s="2072">
        <f>境外分支机构弥补亏损审核表!O16</f>
        <v>0</v>
      </c>
      <c r="P16" s="2072">
        <f>境外分支机构弥补亏损审核表!P16</f>
        <v>0</v>
      </c>
      <c r="Q16" s="2072">
        <f>境外分支机构弥补亏损审核表!Q16</f>
        <v>0</v>
      </c>
      <c r="R16" s="2072">
        <f>境外分支机构弥补亏损审核表!R16</f>
        <v>0</v>
      </c>
      <c r="S16" s="2072">
        <f>境外分支机构弥补亏损审核表!S16</f>
        <v>0</v>
      </c>
      <c r="T16" s="2072">
        <f>境外分支机构弥补亏损审核表!T16</f>
        <v>0</v>
      </c>
    </row>
    <row r="17" spans="1:21" ht="14.25" customHeight="1">
      <c r="A17" s="1910">
        <v>9</v>
      </c>
      <c r="B17" s="1909">
        <f>境外分支机构弥补亏损审核表!B17</f>
        <v>0</v>
      </c>
      <c r="C17" s="2072">
        <f>境外分支机构弥补亏损审核表!C17</f>
        <v>0</v>
      </c>
      <c r="D17" s="2072">
        <f>境外分支机构弥补亏损审核表!D17</f>
        <v>0</v>
      </c>
      <c r="E17" s="2072">
        <f>境外分支机构弥补亏损审核表!E17</f>
        <v>0</v>
      </c>
      <c r="F17" s="2072">
        <f>境外分支机构弥补亏损审核表!F17</f>
        <v>0</v>
      </c>
      <c r="G17" s="2072">
        <f>境外分支机构弥补亏损审核表!G17</f>
        <v>0</v>
      </c>
      <c r="H17" s="2072">
        <f>境外分支机构弥补亏损审核表!H17</f>
        <v>0</v>
      </c>
      <c r="I17" s="2072">
        <f>境外分支机构弥补亏损审核表!I17</f>
        <v>0</v>
      </c>
      <c r="J17" s="2072">
        <f>境外分支机构弥补亏损审核表!J17</f>
        <v>0</v>
      </c>
      <c r="K17" s="2072">
        <f>境外分支机构弥补亏损审核表!K17</f>
        <v>0</v>
      </c>
      <c r="L17" s="2072">
        <f>境外分支机构弥补亏损审核表!L17</f>
        <v>0</v>
      </c>
      <c r="M17" s="2072">
        <f>境外分支机构弥补亏损审核表!M17</f>
        <v>0</v>
      </c>
      <c r="N17" s="2072">
        <f>境外分支机构弥补亏损审核表!N17</f>
        <v>0</v>
      </c>
      <c r="O17" s="2072">
        <f>境外分支机构弥补亏损审核表!O17</f>
        <v>0</v>
      </c>
      <c r="P17" s="2072">
        <f>境外分支机构弥补亏损审核表!P17</f>
        <v>0</v>
      </c>
      <c r="Q17" s="2072">
        <f>境外分支机构弥补亏损审核表!Q17</f>
        <v>0</v>
      </c>
      <c r="R17" s="2072">
        <f>境外分支机构弥补亏损审核表!R17</f>
        <v>0</v>
      </c>
      <c r="S17" s="2072">
        <f>境外分支机构弥补亏损审核表!S17</f>
        <v>0</v>
      </c>
      <c r="T17" s="2072">
        <f>境外分支机构弥补亏损审核表!T17</f>
        <v>0</v>
      </c>
    </row>
    <row r="18" spans="1:21" ht="14.25" customHeight="1">
      <c r="A18" s="1910">
        <v>10</v>
      </c>
      <c r="B18" s="1910" t="s">
        <v>5482</v>
      </c>
      <c r="C18" s="2072">
        <f>境外分支机构弥补亏损审核表!C18</f>
        <v>0</v>
      </c>
      <c r="D18" s="2072">
        <f>境外分支机构弥补亏损审核表!D18</f>
        <v>0</v>
      </c>
      <c r="E18" s="2072">
        <f>境外分支机构弥补亏损审核表!E18</f>
        <v>0</v>
      </c>
      <c r="F18" s="2072">
        <f>境外分支机构弥补亏损审核表!F18</f>
        <v>0</v>
      </c>
      <c r="G18" s="2072">
        <f>境外分支机构弥补亏损审核表!G18</f>
        <v>0</v>
      </c>
      <c r="H18" s="2072">
        <f>境外分支机构弥补亏损审核表!H18</f>
        <v>0</v>
      </c>
      <c r="I18" s="2072">
        <f>境外分支机构弥补亏损审核表!I18</f>
        <v>0</v>
      </c>
      <c r="J18" s="2072">
        <f>境外分支机构弥补亏损审核表!J18</f>
        <v>0</v>
      </c>
      <c r="K18" s="2072">
        <f>境外分支机构弥补亏损审核表!K18</f>
        <v>0</v>
      </c>
      <c r="L18" s="2072">
        <f>境外分支机构弥补亏损审核表!L18</f>
        <v>0</v>
      </c>
      <c r="M18" s="2072">
        <f>境外分支机构弥补亏损审核表!M18</f>
        <v>0</v>
      </c>
      <c r="N18" s="2072">
        <f>境外分支机构弥补亏损审核表!N18</f>
        <v>0</v>
      </c>
      <c r="O18" s="2072">
        <f>境外分支机构弥补亏损审核表!O18</f>
        <v>0</v>
      </c>
      <c r="P18" s="2072">
        <f>境外分支机构弥补亏损审核表!P18</f>
        <v>0</v>
      </c>
      <c r="Q18" s="2072">
        <f>境外分支机构弥补亏损审核表!Q18</f>
        <v>0</v>
      </c>
      <c r="R18" s="2072">
        <f>境外分支机构弥补亏损审核表!R18</f>
        <v>0</v>
      </c>
      <c r="S18" s="2072">
        <f>境外分支机构弥补亏损审核表!S18</f>
        <v>0</v>
      </c>
      <c r="T18" s="2072">
        <f>境外分支机构弥补亏损审核表!T18</f>
        <v>0</v>
      </c>
      <c r="U18" s="1770" t="s">
        <v>6480</v>
      </c>
    </row>
    <row r="19" spans="1:21" ht="106.5" customHeight="1">
      <c r="A19" s="1914"/>
      <c r="B19" s="1902" t="s">
        <v>5861</v>
      </c>
      <c r="C19" s="1914"/>
      <c r="D19" s="1962"/>
      <c r="E19" s="1962" t="s">
        <v>5862</v>
      </c>
      <c r="F19" s="1914"/>
      <c r="G19" s="1914"/>
      <c r="H19" s="1914"/>
      <c r="I19" s="1914"/>
      <c r="J19" s="1914"/>
      <c r="K19" s="1914"/>
      <c r="L19" s="1914"/>
      <c r="M19" s="1914"/>
      <c r="N19" s="1962"/>
      <c r="O19" s="1962"/>
      <c r="P19" s="1962"/>
      <c r="Q19" s="1914"/>
      <c r="R19" s="1914"/>
      <c r="S19" s="1914"/>
      <c r="T19" s="1914"/>
    </row>
  </sheetData>
  <mergeCells count="13">
    <mergeCell ref="A1:T1"/>
    <mergeCell ref="A3:A8"/>
    <mergeCell ref="B3:B7"/>
    <mergeCell ref="C3:F3"/>
    <mergeCell ref="G3:T3"/>
    <mergeCell ref="C4:C7"/>
    <mergeCell ref="D4:D7"/>
    <mergeCell ref="E4:E7"/>
    <mergeCell ref="F4:F7"/>
    <mergeCell ref="G4:L6"/>
    <mergeCell ref="M4:M7"/>
    <mergeCell ref="N4:N7"/>
    <mergeCell ref="O4:T6"/>
  </mergeCells>
  <phoneticPr fontId="51" type="noConversion"/>
  <hyperlinks>
    <hyperlink ref="U18" location="境外分支机构弥补亏损审核表!A1" display="境外分支机构弥补亏损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tabColor rgb="FFFFFF00"/>
  </sheetPr>
  <dimension ref="A1:U16"/>
  <sheetViews>
    <sheetView topLeftCell="A9" workbookViewId="0">
      <selection activeCell="F19" sqref="F19"/>
    </sheetView>
  </sheetViews>
  <sheetFormatPr defaultRowHeight="13.2"/>
  <cols>
    <col min="1" max="1" width="2.8984375" style="1626" customWidth="1"/>
    <col min="2" max="2" width="9.3984375" style="1626" customWidth="1"/>
    <col min="3" max="20" width="10.19921875" style="1626" customWidth="1"/>
    <col min="21" max="256" width="9" style="1626"/>
    <col min="257" max="257" width="5.19921875" style="1626" customWidth="1"/>
    <col min="258" max="258" width="7.09765625" style="1626" customWidth="1"/>
    <col min="259" max="263" width="6.3984375" style="1626" customWidth="1"/>
    <col min="264" max="264" width="7.19921875" style="1626" customWidth="1"/>
    <col min="265" max="269" width="6.3984375" style="1626" customWidth="1"/>
    <col min="270" max="270" width="8.3984375" style="1626" customWidth="1"/>
    <col min="271" max="275" width="6.3984375" style="1626" customWidth="1"/>
    <col min="276" max="276" width="9.19921875" style="1626" customWidth="1"/>
    <col min="277" max="512" width="9" style="1626"/>
    <col min="513" max="513" width="5.19921875" style="1626" customWidth="1"/>
    <col min="514" max="514" width="7.09765625" style="1626" customWidth="1"/>
    <col min="515" max="519" width="6.3984375" style="1626" customWidth="1"/>
    <col min="520" max="520" width="7.19921875" style="1626" customWidth="1"/>
    <col min="521" max="525" width="6.3984375" style="1626" customWidth="1"/>
    <col min="526" max="526" width="8.3984375" style="1626" customWidth="1"/>
    <col min="527" max="531" width="6.3984375" style="1626" customWidth="1"/>
    <col min="532" max="532" width="9.19921875" style="1626" customWidth="1"/>
    <col min="533" max="768" width="9" style="1626"/>
    <col min="769" max="769" width="5.19921875" style="1626" customWidth="1"/>
    <col min="770" max="770" width="7.09765625" style="1626" customWidth="1"/>
    <col min="771" max="775" width="6.3984375" style="1626" customWidth="1"/>
    <col min="776" max="776" width="7.19921875" style="1626" customWidth="1"/>
    <col min="777" max="781" width="6.3984375" style="1626" customWidth="1"/>
    <col min="782" max="782" width="8.3984375" style="1626" customWidth="1"/>
    <col min="783" max="787" width="6.3984375" style="1626" customWidth="1"/>
    <col min="788" max="788" width="9.19921875" style="1626" customWidth="1"/>
    <col min="789" max="1024" width="9" style="1626"/>
    <col min="1025" max="1025" width="5.19921875" style="1626" customWidth="1"/>
    <col min="1026" max="1026" width="7.09765625" style="1626" customWidth="1"/>
    <col min="1027" max="1031" width="6.3984375" style="1626" customWidth="1"/>
    <col min="1032" max="1032" width="7.19921875" style="1626" customWidth="1"/>
    <col min="1033" max="1037" width="6.3984375" style="1626" customWidth="1"/>
    <col min="1038" max="1038" width="8.3984375" style="1626" customWidth="1"/>
    <col min="1039" max="1043" width="6.3984375" style="1626" customWidth="1"/>
    <col min="1044" max="1044" width="9.19921875" style="1626" customWidth="1"/>
    <col min="1045" max="1280" width="9" style="1626"/>
    <col min="1281" max="1281" width="5.19921875" style="1626" customWidth="1"/>
    <col min="1282" max="1282" width="7.09765625" style="1626" customWidth="1"/>
    <col min="1283" max="1287" width="6.3984375" style="1626" customWidth="1"/>
    <col min="1288" max="1288" width="7.19921875" style="1626" customWidth="1"/>
    <col min="1289" max="1293" width="6.3984375" style="1626" customWidth="1"/>
    <col min="1294" max="1294" width="8.3984375" style="1626" customWidth="1"/>
    <col min="1295" max="1299" width="6.3984375" style="1626" customWidth="1"/>
    <col min="1300" max="1300" width="9.19921875" style="1626" customWidth="1"/>
    <col min="1301" max="1536" width="9" style="1626"/>
    <col min="1537" max="1537" width="5.19921875" style="1626" customWidth="1"/>
    <col min="1538" max="1538" width="7.09765625" style="1626" customWidth="1"/>
    <col min="1539" max="1543" width="6.3984375" style="1626" customWidth="1"/>
    <col min="1544" max="1544" width="7.19921875" style="1626" customWidth="1"/>
    <col min="1545" max="1549" width="6.3984375" style="1626" customWidth="1"/>
    <col min="1550" max="1550" width="8.3984375" style="1626" customWidth="1"/>
    <col min="1551" max="1555" width="6.3984375" style="1626" customWidth="1"/>
    <col min="1556" max="1556" width="9.19921875" style="1626" customWidth="1"/>
    <col min="1557" max="1792" width="9" style="1626"/>
    <col min="1793" max="1793" width="5.19921875" style="1626" customWidth="1"/>
    <col min="1794" max="1794" width="7.09765625" style="1626" customWidth="1"/>
    <col min="1795" max="1799" width="6.3984375" style="1626" customWidth="1"/>
    <col min="1800" max="1800" width="7.19921875" style="1626" customWidth="1"/>
    <col min="1801" max="1805" width="6.3984375" style="1626" customWidth="1"/>
    <col min="1806" max="1806" width="8.3984375" style="1626" customWidth="1"/>
    <col min="1807" max="1811" width="6.3984375" style="1626" customWidth="1"/>
    <col min="1812" max="1812" width="9.19921875" style="1626" customWidth="1"/>
    <col min="1813" max="2048" width="9" style="1626"/>
    <col min="2049" max="2049" width="5.19921875" style="1626" customWidth="1"/>
    <col min="2050" max="2050" width="7.09765625" style="1626" customWidth="1"/>
    <col min="2051" max="2055" width="6.3984375" style="1626" customWidth="1"/>
    <col min="2056" max="2056" width="7.19921875" style="1626" customWidth="1"/>
    <col min="2057" max="2061" width="6.3984375" style="1626" customWidth="1"/>
    <col min="2062" max="2062" width="8.3984375" style="1626" customWidth="1"/>
    <col min="2063" max="2067" width="6.3984375" style="1626" customWidth="1"/>
    <col min="2068" max="2068" width="9.19921875" style="1626" customWidth="1"/>
    <col min="2069" max="2304" width="9" style="1626"/>
    <col min="2305" max="2305" width="5.19921875" style="1626" customWidth="1"/>
    <col min="2306" max="2306" width="7.09765625" style="1626" customWidth="1"/>
    <col min="2307" max="2311" width="6.3984375" style="1626" customWidth="1"/>
    <col min="2312" max="2312" width="7.19921875" style="1626" customWidth="1"/>
    <col min="2313" max="2317" width="6.3984375" style="1626" customWidth="1"/>
    <col min="2318" max="2318" width="8.3984375" style="1626" customWidth="1"/>
    <col min="2319" max="2323" width="6.3984375" style="1626" customWidth="1"/>
    <col min="2324" max="2324" width="9.19921875" style="1626" customWidth="1"/>
    <col min="2325" max="2560" width="9" style="1626"/>
    <col min="2561" max="2561" width="5.19921875" style="1626" customWidth="1"/>
    <col min="2562" max="2562" width="7.09765625" style="1626" customWidth="1"/>
    <col min="2563" max="2567" width="6.3984375" style="1626" customWidth="1"/>
    <col min="2568" max="2568" width="7.19921875" style="1626" customWidth="1"/>
    <col min="2569" max="2573" width="6.3984375" style="1626" customWidth="1"/>
    <col min="2574" max="2574" width="8.3984375" style="1626" customWidth="1"/>
    <col min="2575" max="2579" width="6.3984375" style="1626" customWidth="1"/>
    <col min="2580" max="2580" width="9.19921875" style="1626" customWidth="1"/>
    <col min="2581" max="2816" width="9" style="1626"/>
    <col min="2817" max="2817" width="5.19921875" style="1626" customWidth="1"/>
    <col min="2818" max="2818" width="7.09765625" style="1626" customWidth="1"/>
    <col min="2819" max="2823" width="6.3984375" style="1626" customWidth="1"/>
    <col min="2824" max="2824" width="7.19921875" style="1626" customWidth="1"/>
    <col min="2825" max="2829" width="6.3984375" style="1626" customWidth="1"/>
    <col min="2830" max="2830" width="8.3984375" style="1626" customWidth="1"/>
    <col min="2831" max="2835" width="6.3984375" style="1626" customWidth="1"/>
    <col min="2836" max="2836" width="9.19921875" style="1626" customWidth="1"/>
    <col min="2837" max="3072" width="9" style="1626"/>
    <col min="3073" max="3073" width="5.19921875" style="1626" customWidth="1"/>
    <col min="3074" max="3074" width="7.09765625" style="1626" customWidth="1"/>
    <col min="3075" max="3079" width="6.3984375" style="1626" customWidth="1"/>
    <col min="3080" max="3080" width="7.19921875" style="1626" customWidth="1"/>
    <col min="3081" max="3085" width="6.3984375" style="1626" customWidth="1"/>
    <col min="3086" max="3086" width="8.3984375" style="1626" customWidth="1"/>
    <col min="3087" max="3091" width="6.3984375" style="1626" customWidth="1"/>
    <col min="3092" max="3092" width="9.19921875" style="1626" customWidth="1"/>
    <col min="3093" max="3328" width="9" style="1626"/>
    <col min="3329" max="3329" width="5.19921875" style="1626" customWidth="1"/>
    <col min="3330" max="3330" width="7.09765625" style="1626" customWidth="1"/>
    <col min="3331" max="3335" width="6.3984375" style="1626" customWidth="1"/>
    <col min="3336" max="3336" width="7.19921875" style="1626" customWidth="1"/>
    <col min="3337" max="3341" width="6.3984375" style="1626" customWidth="1"/>
    <col min="3342" max="3342" width="8.3984375" style="1626" customWidth="1"/>
    <col min="3343" max="3347" width="6.3984375" style="1626" customWidth="1"/>
    <col min="3348" max="3348" width="9.19921875" style="1626" customWidth="1"/>
    <col min="3349" max="3584" width="9" style="1626"/>
    <col min="3585" max="3585" width="5.19921875" style="1626" customWidth="1"/>
    <col min="3586" max="3586" width="7.09765625" style="1626" customWidth="1"/>
    <col min="3587" max="3591" width="6.3984375" style="1626" customWidth="1"/>
    <col min="3592" max="3592" width="7.19921875" style="1626" customWidth="1"/>
    <col min="3593" max="3597" width="6.3984375" style="1626" customWidth="1"/>
    <col min="3598" max="3598" width="8.3984375" style="1626" customWidth="1"/>
    <col min="3599" max="3603" width="6.3984375" style="1626" customWidth="1"/>
    <col min="3604" max="3604" width="9.19921875" style="1626" customWidth="1"/>
    <col min="3605" max="3840" width="9" style="1626"/>
    <col min="3841" max="3841" width="5.19921875" style="1626" customWidth="1"/>
    <col min="3842" max="3842" width="7.09765625" style="1626" customWidth="1"/>
    <col min="3843" max="3847" width="6.3984375" style="1626" customWidth="1"/>
    <col min="3848" max="3848" width="7.19921875" style="1626" customWidth="1"/>
    <col min="3849" max="3853" width="6.3984375" style="1626" customWidth="1"/>
    <col min="3854" max="3854" width="8.3984375" style="1626" customWidth="1"/>
    <col min="3855" max="3859" width="6.3984375" style="1626" customWidth="1"/>
    <col min="3860" max="3860" width="9.19921875" style="1626" customWidth="1"/>
    <col min="3861" max="4096" width="9" style="1626"/>
    <col min="4097" max="4097" width="5.19921875" style="1626" customWidth="1"/>
    <col min="4098" max="4098" width="7.09765625" style="1626" customWidth="1"/>
    <col min="4099" max="4103" width="6.3984375" style="1626" customWidth="1"/>
    <col min="4104" max="4104" width="7.19921875" style="1626" customWidth="1"/>
    <col min="4105" max="4109" width="6.3984375" style="1626" customWidth="1"/>
    <col min="4110" max="4110" width="8.3984375" style="1626" customWidth="1"/>
    <col min="4111" max="4115" width="6.3984375" style="1626" customWidth="1"/>
    <col min="4116" max="4116" width="9.19921875" style="1626" customWidth="1"/>
    <col min="4117" max="4352" width="9" style="1626"/>
    <col min="4353" max="4353" width="5.19921875" style="1626" customWidth="1"/>
    <col min="4354" max="4354" width="7.09765625" style="1626" customWidth="1"/>
    <col min="4355" max="4359" width="6.3984375" style="1626" customWidth="1"/>
    <col min="4360" max="4360" width="7.19921875" style="1626" customWidth="1"/>
    <col min="4361" max="4365" width="6.3984375" style="1626" customWidth="1"/>
    <col min="4366" max="4366" width="8.3984375" style="1626" customWidth="1"/>
    <col min="4367" max="4371" width="6.3984375" style="1626" customWidth="1"/>
    <col min="4372" max="4372" width="9.19921875" style="1626" customWidth="1"/>
    <col min="4373" max="4608" width="9" style="1626"/>
    <col min="4609" max="4609" width="5.19921875" style="1626" customWidth="1"/>
    <col min="4610" max="4610" width="7.09765625" style="1626" customWidth="1"/>
    <col min="4611" max="4615" width="6.3984375" style="1626" customWidth="1"/>
    <col min="4616" max="4616" width="7.19921875" style="1626" customWidth="1"/>
    <col min="4617" max="4621" width="6.3984375" style="1626" customWidth="1"/>
    <col min="4622" max="4622" width="8.3984375" style="1626" customWidth="1"/>
    <col min="4623" max="4627" width="6.3984375" style="1626" customWidth="1"/>
    <col min="4628" max="4628" width="9.19921875" style="1626" customWidth="1"/>
    <col min="4629" max="4864" width="9" style="1626"/>
    <col min="4865" max="4865" width="5.19921875" style="1626" customWidth="1"/>
    <col min="4866" max="4866" width="7.09765625" style="1626" customWidth="1"/>
    <col min="4867" max="4871" width="6.3984375" style="1626" customWidth="1"/>
    <col min="4872" max="4872" width="7.19921875" style="1626" customWidth="1"/>
    <col min="4873" max="4877" width="6.3984375" style="1626" customWidth="1"/>
    <col min="4878" max="4878" width="8.3984375" style="1626" customWidth="1"/>
    <col min="4879" max="4883" width="6.3984375" style="1626" customWidth="1"/>
    <col min="4884" max="4884" width="9.19921875" style="1626" customWidth="1"/>
    <col min="4885" max="5120" width="9" style="1626"/>
    <col min="5121" max="5121" width="5.19921875" style="1626" customWidth="1"/>
    <col min="5122" max="5122" width="7.09765625" style="1626" customWidth="1"/>
    <col min="5123" max="5127" width="6.3984375" style="1626" customWidth="1"/>
    <col min="5128" max="5128" width="7.19921875" style="1626" customWidth="1"/>
    <col min="5129" max="5133" width="6.3984375" style="1626" customWidth="1"/>
    <col min="5134" max="5134" width="8.3984375" style="1626" customWidth="1"/>
    <col min="5135" max="5139" width="6.3984375" style="1626" customWidth="1"/>
    <col min="5140" max="5140" width="9.19921875" style="1626" customWidth="1"/>
    <col min="5141" max="5376" width="9" style="1626"/>
    <col min="5377" max="5377" width="5.19921875" style="1626" customWidth="1"/>
    <col min="5378" max="5378" width="7.09765625" style="1626" customWidth="1"/>
    <col min="5379" max="5383" width="6.3984375" style="1626" customWidth="1"/>
    <col min="5384" max="5384" width="7.19921875" style="1626" customWidth="1"/>
    <col min="5385" max="5389" width="6.3984375" style="1626" customWidth="1"/>
    <col min="5390" max="5390" width="8.3984375" style="1626" customWidth="1"/>
    <col min="5391" max="5395" width="6.3984375" style="1626" customWidth="1"/>
    <col min="5396" max="5396" width="9.19921875" style="1626" customWidth="1"/>
    <col min="5397" max="5632" width="9" style="1626"/>
    <col min="5633" max="5633" width="5.19921875" style="1626" customWidth="1"/>
    <col min="5634" max="5634" width="7.09765625" style="1626" customWidth="1"/>
    <col min="5635" max="5639" width="6.3984375" style="1626" customWidth="1"/>
    <col min="5640" max="5640" width="7.19921875" style="1626" customWidth="1"/>
    <col min="5641" max="5645" width="6.3984375" style="1626" customWidth="1"/>
    <col min="5646" max="5646" width="8.3984375" style="1626" customWidth="1"/>
    <col min="5647" max="5651" width="6.3984375" style="1626" customWidth="1"/>
    <col min="5652" max="5652" width="9.19921875" style="1626" customWidth="1"/>
    <col min="5653" max="5888" width="9" style="1626"/>
    <col min="5889" max="5889" width="5.19921875" style="1626" customWidth="1"/>
    <col min="5890" max="5890" width="7.09765625" style="1626" customWidth="1"/>
    <col min="5891" max="5895" width="6.3984375" style="1626" customWidth="1"/>
    <col min="5896" max="5896" width="7.19921875" style="1626" customWidth="1"/>
    <col min="5897" max="5901" width="6.3984375" style="1626" customWidth="1"/>
    <col min="5902" max="5902" width="8.3984375" style="1626" customWidth="1"/>
    <col min="5903" max="5907" width="6.3984375" style="1626" customWidth="1"/>
    <col min="5908" max="5908" width="9.19921875" style="1626" customWidth="1"/>
    <col min="5909" max="6144" width="9" style="1626"/>
    <col min="6145" max="6145" width="5.19921875" style="1626" customWidth="1"/>
    <col min="6146" max="6146" width="7.09765625" style="1626" customWidth="1"/>
    <col min="6147" max="6151" width="6.3984375" style="1626" customWidth="1"/>
    <col min="6152" max="6152" width="7.19921875" style="1626" customWidth="1"/>
    <col min="6153" max="6157" width="6.3984375" style="1626" customWidth="1"/>
    <col min="6158" max="6158" width="8.3984375" style="1626" customWidth="1"/>
    <col min="6159" max="6163" width="6.3984375" style="1626" customWidth="1"/>
    <col min="6164" max="6164" width="9.19921875" style="1626" customWidth="1"/>
    <col min="6165" max="6400" width="9" style="1626"/>
    <col min="6401" max="6401" width="5.19921875" style="1626" customWidth="1"/>
    <col min="6402" max="6402" width="7.09765625" style="1626" customWidth="1"/>
    <col min="6403" max="6407" width="6.3984375" style="1626" customWidth="1"/>
    <col min="6408" max="6408" width="7.19921875" style="1626" customWidth="1"/>
    <col min="6409" max="6413" width="6.3984375" style="1626" customWidth="1"/>
    <col min="6414" max="6414" width="8.3984375" style="1626" customWidth="1"/>
    <col min="6415" max="6419" width="6.3984375" style="1626" customWidth="1"/>
    <col min="6420" max="6420" width="9.19921875" style="1626" customWidth="1"/>
    <col min="6421" max="6656" width="9" style="1626"/>
    <col min="6657" max="6657" width="5.19921875" style="1626" customWidth="1"/>
    <col min="6658" max="6658" width="7.09765625" style="1626" customWidth="1"/>
    <col min="6659" max="6663" width="6.3984375" style="1626" customWidth="1"/>
    <col min="6664" max="6664" width="7.19921875" style="1626" customWidth="1"/>
    <col min="6665" max="6669" width="6.3984375" style="1626" customWidth="1"/>
    <col min="6670" max="6670" width="8.3984375" style="1626" customWidth="1"/>
    <col min="6671" max="6675" width="6.3984375" style="1626" customWidth="1"/>
    <col min="6676" max="6676" width="9.19921875" style="1626" customWidth="1"/>
    <col min="6677" max="6912" width="9" style="1626"/>
    <col min="6913" max="6913" width="5.19921875" style="1626" customWidth="1"/>
    <col min="6914" max="6914" width="7.09765625" style="1626" customWidth="1"/>
    <col min="6915" max="6919" width="6.3984375" style="1626" customWidth="1"/>
    <col min="6920" max="6920" width="7.19921875" style="1626" customWidth="1"/>
    <col min="6921" max="6925" width="6.3984375" style="1626" customWidth="1"/>
    <col min="6926" max="6926" width="8.3984375" style="1626" customWidth="1"/>
    <col min="6927" max="6931" width="6.3984375" style="1626" customWidth="1"/>
    <col min="6932" max="6932" width="9.19921875" style="1626" customWidth="1"/>
    <col min="6933" max="7168" width="9" style="1626"/>
    <col min="7169" max="7169" width="5.19921875" style="1626" customWidth="1"/>
    <col min="7170" max="7170" width="7.09765625" style="1626" customWidth="1"/>
    <col min="7171" max="7175" width="6.3984375" style="1626" customWidth="1"/>
    <col min="7176" max="7176" width="7.19921875" style="1626" customWidth="1"/>
    <col min="7177" max="7181" width="6.3984375" style="1626" customWidth="1"/>
    <col min="7182" max="7182" width="8.3984375" style="1626" customWidth="1"/>
    <col min="7183" max="7187" width="6.3984375" style="1626" customWidth="1"/>
    <col min="7188" max="7188" width="9.19921875" style="1626" customWidth="1"/>
    <col min="7189" max="7424" width="9" style="1626"/>
    <col min="7425" max="7425" width="5.19921875" style="1626" customWidth="1"/>
    <col min="7426" max="7426" width="7.09765625" style="1626" customWidth="1"/>
    <col min="7427" max="7431" width="6.3984375" style="1626" customWidth="1"/>
    <col min="7432" max="7432" width="7.19921875" style="1626" customWidth="1"/>
    <col min="7433" max="7437" width="6.3984375" style="1626" customWidth="1"/>
    <col min="7438" max="7438" width="8.3984375" style="1626" customWidth="1"/>
    <col min="7439" max="7443" width="6.3984375" style="1626" customWidth="1"/>
    <col min="7444" max="7444" width="9.19921875" style="1626" customWidth="1"/>
    <col min="7445" max="7680" width="9" style="1626"/>
    <col min="7681" max="7681" width="5.19921875" style="1626" customWidth="1"/>
    <col min="7682" max="7682" width="7.09765625" style="1626" customWidth="1"/>
    <col min="7683" max="7687" width="6.3984375" style="1626" customWidth="1"/>
    <col min="7688" max="7688" width="7.19921875" style="1626" customWidth="1"/>
    <col min="7689" max="7693" width="6.3984375" style="1626" customWidth="1"/>
    <col min="7694" max="7694" width="8.3984375" style="1626" customWidth="1"/>
    <col min="7695" max="7699" width="6.3984375" style="1626" customWidth="1"/>
    <col min="7700" max="7700" width="9.19921875" style="1626" customWidth="1"/>
    <col min="7701" max="7936" width="9" style="1626"/>
    <col min="7937" max="7937" width="5.19921875" style="1626" customWidth="1"/>
    <col min="7938" max="7938" width="7.09765625" style="1626" customWidth="1"/>
    <col min="7939" max="7943" width="6.3984375" style="1626" customWidth="1"/>
    <col min="7944" max="7944" width="7.19921875" style="1626" customWidth="1"/>
    <col min="7945" max="7949" width="6.3984375" style="1626" customWidth="1"/>
    <col min="7950" max="7950" width="8.3984375" style="1626" customWidth="1"/>
    <col min="7951" max="7955" width="6.3984375" style="1626" customWidth="1"/>
    <col min="7956" max="7956" width="9.19921875" style="1626" customWidth="1"/>
    <col min="7957" max="8192" width="9" style="1626"/>
    <col min="8193" max="8193" width="5.19921875" style="1626" customWidth="1"/>
    <col min="8194" max="8194" width="7.09765625" style="1626" customWidth="1"/>
    <col min="8195" max="8199" width="6.3984375" style="1626" customWidth="1"/>
    <col min="8200" max="8200" width="7.19921875" style="1626" customWidth="1"/>
    <col min="8201" max="8205" width="6.3984375" style="1626" customWidth="1"/>
    <col min="8206" max="8206" width="8.3984375" style="1626" customWidth="1"/>
    <col min="8207" max="8211" width="6.3984375" style="1626" customWidth="1"/>
    <col min="8212" max="8212" width="9.19921875" style="1626" customWidth="1"/>
    <col min="8213" max="8448" width="9" style="1626"/>
    <col min="8449" max="8449" width="5.19921875" style="1626" customWidth="1"/>
    <col min="8450" max="8450" width="7.09765625" style="1626" customWidth="1"/>
    <col min="8451" max="8455" width="6.3984375" style="1626" customWidth="1"/>
    <col min="8456" max="8456" width="7.19921875" style="1626" customWidth="1"/>
    <col min="8457" max="8461" width="6.3984375" style="1626" customWidth="1"/>
    <col min="8462" max="8462" width="8.3984375" style="1626" customWidth="1"/>
    <col min="8463" max="8467" width="6.3984375" style="1626" customWidth="1"/>
    <col min="8468" max="8468" width="9.19921875" style="1626" customWidth="1"/>
    <col min="8469" max="8704" width="9" style="1626"/>
    <col min="8705" max="8705" width="5.19921875" style="1626" customWidth="1"/>
    <col min="8706" max="8706" width="7.09765625" style="1626" customWidth="1"/>
    <col min="8707" max="8711" width="6.3984375" style="1626" customWidth="1"/>
    <col min="8712" max="8712" width="7.19921875" style="1626" customWidth="1"/>
    <col min="8713" max="8717" width="6.3984375" style="1626" customWidth="1"/>
    <col min="8718" max="8718" width="8.3984375" style="1626" customWidth="1"/>
    <col min="8719" max="8723" width="6.3984375" style="1626" customWidth="1"/>
    <col min="8724" max="8724" width="9.19921875" style="1626" customWidth="1"/>
    <col min="8725" max="8960" width="9" style="1626"/>
    <col min="8961" max="8961" width="5.19921875" style="1626" customWidth="1"/>
    <col min="8962" max="8962" width="7.09765625" style="1626" customWidth="1"/>
    <col min="8963" max="8967" width="6.3984375" style="1626" customWidth="1"/>
    <col min="8968" max="8968" width="7.19921875" style="1626" customWidth="1"/>
    <col min="8969" max="8973" width="6.3984375" style="1626" customWidth="1"/>
    <col min="8974" max="8974" width="8.3984375" style="1626" customWidth="1"/>
    <col min="8975" max="8979" width="6.3984375" style="1626" customWidth="1"/>
    <col min="8980" max="8980" width="9.19921875" style="1626" customWidth="1"/>
    <col min="8981" max="9216" width="9" style="1626"/>
    <col min="9217" max="9217" width="5.19921875" style="1626" customWidth="1"/>
    <col min="9218" max="9218" width="7.09765625" style="1626" customWidth="1"/>
    <col min="9219" max="9223" width="6.3984375" style="1626" customWidth="1"/>
    <col min="9224" max="9224" width="7.19921875" style="1626" customWidth="1"/>
    <col min="9225" max="9229" width="6.3984375" style="1626" customWidth="1"/>
    <col min="9230" max="9230" width="8.3984375" style="1626" customWidth="1"/>
    <col min="9231" max="9235" width="6.3984375" style="1626" customWidth="1"/>
    <col min="9236" max="9236" width="9.19921875" style="1626" customWidth="1"/>
    <col min="9237" max="9472" width="9" style="1626"/>
    <col min="9473" max="9473" width="5.19921875" style="1626" customWidth="1"/>
    <col min="9474" max="9474" width="7.09765625" style="1626" customWidth="1"/>
    <col min="9475" max="9479" width="6.3984375" style="1626" customWidth="1"/>
    <col min="9480" max="9480" width="7.19921875" style="1626" customWidth="1"/>
    <col min="9481" max="9485" width="6.3984375" style="1626" customWidth="1"/>
    <col min="9486" max="9486" width="8.3984375" style="1626" customWidth="1"/>
    <col min="9487" max="9491" width="6.3984375" style="1626" customWidth="1"/>
    <col min="9492" max="9492" width="9.19921875" style="1626" customWidth="1"/>
    <col min="9493" max="9728" width="9" style="1626"/>
    <col min="9729" max="9729" width="5.19921875" style="1626" customWidth="1"/>
    <col min="9730" max="9730" width="7.09765625" style="1626" customWidth="1"/>
    <col min="9731" max="9735" width="6.3984375" style="1626" customWidth="1"/>
    <col min="9736" max="9736" width="7.19921875" style="1626" customWidth="1"/>
    <col min="9737" max="9741" width="6.3984375" style="1626" customWidth="1"/>
    <col min="9742" max="9742" width="8.3984375" style="1626" customWidth="1"/>
    <col min="9743" max="9747" width="6.3984375" style="1626" customWidth="1"/>
    <col min="9748" max="9748" width="9.19921875" style="1626" customWidth="1"/>
    <col min="9749" max="9984" width="9" style="1626"/>
    <col min="9985" max="9985" width="5.19921875" style="1626" customWidth="1"/>
    <col min="9986" max="9986" width="7.09765625" style="1626" customWidth="1"/>
    <col min="9987" max="9991" width="6.3984375" style="1626" customWidth="1"/>
    <col min="9992" max="9992" width="7.19921875" style="1626" customWidth="1"/>
    <col min="9993" max="9997" width="6.3984375" style="1626" customWidth="1"/>
    <col min="9998" max="9998" width="8.3984375" style="1626" customWidth="1"/>
    <col min="9999" max="10003" width="6.3984375" style="1626" customWidth="1"/>
    <col min="10004" max="10004" width="9.19921875" style="1626" customWidth="1"/>
    <col min="10005" max="10240" width="9" style="1626"/>
    <col min="10241" max="10241" width="5.19921875" style="1626" customWidth="1"/>
    <col min="10242" max="10242" width="7.09765625" style="1626" customWidth="1"/>
    <col min="10243" max="10247" width="6.3984375" style="1626" customWidth="1"/>
    <col min="10248" max="10248" width="7.19921875" style="1626" customWidth="1"/>
    <col min="10249" max="10253" width="6.3984375" style="1626" customWidth="1"/>
    <col min="10254" max="10254" width="8.3984375" style="1626" customWidth="1"/>
    <col min="10255" max="10259" width="6.3984375" style="1626" customWidth="1"/>
    <col min="10260" max="10260" width="9.19921875" style="1626" customWidth="1"/>
    <col min="10261" max="10496" width="9" style="1626"/>
    <col min="10497" max="10497" width="5.19921875" style="1626" customWidth="1"/>
    <col min="10498" max="10498" width="7.09765625" style="1626" customWidth="1"/>
    <col min="10499" max="10503" width="6.3984375" style="1626" customWidth="1"/>
    <col min="10504" max="10504" width="7.19921875" style="1626" customWidth="1"/>
    <col min="10505" max="10509" width="6.3984375" style="1626" customWidth="1"/>
    <col min="10510" max="10510" width="8.3984375" style="1626" customWidth="1"/>
    <col min="10511" max="10515" width="6.3984375" style="1626" customWidth="1"/>
    <col min="10516" max="10516" width="9.19921875" style="1626" customWidth="1"/>
    <col min="10517" max="10752" width="9" style="1626"/>
    <col min="10753" max="10753" width="5.19921875" style="1626" customWidth="1"/>
    <col min="10754" max="10754" width="7.09765625" style="1626" customWidth="1"/>
    <col min="10755" max="10759" width="6.3984375" style="1626" customWidth="1"/>
    <col min="10760" max="10760" width="7.19921875" style="1626" customWidth="1"/>
    <col min="10761" max="10765" width="6.3984375" style="1626" customWidth="1"/>
    <col min="10766" max="10766" width="8.3984375" style="1626" customWidth="1"/>
    <col min="10767" max="10771" width="6.3984375" style="1626" customWidth="1"/>
    <col min="10772" max="10772" width="9.19921875" style="1626" customWidth="1"/>
    <col min="10773" max="11008" width="9" style="1626"/>
    <col min="11009" max="11009" width="5.19921875" style="1626" customWidth="1"/>
    <col min="11010" max="11010" width="7.09765625" style="1626" customWidth="1"/>
    <col min="11011" max="11015" width="6.3984375" style="1626" customWidth="1"/>
    <col min="11016" max="11016" width="7.19921875" style="1626" customWidth="1"/>
    <col min="11017" max="11021" width="6.3984375" style="1626" customWidth="1"/>
    <col min="11022" max="11022" width="8.3984375" style="1626" customWidth="1"/>
    <col min="11023" max="11027" width="6.3984375" style="1626" customWidth="1"/>
    <col min="11028" max="11028" width="9.19921875" style="1626" customWidth="1"/>
    <col min="11029" max="11264" width="9" style="1626"/>
    <col min="11265" max="11265" width="5.19921875" style="1626" customWidth="1"/>
    <col min="11266" max="11266" width="7.09765625" style="1626" customWidth="1"/>
    <col min="11267" max="11271" width="6.3984375" style="1626" customWidth="1"/>
    <col min="11272" max="11272" width="7.19921875" style="1626" customWidth="1"/>
    <col min="11273" max="11277" width="6.3984375" style="1626" customWidth="1"/>
    <col min="11278" max="11278" width="8.3984375" style="1626" customWidth="1"/>
    <col min="11279" max="11283" width="6.3984375" style="1626" customWidth="1"/>
    <col min="11284" max="11284" width="9.19921875" style="1626" customWidth="1"/>
    <col min="11285" max="11520" width="9" style="1626"/>
    <col min="11521" max="11521" width="5.19921875" style="1626" customWidth="1"/>
    <col min="11522" max="11522" width="7.09765625" style="1626" customWidth="1"/>
    <col min="11523" max="11527" width="6.3984375" style="1626" customWidth="1"/>
    <col min="11528" max="11528" width="7.19921875" style="1626" customWidth="1"/>
    <col min="11529" max="11533" width="6.3984375" style="1626" customWidth="1"/>
    <col min="11534" max="11534" width="8.3984375" style="1626" customWidth="1"/>
    <col min="11535" max="11539" width="6.3984375" style="1626" customWidth="1"/>
    <col min="11540" max="11540" width="9.19921875" style="1626" customWidth="1"/>
    <col min="11541" max="11776" width="9" style="1626"/>
    <col min="11777" max="11777" width="5.19921875" style="1626" customWidth="1"/>
    <col min="11778" max="11778" width="7.09765625" style="1626" customWidth="1"/>
    <col min="11779" max="11783" width="6.3984375" style="1626" customWidth="1"/>
    <col min="11784" max="11784" width="7.19921875" style="1626" customWidth="1"/>
    <col min="11785" max="11789" width="6.3984375" style="1626" customWidth="1"/>
    <col min="11790" max="11790" width="8.3984375" style="1626" customWidth="1"/>
    <col min="11791" max="11795" width="6.3984375" style="1626" customWidth="1"/>
    <col min="11796" max="11796" width="9.19921875" style="1626" customWidth="1"/>
    <col min="11797" max="12032" width="9" style="1626"/>
    <col min="12033" max="12033" width="5.19921875" style="1626" customWidth="1"/>
    <col min="12034" max="12034" width="7.09765625" style="1626" customWidth="1"/>
    <col min="12035" max="12039" width="6.3984375" style="1626" customWidth="1"/>
    <col min="12040" max="12040" width="7.19921875" style="1626" customWidth="1"/>
    <col min="12041" max="12045" width="6.3984375" style="1626" customWidth="1"/>
    <col min="12046" max="12046" width="8.3984375" style="1626" customWidth="1"/>
    <col min="12047" max="12051" width="6.3984375" style="1626" customWidth="1"/>
    <col min="12052" max="12052" width="9.19921875" style="1626" customWidth="1"/>
    <col min="12053" max="12288" width="9" style="1626"/>
    <col min="12289" max="12289" width="5.19921875" style="1626" customWidth="1"/>
    <col min="12290" max="12290" width="7.09765625" style="1626" customWidth="1"/>
    <col min="12291" max="12295" width="6.3984375" style="1626" customWidth="1"/>
    <col min="12296" max="12296" width="7.19921875" style="1626" customWidth="1"/>
    <col min="12297" max="12301" width="6.3984375" style="1626" customWidth="1"/>
    <col min="12302" max="12302" width="8.3984375" style="1626" customWidth="1"/>
    <col min="12303" max="12307" width="6.3984375" style="1626" customWidth="1"/>
    <col min="12308" max="12308" width="9.19921875" style="1626" customWidth="1"/>
    <col min="12309" max="12544" width="9" style="1626"/>
    <col min="12545" max="12545" width="5.19921875" style="1626" customWidth="1"/>
    <col min="12546" max="12546" width="7.09765625" style="1626" customWidth="1"/>
    <col min="12547" max="12551" width="6.3984375" style="1626" customWidth="1"/>
    <col min="12552" max="12552" width="7.19921875" style="1626" customWidth="1"/>
    <col min="12553" max="12557" width="6.3984375" style="1626" customWidth="1"/>
    <col min="12558" max="12558" width="8.3984375" style="1626" customWidth="1"/>
    <col min="12559" max="12563" width="6.3984375" style="1626" customWidth="1"/>
    <col min="12564" max="12564" width="9.19921875" style="1626" customWidth="1"/>
    <col min="12565" max="12800" width="9" style="1626"/>
    <col min="12801" max="12801" width="5.19921875" style="1626" customWidth="1"/>
    <col min="12802" max="12802" width="7.09765625" style="1626" customWidth="1"/>
    <col min="12803" max="12807" width="6.3984375" style="1626" customWidth="1"/>
    <col min="12808" max="12808" width="7.19921875" style="1626" customWidth="1"/>
    <col min="12809" max="12813" width="6.3984375" style="1626" customWidth="1"/>
    <col min="12814" max="12814" width="8.3984375" style="1626" customWidth="1"/>
    <col min="12815" max="12819" width="6.3984375" style="1626" customWidth="1"/>
    <col min="12820" max="12820" width="9.19921875" style="1626" customWidth="1"/>
    <col min="12821" max="13056" width="9" style="1626"/>
    <col min="13057" max="13057" width="5.19921875" style="1626" customWidth="1"/>
    <col min="13058" max="13058" width="7.09765625" style="1626" customWidth="1"/>
    <col min="13059" max="13063" width="6.3984375" style="1626" customWidth="1"/>
    <col min="13064" max="13064" width="7.19921875" style="1626" customWidth="1"/>
    <col min="13065" max="13069" width="6.3984375" style="1626" customWidth="1"/>
    <col min="13070" max="13070" width="8.3984375" style="1626" customWidth="1"/>
    <col min="13071" max="13075" width="6.3984375" style="1626" customWidth="1"/>
    <col min="13076" max="13076" width="9.19921875" style="1626" customWidth="1"/>
    <col min="13077" max="13312" width="9" style="1626"/>
    <col min="13313" max="13313" width="5.19921875" style="1626" customWidth="1"/>
    <col min="13314" max="13314" width="7.09765625" style="1626" customWidth="1"/>
    <col min="13315" max="13319" width="6.3984375" style="1626" customWidth="1"/>
    <col min="13320" max="13320" width="7.19921875" style="1626" customWidth="1"/>
    <col min="13321" max="13325" width="6.3984375" style="1626" customWidth="1"/>
    <col min="13326" max="13326" width="8.3984375" style="1626" customWidth="1"/>
    <col min="13327" max="13331" width="6.3984375" style="1626" customWidth="1"/>
    <col min="13332" max="13332" width="9.19921875" style="1626" customWidth="1"/>
    <col min="13333" max="13568" width="9" style="1626"/>
    <col min="13569" max="13569" width="5.19921875" style="1626" customWidth="1"/>
    <col min="13570" max="13570" width="7.09765625" style="1626" customWidth="1"/>
    <col min="13571" max="13575" width="6.3984375" style="1626" customWidth="1"/>
    <col min="13576" max="13576" width="7.19921875" style="1626" customWidth="1"/>
    <col min="13577" max="13581" width="6.3984375" style="1626" customWidth="1"/>
    <col min="13582" max="13582" width="8.3984375" style="1626" customWidth="1"/>
    <col min="13583" max="13587" width="6.3984375" style="1626" customWidth="1"/>
    <col min="13588" max="13588" width="9.19921875" style="1626" customWidth="1"/>
    <col min="13589" max="13824" width="9" style="1626"/>
    <col min="13825" max="13825" width="5.19921875" style="1626" customWidth="1"/>
    <col min="13826" max="13826" width="7.09765625" style="1626" customWidth="1"/>
    <col min="13827" max="13831" width="6.3984375" style="1626" customWidth="1"/>
    <col min="13832" max="13832" width="7.19921875" style="1626" customWidth="1"/>
    <col min="13833" max="13837" width="6.3984375" style="1626" customWidth="1"/>
    <col min="13838" max="13838" width="8.3984375" style="1626" customWidth="1"/>
    <col min="13839" max="13843" width="6.3984375" style="1626" customWidth="1"/>
    <col min="13844" max="13844" width="9.19921875" style="1626" customWidth="1"/>
    <col min="13845" max="14080" width="9" style="1626"/>
    <col min="14081" max="14081" width="5.19921875" style="1626" customWidth="1"/>
    <col min="14082" max="14082" width="7.09765625" style="1626" customWidth="1"/>
    <col min="14083" max="14087" width="6.3984375" style="1626" customWidth="1"/>
    <col min="14088" max="14088" width="7.19921875" style="1626" customWidth="1"/>
    <col min="14089" max="14093" width="6.3984375" style="1626" customWidth="1"/>
    <col min="14094" max="14094" width="8.3984375" style="1626" customWidth="1"/>
    <col min="14095" max="14099" width="6.3984375" style="1626" customWidth="1"/>
    <col min="14100" max="14100" width="9.19921875" style="1626" customWidth="1"/>
    <col min="14101" max="14336" width="9" style="1626"/>
    <col min="14337" max="14337" width="5.19921875" style="1626" customWidth="1"/>
    <col min="14338" max="14338" width="7.09765625" style="1626" customWidth="1"/>
    <col min="14339" max="14343" width="6.3984375" style="1626" customWidth="1"/>
    <col min="14344" max="14344" width="7.19921875" style="1626" customWidth="1"/>
    <col min="14345" max="14349" width="6.3984375" style="1626" customWidth="1"/>
    <col min="14350" max="14350" width="8.3984375" style="1626" customWidth="1"/>
    <col min="14351" max="14355" width="6.3984375" style="1626" customWidth="1"/>
    <col min="14356" max="14356" width="9.19921875" style="1626" customWidth="1"/>
    <col min="14357" max="14592" width="9" style="1626"/>
    <col min="14593" max="14593" width="5.19921875" style="1626" customWidth="1"/>
    <col min="14594" max="14594" width="7.09765625" style="1626" customWidth="1"/>
    <col min="14595" max="14599" width="6.3984375" style="1626" customWidth="1"/>
    <col min="14600" max="14600" width="7.19921875" style="1626" customWidth="1"/>
    <col min="14601" max="14605" width="6.3984375" style="1626" customWidth="1"/>
    <col min="14606" max="14606" width="8.3984375" style="1626" customWidth="1"/>
    <col min="14607" max="14611" width="6.3984375" style="1626" customWidth="1"/>
    <col min="14612" max="14612" width="9.19921875" style="1626" customWidth="1"/>
    <col min="14613" max="14848" width="9" style="1626"/>
    <col min="14849" max="14849" width="5.19921875" style="1626" customWidth="1"/>
    <col min="14850" max="14850" width="7.09765625" style="1626" customWidth="1"/>
    <col min="14851" max="14855" width="6.3984375" style="1626" customWidth="1"/>
    <col min="14856" max="14856" width="7.19921875" style="1626" customWidth="1"/>
    <col min="14857" max="14861" width="6.3984375" style="1626" customWidth="1"/>
    <col min="14862" max="14862" width="8.3984375" style="1626" customWidth="1"/>
    <col min="14863" max="14867" width="6.3984375" style="1626" customWidth="1"/>
    <col min="14868" max="14868" width="9.19921875" style="1626" customWidth="1"/>
    <col min="14869" max="15104" width="9" style="1626"/>
    <col min="15105" max="15105" width="5.19921875" style="1626" customWidth="1"/>
    <col min="15106" max="15106" width="7.09765625" style="1626" customWidth="1"/>
    <col min="15107" max="15111" width="6.3984375" style="1626" customWidth="1"/>
    <col min="15112" max="15112" width="7.19921875" style="1626" customWidth="1"/>
    <col min="15113" max="15117" width="6.3984375" style="1626" customWidth="1"/>
    <col min="15118" max="15118" width="8.3984375" style="1626" customWidth="1"/>
    <col min="15119" max="15123" width="6.3984375" style="1626" customWidth="1"/>
    <col min="15124" max="15124" width="9.19921875" style="1626" customWidth="1"/>
    <col min="15125" max="15360" width="9" style="1626"/>
    <col min="15361" max="15361" width="5.19921875" style="1626" customWidth="1"/>
    <col min="15362" max="15362" width="7.09765625" style="1626" customWidth="1"/>
    <col min="15363" max="15367" width="6.3984375" style="1626" customWidth="1"/>
    <col min="15368" max="15368" width="7.19921875" style="1626" customWidth="1"/>
    <col min="15369" max="15373" width="6.3984375" style="1626" customWidth="1"/>
    <col min="15374" max="15374" width="8.3984375" style="1626" customWidth="1"/>
    <col min="15375" max="15379" width="6.3984375" style="1626" customWidth="1"/>
    <col min="15380" max="15380" width="9.19921875" style="1626" customWidth="1"/>
    <col min="15381" max="15616" width="9" style="1626"/>
    <col min="15617" max="15617" width="5.19921875" style="1626" customWidth="1"/>
    <col min="15618" max="15618" width="7.09765625" style="1626" customWidth="1"/>
    <col min="15619" max="15623" width="6.3984375" style="1626" customWidth="1"/>
    <col min="15624" max="15624" width="7.19921875" style="1626" customWidth="1"/>
    <col min="15625" max="15629" width="6.3984375" style="1626" customWidth="1"/>
    <col min="15630" max="15630" width="8.3984375" style="1626" customWidth="1"/>
    <col min="15631" max="15635" width="6.3984375" style="1626" customWidth="1"/>
    <col min="15636" max="15636" width="9.19921875" style="1626" customWidth="1"/>
    <col min="15637" max="15872" width="9" style="1626"/>
    <col min="15873" max="15873" width="5.19921875" style="1626" customWidth="1"/>
    <col min="15874" max="15874" width="7.09765625" style="1626" customWidth="1"/>
    <col min="15875" max="15879" width="6.3984375" style="1626" customWidth="1"/>
    <col min="15880" max="15880" width="7.19921875" style="1626" customWidth="1"/>
    <col min="15881" max="15885" width="6.3984375" style="1626" customWidth="1"/>
    <col min="15886" max="15886" width="8.3984375" style="1626" customWidth="1"/>
    <col min="15887" max="15891" width="6.3984375" style="1626" customWidth="1"/>
    <col min="15892" max="15892" width="9.19921875" style="1626" customWidth="1"/>
    <col min="15893" max="16128" width="9" style="1626"/>
    <col min="16129" max="16129" width="5.19921875" style="1626" customWidth="1"/>
    <col min="16130" max="16130" width="7.09765625" style="1626" customWidth="1"/>
    <col min="16131" max="16135" width="6.3984375" style="1626" customWidth="1"/>
    <col min="16136" max="16136" width="7.19921875" style="1626" customWidth="1"/>
    <col min="16137" max="16141" width="6.3984375" style="1626" customWidth="1"/>
    <col min="16142" max="16142" width="8.3984375" style="1626" customWidth="1"/>
    <col min="16143" max="16147" width="6.3984375" style="1626" customWidth="1"/>
    <col min="16148" max="16148" width="9.19921875" style="1626" customWidth="1"/>
    <col min="16149" max="16384" width="9" style="1626"/>
  </cols>
  <sheetData>
    <row r="1" spans="1:21" s="1623" customFormat="1" ht="20.100000000000001" customHeight="1">
      <c r="A1" s="3400" t="s">
        <v>5863</v>
      </c>
      <c r="B1" s="3400"/>
      <c r="C1" s="3400"/>
      <c r="D1" s="3400"/>
      <c r="E1" s="3400"/>
      <c r="F1" s="3400"/>
      <c r="G1" s="3400"/>
      <c r="H1" s="3400"/>
      <c r="I1" s="3400"/>
      <c r="J1" s="3400"/>
      <c r="K1" s="3400"/>
      <c r="L1" s="3400"/>
      <c r="M1" s="3400"/>
      <c r="N1" s="3400"/>
      <c r="O1" s="3400"/>
      <c r="P1" s="3400"/>
      <c r="Q1" s="3400"/>
      <c r="R1" s="3400"/>
      <c r="S1" s="3400"/>
      <c r="T1" s="3400"/>
    </row>
    <row r="2" spans="1:21" s="1624" customFormat="1" ht="25.5" customHeight="1">
      <c r="A2" s="3401" t="s">
        <v>5864</v>
      </c>
      <c r="B2" s="3401"/>
      <c r="C2" s="3401"/>
      <c r="D2" s="3401"/>
      <c r="E2" s="3401"/>
      <c r="F2" s="3401"/>
      <c r="G2" s="3401"/>
      <c r="H2" s="3401"/>
      <c r="I2" s="3401"/>
      <c r="J2" s="3401"/>
      <c r="K2" s="3401"/>
      <c r="L2" s="3401"/>
      <c r="M2" s="3401"/>
      <c r="N2" s="3401"/>
      <c r="O2" s="3401"/>
      <c r="P2" s="3401"/>
      <c r="Q2" s="3401"/>
      <c r="R2" s="3401"/>
      <c r="S2" s="3401"/>
      <c r="T2" s="3408"/>
    </row>
    <row r="3" spans="1:21" s="1616" customFormat="1" ht="14.25" customHeight="1">
      <c r="A3" s="3407" t="s">
        <v>5671</v>
      </c>
      <c r="B3" s="3407" t="s">
        <v>5787</v>
      </c>
      <c r="C3" s="3407" t="s">
        <v>5865</v>
      </c>
      <c r="D3" s="3407"/>
      <c r="E3" s="3407"/>
      <c r="F3" s="3407"/>
      <c r="G3" s="3407"/>
      <c r="H3" s="3407"/>
      <c r="I3" s="3407" t="s">
        <v>5866</v>
      </c>
      <c r="J3" s="3407"/>
      <c r="K3" s="3407"/>
      <c r="L3" s="3407"/>
      <c r="M3" s="3407"/>
      <c r="N3" s="3407"/>
      <c r="O3" s="3407" t="s">
        <v>5867</v>
      </c>
      <c r="P3" s="3407"/>
      <c r="Q3" s="3407"/>
      <c r="R3" s="3407"/>
      <c r="S3" s="3407"/>
      <c r="T3" s="3407"/>
    </row>
    <row r="4" spans="1:21" s="1616" customFormat="1" ht="14.25" customHeight="1">
      <c r="A4" s="3407"/>
      <c r="B4" s="3407"/>
      <c r="C4" s="1897" t="s">
        <v>5852</v>
      </c>
      <c r="D4" s="1897" t="s">
        <v>5853</v>
      </c>
      <c r="E4" s="1897" t="s">
        <v>5854</v>
      </c>
      <c r="F4" s="1897" t="s">
        <v>5855</v>
      </c>
      <c r="G4" s="1897" t="s">
        <v>5856</v>
      </c>
      <c r="H4" s="1897" t="s">
        <v>1280</v>
      </c>
      <c r="I4" s="1897" t="s">
        <v>5852</v>
      </c>
      <c r="J4" s="1897" t="s">
        <v>5853</v>
      </c>
      <c r="K4" s="1897" t="s">
        <v>5854</v>
      </c>
      <c r="L4" s="1897" t="s">
        <v>5855</v>
      </c>
      <c r="M4" s="1897" t="s">
        <v>5856</v>
      </c>
      <c r="N4" s="1897" t="s">
        <v>1280</v>
      </c>
      <c r="O4" s="1897" t="s">
        <v>5853</v>
      </c>
      <c r="P4" s="1897" t="s">
        <v>5854</v>
      </c>
      <c r="Q4" s="1897" t="s">
        <v>5855</v>
      </c>
      <c r="R4" s="1897" t="s">
        <v>5856</v>
      </c>
      <c r="S4" s="1897" t="s">
        <v>1352</v>
      </c>
      <c r="T4" s="1897" t="s">
        <v>1280</v>
      </c>
    </row>
    <row r="5" spans="1:21" s="1616" customFormat="1" ht="42" customHeight="1">
      <c r="A5" s="3407"/>
      <c r="B5" s="1898">
        <v>1</v>
      </c>
      <c r="C5" s="1898">
        <v>2</v>
      </c>
      <c r="D5" s="1898">
        <v>3</v>
      </c>
      <c r="E5" s="1898">
        <v>4</v>
      </c>
      <c r="F5" s="1898">
        <v>5</v>
      </c>
      <c r="G5" s="1898">
        <v>6</v>
      </c>
      <c r="H5" s="1898" t="s">
        <v>5868</v>
      </c>
      <c r="I5" s="1898">
        <v>8</v>
      </c>
      <c r="J5" s="1898">
        <v>9</v>
      </c>
      <c r="K5" s="1898">
        <v>10</v>
      </c>
      <c r="L5" s="1898">
        <v>11</v>
      </c>
      <c r="M5" s="1898">
        <v>12</v>
      </c>
      <c r="N5" s="1898" t="s">
        <v>5869</v>
      </c>
      <c r="O5" s="1898" t="s">
        <v>5870</v>
      </c>
      <c r="P5" s="1898" t="s">
        <v>5871</v>
      </c>
      <c r="Q5" s="1898" t="s">
        <v>5872</v>
      </c>
      <c r="R5" s="1898" t="s">
        <v>5873</v>
      </c>
      <c r="S5" s="1898">
        <v>18</v>
      </c>
      <c r="T5" s="1898" t="s">
        <v>5860</v>
      </c>
    </row>
    <row r="6" spans="1:21" s="1616" customFormat="1" ht="14.25" customHeight="1">
      <c r="A6" s="1897">
        <v>1</v>
      </c>
      <c r="B6" s="1903">
        <f>跨年度结转抵免境外所得税审核表!B6</f>
        <v>0</v>
      </c>
      <c r="C6" s="2072">
        <f>跨年度结转抵免境外所得税审核表!C6</f>
        <v>0</v>
      </c>
      <c r="D6" s="2072">
        <f>跨年度结转抵免境外所得税审核表!D6</f>
        <v>0</v>
      </c>
      <c r="E6" s="2072">
        <f>跨年度结转抵免境外所得税审核表!E6</f>
        <v>0</v>
      </c>
      <c r="F6" s="2072">
        <f>跨年度结转抵免境外所得税审核表!F6</f>
        <v>0</v>
      </c>
      <c r="G6" s="2072">
        <f>跨年度结转抵免境外所得税审核表!G6</f>
        <v>0</v>
      </c>
      <c r="H6" s="2072">
        <f>跨年度结转抵免境外所得税审核表!H6</f>
        <v>0</v>
      </c>
      <c r="I6" s="2072">
        <f>跨年度结转抵免境外所得税审核表!I6</f>
        <v>0</v>
      </c>
      <c r="J6" s="2072">
        <f>跨年度结转抵免境外所得税审核表!J6</f>
        <v>0</v>
      </c>
      <c r="K6" s="2072">
        <f>跨年度结转抵免境外所得税审核表!K6</f>
        <v>0</v>
      </c>
      <c r="L6" s="2072">
        <f>跨年度结转抵免境外所得税审核表!L6</f>
        <v>0</v>
      </c>
      <c r="M6" s="2072">
        <f>跨年度结转抵免境外所得税审核表!M6</f>
        <v>0</v>
      </c>
      <c r="N6" s="2072">
        <f>跨年度结转抵免境外所得税审核表!N6</f>
        <v>0</v>
      </c>
      <c r="O6" s="2072">
        <f>跨年度结转抵免境外所得税审核表!O6</f>
        <v>0</v>
      </c>
      <c r="P6" s="2072">
        <f>跨年度结转抵免境外所得税审核表!P6</f>
        <v>0</v>
      </c>
      <c r="Q6" s="2072">
        <f>跨年度结转抵免境外所得税审核表!Q6</f>
        <v>0</v>
      </c>
      <c r="R6" s="2072">
        <f>跨年度结转抵免境外所得税审核表!R6</f>
        <v>0</v>
      </c>
      <c r="S6" s="2072">
        <f>跨年度结转抵免境外所得税审核表!S6</f>
        <v>0</v>
      </c>
      <c r="T6" s="2072">
        <f>跨年度结转抵免境外所得税审核表!T6</f>
        <v>0</v>
      </c>
    </row>
    <row r="7" spans="1:21" s="1616" customFormat="1" ht="14.25" customHeight="1">
      <c r="A7" s="1897">
        <v>2</v>
      </c>
      <c r="B7" s="1903">
        <f>跨年度结转抵免境外所得税审核表!B7</f>
        <v>0</v>
      </c>
      <c r="C7" s="2072">
        <f>跨年度结转抵免境外所得税审核表!C7</f>
        <v>0</v>
      </c>
      <c r="D7" s="2072">
        <f>跨年度结转抵免境外所得税审核表!D7</f>
        <v>0</v>
      </c>
      <c r="E7" s="2072">
        <f>跨年度结转抵免境外所得税审核表!E7</f>
        <v>0</v>
      </c>
      <c r="F7" s="2072">
        <f>跨年度结转抵免境外所得税审核表!F7</f>
        <v>0</v>
      </c>
      <c r="G7" s="2072">
        <f>跨年度结转抵免境外所得税审核表!G7</f>
        <v>0</v>
      </c>
      <c r="H7" s="2072">
        <f>跨年度结转抵免境外所得税审核表!H7</f>
        <v>0</v>
      </c>
      <c r="I7" s="2072">
        <f>跨年度结转抵免境外所得税审核表!I7</f>
        <v>0</v>
      </c>
      <c r="J7" s="2072">
        <f>跨年度结转抵免境外所得税审核表!J7</f>
        <v>0</v>
      </c>
      <c r="K7" s="2072">
        <f>跨年度结转抵免境外所得税审核表!K7</f>
        <v>0</v>
      </c>
      <c r="L7" s="2072">
        <f>跨年度结转抵免境外所得税审核表!L7</f>
        <v>0</v>
      </c>
      <c r="M7" s="2072">
        <f>跨年度结转抵免境外所得税审核表!M7</f>
        <v>0</v>
      </c>
      <c r="N7" s="2072">
        <f>跨年度结转抵免境外所得税审核表!N7</f>
        <v>0</v>
      </c>
      <c r="O7" s="2072">
        <f>跨年度结转抵免境外所得税审核表!O7</f>
        <v>0</v>
      </c>
      <c r="P7" s="2072">
        <f>跨年度结转抵免境外所得税审核表!P7</f>
        <v>0</v>
      </c>
      <c r="Q7" s="2072">
        <f>跨年度结转抵免境外所得税审核表!Q7</f>
        <v>0</v>
      </c>
      <c r="R7" s="2072">
        <f>跨年度结转抵免境外所得税审核表!R7</f>
        <v>0</v>
      </c>
      <c r="S7" s="2072">
        <f>跨年度结转抵免境外所得税审核表!S7</f>
        <v>0</v>
      </c>
      <c r="T7" s="2072">
        <f>跨年度结转抵免境外所得税审核表!T7</f>
        <v>0</v>
      </c>
    </row>
    <row r="8" spans="1:21" s="1616" customFormat="1" ht="14.25" customHeight="1">
      <c r="A8" s="1897">
        <v>3</v>
      </c>
      <c r="B8" s="1903">
        <f>跨年度结转抵免境外所得税审核表!B8</f>
        <v>0</v>
      </c>
      <c r="C8" s="2072">
        <f>跨年度结转抵免境外所得税审核表!C8</f>
        <v>0</v>
      </c>
      <c r="D8" s="2072">
        <f>跨年度结转抵免境外所得税审核表!D8</f>
        <v>0</v>
      </c>
      <c r="E8" s="2072">
        <f>跨年度结转抵免境外所得税审核表!E8</f>
        <v>0</v>
      </c>
      <c r="F8" s="2072">
        <f>跨年度结转抵免境外所得税审核表!F8</f>
        <v>0</v>
      </c>
      <c r="G8" s="2072">
        <f>跨年度结转抵免境外所得税审核表!G8</f>
        <v>0</v>
      </c>
      <c r="H8" s="2072">
        <f>跨年度结转抵免境外所得税审核表!H8</f>
        <v>0</v>
      </c>
      <c r="I8" s="2072">
        <f>跨年度结转抵免境外所得税审核表!I8</f>
        <v>0</v>
      </c>
      <c r="J8" s="2072">
        <f>跨年度结转抵免境外所得税审核表!J8</f>
        <v>0</v>
      </c>
      <c r="K8" s="2072">
        <f>跨年度结转抵免境外所得税审核表!K8</f>
        <v>0</v>
      </c>
      <c r="L8" s="2072">
        <f>跨年度结转抵免境外所得税审核表!L8</f>
        <v>0</v>
      </c>
      <c r="M8" s="2072">
        <f>跨年度结转抵免境外所得税审核表!M8</f>
        <v>0</v>
      </c>
      <c r="N8" s="2072">
        <f>跨年度结转抵免境外所得税审核表!N8</f>
        <v>0</v>
      </c>
      <c r="O8" s="2072">
        <f>跨年度结转抵免境外所得税审核表!O8</f>
        <v>0</v>
      </c>
      <c r="P8" s="2072">
        <f>跨年度结转抵免境外所得税审核表!P8</f>
        <v>0</v>
      </c>
      <c r="Q8" s="2072">
        <f>跨年度结转抵免境外所得税审核表!Q8</f>
        <v>0</v>
      </c>
      <c r="R8" s="2072">
        <f>跨年度结转抵免境外所得税审核表!R8</f>
        <v>0</v>
      </c>
      <c r="S8" s="2072">
        <f>跨年度结转抵免境外所得税审核表!S8</f>
        <v>0</v>
      </c>
      <c r="T8" s="2072">
        <f>跨年度结转抵免境外所得税审核表!T8</f>
        <v>0</v>
      </c>
    </row>
    <row r="9" spans="1:21" s="1616" customFormat="1" ht="14.25" customHeight="1">
      <c r="A9" s="1897">
        <v>4</v>
      </c>
      <c r="B9" s="1903">
        <f>跨年度结转抵免境外所得税审核表!B9</f>
        <v>0</v>
      </c>
      <c r="C9" s="2072">
        <f>跨年度结转抵免境外所得税审核表!C9</f>
        <v>0</v>
      </c>
      <c r="D9" s="2072">
        <f>跨年度结转抵免境外所得税审核表!D9</f>
        <v>0</v>
      </c>
      <c r="E9" s="2072">
        <f>跨年度结转抵免境外所得税审核表!E9</f>
        <v>0</v>
      </c>
      <c r="F9" s="2072">
        <f>跨年度结转抵免境外所得税审核表!F9</f>
        <v>0</v>
      </c>
      <c r="G9" s="2072">
        <f>跨年度结转抵免境外所得税审核表!G9</f>
        <v>0</v>
      </c>
      <c r="H9" s="2072">
        <f>跨年度结转抵免境外所得税审核表!H9</f>
        <v>0</v>
      </c>
      <c r="I9" s="2072">
        <f>跨年度结转抵免境外所得税审核表!I9</f>
        <v>0</v>
      </c>
      <c r="J9" s="2072">
        <f>跨年度结转抵免境外所得税审核表!J9</f>
        <v>0</v>
      </c>
      <c r="K9" s="2072">
        <f>跨年度结转抵免境外所得税审核表!K9</f>
        <v>0</v>
      </c>
      <c r="L9" s="2072">
        <f>跨年度结转抵免境外所得税审核表!L9</f>
        <v>0</v>
      </c>
      <c r="M9" s="2072">
        <f>跨年度结转抵免境外所得税审核表!M9</f>
        <v>0</v>
      </c>
      <c r="N9" s="2072">
        <f>跨年度结转抵免境外所得税审核表!N9</f>
        <v>0</v>
      </c>
      <c r="O9" s="2072">
        <f>跨年度结转抵免境外所得税审核表!O9</f>
        <v>0</v>
      </c>
      <c r="P9" s="2072">
        <f>跨年度结转抵免境外所得税审核表!P9</f>
        <v>0</v>
      </c>
      <c r="Q9" s="2072">
        <f>跨年度结转抵免境外所得税审核表!Q9</f>
        <v>0</v>
      </c>
      <c r="R9" s="2072">
        <f>跨年度结转抵免境外所得税审核表!R9</f>
        <v>0</v>
      </c>
      <c r="S9" s="2072">
        <f>跨年度结转抵免境外所得税审核表!S9</f>
        <v>0</v>
      </c>
      <c r="T9" s="2072">
        <f>跨年度结转抵免境外所得税审核表!T9</f>
        <v>0</v>
      </c>
    </row>
    <row r="10" spans="1:21" s="1616" customFormat="1" ht="14.25" customHeight="1">
      <c r="A10" s="1897">
        <v>5</v>
      </c>
      <c r="B10" s="1903">
        <f>跨年度结转抵免境外所得税审核表!B10</f>
        <v>0</v>
      </c>
      <c r="C10" s="2072">
        <f>跨年度结转抵免境外所得税审核表!C10</f>
        <v>0</v>
      </c>
      <c r="D10" s="2072">
        <f>跨年度结转抵免境外所得税审核表!D10</f>
        <v>0</v>
      </c>
      <c r="E10" s="2072">
        <f>跨年度结转抵免境外所得税审核表!E10</f>
        <v>0</v>
      </c>
      <c r="F10" s="2072">
        <f>跨年度结转抵免境外所得税审核表!F10</f>
        <v>0</v>
      </c>
      <c r="G10" s="2072">
        <f>跨年度结转抵免境外所得税审核表!G10</f>
        <v>0</v>
      </c>
      <c r="H10" s="2072">
        <f>跨年度结转抵免境外所得税审核表!H10</f>
        <v>0</v>
      </c>
      <c r="I10" s="2072">
        <f>跨年度结转抵免境外所得税审核表!I10</f>
        <v>0</v>
      </c>
      <c r="J10" s="2072">
        <f>跨年度结转抵免境外所得税审核表!J10</f>
        <v>0</v>
      </c>
      <c r="K10" s="2072">
        <f>跨年度结转抵免境外所得税审核表!K10</f>
        <v>0</v>
      </c>
      <c r="L10" s="2072">
        <f>跨年度结转抵免境外所得税审核表!L10</f>
        <v>0</v>
      </c>
      <c r="M10" s="2072">
        <f>跨年度结转抵免境外所得税审核表!M10</f>
        <v>0</v>
      </c>
      <c r="N10" s="2072">
        <f>跨年度结转抵免境外所得税审核表!N10</f>
        <v>0</v>
      </c>
      <c r="O10" s="2072">
        <f>跨年度结转抵免境外所得税审核表!O10</f>
        <v>0</v>
      </c>
      <c r="P10" s="2072">
        <f>跨年度结转抵免境外所得税审核表!P10</f>
        <v>0</v>
      </c>
      <c r="Q10" s="2072">
        <f>跨年度结转抵免境外所得税审核表!Q10</f>
        <v>0</v>
      </c>
      <c r="R10" s="2072">
        <f>跨年度结转抵免境外所得税审核表!R10</f>
        <v>0</v>
      </c>
      <c r="S10" s="2072">
        <f>跨年度结转抵免境外所得税审核表!S10</f>
        <v>0</v>
      </c>
      <c r="T10" s="2072">
        <f>跨年度结转抵免境外所得税审核表!T10</f>
        <v>0</v>
      </c>
    </row>
    <row r="11" spans="1:21" s="1616" customFormat="1" ht="14.25" customHeight="1">
      <c r="A11" s="1897">
        <v>6</v>
      </c>
      <c r="B11" s="1903">
        <f>跨年度结转抵免境外所得税审核表!B11</f>
        <v>0</v>
      </c>
      <c r="C11" s="2072">
        <f>跨年度结转抵免境外所得税审核表!C11</f>
        <v>0</v>
      </c>
      <c r="D11" s="2072">
        <f>跨年度结转抵免境外所得税审核表!D11</f>
        <v>0</v>
      </c>
      <c r="E11" s="2072">
        <f>跨年度结转抵免境外所得税审核表!E11</f>
        <v>0</v>
      </c>
      <c r="F11" s="2072">
        <f>跨年度结转抵免境外所得税审核表!F11</f>
        <v>0</v>
      </c>
      <c r="G11" s="2072">
        <f>跨年度结转抵免境外所得税审核表!G11</f>
        <v>0</v>
      </c>
      <c r="H11" s="2072">
        <f>跨年度结转抵免境外所得税审核表!H11</f>
        <v>0</v>
      </c>
      <c r="I11" s="2072">
        <f>跨年度结转抵免境外所得税审核表!I11</f>
        <v>0</v>
      </c>
      <c r="J11" s="2072">
        <f>跨年度结转抵免境外所得税审核表!J11</f>
        <v>0</v>
      </c>
      <c r="K11" s="2072">
        <f>跨年度结转抵免境外所得税审核表!K11</f>
        <v>0</v>
      </c>
      <c r="L11" s="2072">
        <f>跨年度结转抵免境外所得税审核表!L11</f>
        <v>0</v>
      </c>
      <c r="M11" s="2072">
        <f>跨年度结转抵免境外所得税审核表!M11</f>
        <v>0</v>
      </c>
      <c r="N11" s="2072">
        <f>跨年度结转抵免境外所得税审核表!N11</f>
        <v>0</v>
      </c>
      <c r="O11" s="2072">
        <f>跨年度结转抵免境外所得税审核表!O11</f>
        <v>0</v>
      </c>
      <c r="P11" s="2072">
        <f>跨年度结转抵免境外所得税审核表!P11</f>
        <v>0</v>
      </c>
      <c r="Q11" s="2072">
        <f>跨年度结转抵免境外所得税审核表!Q11</f>
        <v>0</v>
      </c>
      <c r="R11" s="2072">
        <f>跨年度结转抵免境外所得税审核表!R11</f>
        <v>0</v>
      </c>
      <c r="S11" s="2072">
        <f>跨年度结转抵免境外所得税审核表!S11</f>
        <v>0</v>
      </c>
      <c r="T11" s="2072">
        <f>跨年度结转抵免境外所得税审核表!T11</f>
        <v>0</v>
      </c>
    </row>
    <row r="12" spans="1:21" s="1616" customFormat="1" ht="14.25" customHeight="1">
      <c r="A12" s="1897">
        <v>7</v>
      </c>
      <c r="B12" s="1903">
        <f>跨年度结转抵免境外所得税审核表!B12</f>
        <v>0</v>
      </c>
      <c r="C12" s="2072">
        <f>跨年度结转抵免境外所得税审核表!C12</f>
        <v>0</v>
      </c>
      <c r="D12" s="2072">
        <f>跨年度结转抵免境外所得税审核表!D12</f>
        <v>0</v>
      </c>
      <c r="E12" s="2072">
        <f>跨年度结转抵免境外所得税审核表!E12</f>
        <v>0</v>
      </c>
      <c r="F12" s="2072">
        <f>跨年度结转抵免境外所得税审核表!F12</f>
        <v>0</v>
      </c>
      <c r="G12" s="2072">
        <f>跨年度结转抵免境外所得税审核表!G12</f>
        <v>0</v>
      </c>
      <c r="H12" s="2072">
        <f>跨年度结转抵免境外所得税审核表!H12</f>
        <v>0</v>
      </c>
      <c r="I12" s="2072">
        <f>跨年度结转抵免境外所得税审核表!I12</f>
        <v>0</v>
      </c>
      <c r="J12" s="2072">
        <f>跨年度结转抵免境外所得税审核表!J12</f>
        <v>0</v>
      </c>
      <c r="K12" s="2072">
        <f>跨年度结转抵免境外所得税审核表!K12</f>
        <v>0</v>
      </c>
      <c r="L12" s="2072">
        <f>跨年度结转抵免境外所得税审核表!L12</f>
        <v>0</v>
      </c>
      <c r="M12" s="2072">
        <f>跨年度结转抵免境外所得税审核表!M12</f>
        <v>0</v>
      </c>
      <c r="N12" s="2072">
        <f>跨年度结转抵免境外所得税审核表!N12</f>
        <v>0</v>
      </c>
      <c r="O12" s="2072">
        <f>跨年度结转抵免境外所得税审核表!O12</f>
        <v>0</v>
      </c>
      <c r="P12" s="2072">
        <f>跨年度结转抵免境外所得税审核表!P12</f>
        <v>0</v>
      </c>
      <c r="Q12" s="2072">
        <f>跨年度结转抵免境外所得税审核表!Q12</f>
        <v>0</v>
      </c>
      <c r="R12" s="2072">
        <f>跨年度结转抵免境外所得税审核表!R12</f>
        <v>0</v>
      </c>
      <c r="S12" s="2072">
        <f>跨年度结转抵免境外所得税审核表!S12</f>
        <v>0</v>
      </c>
      <c r="T12" s="2072">
        <f>跨年度结转抵免境外所得税审核表!T12</f>
        <v>0</v>
      </c>
    </row>
    <row r="13" spans="1:21" s="1616" customFormat="1" ht="14.25" customHeight="1">
      <c r="A13" s="1897">
        <v>8</v>
      </c>
      <c r="B13" s="1903">
        <f>跨年度结转抵免境外所得税审核表!B13</f>
        <v>0</v>
      </c>
      <c r="C13" s="2072">
        <f>跨年度结转抵免境外所得税审核表!C13</f>
        <v>0</v>
      </c>
      <c r="D13" s="2072">
        <f>跨年度结转抵免境外所得税审核表!D13</f>
        <v>0</v>
      </c>
      <c r="E13" s="2072">
        <f>跨年度结转抵免境外所得税审核表!E13</f>
        <v>0</v>
      </c>
      <c r="F13" s="2072">
        <f>跨年度结转抵免境外所得税审核表!F13</f>
        <v>0</v>
      </c>
      <c r="G13" s="2072">
        <f>跨年度结转抵免境外所得税审核表!G13</f>
        <v>0</v>
      </c>
      <c r="H13" s="2072">
        <f>跨年度结转抵免境外所得税审核表!H13</f>
        <v>0</v>
      </c>
      <c r="I13" s="2072">
        <f>跨年度结转抵免境外所得税审核表!I13</f>
        <v>0</v>
      </c>
      <c r="J13" s="2072">
        <f>跨年度结转抵免境外所得税审核表!J13</f>
        <v>0</v>
      </c>
      <c r="K13" s="2072">
        <f>跨年度结转抵免境外所得税审核表!K13</f>
        <v>0</v>
      </c>
      <c r="L13" s="2072">
        <f>跨年度结转抵免境外所得税审核表!L13</f>
        <v>0</v>
      </c>
      <c r="M13" s="2072">
        <f>跨年度结转抵免境外所得税审核表!M13</f>
        <v>0</v>
      </c>
      <c r="N13" s="2072">
        <f>跨年度结转抵免境外所得税审核表!N13</f>
        <v>0</v>
      </c>
      <c r="O13" s="2072">
        <f>跨年度结转抵免境外所得税审核表!O13</f>
        <v>0</v>
      </c>
      <c r="P13" s="2072">
        <f>跨年度结转抵免境外所得税审核表!P13</f>
        <v>0</v>
      </c>
      <c r="Q13" s="2072">
        <f>跨年度结转抵免境外所得税审核表!Q13</f>
        <v>0</v>
      </c>
      <c r="R13" s="2072">
        <f>跨年度结转抵免境外所得税审核表!R13</f>
        <v>0</v>
      </c>
      <c r="S13" s="2072">
        <f>跨年度结转抵免境外所得税审核表!S13</f>
        <v>0</v>
      </c>
      <c r="T13" s="2072">
        <f>跨年度结转抵免境外所得税审核表!T13</f>
        <v>0</v>
      </c>
    </row>
    <row r="14" spans="1:21" s="1625" customFormat="1" ht="14.25" customHeight="1">
      <c r="A14" s="1897">
        <v>9</v>
      </c>
      <c r="B14" s="1903">
        <f>跨年度结转抵免境外所得税审核表!B14</f>
        <v>0</v>
      </c>
      <c r="C14" s="2072">
        <f>跨年度结转抵免境外所得税审核表!C14</f>
        <v>0</v>
      </c>
      <c r="D14" s="2072">
        <f>跨年度结转抵免境外所得税审核表!D14</f>
        <v>0</v>
      </c>
      <c r="E14" s="2072">
        <f>跨年度结转抵免境外所得税审核表!E14</f>
        <v>0</v>
      </c>
      <c r="F14" s="2072">
        <f>跨年度结转抵免境外所得税审核表!F14</f>
        <v>0</v>
      </c>
      <c r="G14" s="2072">
        <f>跨年度结转抵免境外所得税审核表!G14</f>
        <v>0</v>
      </c>
      <c r="H14" s="2072">
        <f>跨年度结转抵免境外所得税审核表!H14</f>
        <v>0</v>
      </c>
      <c r="I14" s="2072">
        <f>跨年度结转抵免境外所得税审核表!I14</f>
        <v>0</v>
      </c>
      <c r="J14" s="2072">
        <f>跨年度结转抵免境外所得税审核表!J14</f>
        <v>0</v>
      </c>
      <c r="K14" s="2072">
        <f>跨年度结转抵免境外所得税审核表!K14</f>
        <v>0</v>
      </c>
      <c r="L14" s="2072">
        <f>跨年度结转抵免境外所得税审核表!L14</f>
        <v>0</v>
      </c>
      <c r="M14" s="2072">
        <f>跨年度结转抵免境外所得税审核表!M14</f>
        <v>0</v>
      </c>
      <c r="N14" s="2072">
        <f>跨年度结转抵免境外所得税审核表!N14</f>
        <v>0</v>
      </c>
      <c r="O14" s="2072">
        <f>跨年度结转抵免境外所得税审核表!O14</f>
        <v>0</v>
      </c>
      <c r="P14" s="2072">
        <f>跨年度结转抵免境外所得税审核表!P14</f>
        <v>0</v>
      </c>
      <c r="Q14" s="2072">
        <f>跨年度结转抵免境外所得税审核表!Q14</f>
        <v>0</v>
      </c>
      <c r="R14" s="2072">
        <f>跨年度结转抵免境外所得税审核表!R14</f>
        <v>0</v>
      </c>
      <c r="S14" s="2072">
        <f>跨年度结转抵免境外所得税审核表!S14</f>
        <v>0</v>
      </c>
      <c r="T14" s="2072">
        <f>跨年度结转抵免境外所得税审核表!T14</f>
        <v>0</v>
      </c>
    </row>
    <row r="15" spans="1:21" s="1625" customFormat="1" ht="14.25" customHeight="1">
      <c r="A15" s="1897">
        <v>10</v>
      </c>
      <c r="B15" s="1910" t="s">
        <v>5482</v>
      </c>
      <c r="C15" s="2072">
        <f>跨年度结转抵免境外所得税审核表!C15</f>
        <v>0</v>
      </c>
      <c r="D15" s="2072">
        <f>跨年度结转抵免境外所得税审核表!D15</f>
        <v>0</v>
      </c>
      <c r="E15" s="2072">
        <f>跨年度结转抵免境外所得税审核表!E15</f>
        <v>0</v>
      </c>
      <c r="F15" s="2072">
        <f>跨年度结转抵免境外所得税审核表!F15</f>
        <v>0</v>
      </c>
      <c r="G15" s="2072">
        <f>跨年度结转抵免境外所得税审核表!G15</f>
        <v>0</v>
      </c>
      <c r="H15" s="2072">
        <f>跨年度结转抵免境外所得税审核表!H15</f>
        <v>0</v>
      </c>
      <c r="I15" s="2072">
        <f>跨年度结转抵免境外所得税审核表!I15</f>
        <v>0</v>
      </c>
      <c r="J15" s="2072">
        <f>跨年度结转抵免境外所得税审核表!J15</f>
        <v>0</v>
      </c>
      <c r="K15" s="2072">
        <f>跨年度结转抵免境外所得税审核表!K15</f>
        <v>0</v>
      </c>
      <c r="L15" s="2072">
        <f>跨年度结转抵免境外所得税审核表!L15</f>
        <v>0</v>
      </c>
      <c r="M15" s="2072">
        <f>跨年度结转抵免境外所得税审核表!M15</f>
        <v>0</v>
      </c>
      <c r="N15" s="2072">
        <f>跨年度结转抵免境外所得税审核表!N15</f>
        <v>0</v>
      </c>
      <c r="O15" s="2072">
        <f>跨年度结转抵免境外所得税审核表!O15</f>
        <v>0</v>
      </c>
      <c r="P15" s="2072">
        <f>跨年度结转抵免境外所得税审核表!P15</f>
        <v>0</v>
      </c>
      <c r="Q15" s="2072">
        <f>跨年度结转抵免境外所得税审核表!Q15</f>
        <v>0</v>
      </c>
      <c r="R15" s="2072">
        <f>跨年度结转抵免境外所得税审核表!R15</f>
        <v>0</v>
      </c>
      <c r="S15" s="2072">
        <f>跨年度结转抵免境外所得税审核表!S15</f>
        <v>0</v>
      </c>
      <c r="T15" s="2072">
        <f>跨年度结转抵免境外所得税审核表!T15</f>
        <v>0</v>
      </c>
      <c r="U15" s="1770" t="s">
        <v>6482</v>
      </c>
    </row>
    <row r="16" spans="1:21" s="1625" customFormat="1" ht="280.5" customHeight="1">
      <c r="A16" s="1911"/>
      <c r="B16" s="1962" t="s">
        <v>6511</v>
      </c>
      <c r="C16" s="1962"/>
      <c r="D16" s="1962"/>
      <c r="E16" s="1962"/>
      <c r="F16" s="1911"/>
      <c r="G16" s="1911"/>
      <c r="H16" s="1911"/>
      <c r="I16" s="1911"/>
      <c r="J16" s="1911"/>
      <c r="K16" s="1911"/>
      <c r="L16" s="1911"/>
      <c r="M16" s="1911"/>
      <c r="N16" s="1902" t="s">
        <v>5874</v>
      </c>
      <c r="O16" s="1962"/>
      <c r="P16" s="1962"/>
      <c r="Q16" s="1962"/>
      <c r="R16" s="1911"/>
      <c r="S16" s="1902" t="s">
        <v>5875</v>
      </c>
      <c r="T16" s="1911"/>
    </row>
  </sheetData>
  <mergeCells count="7">
    <mergeCell ref="A1:T1"/>
    <mergeCell ref="A2:T2"/>
    <mergeCell ref="A3:A5"/>
    <mergeCell ref="B3:B4"/>
    <mergeCell ref="C3:H3"/>
    <mergeCell ref="I3:N3"/>
    <mergeCell ref="O3:T3"/>
  </mergeCells>
  <phoneticPr fontId="51" type="noConversion"/>
  <hyperlinks>
    <hyperlink ref="U15" location="跨年度结转抵免境外所得税审核表!A1" display="跨年度结转抵免境外所得税审核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tabColor rgb="FFFFFF00"/>
  </sheetPr>
  <dimension ref="A1:G20"/>
  <sheetViews>
    <sheetView topLeftCell="C1" workbookViewId="0">
      <selection activeCell="D28" sqref="D28"/>
    </sheetView>
  </sheetViews>
  <sheetFormatPr defaultRowHeight="15.6"/>
  <cols>
    <col min="1" max="1" width="5.19921875" style="1629" customWidth="1"/>
    <col min="2" max="2" width="56.09765625" style="1629" customWidth="1"/>
    <col min="3" max="3" width="19.19921875" style="1629" customWidth="1"/>
    <col min="4" max="4" width="22.5" style="1629" customWidth="1"/>
    <col min="5" max="256" width="9" style="1629"/>
    <col min="257" max="257" width="5.19921875" style="1629" customWidth="1"/>
    <col min="258" max="258" width="56.09765625" style="1629" customWidth="1"/>
    <col min="259" max="259" width="19.19921875" style="1629" customWidth="1"/>
    <col min="260" max="260" width="22.5" style="1629" customWidth="1"/>
    <col min="261" max="512" width="9" style="1629"/>
    <col min="513" max="513" width="5.19921875" style="1629" customWidth="1"/>
    <col min="514" max="514" width="56.09765625" style="1629" customWidth="1"/>
    <col min="515" max="515" width="19.19921875" style="1629" customWidth="1"/>
    <col min="516" max="516" width="22.5" style="1629" customWidth="1"/>
    <col min="517" max="768" width="9" style="1629"/>
    <col min="769" max="769" width="5.19921875" style="1629" customWidth="1"/>
    <col min="770" max="770" width="56.09765625" style="1629" customWidth="1"/>
    <col min="771" max="771" width="19.19921875" style="1629" customWidth="1"/>
    <col min="772" max="772" width="22.5" style="1629" customWidth="1"/>
    <col min="773" max="1024" width="9" style="1629"/>
    <col min="1025" max="1025" width="5.19921875" style="1629" customWidth="1"/>
    <col min="1026" max="1026" width="56.09765625" style="1629" customWidth="1"/>
    <col min="1027" max="1027" width="19.19921875" style="1629" customWidth="1"/>
    <col min="1028" max="1028" width="22.5" style="1629" customWidth="1"/>
    <col min="1029" max="1280" width="9" style="1629"/>
    <col min="1281" max="1281" width="5.19921875" style="1629" customWidth="1"/>
    <col min="1282" max="1282" width="56.09765625" style="1629" customWidth="1"/>
    <col min="1283" max="1283" width="19.19921875" style="1629" customWidth="1"/>
    <col min="1284" max="1284" width="22.5" style="1629" customWidth="1"/>
    <col min="1285" max="1536" width="9" style="1629"/>
    <col min="1537" max="1537" width="5.19921875" style="1629" customWidth="1"/>
    <col min="1538" max="1538" width="56.09765625" style="1629" customWidth="1"/>
    <col min="1539" max="1539" width="19.19921875" style="1629" customWidth="1"/>
    <col min="1540" max="1540" width="22.5" style="1629" customWidth="1"/>
    <col min="1541" max="1792" width="9" style="1629"/>
    <col min="1793" max="1793" width="5.19921875" style="1629" customWidth="1"/>
    <col min="1794" max="1794" width="56.09765625" style="1629" customWidth="1"/>
    <col min="1795" max="1795" width="19.19921875" style="1629" customWidth="1"/>
    <col min="1796" max="1796" width="22.5" style="1629" customWidth="1"/>
    <col min="1797" max="2048" width="9" style="1629"/>
    <col min="2049" max="2049" width="5.19921875" style="1629" customWidth="1"/>
    <col min="2050" max="2050" width="56.09765625" style="1629" customWidth="1"/>
    <col min="2051" max="2051" width="19.19921875" style="1629" customWidth="1"/>
    <col min="2052" max="2052" width="22.5" style="1629" customWidth="1"/>
    <col min="2053" max="2304" width="9" style="1629"/>
    <col min="2305" max="2305" width="5.19921875" style="1629" customWidth="1"/>
    <col min="2306" max="2306" width="56.09765625" style="1629" customWidth="1"/>
    <col min="2307" max="2307" width="19.19921875" style="1629" customWidth="1"/>
    <col min="2308" max="2308" width="22.5" style="1629" customWidth="1"/>
    <col min="2309" max="2560" width="9" style="1629"/>
    <col min="2561" max="2561" width="5.19921875" style="1629" customWidth="1"/>
    <col min="2562" max="2562" width="56.09765625" style="1629" customWidth="1"/>
    <col min="2563" max="2563" width="19.19921875" style="1629" customWidth="1"/>
    <col min="2564" max="2564" width="22.5" style="1629" customWidth="1"/>
    <col min="2565" max="2816" width="9" style="1629"/>
    <col min="2817" max="2817" width="5.19921875" style="1629" customWidth="1"/>
    <col min="2818" max="2818" width="56.09765625" style="1629" customWidth="1"/>
    <col min="2819" max="2819" width="19.19921875" style="1629" customWidth="1"/>
    <col min="2820" max="2820" width="22.5" style="1629" customWidth="1"/>
    <col min="2821" max="3072" width="9" style="1629"/>
    <col min="3073" max="3073" width="5.19921875" style="1629" customWidth="1"/>
    <col min="3074" max="3074" width="56.09765625" style="1629" customWidth="1"/>
    <col min="3075" max="3075" width="19.19921875" style="1629" customWidth="1"/>
    <col min="3076" max="3076" width="22.5" style="1629" customWidth="1"/>
    <col min="3077" max="3328" width="9" style="1629"/>
    <col min="3329" max="3329" width="5.19921875" style="1629" customWidth="1"/>
    <col min="3330" max="3330" width="56.09765625" style="1629" customWidth="1"/>
    <col min="3331" max="3331" width="19.19921875" style="1629" customWidth="1"/>
    <col min="3332" max="3332" width="22.5" style="1629" customWidth="1"/>
    <col min="3333" max="3584" width="9" style="1629"/>
    <col min="3585" max="3585" width="5.19921875" style="1629" customWidth="1"/>
    <col min="3586" max="3586" width="56.09765625" style="1629" customWidth="1"/>
    <col min="3587" max="3587" width="19.19921875" style="1629" customWidth="1"/>
    <col min="3588" max="3588" width="22.5" style="1629" customWidth="1"/>
    <col min="3589" max="3840" width="9" style="1629"/>
    <col min="3841" max="3841" width="5.19921875" style="1629" customWidth="1"/>
    <col min="3842" max="3842" width="56.09765625" style="1629" customWidth="1"/>
    <col min="3843" max="3843" width="19.19921875" style="1629" customWidth="1"/>
    <col min="3844" max="3844" width="22.5" style="1629" customWidth="1"/>
    <col min="3845" max="4096" width="9" style="1629"/>
    <col min="4097" max="4097" width="5.19921875" style="1629" customWidth="1"/>
    <col min="4098" max="4098" width="56.09765625" style="1629" customWidth="1"/>
    <col min="4099" max="4099" width="19.19921875" style="1629" customWidth="1"/>
    <col min="4100" max="4100" width="22.5" style="1629" customWidth="1"/>
    <col min="4101" max="4352" width="9" style="1629"/>
    <col min="4353" max="4353" width="5.19921875" style="1629" customWidth="1"/>
    <col min="4354" max="4354" width="56.09765625" style="1629" customWidth="1"/>
    <col min="4355" max="4355" width="19.19921875" style="1629" customWidth="1"/>
    <col min="4356" max="4356" width="22.5" style="1629" customWidth="1"/>
    <col min="4357" max="4608" width="9" style="1629"/>
    <col min="4609" max="4609" width="5.19921875" style="1629" customWidth="1"/>
    <col min="4610" max="4610" width="56.09765625" style="1629" customWidth="1"/>
    <col min="4611" max="4611" width="19.19921875" style="1629" customWidth="1"/>
    <col min="4612" max="4612" width="22.5" style="1629" customWidth="1"/>
    <col min="4613" max="4864" width="9" style="1629"/>
    <col min="4865" max="4865" width="5.19921875" style="1629" customWidth="1"/>
    <col min="4866" max="4866" width="56.09765625" style="1629" customWidth="1"/>
    <col min="4867" max="4867" width="19.19921875" style="1629" customWidth="1"/>
    <col min="4868" max="4868" width="22.5" style="1629" customWidth="1"/>
    <col min="4869" max="5120" width="9" style="1629"/>
    <col min="5121" max="5121" width="5.19921875" style="1629" customWidth="1"/>
    <col min="5122" max="5122" width="56.09765625" style="1629" customWidth="1"/>
    <col min="5123" max="5123" width="19.19921875" style="1629" customWidth="1"/>
    <col min="5124" max="5124" width="22.5" style="1629" customWidth="1"/>
    <col min="5125" max="5376" width="9" style="1629"/>
    <col min="5377" max="5377" width="5.19921875" style="1629" customWidth="1"/>
    <col min="5378" max="5378" width="56.09765625" style="1629" customWidth="1"/>
    <col min="5379" max="5379" width="19.19921875" style="1629" customWidth="1"/>
    <col min="5380" max="5380" width="22.5" style="1629" customWidth="1"/>
    <col min="5381" max="5632" width="9" style="1629"/>
    <col min="5633" max="5633" width="5.19921875" style="1629" customWidth="1"/>
    <col min="5634" max="5634" width="56.09765625" style="1629" customWidth="1"/>
    <col min="5635" max="5635" width="19.19921875" style="1629" customWidth="1"/>
    <col min="5636" max="5636" width="22.5" style="1629" customWidth="1"/>
    <col min="5637" max="5888" width="9" style="1629"/>
    <col min="5889" max="5889" width="5.19921875" style="1629" customWidth="1"/>
    <col min="5890" max="5890" width="56.09765625" style="1629" customWidth="1"/>
    <col min="5891" max="5891" width="19.19921875" style="1629" customWidth="1"/>
    <col min="5892" max="5892" width="22.5" style="1629" customWidth="1"/>
    <col min="5893" max="6144" width="9" style="1629"/>
    <col min="6145" max="6145" width="5.19921875" style="1629" customWidth="1"/>
    <col min="6146" max="6146" width="56.09765625" style="1629" customWidth="1"/>
    <col min="6147" max="6147" width="19.19921875" style="1629" customWidth="1"/>
    <col min="6148" max="6148" width="22.5" style="1629" customWidth="1"/>
    <col min="6149" max="6400" width="9" style="1629"/>
    <col min="6401" max="6401" width="5.19921875" style="1629" customWidth="1"/>
    <col min="6402" max="6402" width="56.09765625" style="1629" customWidth="1"/>
    <col min="6403" max="6403" width="19.19921875" style="1629" customWidth="1"/>
    <col min="6404" max="6404" width="22.5" style="1629" customWidth="1"/>
    <col min="6405" max="6656" width="9" style="1629"/>
    <col min="6657" max="6657" width="5.19921875" style="1629" customWidth="1"/>
    <col min="6658" max="6658" width="56.09765625" style="1629" customWidth="1"/>
    <col min="6659" max="6659" width="19.19921875" style="1629" customWidth="1"/>
    <col min="6660" max="6660" width="22.5" style="1629" customWidth="1"/>
    <col min="6661" max="6912" width="9" style="1629"/>
    <col min="6913" max="6913" width="5.19921875" style="1629" customWidth="1"/>
    <col min="6914" max="6914" width="56.09765625" style="1629" customWidth="1"/>
    <col min="6915" max="6915" width="19.19921875" style="1629" customWidth="1"/>
    <col min="6916" max="6916" width="22.5" style="1629" customWidth="1"/>
    <col min="6917" max="7168" width="9" style="1629"/>
    <col min="7169" max="7169" width="5.19921875" style="1629" customWidth="1"/>
    <col min="7170" max="7170" width="56.09765625" style="1629" customWidth="1"/>
    <col min="7171" max="7171" width="19.19921875" style="1629" customWidth="1"/>
    <col min="7172" max="7172" width="22.5" style="1629" customWidth="1"/>
    <col min="7173" max="7424" width="9" style="1629"/>
    <col min="7425" max="7425" width="5.19921875" style="1629" customWidth="1"/>
    <col min="7426" max="7426" width="56.09765625" style="1629" customWidth="1"/>
    <col min="7427" max="7427" width="19.19921875" style="1629" customWidth="1"/>
    <col min="7428" max="7428" width="22.5" style="1629" customWidth="1"/>
    <col min="7429" max="7680" width="9" style="1629"/>
    <col min="7681" max="7681" width="5.19921875" style="1629" customWidth="1"/>
    <col min="7682" max="7682" width="56.09765625" style="1629" customWidth="1"/>
    <col min="7683" max="7683" width="19.19921875" style="1629" customWidth="1"/>
    <col min="7684" max="7684" width="22.5" style="1629" customWidth="1"/>
    <col min="7685" max="7936" width="9" style="1629"/>
    <col min="7937" max="7937" width="5.19921875" style="1629" customWidth="1"/>
    <col min="7938" max="7938" width="56.09765625" style="1629" customWidth="1"/>
    <col min="7939" max="7939" width="19.19921875" style="1629" customWidth="1"/>
    <col min="7940" max="7940" width="22.5" style="1629" customWidth="1"/>
    <col min="7941" max="8192" width="9" style="1629"/>
    <col min="8193" max="8193" width="5.19921875" style="1629" customWidth="1"/>
    <col min="8194" max="8194" width="56.09765625" style="1629" customWidth="1"/>
    <col min="8195" max="8195" width="19.19921875" style="1629" customWidth="1"/>
    <col min="8196" max="8196" width="22.5" style="1629" customWidth="1"/>
    <col min="8197" max="8448" width="9" style="1629"/>
    <col min="8449" max="8449" width="5.19921875" style="1629" customWidth="1"/>
    <col min="8450" max="8450" width="56.09765625" style="1629" customWidth="1"/>
    <col min="8451" max="8451" width="19.19921875" style="1629" customWidth="1"/>
    <col min="8452" max="8452" width="22.5" style="1629" customWidth="1"/>
    <col min="8453" max="8704" width="9" style="1629"/>
    <col min="8705" max="8705" width="5.19921875" style="1629" customWidth="1"/>
    <col min="8706" max="8706" width="56.09765625" style="1629" customWidth="1"/>
    <col min="8707" max="8707" width="19.19921875" style="1629" customWidth="1"/>
    <col min="8708" max="8708" width="22.5" style="1629" customWidth="1"/>
    <col min="8709" max="8960" width="9" style="1629"/>
    <col min="8961" max="8961" width="5.19921875" style="1629" customWidth="1"/>
    <col min="8962" max="8962" width="56.09765625" style="1629" customWidth="1"/>
    <col min="8963" max="8963" width="19.19921875" style="1629" customWidth="1"/>
    <col min="8964" max="8964" width="22.5" style="1629" customWidth="1"/>
    <col min="8965" max="9216" width="9" style="1629"/>
    <col min="9217" max="9217" width="5.19921875" style="1629" customWidth="1"/>
    <col min="9218" max="9218" width="56.09765625" style="1629" customWidth="1"/>
    <col min="9219" max="9219" width="19.19921875" style="1629" customWidth="1"/>
    <col min="9220" max="9220" width="22.5" style="1629" customWidth="1"/>
    <col min="9221" max="9472" width="9" style="1629"/>
    <col min="9473" max="9473" width="5.19921875" style="1629" customWidth="1"/>
    <col min="9474" max="9474" width="56.09765625" style="1629" customWidth="1"/>
    <col min="9475" max="9475" width="19.19921875" style="1629" customWidth="1"/>
    <col min="9476" max="9476" width="22.5" style="1629" customWidth="1"/>
    <col min="9477" max="9728" width="9" style="1629"/>
    <col min="9729" max="9729" width="5.19921875" style="1629" customWidth="1"/>
    <col min="9730" max="9730" width="56.09765625" style="1629" customWidth="1"/>
    <col min="9731" max="9731" width="19.19921875" style="1629" customWidth="1"/>
    <col min="9732" max="9732" width="22.5" style="1629" customWidth="1"/>
    <col min="9733" max="9984" width="9" style="1629"/>
    <col min="9985" max="9985" width="5.19921875" style="1629" customWidth="1"/>
    <col min="9986" max="9986" width="56.09765625" style="1629" customWidth="1"/>
    <col min="9987" max="9987" width="19.19921875" style="1629" customWidth="1"/>
    <col min="9988" max="9988" width="22.5" style="1629" customWidth="1"/>
    <col min="9989" max="10240" width="9" style="1629"/>
    <col min="10241" max="10241" width="5.19921875" style="1629" customWidth="1"/>
    <col min="10242" max="10242" width="56.09765625" style="1629" customWidth="1"/>
    <col min="10243" max="10243" width="19.19921875" style="1629" customWidth="1"/>
    <col min="10244" max="10244" width="22.5" style="1629" customWidth="1"/>
    <col min="10245" max="10496" width="9" style="1629"/>
    <col min="10497" max="10497" width="5.19921875" style="1629" customWidth="1"/>
    <col min="10498" max="10498" width="56.09765625" style="1629" customWidth="1"/>
    <col min="10499" max="10499" width="19.19921875" style="1629" customWidth="1"/>
    <col min="10500" max="10500" width="22.5" style="1629" customWidth="1"/>
    <col min="10501" max="10752" width="9" style="1629"/>
    <col min="10753" max="10753" width="5.19921875" style="1629" customWidth="1"/>
    <col min="10754" max="10754" width="56.09765625" style="1629" customWidth="1"/>
    <col min="10755" max="10755" width="19.19921875" style="1629" customWidth="1"/>
    <col min="10756" max="10756" width="22.5" style="1629" customWidth="1"/>
    <col min="10757" max="11008" width="9" style="1629"/>
    <col min="11009" max="11009" width="5.19921875" style="1629" customWidth="1"/>
    <col min="11010" max="11010" width="56.09765625" style="1629" customWidth="1"/>
    <col min="11011" max="11011" width="19.19921875" style="1629" customWidth="1"/>
    <col min="11012" max="11012" width="22.5" style="1629" customWidth="1"/>
    <col min="11013" max="11264" width="9" style="1629"/>
    <col min="11265" max="11265" width="5.19921875" style="1629" customWidth="1"/>
    <col min="11266" max="11266" width="56.09765625" style="1629" customWidth="1"/>
    <col min="11267" max="11267" width="19.19921875" style="1629" customWidth="1"/>
    <col min="11268" max="11268" width="22.5" style="1629" customWidth="1"/>
    <col min="11269" max="11520" width="9" style="1629"/>
    <col min="11521" max="11521" width="5.19921875" style="1629" customWidth="1"/>
    <col min="11522" max="11522" width="56.09765625" style="1629" customWidth="1"/>
    <col min="11523" max="11523" width="19.19921875" style="1629" customWidth="1"/>
    <col min="11524" max="11524" width="22.5" style="1629" customWidth="1"/>
    <col min="11525" max="11776" width="9" style="1629"/>
    <col min="11777" max="11777" width="5.19921875" style="1629" customWidth="1"/>
    <col min="11778" max="11778" width="56.09765625" style="1629" customWidth="1"/>
    <col min="11779" max="11779" width="19.19921875" style="1629" customWidth="1"/>
    <col min="11780" max="11780" width="22.5" style="1629" customWidth="1"/>
    <col min="11781" max="12032" width="9" style="1629"/>
    <col min="12033" max="12033" width="5.19921875" style="1629" customWidth="1"/>
    <col min="12034" max="12034" width="56.09765625" style="1629" customWidth="1"/>
    <col min="12035" max="12035" width="19.19921875" style="1629" customWidth="1"/>
    <col min="12036" max="12036" width="22.5" style="1629" customWidth="1"/>
    <col min="12037" max="12288" width="9" style="1629"/>
    <col min="12289" max="12289" width="5.19921875" style="1629" customWidth="1"/>
    <col min="12290" max="12290" width="56.09765625" style="1629" customWidth="1"/>
    <col min="12291" max="12291" width="19.19921875" style="1629" customWidth="1"/>
    <col min="12292" max="12292" width="22.5" style="1629" customWidth="1"/>
    <col min="12293" max="12544" width="9" style="1629"/>
    <col min="12545" max="12545" width="5.19921875" style="1629" customWidth="1"/>
    <col min="12546" max="12546" width="56.09765625" style="1629" customWidth="1"/>
    <col min="12547" max="12547" width="19.19921875" style="1629" customWidth="1"/>
    <col min="12548" max="12548" width="22.5" style="1629" customWidth="1"/>
    <col min="12549" max="12800" width="9" style="1629"/>
    <col min="12801" max="12801" width="5.19921875" style="1629" customWidth="1"/>
    <col min="12802" max="12802" width="56.09765625" style="1629" customWidth="1"/>
    <col min="12803" max="12803" width="19.19921875" style="1629" customWidth="1"/>
    <col min="12804" max="12804" width="22.5" style="1629" customWidth="1"/>
    <col min="12805" max="13056" width="9" style="1629"/>
    <col min="13057" max="13057" width="5.19921875" style="1629" customWidth="1"/>
    <col min="13058" max="13058" width="56.09765625" style="1629" customWidth="1"/>
    <col min="13059" max="13059" width="19.19921875" style="1629" customWidth="1"/>
    <col min="13060" max="13060" width="22.5" style="1629" customWidth="1"/>
    <col min="13061" max="13312" width="9" style="1629"/>
    <col min="13313" max="13313" width="5.19921875" style="1629" customWidth="1"/>
    <col min="13314" max="13314" width="56.09765625" style="1629" customWidth="1"/>
    <col min="13315" max="13315" width="19.19921875" style="1629" customWidth="1"/>
    <col min="13316" max="13316" width="22.5" style="1629" customWidth="1"/>
    <col min="13317" max="13568" width="9" style="1629"/>
    <col min="13569" max="13569" width="5.19921875" style="1629" customWidth="1"/>
    <col min="13570" max="13570" width="56.09765625" style="1629" customWidth="1"/>
    <col min="13571" max="13571" width="19.19921875" style="1629" customWidth="1"/>
    <col min="13572" max="13572" width="22.5" style="1629" customWidth="1"/>
    <col min="13573" max="13824" width="9" style="1629"/>
    <col min="13825" max="13825" width="5.19921875" style="1629" customWidth="1"/>
    <col min="13826" max="13826" width="56.09765625" style="1629" customWidth="1"/>
    <col min="13827" max="13827" width="19.19921875" style="1629" customWidth="1"/>
    <col min="13828" max="13828" width="22.5" style="1629" customWidth="1"/>
    <col min="13829" max="14080" width="9" style="1629"/>
    <col min="14081" max="14081" width="5.19921875" style="1629" customWidth="1"/>
    <col min="14082" max="14082" width="56.09765625" style="1629" customWidth="1"/>
    <col min="14083" max="14083" width="19.19921875" style="1629" customWidth="1"/>
    <col min="14084" max="14084" width="22.5" style="1629" customWidth="1"/>
    <col min="14085" max="14336" width="9" style="1629"/>
    <col min="14337" max="14337" width="5.19921875" style="1629" customWidth="1"/>
    <col min="14338" max="14338" width="56.09765625" style="1629" customWidth="1"/>
    <col min="14339" max="14339" width="19.19921875" style="1629" customWidth="1"/>
    <col min="14340" max="14340" width="22.5" style="1629" customWidth="1"/>
    <col min="14341" max="14592" width="9" style="1629"/>
    <col min="14593" max="14593" width="5.19921875" style="1629" customWidth="1"/>
    <col min="14594" max="14594" width="56.09765625" style="1629" customWidth="1"/>
    <col min="14595" max="14595" width="19.19921875" style="1629" customWidth="1"/>
    <col min="14596" max="14596" width="22.5" style="1629" customWidth="1"/>
    <col min="14597" max="14848" width="9" style="1629"/>
    <col min="14849" max="14849" width="5.19921875" style="1629" customWidth="1"/>
    <col min="14850" max="14850" width="56.09765625" style="1629" customWidth="1"/>
    <col min="14851" max="14851" width="19.19921875" style="1629" customWidth="1"/>
    <col min="14852" max="14852" width="22.5" style="1629" customWidth="1"/>
    <col min="14853" max="15104" width="9" style="1629"/>
    <col min="15105" max="15105" width="5.19921875" style="1629" customWidth="1"/>
    <col min="15106" max="15106" width="56.09765625" style="1629" customWidth="1"/>
    <col min="15107" max="15107" width="19.19921875" style="1629" customWidth="1"/>
    <col min="15108" max="15108" width="22.5" style="1629" customWidth="1"/>
    <col min="15109" max="15360" width="9" style="1629"/>
    <col min="15361" max="15361" width="5.19921875" style="1629" customWidth="1"/>
    <col min="15362" max="15362" width="56.09765625" style="1629" customWidth="1"/>
    <col min="15363" max="15363" width="19.19921875" style="1629" customWidth="1"/>
    <col min="15364" max="15364" width="22.5" style="1629" customWidth="1"/>
    <col min="15365" max="15616" width="9" style="1629"/>
    <col min="15617" max="15617" width="5.19921875" style="1629" customWidth="1"/>
    <col min="15618" max="15618" width="56.09765625" style="1629" customWidth="1"/>
    <col min="15619" max="15619" width="19.19921875" style="1629" customWidth="1"/>
    <col min="15620" max="15620" width="22.5" style="1629" customWidth="1"/>
    <col min="15621" max="15872" width="9" style="1629"/>
    <col min="15873" max="15873" width="5.19921875" style="1629" customWidth="1"/>
    <col min="15874" max="15874" width="56.09765625" style="1629" customWidth="1"/>
    <col min="15875" max="15875" width="19.19921875" style="1629" customWidth="1"/>
    <col min="15876" max="15876" width="22.5" style="1629" customWidth="1"/>
    <col min="15877" max="16128" width="9" style="1629"/>
    <col min="16129" max="16129" width="5.19921875" style="1629" customWidth="1"/>
    <col min="16130" max="16130" width="56.09765625" style="1629" customWidth="1"/>
    <col min="16131" max="16131" width="19.19921875" style="1629" customWidth="1"/>
    <col min="16132" max="16132" width="22.5" style="1629" customWidth="1"/>
    <col min="16133" max="16384" width="9" style="1629"/>
  </cols>
  <sheetData>
    <row r="1" spans="1:7" s="1621" customFormat="1" ht="20.100000000000001" customHeight="1">
      <c r="A1" s="3460" t="s">
        <v>5876</v>
      </c>
      <c r="B1" s="3460"/>
      <c r="C1" s="3460"/>
      <c r="D1" s="2023"/>
    </row>
    <row r="2" spans="1:7" s="1622" customFormat="1" ht="25.5" customHeight="1">
      <c r="A2" s="3401" t="s">
        <v>5877</v>
      </c>
      <c r="B2" s="3401"/>
      <c r="C2" s="3401"/>
      <c r="D2" s="1912"/>
    </row>
    <row r="3" spans="1:7" s="1627" customFormat="1" ht="14.25" customHeight="1">
      <c r="A3" s="1910" t="s">
        <v>1853</v>
      </c>
      <c r="B3" s="1910" t="s">
        <v>4973</v>
      </c>
      <c r="C3" s="1910" t="s">
        <v>5878</v>
      </c>
      <c r="D3" s="1910" t="s">
        <v>4899</v>
      </c>
      <c r="G3" s="1628"/>
    </row>
    <row r="4" spans="1:7" s="1627" customFormat="1" ht="14.25" customHeight="1">
      <c r="A4" s="1910">
        <v>1</v>
      </c>
      <c r="B4" s="1913" t="s">
        <v>5879</v>
      </c>
      <c r="C4" s="2072">
        <f>跨地区经营汇总纳税企业年度分摊企业所得税审核表!C4</f>
        <v>0</v>
      </c>
      <c r="D4" s="1913" t="s">
        <v>5880</v>
      </c>
    </row>
    <row r="5" spans="1:7" s="1627" customFormat="1" ht="14.25" customHeight="1">
      <c r="A5" s="1910">
        <v>2</v>
      </c>
      <c r="B5" s="1913" t="s">
        <v>5881</v>
      </c>
      <c r="C5" s="2072">
        <f>跨地区经营汇总纳税企业年度分摊企业所得税审核表!C5</f>
        <v>0</v>
      </c>
      <c r="D5" s="1913" t="s">
        <v>5882</v>
      </c>
    </row>
    <row r="6" spans="1:7" s="1627" customFormat="1" ht="14.25" customHeight="1">
      <c r="A6" s="1910">
        <v>3</v>
      </c>
      <c r="B6" s="1913" t="s">
        <v>5883</v>
      </c>
      <c r="C6" s="2072">
        <f>跨地区经营汇总纳税企业年度分摊企业所得税审核表!C6</f>
        <v>0</v>
      </c>
      <c r="D6" s="1913" t="s">
        <v>5884</v>
      </c>
    </row>
    <row r="7" spans="1:7" s="1627" customFormat="1" ht="14.25" customHeight="1">
      <c r="A7" s="1910">
        <v>4</v>
      </c>
      <c r="B7" s="1914" t="s">
        <v>5885</v>
      </c>
      <c r="C7" s="2072">
        <f>跨地区经营汇总纳税企业年度分摊企业所得税审核表!C7</f>
        <v>0</v>
      </c>
      <c r="D7" s="1913"/>
    </row>
    <row r="8" spans="1:7" s="1627" customFormat="1" ht="14.25" customHeight="1">
      <c r="A8" s="1910">
        <v>5</v>
      </c>
      <c r="B8" s="1914" t="s">
        <v>5886</v>
      </c>
      <c r="C8" s="2072">
        <f>跨地区经营汇总纳税企业年度分摊企业所得税审核表!C8</f>
        <v>0</v>
      </c>
      <c r="D8" s="1913" t="s">
        <v>5887</v>
      </c>
    </row>
    <row r="9" spans="1:7" s="1627" customFormat="1" ht="14.25" customHeight="1">
      <c r="A9" s="1910">
        <v>6</v>
      </c>
      <c r="B9" s="1914" t="s">
        <v>5888</v>
      </c>
      <c r="C9" s="2072">
        <f>跨地区经营汇总纳税企业年度分摊企业所得税审核表!C9</f>
        <v>0</v>
      </c>
      <c r="D9" s="1913"/>
    </row>
    <row r="10" spans="1:7" s="1627" customFormat="1" ht="14.25" customHeight="1">
      <c r="A10" s="1910">
        <v>7</v>
      </c>
      <c r="B10" s="1914" t="s">
        <v>5889</v>
      </c>
      <c r="C10" s="2072">
        <f>跨地区经营汇总纳税企业年度分摊企业所得税审核表!C10</f>
        <v>0</v>
      </c>
      <c r="D10" s="1913"/>
    </row>
    <row r="11" spans="1:7" s="1627" customFormat="1" ht="14.25" customHeight="1">
      <c r="A11" s="1910">
        <v>8</v>
      </c>
      <c r="B11" s="1914" t="s">
        <v>5890</v>
      </c>
      <c r="C11" s="2072">
        <f>跨地区经营汇总纳税企业年度分摊企业所得税审核表!C11</f>
        <v>0</v>
      </c>
      <c r="D11" s="1913"/>
    </row>
    <row r="12" spans="1:7" s="1627" customFormat="1" ht="14.25" customHeight="1">
      <c r="A12" s="1910">
        <v>9</v>
      </c>
      <c r="B12" s="1914" t="s">
        <v>5891</v>
      </c>
      <c r="C12" s="2072">
        <f>跨地区经营汇总纳税企业年度分摊企业所得税审核表!C12</f>
        <v>0</v>
      </c>
      <c r="D12" s="1913"/>
    </row>
    <row r="13" spans="1:7" s="1627" customFormat="1" ht="14.25" customHeight="1">
      <c r="A13" s="1910">
        <v>10</v>
      </c>
      <c r="B13" s="1914" t="s">
        <v>5892</v>
      </c>
      <c r="C13" s="2072">
        <f>跨地区经营汇总纳税企业年度分摊企业所得税审核表!C13</f>
        <v>0</v>
      </c>
      <c r="D13" s="1913"/>
    </row>
    <row r="14" spans="1:7" s="1627" customFormat="1" ht="14.25" customHeight="1">
      <c r="A14" s="1910">
        <v>11</v>
      </c>
      <c r="B14" s="1914" t="s">
        <v>5893</v>
      </c>
      <c r="C14" s="2072">
        <f>跨地区经营汇总纳税企业年度分摊企业所得税审核表!C14</f>
        <v>0</v>
      </c>
      <c r="D14" s="1913"/>
    </row>
    <row r="15" spans="1:7" s="1627" customFormat="1" ht="14.25" customHeight="1">
      <c r="A15" s="1910">
        <v>12</v>
      </c>
      <c r="B15" s="1914" t="s">
        <v>5894</v>
      </c>
      <c r="C15" s="2072">
        <f>跨地区经营汇总纳税企业年度分摊企业所得税审核表!C15</f>
        <v>0</v>
      </c>
      <c r="D15" s="1913" t="s">
        <v>5895</v>
      </c>
    </row>
    <row r="16" spans="1:7" s="1627" customFormat="1" ht="14.25" customHeight="1">
      <c r="A16" s="1910">
        <v>13</v>
      </c>
      <c r="B16" s="1914" t="s">
        <v>5896</v>
      </c>
      <c r="C16" s="2072">
        <f>跨地区经营汇总纳税企业年度分摊企业所得税审核表!C16</f>
        <v>0</v>
      </c>
      <c r="D16" s="1913" t="s">
        <v>5897</v>
      </c>
    </row>
    <row r="17" spans="1:5" s="1627" customFormat="1" ht="14.25" customHeight="1">
      <c r="A17" s="1910">
        <v>14</v>
      </c>
      <c r="B17" s="1902" t="s">
        <v>5898</v>
      </c>
      <c r="C17" s="2072">
        <f>跨地区经营汇总纳税企业年度分摊企业所得税审核表!C17</f>
        <v>0</v>
      </c>
      <c r="D17" s="1913"/>
    </row>
    <row r="18" spans="1:5" s="1627" customFormat="1" ht="28.5" customHeight="1">
      <c r="A18" s="1910">
        <v>15</v>
      </c>
      <c r="B18" s="1902" t="s">
        <v>5899</v>
      </c>
      <c r="C18" s="2072">
        <f>跨地区经营汇总纳税企业年度分摊企业所得税审核表!C18</f>
        <v>0</v>
      </c>
      <c r="D18" s="1987" t="s">
        <v>5900</v>
      </c>
    </row>
    <row r="19" spans="1:5" s="1627" customFormat="1" ht="14.25" customHeight="1">
      <c r="A19" s="1910">
        <v>16</v>
      </c>
      <c r="B19" s="1914" t="s">
        <v>5901</v>
      </c>
      <c r="C19" s="2072">
        <f>跨地区经营汇总纳税企业年度分摊企业所得税审核表!C19</f>
        <v>0</v>
      </c>
      <c r="D19" s="1913"/>
    </row>
    <row r="20" spans="1:5" s="1627" customFormat="1" ht="14.25" customHeight="1">
      <c r="A20" s="1910">
        <v>17</v>
      </c>
      <c r="B20" s="1914" t="s">
        <v>5902</v>
      </c>
      <c r="C20" s="2072">
        <f>跨地区经营汇总纳税企业年度分摊企业所得税审核表!C20</f>
        <v>0</v>
      </c>
      <c r="D20" s="1913"/>
      <c r="E20" s="1770" t="s">
        <v>6484</v>
      </c>
    </row>
  </sheetData>
  <mergeCells count="2">
    <mergeCell ref="A1:C1"/>
    <mergeCell ref="A2:C2"/>
  </mergeCells>
  <phoneticPr fontId="51" type="noConversion"/>
  <hyperlinks>
    <hyperlink ref="E20" location="跨地区经营汇总纳税企业年度分摊企业所得税审核表!A1" display="跨地区经营汇总纳税企业年度分摊企业所得税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tabColor rgb="FFFFFF00"/>
  </sheetPr>
  <dimension ref="A1:J556"/>
  <sheetViews>
    <sheetView workbookViewId="0">
      <selection sqref="A1:H1"/>
    </sheetView>
  </sheetViews>
  <sheetFormatPr defaultColWidth="8" defaultRowHeight="0" customHeight="1" zeroHeight="1"/>
  <cols>
    <col min="1" max="1" width="5.19921875" style="1554" customWidth="1"/>
    <col min="2" max="2" width="20.3984375" style="1630" customWidth="1"/>
    <col min="3" max="3" width="17.59765625" style="1630" customWidth="1"/>
    <col min="4" max="4" width="12.09765625" style="1630" customWidth="1"/>
    <col min="5" max="5" width="11.8984375" style="1630" customWidth="1"/>
    <col min="6" max="6" width="12.19921875" style="1630" customWidth="1"/>
    <col min="7" max="7" width="8.69921875" style="1630" customWidth="1"/>
    <col min="8" max="8" width="17.5" style="1630" customWidth="1"/>
    <col min="9" max="9" width="14.09765625" style="1630" customWidth="1"/>
    <col min="10" max="256" width="8" style="1630"/>
    <col min="257" max="257" width="5.19921875" style="1630" customWidth="1"/>
    <col min="258" max="258" width="20.3984375" style="1630" customWidth="1"/>
    <col min="259" max="259" width="17.59765625" style="1630" customWidth="1"/>
    <col min="260" max="260" width="12.09765625" style="1630" customWidth="1"/>
    <col min="261" max="261" width="11.8984375" style="1630" customWidth="1"/>
    <col min="262" max="262" width="12.19921875" style="1630" customWidth="1"/>
    <col min="263" max="263" width="8.69921875" style="1630" customWidth="1"/>
    <col min="264" max="264" width="17.5" style="1630" customWidth="1"/>
    <col min="265" max="265" width="14.09765625" style="1630" customWidth="1"/>
    <col min="266" max="512" width="8" style="1630"/>
    <col min="513" max="513" width="5.19921875" style="1630" customWidth="1"/>
    <col min="514" max="514" width="20.3984375" style="1630" customWidth="1"/>
    <col min="515" max="515" width="17.59765625" style="1630" customWidth="1"/>
    <col min="516" max="516" width="12.09765625" style="1630" customWidth="1"/>
    <col min="517" max="517" width="11.8984375" style="1630" customWidth="1"/>
    <col min="518" max="518" width="12.19921875" style="1630" customWidth="1"/>
    <col min="519" max="519" width="8.69921875" style="1630" customWidth="1"/>
    <col min="520" max="520" width="17.5" style="1630" customWidth="1"/>
    <col min="521" max="521" width="14.09765625" style="1630" customWidth="1"/>
    <col min="522" max="768" width="8" style="1630"/>
    <col min="769" max="769" width="5.19921875" style="1630" customWidth="1"/>
    <col min="770" max="770" width="20.3984375" style="1630" customWidth="1"/>
    <col min="771" max="771" width="17.59765625" style="1630" customWidth="1"/>
    <col min="772" max="772" width="12.09765625" style="1630" customWidth="1"/>
    <col min="773" max="773" width="11.8984375" style="1630" customWidth="1"/>
    <col min="774" max="774" width="12.19921875" style="1630" customWidth="1"/>
    <col min="775" max="775" width="8.69921875" style="1630" customWidth="1"/>
    <col min="776" max="776" width="17.5" style="1630" customWidth="1"/>
    <col min="777" max="777" width="14.09765625" style="1630" customWidth="1"/>
    <col min="778" max="1024" width="8" style="1630"/>
    <col min="1025" max="1025" width="5.19921875" style="1630" customWidth="1"/>
    <col min="1026" max="1026" width="20.3984375" style="1630" customWidth="1"/>
    <col min="1027" max="1027" width="17.59765625" style="1630" customWidth="1"/>
    <col min="1028" max="1028" width="12.09765625" style="1630" customWidth="1"/>
    <col min="1029" max="1029" width="11.8984375" style="1630" customWidth="1"/>
    <col min="1030" max="1030" width="12.19921875" style="1630" customWidth="1"/>
    <col min="1031" max="1031" width="8.69921875" style="1630" customWidth="1"/>
    <col min="1032" max="1032" width="17.5" style="1630" customWidth="1"/>
    <col min="1033" max="1033" width="14.09765625" style="1630" customWidth="1"/>
    <col min="1034" max="1280" width="8" style="1630"/>
    <col min="1281" max="1281" width="5.19921875" style="1630" customWidth="1"/>
    <col min="1282" max="1282" width="20.3984375" style="1630" customWidth="1"/>
    <col min="1283" max="1283" width="17.59765625" style="1630" customWidth="1"/>
    <col min="1284" max="1284" width="12.09765625" style="1630" customWidth="1"/>
    <col min="1285" max="1285" width="11.8984375" style="1630" customWidth="1"/>
    <col min="1286" max="1286" width="12.19921875" style="1630" customWidth="1"/>
    <col min="1287" max="1287" width="8.69921875" style="1630" customWidth="1"/>
    <col min="1288" max="1288" width="17.5" style="1630" customWidth="1"/>
    <col min="1289" max="1289" width="14.09765625" style="1630" customWidth="1"/>
    <col min="1290" max="1536" width="8" style="1630"/>
    <col min="1537" max="1537" width="5.19921875" style="1630" customWidth="1"/>
    <col min="1538" max="1538" width="20.3984375" style="1630" customWidth="1"/>
    <col min="1539" max="1539" width="17.59765625" style="1630" customWidth="1"/>
    <col min="1540" max="1540" width="12.09765625" style="1630" customWidth="1"/>
    <col min="1541" max="1541" width="11.8984375" style="1630" customWidth="1"/>
    <col min="1542" max="1542" width="12.19921875" style="1630" customWidth="1"/>
    <col min="1543" max="1543" width="8.69921875" style="1630" customWidth="1"/>
    <col min="1544" max="1544" width="17.5" style="1630" customWidth="1"/>
    <col min="1545" max="1545" width="14.09765625" style="1630" customWidth="1"/>
    <col min="1546" max="1792" width="8" style="1630"/>
    <col min="1793" max="1793" width="5.19921875" style="1630" customWidth="1"/>
    <col min="1794" max="1794" width="20.3984375" style="1630" customWidth="1"/>
    <col min="1795" max="1795" width="17.59765625" style="1630" customWidth="1"/>
    <col min="1796" max="1796" width="12.09765625" style="1630" customWidth="1"/>
    <col min="1797" max="1797" width="11.8984375" style="1630" customWidth="1"/>
    <col min="1798" max="1798" width="12.19921875" style="1630" customWidth="1"/>
    <col min="1799" max="1799" width="8.69921875" style="1630" customWidth="1"/>
    <col min="1800" max="1800" width="17.5" style="1630" customWidth="1"/>
    <col min="1801" max="1801" width="14.09765625" style="1630" customWidth="1"/>
    <col min="1802" max="2048" width="8" style="1630"/>
    <col min="2049" max="2049" width="5.19921875" style="1630" customWidth="1"/>
    <col min="2050" max="2050" width="20.3984375" style="1630" customWidth="1"/>
    <col min="2051" max="2051" width="17.59765625" style="1630" customWidth="1"/>
    <col min="2052" max="2052" width="12.09765625" style="1630" customWidth="1"/>
    <col min="2053" max="2053" width="11.8984375" style="1630" customWidth="1"/>
    <col min="2054" max="2054" width="12.19921875" style="1630" customWidth="1"/>
    <col min="2055" max="2055" width="8.69921875" style="1630" customWidth="1"/>
    <col min="2056" max="2056" width="17.5" style="1630" customWidth="1"/>
    <col min="2057" max="2057" width="14.09765625" style="1630" customWidth="1"/>
    <col min="2058" max="2304" width="8" style="1630"/>
    <col min="2305" max="2305" width="5.19921875" style="1630" customWidth="1"/>
    <col min="2306" max="2306" width="20.3984375" style="1630" customWidth="1"/>
    <col min="2307" max="2307" width="17.59765625" style="1630" customWidth="1"/>
    <col min="2308" max="2308" width="12.09765625" style="1630" customWidth="1"/>
    <col min="2309" max="2309" width="11.8984375" style="1630" customWidth="1"/>
    <col min="2310" max="2310" width="12.19921875" style="1630" customWidth="1"/>
    <col min="2311" max="2311" width="8.69921875" style="1630" customWidth="1"/>
    <col min="2312" max="2312" width="17.5" style="1630" customWidth="1"/>
    <col min="2313" max="2313" width="14.09765625" style="1630" customWidth="1"/>
    <col min="2314" max="2560" width="8" style="1630"/>
    <col min="2561" max="2561" width="5.19921875" style="1630" customWidth="1"/>
    <col min="2562" max="2562" width="20.3984375" style="1630" customWidth="1"/>
    <col min="2563" max="2563" width="17.59765625" style="1630" customWidth="1"/>
    <col min="2564" max="2564" width="12.09765625" style="1630" customWidth="1"/>
    <col min="2565" max="2565" width="11.8984375" style="1630" customWidth="1"/>
    <col min="2566" max="2566" width="12.19921875" style="1630" customWidth="1"/>
    <col min="2567" max="2567" width="8.69921875" style="1630" customWidth="1"/>
    <col min="2568" max="2568" width="17.5" style="1630" customWidth="1"/>
    <col min="2569" max="2569" width="14.09765625" style="1630" customWidth="1"/>
    <col min="2570" max="2816" width="8" style="1630"/>
    <col min="2817" max="2817" width="5.19921875" style="1630" customWidth="1"/>
    <col min="2818" max="2818" width="20.3984375" style="1630" customWidth="1"/>
    <col min="2819" max="2819" width="17.59765625" style="1630" customWidth="1"/>
    <col min="2820" max="2820" width="12.09765625" style="1630" customWidth="1"/>
    <col min="2821" max="2821" width="11.8984375" style="1630" customWidth="1"/>
    <col min="2822" max="2822" width="12.19921875" style="1630" customWidth="1"/>
    <col min="2823" max="2823" width="8.69921875" style="1630" customWidth="1"/>
    <col min="2824" max="2824" width="17.5" style="1630" customWidth="1"/>
    <col min="2825" max="2825" width="14.09765625" style="1630" customWidth="1"/>
    <col min="2826" max="3072" width="8" style="1630"/>
    <col min="3073" max="3073" width="5.19921875" style="1630" customWidth="1"/>
    <col min="3074" max="3074" width="20.3984375" style="1630" customWidth="1"/>
    <col min="3075" max="3075" width="17.59765625" style="1630" customWidth="1"/>
    <col min="3076" max="3076" width="12.09765625" style="1630" customWidth="1"/>
    <col min="3077" max="3077" width="11.8984375" style="1630" customWidth="1"/>
    <col min="3078" max="3078" width="12.19921875" style="1630" customWidth="1"/>
    <col min="3079" max="3079" width="8.69921875" style="1630" customWidth="1"/>
    <col min="3080" max="3080" width="17.5" style="1630" customWidth="1"/>
    <col min="3081" max="3081" width="14.09765625" style="1630" customWidth="1"/>
    <col min="3082" max="3328" width="8" style="1630"/>
    <col min="3329" max="3329" width="5.19921875" style="1630" customWidth="1"/>
    <col min="3330" max="3330" width="20.3984375" style="1630" customWidth="1"/>
    <col min="3331" max="3331" width="17.59765625" style="1630" customWidth="1"/>
    <col min="3332" max="3332" width="12.09765625" style="1630" customWidth="1"/>
    <col min="3333" max="3333" width="11.8984375" style="1630" customWidth="1"/>
    <col min="3334" max="3334" width="12.19921875" style="1630" customWidth="1"/>
    <col min="3335" max="3335" width="8.69921875" style="1630" customWidth="1"/>
    <col min="3336" max="3336" width="17.5" style="1630" customWidth="1"/>
    <col min="3337" max="3337" width="14.09765625" style="1630" customWidth="1"/>
    <col min="3338" max="3584" width="8" style="1630"/>
    <col min="3585" max="3585" width="5.19921875" style="1630" customWidth="1"/>
    <col min="3586" max="3586" width="20.3984375" style="1630" customWidth="1"/>
    <col min="3587" max="3587" width="17.59765625" style="1630" customWidth="1"/>
    <col min="3588" max="3588" width="12.09765625" style="1630" customWidth="1"/>
    <col min="3589" max="3589" width="11.8984375" style="1630" customWidth="1"/>
    <col min="3590" max="3590" width="12.19921875" style="1630" customWidth="1"/>
    <col min="3591" max="3591" width="8.69921875" style="1630" customWidth="1"/>
    <col min="3592" max="3592" width="17.5" style="1630" customWidth="1"/>
    <col min="3593" max="3593" width="14.09765625" style="1630" customWidth="1"/>
    <col min="3594" max="3840" width="8" style="1630"/>
    <col min="3841" max="3841" width="5.19921875" style="1630" customWidth="1"/>
    <col min="3842" max="3842" width="20.3984375" style="1630" customWidth="1"/>
    <col min="3843" max="3843" width="17.59765625" style="1630" customWidth="1"/>
    <col min="3844" max="3844" width="12.09765625" style="1630" customWidth="1"/>
    <col min="3845" max="3845" width="11.8984375" style="1630" customWidth="1"/>
    <col min="3846" max="3846" width="12.19921875" style="1630" customWidth="1"/>
    <col min="3847" max="3847" width="8.69921875" style="1630" customWidth="1"/>
    <col min="3848" max="3848" width="17.5" style="1630" customWidth="1"/>
    <col min="3849" max="3849" width="14.09765625" style="1630" customWidth="1"/>
    <col min="3850" max="4096" width="8" style="1630"/>
    <col min="4097" max="4097" width="5.19921875" style="1630" customWidth="1"/>
    <col min="4098" max="4098" width="20.3984375" style="1630" customWidth="1"/>
    <col min="4099" max="4099" width="17.59765625" style="1630" customWidth="1"/>
    <col min="4100" max="4100" width="12.09765625" style="1630" customWidth="1"/>
    <col min="4101" max="4101" width="11.8984375" style="1630" customWidth="1"/>
    <col min="4102" max="4102" width="12.19921875" style="1630" customWidth="1"/>
    <col min="4103" max="4103" width="8.69921875" style="1630" customWidth="1"/>
    <col min="4104" max="4104" width="17.5" style="1630" customWidth="1"/>
    <col min="4105" max="4105" width="14.09765625" style="1630" customWidth="1"/>
    <col min="4106" max="4352" width="8" style="1630"/>
    <col min="4353" max="4353" width="5.19921875" style="1630" customWidth="1"/>
    <col min="4354" max="4354" width="20.3984375" style="1630" customWidth="1"/>
    <col min="4355" max="4355" width="17.59765625" style="1630" customWidth="1"/>
    <col min="4356" max="4356" width="12.09765625" style="1630" customWidth="1"/>
    <col min="4357" max="4357" width="11.8984375" style="1630" customWidth="1"/>
    <col min="4358" max="4358" width="12.19921875" style="1630" customWidth="1"/>
    <col min="4359" max="4359" width="8.69921875" style="1630" customWidth="1"/>
    <col min="4360" max="4360" width="17.5" style="1630" customWidth="1"/>
    <col min="4361" max="4361" width="14.09765625" style="1630" customWidth="1"/>
    <col min="4362" max="4608" width="8" style="1630"/>
    <col min="4609" max="4609" width="5.19921875" style="1630" customWidth="1"/>
    <col min="4610" max="4610" width="20.3984375" style="1630" customWidth="1"/>
    <col min="4611" max="4611" width="17.59765625" style="1630" customWidth="1"/>
    <col min="4612" max="4612" width="12.09765625" style="1630" customWidth="1"/>
    <col min="4613" max="4613" width="11.8984375" style="1630" customWidth="1"/>
    <col min="4614" max="4614" width="12.19921875" style="1630" customWidth="1"/>
    <col min="4615" max="4615" width="8.69921875" style="1630" customWidth="1"/>
    <col min="4616" max="4616" width="17.5" style="1630" customWidth="1"/>
    <col min="4617" max="4617" width="14.09765625" style="1630" customWidth="1"/>
    <col min="4618" max="4864" width="8" style="1630"/>
    <col min="4865" max="4865" width="5.19921875" style="1630" customWidth="1"/>
    <col min="4866" max="4866" width="20.3984375" style="1630" customWidth="1"/>
    <col min="4867" max="4867" width="17.59765625" style="1630" customWidth="1"/>
    <col min="4868" max="4868" width="12.09765625" style="1630" customWidth="1"/>
    <col min="4869" max="4869" width="11.8984375" style="1630" customWidth="1"/>
    <col min="4870" max="4870" width="12.19921875" style="1630" customWidth="1"/>
    <col min="4871" max="4871" width="8.69921875" style="1630" customWidth="1"/>
    <col min="4872" max="4872" width="17.5" style="1630" customWidth="1"/>
    <col min="4873" max="4873" width="14.09765625" style="1630" customWidth="1"/>
    <col min="4874" max="5120" width="8" style="1630"/>
    <col min="5121" max="5121" width="5.19921875" style="1630" customWidth="1"/>
    <col min="5122" max="5122" width="20.3984375" style="1630" customWidth="1"/>
    <col min="5123" max="5123" width="17.59765625" style="1630" customWidth="1"/>
    <col min="5124" max="5124" width="12.09765625" style="1630" customWidth="1"/>
    <col min="5125" max="5125" width="11.8984375" style="1630" customWidth="1"/>
    <col min="5126" max="5126" width="12.19921875" style="1630" customWidth="1"/>
    <col min="5127" max="5127" width="8.69921875" style="1630" customWidth="1"/>
    <col min="5128" max="5128" width="17.5" style="1630" customWidth="1"/>
    <col min="5129" max="5129" width="14.09765625" style="1630" customWidth="1"/>
    <col min="5130" max="5376" width="8" style="1630"/>
    <col min="5377" max="5377" width="5.19921875" style="1630" customWidth="1"/>
    <col min="5378" max="5378" width="20.3984375" style="1630" customWidth="1"/>
    <col min="5379" max="5379" width="17.59765625" style="1630" customWidth="1"/>
    <col min="5380" max="5380" width="12.09765625" style="1630" customWidth="1"/>
    <col min="5381" max="5381" width="11.8984375" style="1630" customWidth="1"/>
    <col min="5382" max="5382" width="12.19921875" style="1630" customWidth="1"/>
    <col min="5383" max="5383" width="8.69921875" style="1630" customWidth="1"/>
    <col min="5384" max="5384" width="17.5" style="1630" customWidth="1"/>
    <col min="5385" max="5385" width="14.09765625" style="1630" customWidth="1"/>
    <col min="5386" max="5632" width="8" style="1630"/>
    <col min="5633" max="5633" width="5.19921875" style="1630" customWidth="1"/>
    <col min="5634" max="5634" width="20.3984375" style="1630" customWidth="1"/>
    <col min="5635" max="5635" width="17.59765625" style="1630" customWidth="1"/>
    <col min="5636" max="5636" width="12.09765625" style="1630" customWidth="1"/>
    <col min="5637" max="5637" width="11.8984375" style="1630" customWidth="1"/>
    <col min="5638" max="5638" width="12.19921875" style="1630" customWidth="1"/>
    <col min="5639" max="5639" width="8.69921875" style="1630" customWidth="1"/>
    <col min="5640" max="5640" width="17.5" style="1630" customWidth="1"/>
    <col min="5641" max="5641" width="14.09765625" style="1630" customWidth="1"/>
    <col min="5642" max="5888" width="8" style="1630"/>
    <col min="5889" max="5889" width="5.19921875" style="1630" customWidth="1"/>
    <col min="5890" max="5890" width="20.3984375" style="1630" customWidth="1"/>
    <col min="5891" max="5891" width="17.59765625" style="1630" customWidth="1"/>
    <col min="5892" max="5892" width="12.09765625" style="1630" customWidth="1"/>
    <col min="5893" max="5893" width="11.8984375" style="1630" customWidth="1"/>
    <col min="5894" max="5894" width="12.19921875" style="1630" customWidth="1"/>
    <col min="5895" max="5895" width="8.69921875" style="1630" customWidth="1"/>
    <col min="5896" max="5896" width="17.5" style="1630" customWidth="1"/>
    <col min="5897" max="5897" width="14.09765625" style="1630" customWidth="1"/>
    <col min="5898" max="6144" width="8" style="1630"/>
    <col min="6145" max="6145" width="5.19921875" style="1630" customWidth="1"/>
    <col min="6146" max="6146" width="20.3984375" style="1630" customWidth="1"/>
    <col min="6147" max="6147" width="17.59765625" style="1630" customWidth="1"/>
    <col min="6148" max="6148" width="12.09765625" style="1630" customWidth="1"/>
    <col min="6149" max="6149" width="11.8984375" style="1630" customWidth="1"/>
    <col min="6150" max="6150" width="12.19921875" style="1630" customWidth="1"/>
    <col min="6151" max="6151" width="8.69921875" style="1630" customWidth="1"/>
    <col min="6152" max="6152" width="17.5" style="1630" customWidth="1"/>
    <col min="6153" max="6153" width="14.09765625" style="1630" customWidth="1"/>
    <col min="6154" max="6400" width="8" style="1630"/>
    <col min="6401" max="6401" width="5.19921875" style="1630" customWidth="1"/>
    <col min="6402" max="6402" width="20.3984375" style="1630" customWidth="1"/>
    <col min="6403" max="6403" width="17.59765625" style="1630" customWidth="1"/>
    <col min="6404" max="6404" width="12.09765625" style="1630" customWidth="1"/>
    <col min="6405" max="6405" width="11.8984375" style="1630" customWidth="1"/>
    <col min="6406" max="6406" width="12.19921875" style="1630" customWidth="1"/>
    <col min="6407" max="6407" width="8.69921875" style="1630" customWidth="1"/>
    <col min="6408" max="6408" width="17.5" style="1630" customWidth="1"/>
    <col min="6409" max="6409" width="14.09765625" style="1630" customWidth="1"/>
    <col min="6410" max="6656" width="8" style="1630"/>
    <col min="6657" max="6657" width="5.19921875" style="1630" customWidth="1"/>
    <col min="6658" max="6658" width="20.3984375" style="1630" customWidth="1"/>
    <col min="6659" max="6659" width="17.59765625" style="1630" customWidth="1"/>
    <col min="6660" max="6660" width="12.09765625" style="1630" customWidth="1"/>
    <col min="6661" max="6661" width="11.8984375" style="1630" customWidth="1"/>
    <col min="6662" max="6662" width="12.19921875" style="1630" customWidth="1"/>
    <col min="6663" max="6663" width="8.69921875" style="1630" customWidth="1"/>
    <col min="6664" max="6664" width="17.5" style="1630" customWidth="1"/>
    <col min="6665" max="6665" width="14.09765625" style="1630" customWidth="1"/>
    <col min="6666" max="6912" width="8" style="1630"/>
    <col min="6913" max="6913" width="5.19921875" style="1630" customWidth="1"/>
    <col min="6914" max="6914" width="20.3984375" style="1630" customWidth="1"/>
    <col min="6915" max="6915" width="17.59765625" style="1630" customWidth="1"/>
    <col min="6916" max="6916" width="12.09765625" style="1630" customWidth="1"/>
    <col min="6917" max="6917" width="11.8984375" style="1630" customWidth="1"/>
    <col min="6918" max="6918" width="12.19921875" style="1630" customWidth="1"/>
    <col min="6919" max="6919" width="8.69921875" style="1630" customWidth="1"/>
    <col min="6920" max="6920" width="17.5" style="1630" customWidth="1"/>
    <col min="6921" max="6921" width="14.09765625" style="1630" customWidth="1"/>
    <col min="6922" max="7168" width="8" style="1630"/>
    <col min="7169" max="7169" width="5.19921875" style="1630" customWidth="1"/>
    <col min="7170" max="7170" width="20.3984375" style="1630" customWidth="1"/>
    <col min="7171" max="7171" width="17.59765625" style="1630" customWidth="1"/>
    <col min="7172" max="7172" width="12.09765625" style="1630" customWidth="1"/>
    <col min="7173" max="7173" width="11.8984375" style="1630" customWidth="1"/>
    <col min="7174" max="7174" width="12.19921875" style="1630" customWidth="1"/>
    <col min="7175" max="7175" width="8.69921875" style="1630" customWidth="1"/>
    <col min="7176" max="7176" width="17.5" style="1630" customWidth="1"/>
    <col min="7177" max="7177" width="14.09765625" style="1630" customWidth="1"/>
    <col min="7178" max="7424" width="8" style="1630"/>
    <col min="7425" max="7425" width="5.19921875" style="1630" customWidth="1"/>
    <col min="7426" max="7426" width="20.3984375" style="1630" customWidth="1"/>
    <col min="7427" max="7427" width="17.59765625" style="1630" customWidth="1"/>
    <col min="7428" max="7428" width="12.09765625" style="1630" customWidth="1"/>
    <col min="7429" max="7429" width="11.8984375" style="1630" customWidth="1"/>
    <col min="7430" max="7430" width="12.19921875" style="1630" customWidth="1"/>
    <col min="7431" max="7431" width="8.69921875" style="1630" customWidth="1"/>
    <col min="7432" max="7432" width="17.5" style="1630" customWidth="1"/>
    <col min="7433" max="7433" width="14.09765625" style="1630" customWidth="1"/>
    <col min="7434" max="7680" width="8" style="1630"/>
    <col min="7681" max="7681" width="5.19921875" style="1630" customWidth="1"/>
    <col min="7682" max="7682" width="20.3984375" style="1630" customWidth="1"/>
    <col min="7683" max="7683" width="17.59765625" style="1630" customWidth="1"/>
    <col min="7684" max="7684" width="12.09765625" style="1630" customWidth="1"/>
    <col min="7685" max="7685" width="11.8984375" style="1630" customWidth="1"/>
    <col min="7686" max="7686" width="12.19921875" style="1630" customWidth="1"/>
    <col min="7687" max="7687" width="8.69921875" style="1630" customWidth="1"/>
    <col min="7688" max="7688" width="17.5" style="1630" customWidth="1"/>
    <col min="7689" max="7689" width="14.09765625" style="1630" customWidth="1"/>
    <col min="7690" max="7936" width="8" style="1630"/>
    <col min="7937" max="7937" width="5.19921875" style="1630" customWidth="1"/>
    <col min="7938" max="7938" width="20.3984375" style="1630" customWidth="1"/>
    <col min="7939" max="7939" width="17.59765625" style="1630" customWidth="1"/>
    <col min="7940" max="7940" width="12.09765625" style="1630" customWidth="1"/>
    <col min="7941" max="7941" width="11.8984375" style="1630" customWidth="1"/>
    <col min="7942" max="7942" width="12.19921875" style="1630" customWidth="1"/>
    <col min="7943" max="7943" width="8.69921875" style="1630" customWidth="1"/>
    <col min="7944" max="7944" width="17.5" style="1630" customWidth="1"/>
    <col min="7945" max="7945" width="14.09765625" style="1630" customWidth="1"/>
    <col min="7946" max="8192" width="8" style="1630"/>
    <col min="8193" max="8193" width="5.19921875" style="1630" customWidth="1"/>
    <col min="8194" max="8194" width="20.3984375" style="1630" customWidth="1"/>
    <col min="8195" max="8195" width="17.59765625" style="1630" customWidth="1"/>
    <col min="8196" max="8196" width="12.09765625" style="1630" customWidth="1"/>
    <col min="8197" max="8197" width="11.8984375" style="1630" customWidth="1"/>
    <col min="8198" max="8198" width="12.19921875" style="1630" customWidth="1"/>
    <col min="8199" max="8199" width="8.69921875" style="1630" customWidth="1"/>
    <col min="8200" max="8200" width="17.5" style="1630" customWidth="1"/>
    <col min="8201" max="8201" width="14.09765625" style="1630" customWidth="1"/>
    <col min="8202" max="8448" width="8" style="1630"/>
    <col min="8449" max="8449" width="5.19921875" style="1630" customWidth="1"/>
    <col min="8450" max="8450" width="20.3984375" style="1630" customWidth="1"/>
    <col min="8451" max="8451" width="17.59765625" style="1630" customWidth="1"/>
    <col min="8452" max="8452" width="12.09765625" style="1630" customWidth="1"/>
    <col min="8453" max="8453" width="11.8984375" style="1630" customWidth="1"/>
    <col min="8454" max="8454" width="12.19921875" style="1630" customWidth="1"/>
    <col min="8455" max="8455" width="8.69921875" style="1630" customWidth="1"/>
    <col min="8456" max="8456" width="17.5" style="1630" customWidth="1"/>
    <col min="8457" max="8457" width="14.09765625" style="1630" customWidth="1"/>
    <col min="8458" max="8704" width="8" style="1630"/>
    <col min="8705" max="8705" width="5.19921875" style="1630" customWidth="1"/>
    <col min="8706" max="8706" width="20.3984375" style="1630" customWidth="1"/>
    <col min="8707" max="8707" width="17.59765625" style="1630" customWidth="1"/>
    <col min="8708" max="8708" width="12.09765625" style="1630" customWidth="1"/>
    <col min="8709" max="8709" width="11.8984375" style="1630" customWidth="1"/>
    <col min="8710" max="8710" width="12.19921875" style="1630" customWidth="1"/>
    <col min="8711" max="8711" width="8.69921875" style="1630" customWidth="1"/>
    <col min="8712" max="8712" width="17.5" style="1630" customWidth="1"/>
    <col min="8713" max="8713" width="14.09765625" style="1630" customWidth="1"/>
    <col min="8714" max="8960" width="8" style="1630"/>
    <col min="8961" max="8961" width="5.19921875" style="1630" customWidth="1"/>
    <col min="8962" max="8962" width="20.3984375" style="1630" customWidth="1"/>
    <col min="8963" max="8963" width="17.59765625" style="1630" customWidth="1"/>
    <col min="8964" max="8964" width="12.09765625" style="1630" customWidth="1"/>
    <col min="8965" max="8965" width="11.8984375" style="1630" customWidth="1"/>
    <col min="8966" max="8966" width="12.19921875" style="1630" customWidth="1"/>
    <col min="8967" max="8967" width="8.69921875" style="1630" customWidth="1"/>
    <col min="8968" max="8968" width="17.5" style="1630" customWidth="1"/>
    <col min="8969" max="8969" width="14.09765625" style="1630" customWidth="1"/>
    <col min="8970" max="9216" width="8" style="1630"/>
    <col min="9217" max="9217" width="5.19921875" style="1630" customWidth="1"/>
    <col min="9218" max="9218" width="20.3984375" style="1630" customWidth="1"/>
    <col min="9219" max="9219" width="17.59765625" style="1630" customWidth="1"/>
    <col min="9220" max="9220" width="12.09765625" style="1630" customWidth="1"/>
    <col min="9221" max="9221" width="11.8984375" style="1630" customWidth="1"/>
    <col min="9222" max="9222" width="12.19921875" style="1630" customWidth="1"/>
    <col min="9223" max="9223" width="8.69921875" style="1630" customWidth="1"/>
    <col min="9224" max="9224" width="17.5" style="1630" customWidth="1"/>
    <col min="9225" max="9225" width="14.09765625" style="1630" customWidth="1"/>
    <col min="9226" max="9472" width="8" style="1630"/>
    <col min="9473" max="9473" width="5.19921875" style="1630" customWidth="1"/>
    <col min="9474" max="9474" width="20.3984375" style="1630" customWidth="1"/>
    <col min="9475" max="9475" width="17.59765625" style="1630" customWidth="1"/>
    <col min="9476" max="9476" width="12.09765625" style="1630" customWidth="1"/>
    <col min="9477" max="9477" width="11.8984375" style="1630" customWidth="1"/>
    <col min="9478" max="9478" width="12.19921875" style="1630" customWidth="1"/>
    <col min="9479" max="9479" width="8.69921875" style="1630" customWidth="1"/>
    <col min="9480" max="9480" width="17.5" style="1630" customWidth="1"/>
    <col min="9481" max="9481" width="14.09765625" style="1630" customWidth="1"/>
    <col min="9482" max="9728" width="8" style="1630"/>
    <col min="9729" max="9729" width="5.19921875" style="1630" customWidth="1"/>
    <col min="9730" max="9730" width="20.3984375" style="1630" customWidth="1"/>
    <col min="9731" max="9731" width="17.59765625" style="1630" customWidth="1"/>
    <col min="9732" max="9732" width="12.09765625" style="1630" customWidth="1"/>
    <col min="9733" max="9733" width="11.8984375" style="1630" customWidth="1"/>
    <col min="9734" max="9734" width="12.19921875" style="1630" customWidth="1"/>
    <col min="9735" max="9735" width="8.69921875" style="1630" customWidth="1"/>
    <col min="9736" max="9736" width="17.5" style="1630" customWidth="1"/>
    <col min="9737" max="9737" width="14.09765625" style="1630" customWidth="1"/>
    <col min="9738" max="9984" width="8" style="1630"/>
    <col min="9985" max="9985" width="5.19921875" style="1630" customWidth="1"/>
    <col min="9986" max="9986" width="20.3984375" style="1630" customWidth="1"/>
    <col min="9987" max="9987" width="17.59765625" style="1630" customWidth="1"/>
    <col min="9988" max="9988" width="12.09765625" style="1630" customWidth="1"/>
    <col min="9989" max="9989" width="11.8984375" style="1630" customWidth="1"/>
    <col min="9990" max="9990" width="12.19921875" style="1630" customWidth="1"/>
    <col min="9991" max="9991" width="8.69921875" style="1630" customWidth="1"/>
    <col min="9992" max="9992" width="17.5" style="1630" customWidth="1"/>
    <col min="9993" max="9993" width="14.09765625" style="1630" customWidth="1"/>
    <col min="9994" max="10240" width="8" style="1630"/>
    <col min="10241" max="10241" width="5.19921875" style="1630" customWidth="1"/>
    <col min="10242" max="10242" width="20.3984375" style="1630" customWidth="1"/>
    <col min="10243" max="10243" width="17.59765625" style="1630" customWidth="1"/>
    <col min="10244" max="10244" width="12.09765625" style="1630" customWidth="1"/>
    <col min="10245" max="10245" width="11.8984375" style="1630" customWidth="1"/>
    <col min="10246" max="10246" width="12.19921875" style="1630" customWidth="1"/>
    <col min="10247" max="10247" width="8.69921875" style="1630" customWidth="1"/>
    <col min="10248" max="10248" width="17.5" style="1630" customWidth="1"/>
    <col min="10249" max="10249" width="14.09765625" style="1630" customWidth="1"/>
    <col min="10250" max="10496" width="8" style="1630"/>
    <col min="10497" max="10497" width="5.19921875" style="1630" customWidth="1"/>
    <col min="10498" max="10498" width="20.3984375" style="1630" customWidth="1"/>
    <col min="10499" max="10499" width="17.59765625" style="1630" customWidth="1"/>
    <col min="10500" max="10500" width="12.09765625" style="1630" customWidth="1"/>
    <col min="10501" max="10501" width="11.8984375" style="1630" customWidth="1"/>
    <col min="10502" max="10502" width="12.19921875" style="1630" customWidth="1"/>
    <col min="10503" max="10503" width="8.69921875" style="1630" customWidth="1"/>
    <col min="10504" max="10504" width="17.5" style="1630" customWidth="1"/>
    <col min="10505" max="10505" width="14.09765625" style="1630" customWidth="1"/>
    <col min="10506" max="10752" width="8" style="1630"/>
    <col min="10753" max="10753" width="5.19921875" style="1630" customWidth="1"/>
    <col min="10754" max="10754" width="20.3984375" style="1630" customWidth="1"/>
    <col min="10755" max="10755" width="17.59765625" style="1630" customWidth="1"/>
    <col min="10756" max="10756" width="12.09765625" style="1630" customWidth="1"/>
    <col min="10757" max="10757" width="11.8984375" style="1630" customWidth="1"/>
    <col min="10758" max="10758" width="12.19921875" style="1630" customWidth="1"/>
    <col min="10759" max="10759" width="8.69921875" style="1630" customWidth="1"/>
    <col min="10760" max="10760" width="17.5" style="1630" customWidth="1"/>
    <col min="10761" max="10761" width="14.09765625" style="1630" customWidth="1"/>
    <col min="10762" max="11008" width="8" style="1630"/>
    <col min="11009" max="11009" width="5.19921875" style="1630" customWidth="1"/>
    <col min="11010" max="11010" width="20.3984375" style="1630" customWidth="1"/>
    <col min="11011" max="11011" width="17.59765625" style="1630" customWidth="1"/>
    <col min="11012" max="11012" width="12.09765625" style="1630" customWidth="1"/>
    <col min="11013" max="11013" width="11.8984375" style="1630" customWidth="1"/>
    <col min="11014" max="11014" width="12.19921875" style="1630" customWidth="1"/>
    <col min="11015" max="11015" width="8.69921875" style="1630" customWidth="1"/>
    <col min="11016" max="11016" width="17.5" style="1630" customWidth="1"/>
    <col min="11017" max="11017" width="14.09765625" style="1630" customWidth="1"/>
    <col min="11018" max="11264" width="8" style="1630"/>
    <col min="11265" max="11265" width="5.19921875" style="1630" customWidth="1"/>
    <col min="11266" max="11266" width="20.3984375" style="1630" customWidth="1"/>
    <col min="11267" max="11267" width="17.59765625" style="1630" customWidth="1"/>
    <col min="11268" max="11268" width="12.09765625" style="1630" customWidth="1"/>
    <col min="11269" max="11269" width="11.8984375" style="1630" customWidth="1"/>
    <col min="11270" max="11270" width="12.19921875" style="1630" customWidth="1"/>
    <col min="11271" max="11271" width="8.69921875" style="1630" customWidth="1"/>
    <col min="11272" max="11272" width="17.5" style="1630" customWidth="1"/>
    <col min="11273" max="11273" width="14.09765625" style="1630" customWidth="1"/>
    <col min="11274" max="11520" width="8" style="1630"/>
    <col min="11521" max="11521" width="5.19921875" style="1630" customWidth="1"/>
    <col min="11522" max="11522" width="20.3984375" style="1630" customWidth="1"/>
    <col min="11523" max="11523" width="17.59765625" style="1630" customWidth="1"/>
    <col min="11524" max="11524" width="12.09765625" style="1630" customWidth="1"/>
    <col min="11525" max="11525" width="11.8984375" style="1630" customWidth="1"/>
    <col min="11526" max="11526" width="12.19921875" style="1630" customWidth="1"/>
    <col min="11527" max="11527" width="8.69921875" style="1630" customWidth="1"/>
    <col min="11528" max="11528" width="17.5" style="1630" customWidth="1"/>
    <col min="11529" max="11529" width="14.09765625" style="1630" customWidth="1"/>
    <col min="11530" max="11776" width="8" style="1630"/>
    <col min="11777" max="11777" width="5.19921875" style="1630" customWidth="1"/>
    <col min="11778" max="11778" width="20.3984375" style="1630" customWidth="1"/>
    <col min="11779" max="11779" width="17.59765625" style="1630" customWidth="1"/>
    <col min="11780" max="11780" width="12.09765625" style="1630" customWidth="1"/>
    <col min="11781" max="11781" width="11.8984375" style="1630" customWidth="1"/>
    <col min="11782" max="11782" width="12.19921875" style="1630" customWidth="1"/>
    <col min="11783" max="11783" width="8.69921875" style="1630" customWidth="1"/>
    <col min="11784" max="11784" width="17.5" style="1630" customWidth="1"/>
    <col min="11785" max="11785" width="14.09765625" style="1630" customWidth="1"/>
    <col min="11786" max="12032" width="8" style="1630"/>
    <col min="12033" max="12033" width="5.19921875" style="1630" customWidth="1"/>
    <col min="12034" max="12034" width="20.3984375" style="1630" customWidth="1"/>
    <col min="12035" max="12035" width="17.59765625" style="1630" customWidth="1"/>
    <col min="12036" max="12036" width="12.09765625" style="1630" customWidth="1"/>
    <col min="12037" max="12037" width="11.8984375" style="1630" customWidth="1"/>
    <col min="12038" max="12038" width="12.19921875" style="1630" customWidth="1"/>
    <col min="12039" max="12039" width="8.69921875" style="1630" customWidth="1"/>
    <col min="12040" max="12040" width="17.5" style="1630" customWidth="1"/>
    <col min="12041" max="12041" width="14.09765625" style="1630" customWidth="1"/>
    <col min="12042" max="12288" width="8" style="1630"/>
    <col min="12289" max="12289" width="5.19921875" style="1630" customWidth="1"/>
    <col min="12290" max="12290" width="20.3984375" style="1630" customWidth="1"/>
    <col min="12291" max="12291" width="17.59765625" style="1630" customWidth="1"/>
    <col min="12292" max="12292" width="12.09765625" style="1630" customWidth="1"/>
    <col min="12293" max="12293" width="11.8984375" style="1630" customWidth="1"/>
    <col min="12294" max="12294" width="12.19921875" style="1630" customWidth="1"/>
    <col min="12295" max="12295" width="8.69921875" style="1630" customWidth="1"/>
    <col min="12296" max="12296" width="17.5" style="1630" customWidth="1"/>
    <col min="12297" max="12297" width="14.09765625" style="1630" customWidth="1"/>
    <col min="12298" max="12544" width="8" style="1630"/>
    <col min="12545" max="12545" width="5.19921875" style="1630" customWidth="1"/>
    <col min="12546" max="12546" width="20.3984375" style="1630" customWidth="1"/>
    <col min="12547" max="12547" width="17.59765625" style="1630" customWidth="1"/>
    <col min="12548" max="12548" width="12.09765625" style="1630" customWidth="1"/>
    <col min="12549" max="12549" width="11.8984375" style="1630" customWidth="1"/>
    <col min="12550" max="12550" width="12.19921875" style="1630" customWidth="1"/>
    <col min="12551" max="12551" width="8.69921875" style="1630" customWidth="1"/>
    <col min="12552" max="12552" width="17.5" style="1630" customWidth="1"/>
    <col min="12553" max="12553" width="14.09765625" style="1630" customWidth="1"/>
    <col min="12554" max="12800" width="8" style="1630"/>
    <col min="12801" max="12801" width="5.19921875" style="1630" customWidth="1"/>
    <col min="12802" max="12802" width="20.3984375" style="1630" customWidth="1"/>
    <col min="12803" max="12803" width="17.59765625" style="1630" customWidth="1"/>
    <col min="12804" max="12804" width="12.09765625" style="1630" customWidth="1"/>
    <col min="12805" max="12805" width="11.8984375" style="1630" customWidth="1"/>
    <col min="12806" max="12806" width="12.19921875" style="1630" customWidth="1"/>
    <col min="12807" max="12807" width="8.69921875" style="1630" customWidth="1"/>
    <col min="12808" max="12808" width="17.5" style="1630" customWidth="1"/>
    <col min="12809" max="12809" width="14.09765625" style="1630" customWidth="1"/>
    <col min="12810" max="13056" width="8" style="1630"/>
    <col min="13057" max="13057" width="5.19921875" style="1630" customWidth="1"/>
    <col min="13058" max="13058" width="20.3984375" style="1630" customWidth="1"/>
    <col min="13059" max="13059" width="17.59765625" style="1630" customWidth="1"/>
    <col min="13060" max="13060" width="12.09765625" style="1630" customWidth="1"/>
    <col min="13061" max="13061" width="11.8984375" style="1630" customWidth="1"/>
    <col min="13062" max="13062" width="12.19921875" style="1630" customWidth="1"/>
    <col min="13063" max="13063" width="8.69921875" style="1630" customWidth="1"/>
    <col min="13064" max="13064" width="17.5" style="1630" customWidth="1"/>
    <col min="13065" max="13065" width="14.09765625" style="1630" customWidth="1"/>
    <col min="13066" max="13312" width="8" style="1630"/>
    <col min="13313" max="13313" width="5.19921875" style="1630" customWidth="1"/>
    <col min="13314" max="13314" width="20.3984375" style="1630" customWidth="1"/>
    <col min="13315" max="13315" width="17.59765625" style="1630" customWidth="1"/>
    <col min="13316" max="13316" width="12.09765625" style="1630" customWidth="1"/>
    <col min="13317" max="13317" width="11.8984375" style="1630" customWidth="1"/>
    <col min="13318" max="13318" width="12.19921875" style="1630" customWidth="1"/>
    <col min="13319" max="13319" width="8.69921875" style="1630" customWidth="1"/>
    <col min="13320" max="13320" width="17.5" style="1630" customWidth="1"/>
    <col min="13321" max="13321" width="14.09765625" style="1630" customWidth="1"/>
    <col min="13322" max="13568" width="8" style="1630"/>
    <col min="13569" max="13569" width="5.19921875" style="1630" customWidth="1"/>
    <col min="13570" max="13570" width="20.3984375" style="1630" customWidth="1"/>
    <col min="13571" max="13571" width="17.59765625" style="1630" customWidth="1"/>
    <col min="13572" max="13572" width="12.09765625" style="1630" customWidth="1"/>
    <col min="13573" max="13573" width="11.8984375" style="1630" customWidth="1"/>
    <col min="13574" max="13574" width="12.19921875" style="1630" customWidth="1"/>
    <col min="13575" max="13575" width="8.69921875" style="1630" customWidth="1"/>
    <col min="13576" max="13576" width="17.5" style="1630" customWidth="1"/>
    <col min="13577" max="13577" width="14.09765625" style="1630" customWidth="1"/>
    <col min="13578" max="13824" width="8" style="1630"/>
    <col min="13825" max="13825" width="5.19921875" style="1630" customWidth="1"/>
    <col min="13826" max="13826" width="20.3984375" style="1630" customWidth="1"/>
    <col min="13827" max="13827" width="17.59765625" style="1630" customWidth="1"/>
    <col min="13828" max="13828" width="12.09765625" style="1630" customWidth="1"/>
    <col min="13829" max="13829" width="11.8984375" style="1630" customWidth="1"/>
    <col min="13830" max="13830" width="12.19921875" style="1630" customWidth="1"/>
    <col min="13831" max="13831" width="8.69921875" style="1630" customWidth="1"/>
    <col min="13832" max="13832" width="17.5" style="1630" customWidth="1"/>
    <col min="13833" max="13833" width="14.09765625" style="1630" customWidth="1"/>
    <col min="13834" max="14080" width="8" style="1630"/>
    <col min="14081" max="14081" width="5.19921875" style="1630" customWidth="1"/>
    <col min="14082" max="14082" width="20.3984375" style="1630" customWidth="1"/>
    <col min="14083" max="14083" width="17.59765625" style="1630" customWidth="1"/>
    <col min="14084" max="14084" width="12.09765625" style="1630" customWidth="1"/>
    <col min="14085" max="14085" width="11.8984375" style="1630" customWidth="1"/>
    <col min="14086" max="14086" width="12.19921875" style="1630" customWidth="1"/>
    <col min="14087" max="14087" width="8.69921875" style="1630" customWidth="1"/>
    <col min="14088" max="14088" width="17.5" style="1630" customWidth="1"/>
    <col min="14089" max="14089" width="14.09765625" style="1630" customWidth="1"/>
    <col min="14090" max="14336" width="8" style="1630"/>
    <col min="14337" max="14337" width="5.19921875" style="1630" customWidth="1"/>
    <col min="14338" max="14338" width="20.3984375" style="1630" customWidth="1"/>
    <col min="14339" max="14339" width="17.59765625" style="1630" customWidth="1"/>
    <col min="14340" max="14340" width="12.09765625" style="1630" customWidth="1"/>
    <col min="14341" max="14341" width="11.8984375" style="1630" customWidth="1"/>
    <col min="14342" max="14342" width="12.19921875" style="1630" customWidth="1"/>
    <col min="14343" max="14343" width="8.69921875" style="1630" customWidth="1"/>
    <col min="14344" max="14344" width="17.5" style="1630" customWidth="1"/>
    <col min="14345" max="14345" width="14.09765625" style="1630" customWidth="1"/>
    <col min="14346" max="14592" width="8" style="1630"/>
    <col min="14593" max="14593" width="5.19921875" style="1630" customWidth="1"/>
    <col min="14594" max="14594" width="20.3984375" style="1630" customWidth="1"/>
    <col min="14595" max="14595" width="17.59765625" style="1630" customWidth="1"/>
    <col min="14596" max="14596" width="12.09765625" style="1630" customWidth="1"/>
    <col min="14597" max="14597" width="11.8984375" style="1630" customWidth="1"/>
    <col min="14598" max="14598" width="12.19921875" style="1630" customWidth="1"/>
    <col min="14599" max="14599" width="8.69921875" style="1630" customWidth="1"/>
    <col min="14600" max="14600" width="17.5" style="1630" customWidth="1"/>
    <col min="14601" max="14601" width="14.09765625" style="1630" customWidth="1"/>
    <col min="14602" max="14848" width="8" style="1630"/>
    <col min="14849" max="14849" width="5.19921875" style="1630" customWidth="1"/>
    <col min="14850" max="14850" width="20.3984375" style="1630" customWidth="1"/>
    <col min="14851" max="14851" width="17.59765625" style="1630" customWidth="1"/>
    <col min="14852" max="14852" width="12.09765625" style="1630" customWidth="1"/>
    <col min="14853" max="14853" width="11.8984375" style="1630" customWidth="1"/>
    <col min="14854" max="14854" width="12.19921875" style="1630" customWidth="1"/>
    <col min="14855" max="14855" width="8.69921875" style="1630" customWidth="1"/>
    <col min="14856" max="14856" width="17.5" style="1630" customWidth="1"/>
    <col min="14857" max="14857" width="14.09765625" style="1630" customWidth="1"/>
    <col min="14858" max="15104" width="8" style="1630"/>
    <col min="15105" max="15105" width="5.19921875" style="1630" customWidth="1"/>
    <col min="15106" max="15106" width="20.3984375" style="1630" customWidth="1"/>
    <col min="15107" max="15107" width="17.59765625" style="1630" customWidth="1"/>
    <col min="15108" max="15108" width="12.09765625" style="1630" customWidth="1"/>
    <col min="15109" max="15109" width="11.8984375" style="1630" customWidth="1"/>
    <col min="15110" max="15110" width="12.19921875" style="1630" customWidth="1"/>
    <col min="15111" max="15111" width="8.69921875" style="1630" customWidth="1"/>
    <col min="15112" max="15112" width="17.5" style="1630" customWidth="1"/>
    <col min="15113" max="15113" width="14.09765625" style="1630" customWidth="1"/>
    <col min="15114" max="15360" width="8" style="1630"/>
    <col min="15361" max="15361" width="5.19921875" style="1630" customWidth="1"/>
    <col min="15362" max="15362" width="20.3984375" style="1630" customWidth="1"/>
    <col min="15363" max="15363" width="17.59765625" style="1630" customWidth="1"/>
    <col min="15364" max="15364" width="12.09765625" style="1630" customWidth="1"/>
    <col min="15365" max="15365" width="11.8984375" style="1630" customWidth="1"/>
    <col min="15366" max="15366" width="12.19921875" style="1630" customWidth="1"/>
    <col min="15367" max="15367" width="8.69921875" style="1630" customWidth="1"/>
    <col min="15368" max="15368" width="17.5" style="1630" customWidth="1"/>
    <col min="15369" max="15369" width="14.09765625" style="1630" customWidth="1"/>
    <col min="15370" max="15616" width="8" style="1630"/>
    <col min="15617" max="15617" width="5.19921875" style="1630" customWidth="1"/>
    <col min="15618" max="15618" width="20.3984375" style="1630" customWidth="1"/>
    <col min="15619" max="15619" width="17.59765625" style="1630" customWidth="1"/>
    <col min="15620" max="15620" width="12.09765625" style="1630" customWidth="1"/>
    <col min="15621" max="15621" width="11.8984375" style="1630" customWidth="1"/>
    <col min="15622" max="15622" width="12.19921875" style="1630" customWidth="1"/>
    <col min="15623" max="15623" width="8.69921875" style="1630" customWidth="1"/>
    <col min="15624" max="15624" width="17.5" style="1630" customWidth="1"/>
    <col min="15625" max="15625" width="14.09765625" style="1630" customWidth="1"/>
    <col min="15626" max="15872" width="8" style="1630"/>
    <col min="15873" max="15873" width="5.19921875" style="1630" customWidth="1"/>
    <col min="15874" max="15874" width="20.3984375" style="1630" customWidth="1"/>
    <col min="15875" max="15875" width="17.59765625" style="1630" customWidth="1"/>
    <col min="15876" max="15876" width="12.09765625" style="1630" customWidth="1"/>
    <col min="15877" max="15877" width="11.8984375" style="1630" customWidth="1"/>
    <col min="15878" max="15878" width="12.19921875" style="1630" customWidth="1"/>
    <col min="15879" max="15879" width="8.69921875" style="1630" customWidth="1"/>
    <col min="15880" max="15880" width="17.5" style="1630" customWidth="1"/>
    <col min="15881" max="15881" width="14.09765625" style="1630" customWidth="1"/>
    <col min="15882" max="16128" width="8" style="1630"/>
    <col min="16129" max="16129" width="5.19921875" style="1630" customWidth="1"/>
    <col min="16130" max="16130" width="20.3984375" style="1630" customWidth="1"/>
    <col min="16131" max="16131" width="17.59765625" style="1630" customWidth="1"/>
    <col min="16132" max="16132" width="12.09765625" style="1630" customWidth="1"/>
    <col min="16133" max="16133" width="11.8984375" style="1630" customWidth="1"/>
    <col min="16134" max="16134" width="12.19921875" style="1630" customWidth="1"/>
    <col min="16135" max="16135" width="8.69921875" style="1630" customWidth="1"/>
    <col min="16136" max="16136" width="17.5" style="1630" customWidth="1"/>
    <col min="16137" max="16137" width="14.09765625" style="1630" customWidth="1"/>
    <col min="16138" max="16384" width="8" style="1630"/>
  </cols>
  <sheetData>
    <row r="1" spans="1:9" ht="20.100000000000001" customHeight="1">
      <c r="A1" s="3463" t="s">
        <v>5903</v>
      </c>
      <c r="B1" s="3463"/>
      <c r="C1" s="3463"/>
      <c r="D1" s="3463"/>
      <c r="E1" s="3463"/>
      <c r="F1" s="3463"/>
      <c r="G1" s="3463"/>
      <c r="H1" s="3463"/>
      <c r="I1" s="1802"/>
    </row>
    <row r="2" spans="1:9" ht="25.5" customHeight="1">
      <c r="A2" s="3967" t="s">
        <v>2409</v>
      </c>
      <c r="B2" s="3967"/>
      <c r="C2" s="3967"/>
      <c r="D2" s="3967"/>
      <c r="E2" s="3967"/>
      <c r="F2" s="3967"/>
      <c r="G2" s="3967"/>
      <c r="H2" s="3968"/>
      <c r="I2" s="1943"/>
    </row>
    <row r="3" spans="1:9" s="1554" customFormat="1" ht="33.75" customHeight="1">
      <c r="A3" s="3410" t="s">
        <v>6795</v>
      </c>
      <c r="B3" s="3412"/>
      <c r="C3" s="2231">
        <v>10</v>
      </c>
      <c r="D3" s="3969" t="s">
        <v>6796</v>
      </c>
      <c r="E3" s="3969"/>
      <c r="F3" s="3969"/>
      <c r="G3" s="3969"/>
      <c r="H3" s="3969"/>
      <c r="I3" s="3969"/>
    </row>
    <row r="4" spans="1:9" s="1554" customFormat="1" ht="20.25" customHeight="1">
      <c r="A4" s="3970" t="s">
        <v>6797</v>
      </c>
      <c r="B4" s="3970"/>
      <c r="C4" s="3970"/>
      <c r="D4" s="3970"/>
      <c r="E4" s="3970"/>
      <c r="F4" s="3970"/>
      <c r="G4" s="3970"/>
      <c r="H4" s="3970"/>
      <c r="I4" s="3970"/>
    </row>
    <row r="5" spans="1:9" s="1554" customFormat="1" ht="21" customHeight="1">
      <c r="A5" s="3407" t="s">
        <v>5905</v>
      </c>
      <c r="B5" s="3407"/>
      <c r="C5" s="1806" t="s">
        <v>1622</v>
      </c>
      <c r="D5" s="3407" t="s">
        <v>2415</v>
      </c>
      <c r="E5" s="3407"/>
      <c r="F5" s="3407" t="s">
        <v>2416</v>
      </c>
      <c r="G5" s="3407"/>
      <c r="H5" s="1849" t="s">
        <v>2417</v>
      </c>
      <c r="I5" s="1849" t="s">
        <v>4899</v>
      </c>
    </row>
    <row r="6" spans="1:9" s="1631" customFormat="1" ht="24" customHeight="1">
      <c r="A6" s="3964">
        <f>企业所得税汇总纳税分支机构所得税分配表!A6</f>
        <v>0</v>
      </c>
      <c r="B6" s="3964"/>
      <c r="C6" s="2072">
        <f>企业所得税汇总纳税分支机构所得税分配表!C6</f>
        <v>0</v>
      </c>
      <c r="D6" s="3965">
        <f>企业所得税汇总纳税分支机构所得税分配表!D6</f>
        <v>0</v>
      </c>
      <c r="E6" s="3966"/>
      <c r="F6" s="3965">
        <f>企业所得税汇总纳税分支机构所得税分配表!F6</f>
        <v>0</v>
      </c>
      <c r="G6" s="3966"/>
      <c r="H6" s="2072">
        <f>企业所得税汇总纳税分支机构所得税分配表!H6</f>
        <v>0</v>
      </c>
      <c r="I6" s="1988" t="s">
        <v>5906</v>
      </c>
    </row>
    <row r="7" spans="1:9" s="1631" customFormat="1" ht="14.25" customHeight="1">
      <c r="A7" s="3507" t="s">
        <v>2419</v>
      </c>
      <c r="B7" s="3399" t="s">
        <v>5907</v>
      </c>
      <c r="C7" s="3407" t="s">
        <v>2421</v>
      </c>
      <c r="D7" s="3399" t="s">
        <v>2422</v>
      </c>
      <c r="E7" s="3399"/>
      <c r="F7" s="3399"/>
      <c r="G7" s="3407" t="s">
        <v>5908</v>
      </c>
      <c r="H7" s="3407" t="s">
        <v>2471</v>
      </c>
      <c r="I7" s="3407"/>
    </row>
    <row r="8" spans="1:9" s="1631" customFormat="1" ht="14.25" customHeight="1">
      <c r="A8" s="3507"/>
      <c r="B8" s="3399"/>
      <c r="C8" s="3407"/>
      <c r="D8" s="1849" t="s">
        <v>2439</v>
      </c>
      <c r="E8" s="1849" t="s">
        <v>5909</v>
      </c>
      <c r="F8" s="1849" t="s">
        <v>5910</v>
      </c>
      <c r="G8" s="3407"/>
      <c r="H8" s="3407"/>
      <c r="I8" s="3407"/>
    </row>
    <row r="9" spans="1:9" s="1554" customFormat="1" ht="14.25" customHeight="1">
      <c r="A9" s="3507"/>
      <c r="B9" s="1915" t="str">
        <f>IF(企业所得税汇总纳税分支机构所得税分配表!B9=0,"",企业所得税汇总纳税分支机构所得税分配表!B9)</f>
        <v/>
      </c>
      <c r="C9" s="2232" t="str">
        <f>IF(企业所得税汇总纳税分支机构所得税分配表!C9=0,"",企业所得税汇总纳税分支机构所得税分配表!C9)</f>
        <v/>
      </c>
      <c r="D9" s="2232" t="str">
        <f>IF(企业所得税汇总纳税分支机构所得税分配表!D9=0,"",企业所得税汇总纳税分支机构所得税分配表!D9)</f>
        <v/>
      </c>
      <c r="E9" s="2232" t="str">
        <f>IF(企业所得税汇总纳税分支机构所得税分配表!E9=0,"",企业所得税汇总纳税分支机构所得税分配表!E9)</f>
        <v/>
      </c>
      <c r="F9" s="2232" t="str">
        <f>IF(企业所得税汇总纳税分支机构所得税分配表!F9=0,"",企业所得税汇总纳税分支机构所得税分配表!F9)</f>
        <v/>
      </c>
      <c r="G9" s="2235" t="str">
        <f>IF(企业所得税汇总纳税分支机构所得税分配表!G9=0,"",企业所得税汇总纳税分支机构所得税分配表!G9)</f>
        <v/>
      </c>
      <c r="H9" s="2232" t="str">
        <f>IF(企业所得税汇总纳税分支机构所得税分配表!H9=0,"",企业所得税汇总纳税分支机构所得税分配表!H9)</f>
        <v/>
      </c>
      <c r="I9" s="1963"/>
    </row>
    <row r="10" spans="1:9" s="1554" customFormat="1" ht="14.25" customHeight="1">
      <c r="A10" s="3507"/>
      <c r="B10" s="2232" t="str">
        <f>IF(企业所得税汇总纳税分支机构所得税分配表!B10=0,"",企业所得税汇总纳税分支机构所得税分配表!B10)</f>
        <v/>
      </c>
      <c r="C10" s="2232" t="str">
        <f>IF(企业所得税汇总纳税分支机构所得税分配表!C10=0,"",企业所得税汇总纳税分支机构所得税分配表!C10)</f>
        <v/>
      </c>
      <c r="D10" s="2232" t="str">
        <f>IF(企业所得税汇总纳税分支机构所得税分配表!D10=0,"",企业所得税汇总纳税分支机构所得税分配表!D10)</f>
        <v/>
      </c>
      <c r="E10" s="2232" t="str">
        <f>IF(企业所得税汇总纳税分支机构所得税分配表!E10=0,"",企业所得税汇总纳税分支机构所得税分配表!E10)</f>
        <v/>
      </c>
      <c r="F10" s="2232" t="str">
        <f>IF(企业所得税汇总纳税分支机构所得税分配表!F10=0,"",企业所得税汇总纳税分支机构所得税分配表!F10)</f>
        <v/>
      </c>
      <c r="G10" s="2235" t="str">
        <f>IF(企业所得税汇总纳税分支机构所得税分配表!G10=0,"",企业所得税汇总纳税分支机构所得税分配表!G10)</f>
        <v/>
      </c>
      <c r="H10" s="2232" t="str">
        <f>IF(企业所得税汇总纳税分支机构所得税分配表!H10=0,"",企业所得税汇总纳税分支机构所得税分配表!H10)</f>
        <v/>
      </c>
      <c r="I10" s="1963"/>
    </row>
    <row r="11" spans="1:9" s="1554" customFormat="1" ht="14.25" customHeight="1">
      <c r="A11" s="3507"/>
      <c r="B11" s="2232" t="str">
        <f>IF(企业所得税汇总纳税分支机构所得税分配表!B11=0,"",企业所得税汇总纳税分支机构所得税分配表!B11)</f>
        <v/>
      </c>
      <c r="C11" s="2232" t="str">
        <f>IF(企业所得税汇总纳税分支机构所得税分配表!C11=0,"",企业所得税汇总纳税分支机构所得税分配表!C11)</f>
        <v/>
      </c>
      <c r="D11" s="2232" t="str">
        <f>IF(企业所得税汇总纳税分支机构所得税分配表!D11=0,"",企业所得税汇总纳税分支机构所得税分配表!D11)</f>
        <v/>
      </c>
      <c r="E11" s="2232" t="str">
        <f>IF(企业所得税汇总纳税分支机构所得税分配表!E11=0,"",企业所得税汇总纳税分支机构所得税分配表!E11)</f>
        <v/>
      </c>
      <c r="F11" s="2232" t="str">
        <f>IF(企业所得税汇总纳税分支机构所得税分配表!F11=0,"",企业所得税汇总纳税分支机构所得税分配表!F11)</f>
        <v/>
      </c>
      <c r="G11" s="2235" t="str">
        <f>IF(企业所得税汇总纳税分支机构所得税分配表!G11=0,"",企业所得税汇总纳税分支机构所得税分配表!G11)</f>
        <v/>
      </c>
      <c r="H11" s="2232" t="str">
        <f>IF(企业所得税汇总纳税分支机构所得税分配表!H11=0,"",企业所得税汇总纳税分支机构所得税分配表!H11)</f>
        <v/>
      </c>
      <c r="I11" s="1963"/>
    </row>
    <row r="12" spans="1:9" s="1554" customFormat="1" ht="14.25" customHeight="1">
      <c r="A12" s="3507"/>
      <c r="B12" s="2232" t="str">
        <f>IF(企业所得税汇总纳税分支机构所得税分配表!B12=0,"",企业所得税汇总纳税分支机构所得税分配表!B12)</f>
        <v/>
      </c>
      <c r="C12" s="2232" t="str">
        <f>IF(企业所得税汇总纳税分支机构所得税分配表!C12=0,"",企业所得税汇总纳税分支机构所得税分配表!C12)</f>
        <v/>
      </c>
      <c r="D12" s="2232" t="str">
        <f>IF(企业所得税汇总纳税分支机构所得税分配表!D12=0,"",企业所得税汇总纳税分支机构所得税分配表!D12)</f>
        <v/>
      </c>
      <c r="E12" s="2232" t="str">
        <f>IF(企业所得税汇总纳税分支机构所得税分配表!E12=0,"",企业所得税汇总纳税分支机构所得税分配表!E12)</f>
        <v/>
      </c>
      <c r="F12" s="2232" t="str">
        <f>IF(企业所得税汇总纳税分支机构所得税分配表!F12=0,"",企业所得税汇总纳税分支机构所得税分配表!F12)</f>
        <v/>
      </c>
      <c r="G12" s="2235" t="str">
        <f>IF(企业所得税汇总纳税分支机构所得税分配表!G12=0,"",企业所得税汇总纳税分支机构所得税分配表!G12)</f>
        <v/>
      </c>
      <c r="H12" s="2232" t="str">
        <f>IF(企业所得税汇总纳税分支机构所得税分配表!H12=0,"",企业所得税汇总纳税分支机构所得税分配表!H12)</f>
        <v/>
      </c>
      <c r="I12" s="1963"/>
    </row>
    <row r="13" spans="1:9" s="1554" customFormat="1" ht="14.25" customHeight="1">
      <c r="A13" s="3507"/>
      <c r="B13" s="2232" t="str">
        <f>IF(企业所得税汇总纳税分支机构所得税分配表!B13=0,"",企业所得税汇总纳税分支机构所得税分配表!B13)</f>
        <v/>
      </c>
      <c r="C13" s="2232" t="str">
        <f>IF(企业所得税汇总纳税分支机构所得税分配表!C13=0,"",企业所得税汇总纳税分支机构所得税分配表!C13)</f>
        <v/>
      </c>
      <c r="D13" s="2232" t="str">
        <f>IF(企业所得税汇总纳税分支机构所得税分配表!D13=0,"",企业所得税汇总纳税分支机构所得税分配表!D13)</f>
        <v/>
      </c>
      <c r="E13" s="2232" t="str">
        <f>IF(企业所得税汇总纳税分支机构所得税分配表!E13=0,"",企业所得税汇总纳税分支机构所得税分配表!E13)</f>
        <v/>
      </c>
      <c r="F13" s="2232" t="str">
        <f>IF(企业所得税汇总纳税分支机构所得税分配表!F13=0,"",企业所得税汇总纳税分支机构所得税分配表!F13)</f>
        <v/>
      </c>
      <c r="G13" s="2235" t="str">
        <f>IF(企业所得税汇总纳税分支机构所得税分配表!G13=0,"",企业所得税汇总纳税分支机构所得税分配表!G13)</f>
        <v/>
      </c>
      <c r="H13" s="2232" t="str">
        <f>IF(企业所得税汇总纳税分支机构所得税分配表!H13=0,"",企业所得税汇总纳税分支机构所得税分配表!H13)</f>
        <v/>
      </c>
      <c r="I13" s="1963"/>
    </row>
    <row r="14" spans="1:9" s="1554" customFormat="1" ht="14.25" customHeight="1">
      <c r="A14" s="3507"/>
      <c r="B14" s="2232" t="str">
        <f>IF(企业所得税汇总纳税分支机构所得税分配表!B14=0,"",企业所得税汇总纳税分支机构所得税分配表!B14)</f>
        <v/>
      </c>
      <c r="C14" s="2232" t="str">
        <f>IF(企业所得税汇总纳税分支机构所得税分配表!C14=0,"",企业所得税汇总纳税分支机构所得税分配表!C14)</f>
        <v/>
      </c>
      <c r="D14" s="2232" t="str">
        <f>IF(企业所得税汇总纳税分支机构所得税分配表!D14=0,"",企业所得税汇总纳税分支机构所得税分配表!D14)</f>
        <v/>
      </c>
      <c r="E14" s="2232" t="str">
        <f>IF(企业所得税汇总纳税分支机构所得税分配表!E14=0,"",企业所得税汇总纳税分支机构所得税分配表!E14)</f>
        <v/>
      </c>
      <c r="F14" s="2232" t="str">
        <f>IF(企业所得税汇总纳税分支机构所得税分配表!F14=0,"",企业所得税汇总纳税分支机构所得税分配表!F14)</f>
        <v/>
      </c>
      <c r="G14" s="2235" t="str">
        <f>IF(企业所得税汇总纳税分支机构所得税分配表!G14=0,"",企业所得税汇总纳税分支机构所得税分配表!G14)</f>
        <v/>
      </c>
      <c r="H14" s="2232" t="str">
        <f>IF(企业所得税汇总纳税分支机构所得税分配表!H14=0,"",企业所得税汇总纳税分支机构所得税分配表!H14)</f>
        <v/>
      </c>
      <c r="I14" s="1963"/>
    </row>
    <row r="15" spans="1:9" s="1554" customFormat="1" ht="14.25" customHeight="1">
      <c r="A15" s="3507"/>
      <c r="B15" s="2232" t="str">
        <f>IF(企业所得税汇总纳税分支机构所得税分配表!B15=0,"",企业所得税汇总纳税分支机构所得税分配表!B15)</f>
        <v/>
      </c>
      <c r="C15" s="2232" t="str">
        <f>IF(企业所得税汇总纳税分支机构所得税分配表!C15=0,"",企业所得税汇总纳税分支机构所得税分配表!C15)</f>
        <v/>
      </c>
      <c r="D15" s="2232" t="str">
        <f>IF(企业所得税汇总纳税分支机构所得税分配表!D15=0,"",企业所得税汇总纳税分支机构所得税分配表!D15)</f>
        <v/>
      </c>
      <c r="E15" s="2232" t="str">
        <f>IF(企业所得税汇总纳税分支机构所得税分配表!E15=0,"",企业所得税汇总纳税分支机构所得税分配表!E15)</f>
        <v/>
      </c>
      <c r="F15" s="2232" t="str">
        <f>IF(企业所得税汇总纳税分支机构所得税分配表!F15=0,"",企业所得税汇总纳税分支机构所得税分配表!F15)</f>
        <v/>
      </c>
      <c r="G15" s="2235" t="str">
        <f>IF(企业所得税汇总纳税分支机构所得税分配表!G15=0,"",企业所得税汇总纳税分支机构所得税分配表!G15)</f>
        <v/>
      </c>
      <c r="H15" s="2232" t="str">
        <f>IF(企业所得税汇总纳税分支机构所得税分配表!H15=0,"",企业所得税汇总纳税分支机构所得税分配表!H15)</f>
        <v/>
      </c>
      <c r="I15" s="1963"/>
    </row>
    <row r="16" spans="1:9" s="1554" customFormat="1" ht="14.25" customHeight="1">
      <c r="A16" s="3507"/>
      <c r="B16" s="2232" t="str">
        <f>IF(企业所得税汇总纳税分支机构所得税分配表!B16=0,"",企业所得税汇总纳税分支机构所得税分配表!B16)</f>
        <v/>
      </c>
      <c r="C16" s="2232" t="str">
        <f>IF(企业所得税汇总纳税分支机构所得税分配表!C16=0,"",企业所得税汇总纳税分支机构所得税分配表!C16)</f>
        <v/>
      </c>
      <c r="D16" s="2232" t="str">
        <f>IF(企业所得税汇总纳税分支机构所得税分配表!D16=0,"",企业所得税汇总纳税分支机构所得税分配表!D16)</f>
        <v/>
      </c>
      <c r="E16" s="2232" t="str">
        <f>IF(企业所得税汇总纳税分支机构所得税分配表!E16=0,"",企业所得税汇总纳税分支机构所得税分配表!E16)</f>
        <v/>
      </c>
      <c r="F16" s="2232" t="str">
        <f>IF(企业所得税汇总纳税分支机构所得税分配表!F16=0,"",企业所得税汇总纳税分支机构所得税分配表!F16)</f>
        <v/>
      </c>
      <c r="G16" s="2235" t="str">
        <f>IF(企业所得税汇总纳税分支机构所得税分配表!G16=0,"",企业所得税汇总纳税分支机构所得税分配表!G16)</f>
        <v/>
      </c>
      <c r="H16" s="2232" t="str">
        <f>IF(企业所得税汇总纳税分支机构所得税分配表!H16=0,"",企业所得税汇总纳税分支机构所得税分配表!H16)</f>
        <v/>
      </c>
      <c r="I16" s="1963"/>
    </row>
    <row r="17" spans="1:10" s="1554" customFormat="1" ht="14.25" customHeight="1">
      <c r="A17" s="3507"/>
      <c r="B17" s="2232" t="str">
        <f>IF(企业所得税汇总纳税分支机构所得税分配表!B17=0,"",企业所得税汇总纳税分支机构所得税分配表!B17)</f>
        <v/>
      </c>
      <c r="C17" s="2232" t="str">
        <f>IF(企业所得税汇总纳税分支机构所得税分配表!C17=0,"",企业所得税汇总纳税分支机构所得税分配表!C17)</f>
        <v/>
      </c>
      <c r="D17" s="2232" t="str">
        <f>IF(企业所得税汇总纳税分支机构所得税分配表!D17=0,"",企业所得税汇总纳税分支机构所得税分配表!D17)</f>
        <v/>
      </c>
      <c r="E17" s="2232" t="str">
        <f>IF(企业所得税汇总纳税分支机构所得税分配表!E17=0,"",企业所得税汇总纳税分支机构所得税分配表!E17)</f>
        <v/>
      </c>
      <c r="F17" s="2232" t="str">
        <f>IF(企业所得税汇总纳税分支机构所得税分配表!F17=0,"",企业所得税汇总纳税分支机构所得税分配表!F17)</f>
        <v/>
      </c>
      <c r="G17" s="2235" t="str">
        <f>IF(企业所得税汇总纳税分支机构所得税分配表!G17=0,"",企业所得税汇总纳税分支机构所得税分配表!G17)</f>
        <v/>
      </c>
      <c r="H17" s="2232" t="str">
        <f>IF(企业所得税汇总纳税分支机构所得税分配表!H17=0,"",企业所得税汇总纳税分支机构所得税分配表!H17)</f>
        <v/>
      </c>
      <c r="I17" s="1963"/>
    </row>
    <row r="18" spans="1:10" s="1554" customFormat="1" ht="14.25" customHeight="1">
      <c r="A18" s="3507"/>
      <c r="B18" s="2232" t="str">
        <f>IF(企业所得税汇总纳税分支机构所得税分配表!B18=0,"",企业所得税汇总纳税分支机构所得税分配表!B18)</f>
        <v/>
      </c>
      <c r="C18" s="2232" t="str">
        <f>IF(企业所得税汇总纳税分支机构所得税分配表!C18=0,"",企业所得税汇总纳税分支机构所得税分配表!C18)</f>
        <v/>
      </c>
      <c r="D18" s="2232" t="str">
        <f>IF(企业所得税汇总纳税分支机构所得税分配表!D18=0,"",企业所得税汇总纳税分支机构所得税分配表!D18)</f>
        <v/>
      </c>
      <c r="E18" s="2232" t="str">
        <f>IF(企业所得税汇总纳税分支机构所得税分配表!E18=0,"",企业所得税汇总纳税分支机构所得税分配表!E18)</f>
        <v/>
      </c>
      <c r="F18" s="2232" t="str">
        <f>IF(企业所得税汇总纳税分支机构所得税分配表!F18=0,"",企业所得税汇总纳税分支机构所得税分配表!F18)</f>
        <v/>
      </c>
      <c r="G18" s="2235" t="str">
        <f>IF(企业所得税汇总纳税分支机构所得税分配表!G18=0,"",企业所得税汇总纳税分支机构所得税分配表!G18)</f>
        <v/>
      </c>
      <c r="H18" s="2232" t="str">
        <f>IF(企业所得税汇总纳税分支机构所得税分配表!H18=0,"",企业所得税汇总纳税分支机构所得税分配表!H18)</f>
        <v/>
      </c>
      <c r="I18" s="1963"/>
    </row>
    <row r="19" spans="1:10" s="1554" customFormat="1" ht="14.25" customHeight="1">
      <c r="A19" s="3507"/>
      <c r="B19" s="2232" t="str">
        <f>IF(企业所得税汇总纳税分支机构所得税分配表!B19=0,"",企业所得税汇总纳税分支机构所得税分配表!B19)</f>
        <v/>
      </c>
      <c r="C19" s="2232" t="str">
        <f>IF(企业所得税汇总纳税分支机构所得税分配表!C19=0,"",企业所得税汇总纳税分支机构所得税分配表!C19)</f>
        <v/>
      </c>
      <c r="D19" s="2232" t="str">
        <f>IF(企业所得税汇总纳税分支机构所得税分配表!D19=0,"",企业所得税汇总纳税分支机构所得税分配表!D19)</f>
        <v/>
      </c>
      <c r="E19" s="2232" t="str">
        <f>IF(企业所得税汇总纳税分支机构所得税分配表!E19=0,"",企业所得税汇总纳税分支机构所得税分配表!E19)</f>
        <v/>
      </c>
      <c r="F19" s="2232" t="str">
        <f>IF(企业所得税汇总纳税分支机构所得税分配表!F19=0,"",企业所得税汇总纳税分支机构所得税分配表!F19)</f>
        <v/>
      </c>
      <c r="G19" s="2235" t="str">
        <f>IF(企业所得税汇总纳税分支机构所得税分配表!G19=0,"",企业所得税汇总纳税分支机构所得税分配表!G19)</f>
        <v/>
      </c>
      <c r="H19" s="2232" t="str">
        <f>IF(企业所得税汇总纳税分支机构所得税分配表!H19=0,"",企业所得税汇总纳税分支机构所得税分配表!H19)</f>
        <v/>
      </c>
      <c r="I19" s="1963"/>
    </row>
    <row r="20" spans="1:10" s="1554" customFormat="1" ht="14.25" customHeight="1">
      <c r="A20" s="3507"/>
      <c r="B20" s="2232" t="str">
        <f>IF(企业所得税汇总纳税分支机构所得税分配表!B20=0,"",企业所得税汇总纳税分支机构所得税分配表!B20)</f>
        <v/>
      </c>
      <c r="C20" s="2232" t="str">
        <f>IF(企业所得税汇总纳税分支机构所得税分配表!C20=0,"",企业所得税汇总纳税分支机构所得税分配表!C20)</f>
        <v/>
      </c>
      <c r="D20" s="2232" t="str">
        <f>IF(企业所得税汇总纳税分支机构所得税分配表!D20=0,"",企业所得税汇总纳税分支机构所得税分配表!D20)</f>
        <v/>
      </c>
      <c r="E20" s="2232" t="str">
        <f>IF(企业所得税汇总纳税分支机构所得税分配表!E20=0,"",企业所得税汇总纳税分支机构所得税分配表!E20)</f>
        <v/>
      </c>
      <c r="F20" s="2232" t="str">
        <f>IF(企业所得税汇总纳税分支机构所得税分配表!F20=0,"",企业所得税汇总纳税分支机构所得税分配表!F20)</f>
        <v/>
      </c>
      <c r="G20" s="2235" t="str">
        <f>IF(企业所得税汇总纳税分支机构所得税分配表!G20=0,"",企业所得税汇总纳税分支机构所得税分配表!G20)</f>
        <v/>
      </c>
      <c r="H20" s="2232" t="str">
        <f>IF(企业所得税汇总纳税分支机构所得税分配表!H20=0,"",企业所得税汇总纳税分支机构所得税分配表!H20)</f>
        <v/>
      </c>
      <c r="I20" s="1963"/>
    </row>
    <row r="21" spans="1:10" s="1554" customFormat="1" ht="14.25" customHeight="1">
      <c r="A21" s="3507"/>
      <c r="B21" s="2232" t="str">
        <f>IF(企业所得税汇总纳税分支机构所得税分配表!B21=0,"",企业所得税汇总纳税分支机构所得税分配表!B21)</f>
        <v/>
      </c>
      <c r="C21" s="2232" t="str">
        <f>IF(企业所得税汇总纳税分支机构所得税分配表!C21=0,"",企业所得税汇总纳税分支机构所得税分配表!C21)</f>
        <v/>
      </c>
      <c r="D21" s="2232" t="str">
        <f>IF(企业所得税汇总纳税分支机构所得税分配表!D21=0,"",企业所得税汇总纳税分支机构所得税分配表!D21)</f>
        <v/>
      </c>
      <c r="E21" s="2232" t="str">
        <f>IF(企业所得税汇总纳税分支机构所得税分配表!E21=0,"",企业所得税汇总纳税分支机构所得税分配表!E21)</f>
        <v/>
      </c>
      <c r="F21" s="2232" t="str">
        <f>IF(企业所得税汇总纳税分支机构所得税分配表!F21=0,"",企业所得税汇总纳税分支机构所得税分配表!F21)</f>
        <v/>
      </c>
      <c r="G21" s="2235" t="str">
        <f>IF(企业所得税汇总纳税分支机构所得税分配表!G21=0,"",企业所得税汇总纳税分支机构所得税分配表!G21)</f>
        <v/>
      </c>
      <c r="H21" s="2232" t="str">
        <f>IF(企业所得税汇总纳税分支机构所得税分配表!H21=0,"",企业所得税汇总纳税分支机构所得税分配表!H21)</f>
        <v/>
      </c>
      <c r="I21" s="1963"/>
    </row>
    <row r="22" spans="1:10" s="1554" customFormat="1" ht="14.25" customHeight="1">
      <c r="A22" s="3507"/>
      <c r="B22" s="2232" t="str">
        <f>IF(企业所得税汇总纳税分支机构所得税分配表!B22=0,"",企业所得税汇总纳税分支机构所得税分配表!B22)</f>
        <v/>
      </c>
      <c r="C22" s="2232" t="str">
        <f>IF(企业所得税汇总纳税分支机构所得税分配表!C22=0,"",企业所得税汇总纳税分支机构所得税分配表!C22)</f>
        <v/>
      </c>
      <c r="D22" s="2232" t="str">
        <f>IF(企业所得税汇总纳税分支机构所得税分配表!D22=0,"",企业所得税汇总纳税分支机构所得税分配表!D22)</f>
        <v/>
      </c>
      <c r="E22" s="2232" t="str">
        <f>IF(企业所得税汇总纳税分支机构所得税分配表!E22=0,"",企业所得税汇总纳税分支机构所得税分配表!E22)</f>
        <v/>
      </c>
      <c r="F22" s="2232" t="str">
        <f>IF(企业所得税汇总纳税分支机构所得税分配表!F22=0,"",企业所得税汇总纳税分支机构所得税分配表!F22)</f>
        <v/>
      </c>
      <c r="G22" s="2235" t="str">
        <f>IF(企业所得税汇总纳税分支机构所得税分配表!G22=0,"",企业所得税汇总纳税分支机构所得税分配表!G22)</f>
        <v/>
      </c>
      <c r="H22" s="2232" t="str">
        <f>IF(企业所得税汇总纳税分支机构所得税分配表!H22=0,"",企业所得税汇总纳税分支机构所得税分配表!H22)</f>
        <v/>
      </c>
      <c r="I22" s="1963"/>
    </row>
    <row r="23" spans="1:10" s="1554" customFormat="1" ht="14.25" customHeight="1">
      <c r="A23" s="3507"/>
      <c r="B23" s="1806" t="s">
        <v>5482</v>
      </c>
      <c r="C23" s="1964" t="s">
        <v>1242</v>
      </c>
      <c r="D23" s="2072">
        <f>企业所得税汇总纳税分支机构所得税分配表!D23</f>
        <v>0</v>
      </c>
      <c r="E23" s="2072">
        <f>企业所得税汇总纳税分支机构所得税分配表!E23</f>
        <v>0</v>
      </c>
      <c r="F23" s="2072">
        <f>企业所得税汇总纳税分支机构所得税分配表!F23</f>
        <v>0</v>
      </c>
      <c r="G23" s="2236">
        <f>企业所得税汇总纳税分支机构所得税分配表!G23</f>
        <v>0</v>
      </c>
      <c r="H23" s="2072">
        <f>企业所得税汇总纳税分支机构所得税分配表!H23</f>
        <v>0</v>
      </c>
      <c r="I23" s="1963"/>
      <c r="J23" s="1770" t="s">
        <v>6486</v>
      </c>
    </row>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5.6"/>
    <row r="424" ht="15.6"/>
    <row r="425" ht="15.6"/>
    <row r="426" ht="15.6"/>
    <row r="427" ht="15.6"/>
    <row r="428" ht="15.6"/>
    <row r="429" ht="15.6"/>
    <row r="430" ht="15.6"/>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8">
    <mergeCell ref="A5:B5"/>
    <mergeCell ref="D5:E5"/>
    <mergeCell ref="F5:G5"/>
    <mergeCell ref="A1:H1"/>
    <mergeCell ref="A2:H2"/>
    <mergeCell ref="A3:B3"/>
    <mergeCell ref="D3:I3"/>
    <mergeCell ref="A4:I4"/>
    <mergeCell ref="H7:H8"/>
    <mergeCell ref="I7:I8"/>
    <mergeCell ref="A6:B6"/>
    <mergeCell ref="D6:E6"/>
    <mergeCell ref="F6:G6"/>
    <mergeCell ref="A7:A23"/>
    <mergeCell ref="B7:B8"/>
    <mergeCell ref="C7:C8"/>
    <mergeCell ref="D7:F7"/>
    <mergeCell ref="G7:G8"/>
  </mergeCells>
  <phoneticPr fontId="51" type="noConversion"/>
  <dataValidations count="1">
    <dataValidation type="list" allowBlank="1" showInputMessage="1" showErrorMessage="1" sqref="C3">
      <formula1>"10,20,30,40"</formula1>
    </dataValidation>
  </dataValidations>
  <hyperlinks>
    <hyperlink ref="J23" location="企业所得税汇总纳税分支机构所得税分配表!A1" display="企业所得税汇总纳税分支机构所得税分配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G15"/>
  <sheetViews>
    <sheetView zoomScaleNormal="100" workbookViewId="0">
      <selection activeCell="J16" sqref="J16"/>
    </sheetView>
  </sheetViews>
  <sheetFormatPr defaultColWidth="8.09765625" defaultRowHeight="15.6"/>
  <cols>
    <col min="1" max="1" width="20.3984375" style="2466" customWidth="1"/>
    <col min="2" max="2" width="18.59765625" style="2466" customWidth="1"/>
    <col min="3" max="3" width="15.8984375" style="2466" customWidth="1"/>
    <col min="4" max="4" width="20.3984375" style="2466" customWidth="1"/>
    <col min="5" max="5" width="14.5" style="2466" customWidth="1"/>
    <col min="6" max="6" width="5.5" style="2466" customWidth="1"/>
    <col min="7" max="256" width="8.09765625" style="2466"/>
    <col min="257" max="257" width="15.8984375" style="2466" customWidth="1"/>
    <col min="258" max="258" width="18.59765625" style="2466" customWidth="1"/>
    <col min="259" max="259" width="15.8984375" style="2466" customWidth="1"/>
    <col min="260" max="260" width="17.5" style="2466" customWidth="1"/>
    <col min="261" max="261" width="12.69921875" style="2466" customWidth="1"/>
    <col min="262" max="262" width="5.5" style="2466" customWidth="1"/>
    <col min="263" max="512" width="8.09765625" style="2466"/>
    <col min="513" max="513" width="15.8984375" style="2466" customWidth="1"/>
    <col min="514" max="514" width="18.59765625" style="2466" customWidth="1"/>
    <col min="515" max="515" width="15.8984375" style="2466" customWidth="1"/>
    <col min="516" max="516" width="17.5" style="2466" customWidth="1"/>
    <col min="517" max="517" width="12.69921875" style="2466" customWidth="1"/>
    <col min="518" max="518" width="5.5" style="2466" customWidth="1"/>
    <col min="519" max="768" width="8.09765625" style="2466"/>
    <col min="769" max="769" width="15.8984375" style="2466" customWidth="1"/>
    <col min="770" max="770" width="18.59765625" style="2466" customWidth="1"/>
    <col min="771" max="771" width="15.8984375" style="2466" customWidth="1"/>
    <col min="772" max="772" width="17.5" style="2466" customWidth="1"/>
    <col min="773" max="773" width="12.69921875" style="2466" customWidth="1"/>
    <col min="774" max="774" width="5.5" style="2466" customWidth="1"/>
    <col min="775" max="1024" width="8.09765625" style="2466"/>
    <col min="1025" max="1025" width="15.8984375" style="2466" customWidth="1"/>
    <col min="1026" max="1026" width="18.59765625" style="2466" customWidth="1"/>
    <col min="1027" max="1027" width="15.8984375" style="2466" customWidth="1"/>
    <col min="1028" max="1028" width="17.5" style="2466" customWidth="1"/>
    <col min="1029" max="1029" width="12.69921875" style="2466" customWidth="1"/>
    <col min="1030" max="1030" width="5.5" style="2466" customWidth="1"/>
    <col min="1031" max="1280" width="8.09765625" style="2466"/>
    <col min="1281" max="1281" width="15.8984375" style="2466" customWidth="1"/>
    <col min="1282" max="1282" width="18.59765625" style="2466" customWidth="1"/>
    <col min="1283" max="1283" width="15.8984375" style="2466" customWidth="1"/>
    <col min="1284" max="1284" width="17.5" style="2466" customWidth="1"/>
    <col min="1285" max="1285" width="12.69921875" style="2466" customWidth="1"/>
    <col min="1286" max="1286" width="5.5" style="2466" customWidth="1"/>
    <col min="1287" max="1536" width="8.09765625" style="2466"/>
    <col min="1537" max="1537" width="15.8984375" style="2466" customWidth="1"/>
    <col min="1538" max="1538" width="18.59765625" style="2466" customWidth="1"/>
    <col min="1539" max="1539" width="15.8984375" style="2466" customWidth="1"/>
    <col min="1540" max="1540" width="17.5" style="2466" customWidth="1"/>
    <col min="1541" max="1541" width="12.69921875" style="2466" customWidth="1"/>
    <col min="1542" max="1542" width="5.5" style="2466" customWidth="1"/>
    <col min="1543" max="1792" width="8.09765625" style="2466"/>
    <col min="1793" max="1793" width="15.8984375" style="2466" customWidth="1"/>
    <col min="1794" max="1794" width="18.59765625" style="2466" customWidth="1"/>
    <col min="1795" max="1795" width="15.8984375" style="2466" customWidth="1"/>
    <col min="1796" max="1796" width="17.5" style="2466" customWidth="1"/>
    <col min="1797" max="1797" width="12.69921875" style="2466" customWidth="1"/>
    <col min="1798" max="1798" width="5.5" style="2466" customWidth="1"/>
    <col min="1799" max="2048" width="8.09765625" style="2466"/>
    <col min="2049" max="2049" width="15.8984375" style="2466" customWidth="1"/>
    <col min="2050" max="2050" width="18.59765625" style="2466" customWidth="1"/>
    <col min="2051" max="2051" width="15.8984375" style="2466" customWidth="1"/>
    <col min="2052" max="2052" width="17.5" style="2466" customWidth="1"/>
    <col min="2053" max="2053" width="12.69921875" style="2466" customWidth="1"/>
    <col min="2054" max="2054" width="5.5" style="2466" customWidth="1"/>
    <col min="2055" max="2304" width="8.09765625" style="2466"/>
    <col min="2305" max="2305" width="15.8984375" style="2466" customWidth="1"/>
    <col min="2306" max="2306" width="18.59765625" style="2466" customWidth="1"/>
    <col min="2307" max="2307" width="15.8984375" style="2466" customWidth="1"/>
    <col min="2308" max="2308" width="17.5" style="2466" customWidth="1"/>
    <col min="2309" max="2309" width="12.69921875" style="2466" customWidth="1"/>
    <col min="2310" max="2310" width="5.5" style="2466" customWidth="1"/>
    <col min="2311" max="2560" width="8.09765625" style="2466"/>
    <col min="2561" max="2561" width="15.8984375" style="2466" customWidth="1"/>
    <col min="2562" max="2562" width="18.59765625" style="2466" customWidth="1"/>
    <col min="2563" max="2563" width="15.8984375" style="2466" customWidth="1"/>
    <col min="2564" max="2564" width="17.5" style="2466" customWidth="1"/>
    <col min="2565" max="2565" width="12.69921875" style="2466" customWidth="1"/>
    <col min="2566" max="2566" width="5.5" style="2466" customWidth="1"/>
    <col min="2567" max="2816" width="8.09765625" style="2466"/>
    <col min="2817" max="2817" width="15.8984375" style="2466" customWidth="1"/>
    <col min="2818" max="2818" width="18.59765625" style="2466" customWidth="1"/>
    <col min="2819" max="2819" width="15.8984375" style="2466" customWidth="1"/>
    <col min="2820" max="2820" width="17.5" style="2466" customWidth="1"/>
    <col min="2821" max="2821" width="12.69921875" style="2466" customWidth="1"/>
    <col min="2822" max="2822" width="5.5" style="2466" customWidth="1"/>
    <col min="2823" max="3072" width="8.09765625" style="2466"/>
    <col min="3073" max="3073" width="15.8984375" style="2466" customWidth="1"/>
    <col min="3074" max="3074" width="18.59765625" style="2466" customWidth="1"/>
    <col min="3075" max="3075" width="15.8984375" style="2466" customWidth="1"/>
    <col min="3076" max="3076" width="17.5" style="2466" customWidth="1"/>
    <col min="3077" max="3077" width="12.69921875" style="2466" customWidth="1"/>
    <col min="3078" max="3078" width="5.5" style="2466" customWidth="1"/>
    <col min="3079" max="3328" width="8.09765625" style="2466"/>
    <col min="3329" max="3329" width="15.8984375" style="2466" customWidth="1"/>
    <col min="3330" max="3330" width="18.59765625" style="2466" customWidth="1"/>
    <col min="3331" max="3331" width="15.8984375" style="2466" customWidth="1"/>
    <col min="3332" max="3332" width="17.5" style="2466" customWidth="1"/>
    <col min="3333" max="3333" width="12.69921875" style="2466" customWidth="1"/>
    <col min="3334" max="3334" width="5.5" style="2466" customWidth="1"/>
    <col min="3335" max="3584" width="8.09765625" style="2466"/>
    <col min="3585" max="3585" width="15.8984375" style="2466" customWidth="1"/>
    <col min="3586" max="3586" width="18.59765625" style="2466" customWidth="1"/>
    <col min="3587" max="3587" width="15.8984375" style="2466" customWidth="1"/>
    <col min="3588" max="3588" width="17.5" style="2466" customWidth="1"/>
    <col min="3589" max="3589" width="12.69921875" style="2466" customWidth="1"/>
    <col min="3590" max="3590" width="5.5" style="2466" customWidth="1"/>
    <col min="3591" max="3840" width="8.09765625" style="2466"/>
    <col min="3841" max="3841" width="15.8984375" style="2466" customWidth="1"/>
    <col min="3842" max="3842" width="18.59765625" style="2466" customWidth="1"/>
    <col min="3843" max="3843" width="15.8984375" style="2466" customWidth="1"/>
    <col min="3844" max="3844" width="17.5" style="2466" customWidth="1"/>
    <col min="3845" max="3845" width="12.69921875" style="2466" customWidth="1"/>
    <col min="3846" max="3846" width="5.5" style="2466" customWidth="1"/>
    <col min="3847" max="4096" width="8.09765625" style="2466"/>
    <col min="4097" max="4097" width="15.8984375" style="2466" customWidth="1"/>
    <col min="4098" max="4098" width="18.59765625" style="2466" customWidth="1"/>
    <col min="4099" max="4099" width="15.8984375" style="2466" customWidth="1"/>
    <col min="4100" max="4100" width="17.5" style="2466" customWidth="1"/>
    <col min="4101" max="4101" width="12.69921875" style="2466" customWidth="1"/>
    <col min="4102" max="4102" width="5.5" style="2466" customWidth="1"/>
    <col min="4103" max="4352" width="8.09765625" style="2466"/>
    <col min="4353" max="4353" width="15.8984375" style="2466" customWidth="1"/>
    <col min="4354" max="4354" width="18.59765625" style="2466" customWidth="1"/>
    <col min="4355" max="4355" width="15.8984375" style="2466" customWidth="1"/>
    <col min="4356" max="4356" width="17.5" style="2466" customWidth="1"/>
    <col min="4357" max="4357" width="12.69921875" style="2466" customWidth="1"/>
    <col min="4358" max="4358" width="5.5" style="2466" customWidth="1"/>
    <col min="4359" max="4608" width="8.09765625" style="2466"/>
    <col min="4609" max="4609" width="15.8984375" style="2466" customWidth="1"/>
    <col min="4610" max="4610" width="18.59765625" style="2466" customWidth="1"/>
    <col min="4611" max="4611" width="15.8984375" style="2466" customWidth="1"/>
    <col min="4612" max="4612" width="17.5" style="2466" customWidth="1"/>
    <col min="4613" max="4613" width="12.69921875" style="2466" customWidth="1"/>
    <col min="4614" max="4614" width="5.5" style="2466" customWidth="1"/>
    <col min="4615" max="4864" width="8.09765625" style="2466"/>
    <col min="4865" max="4865" width="15.8984375" style="2466" customWidth="1"/>
    <col min="4866" max="4866" width="18.59765625" style="2466" customWidth="1"/>
    <col min="4867" max="4867" width="15.8984375" style="2466" customWidth="1"/>
    <col min="4868" max="4868" width="17.5" style="2466" customWidth="1"/>
    <col min="4869" max="4869" width="12.69921875" style="2466" customWidth="1"/>
    <col min="4870" max="4870" width="5.5" style="2466" customWidth="1"/>
    <col min="4871" max="5120" width="8.09765625" style="2466"/>
    <col min="5121" max="5121" width="15.8984375" style="2466" customWidth="1"/>
    <col min="5122" max="5122" width="18.59765625" style="2466" customWidth="1"/>
    <col min="5123" max="5123" width="15.8984375" style="2466" customWidth="1"/>
    <col min="5124" max="5124" width="17.5" style="2466" customWidth="1"/>
    <col min="5125" max="5125" width="12.69921875" style="2466" customWidth="1"/>
    <col min="5126" max="5126" width="5.5" style="2466" customWidth="1"/>
    <col min="5127" max="5376" width="8.09765625" style="2466"/>
    <col min="5377" max="5377" width="15.8984375" style="2466" customWidth="1"/>
    <col min="5378" max="5378" width="18.59765625" style="2466" customWidth="1"/>
    <col min="5379" max="5379" width="15.8984375" style="2466" customWidth="1"/>
    <col min="5380" max="5380" width="17.5" style="2466" customWidth="1"/>
    <col min="5381" max="5381" width="12.69921875" style="2466" customWidth="1"/>
    <col min="5382" max="5382" width="5.5" style="2466" customWidth="1"/>
    <col min="5383" max="5632" width="8.09765625" style="2466"/>
    <col min="5633" max="5633" width="15.8984375" style="2466" customWidth="1"/>
    <col min="5634" max="5634" width="18.59765625" style="2466" customWidth="1"/>
    <col min="5635" max="5635" width="15.8984375" style="2466" customWidth="1"/>
    <col min="5636" max="5636" width="17.5" style="2466" customWidth="1"/>
    <col min="5637" max="5637" width="12.69921875" style="2466" customWidth="1"/>
    <col min="5638" max="5638" width="5.5" style="2466" customWidth="1"/>
    <col min="5639" max="5888" width="8.09765625" style="2466"/>
    <col min="5889" max="5889" width="15.8984375" style="2466" customWidth="1"/>
    <col min="5890" max="5890" width="18.59765625" style="2466" customWidth="1"/>
    <col min="5891" max="5891" width="15.8984375" style="2466" customWidth="1"/>
    <col min="5892" max="5892" width="17.5" style="2466" customWidth="1"/>
    <col min="5893" max="5893" width="12.69921875" style="2466" customWidth="1"/>
    <col min="5894" max="5894" width="5.5" style="2466" customWidth="1"/>
    <col min="5895" max="6144" width="8.09765625" style="2466"/>
    <col min="6145" max="6145" width="15.8984375" style="2466" customWidth="1"/>
    <col min="6146" max="6146" width="18.59765625" style="2466" customWidth="1"/>
    <col min="6147" max="6147" width="15.8984375" style="2466" customWidth="1"/>
    <col min="6148" max="6148" width="17.5" style="2466" customWidth="1"/>
    <col min="6149" max="6149" width="12.69921875" style="2466" customWidth="1"/>
    <col min="6150" max="6150" width="5.5" style="2466" customWidth="1"/>
    <col min="6151" max="6400" width="8.09765625" style="2466"/>
    <col min="6401" max="6401" width="15.8984375" style="2466" customWidth="1"/>
    <col min="6402" max="6402" width="18.59765625" style="2466" customWidth="1"/>
    <col min="6403" max="6403" width="15.8984375" style="2466" customWidth="1"/>
    <col min="6404" max="6404" width="17.5" style="2466" customWidth="1"/>
    <col min="6405" max="6405" width="12.69921875" style="2466" customWidth="1"/>
    <col min="6406" max="6406" width="5.5" style="2466" customWidth="1"/>
    <col min="6407" max="6656" width="8.09765625" style="2466"/>
    <col min="6657" max="6657" width="15.8984375" style="2466" customWidth="1"/>
    <col min="6658" max="6658" width="18.59765625" style="2466" customWidth="1"/>
    <col min="6659" max="6659" width="15.8984375" style="2466" customWidth="1"/>
    <col min="6660" max="6660" width="17.5" style="2466" customWidth="1"/>
    <col min="6661" max="6661" width="12.69921875" style="2466" customWidth="1"/>
    <col min="6662" max="6662" width="5.5" style="2466" customWidth="1"/>
    <col min="6663" max="6912" width="8.09765625" style="2466"/>
    <col min="6913" max="6913" width="15.8984375" style="2466" customWidth="1"/>
    <col min="6914" max="6914" width="18.59765625" style="2466" customWidth="1"/>
    <col min="6915" max="6915" width="15.8984375" style="2466" customWidth="1"/>
    <col min="6916" max="6916" width="17.5" style="2466" customWidth="1"/>
    <col min="6917" max="6917" width="12.69921875" style="2466" customWidth="1"/>
    <col min="6918" max="6918" width="5.5" style="2466" customWidth="1"/>
    <col min="6919" max="7168" width="8.09765625" style="2466"/>
    <col min="7169" max="7169" width="15.8984375" style="2466" customWidth="1"/>
    <col min="7170" max="7170" width="18.59765625" style="2466" customWidth="1"/>
    <col min="7171" max="7171" width="15.8984375" style="2466" customWidth="1"/>
    <col min="7172" max="7172" width="17.5" style="2466" customWidth="1"/>
    <col min="7173" max="7173" width="12.69921875" style="2466" customWidth="1"/>
    <col min="7174" max="7174" width="5.5" style="2466" customWidth="1"/>
    <col min="7175" max="7424" width="8.09765625" style="2466"/>
    <col min="7425" max="7425" width="15.8984375" style="2466" customWidth="1"/>
    <col min="7426" max="7426" width="18.59765625" style="2466" customWidth="1"/>
    <col min="7427" max="7427" width="15.8984375" style="2466" customWidth="1"/>
    <col min="7428" max="7428" width="17.5" style="2466" customWidth="1"/>
    <col min="7429" max="7429" width="12.69921875" style="2466" customWidth="1"/>
    <col min="7430" max="7430" width="5.5" style="2466" customWidth="1"/>
    <col min="7431" max="7680" width="8.09765625" style="2466"/>
    <col min="7681" max="7681" width="15.8984375" style="2466" customWidth="1"/>
    <col min="7682" max="7682" width="18.59765625" style="2466" customWidth="1"/>
    <col min="7683" max="7683" width="15.8984375" style="2466" customWidth="1"/>
    <col min="7684" max="7684" width="17.5" style="2466" customWidth="1"/>
    <col min="7685" max="7685" width="12.69921875" style="2466" customWidth="1"/>
    <col min="7686" max="7686" width="5.5" style="2466" customWidth="1"/>
    <col min="7687" max="7936" width="8.09765625" style="2466"/>
    <col min="7937" max="7937" width="15.8984375" style="2466" customWidth="1"/>
    <col min="7938" max="7938" width="18.59765625" style="2466" customWidth="1"/>
    <col min="7939" max="7939" width="15.8984375" style="2466" customWidth="1"/>
    <col min="7940" max="7940" width="17.5" style="2466" customWidth="1"/>
    <col min="7941" max="7941" width="12.69921875" style="2466" customWidth="1"/>
    <col min="7942" max="7942" width="5.5" style="2466" customWidth="1"/>
    <col min="7943" max="8192" width="8.09765625" style="2466"/>
    <col min="8193" max="8193" width="15.8984375" style="2466" customWidth="1"/>
    <col min="8194" max="8194" width="18.59765625" style="2466" customWidth="1"/>
    <col min="8195" max="8195" width="15.8984375" style="2466" customWidth="1"/>
    <col min="8196" max="8196" width="17.5" style="2466" customWidth="1"/>
    <col min="8197" max="8197" width="12.69921875" style="2466" customWidth="1"/>
    <col min="8198" max="8198" width="5.5" style="2466" customWidth="1"/>
    <col min="8199" max="8448" width="8.09765625" style="2466"/>
    <col min="8449" max="8449" width="15.8984375" style="2466" customWidth="1"/>
    <col min="8450" max="8450" width="18.59765625" style="2466" customWidth="1"/>
    <col min="8451" max="8451" width="15.8984375" style="2466" customWidth="1"/>
    <col min="8452" max="8452" width="17.5" style="2466" customWidth="1"/>
    <col min="8453" max="8453" width="12.69921875" style="2466" customWidth="1"/>
    <col min="8454" max="8454" width="5.5" style="2466" customWidth="1"/>
    <col min="8455" max="8704" width="8.09765625" style="2466"/>
    <col min="8705" max="8705" width="15.8984375" style="2466" customWidth="1"/>
    <col min="8706" max="8706" width="18.59765625" style="2466" customWidth="1"/>
    <col min="8707" max="8707" width="15.8984375" style="2466" customWidth="1"/>
    <col min="8708" max="8708" width="17.5" style="2466" customWidth="1"/>
    <col min="8709" max="8709" width="12.69921875" style="2466" customWidth="1"/>
    <col min="8710" max="8710" width="5.5" style="2466" customWidth="1"/>
    <col min="8711" max="8960" width="8.09765625" style="2466"/>
    <col min="8961" max="8961" width="15.8984375" style="2466" customWidth="1"/>
    <col min="8962" max="8962" width="18.59765625" style="2466" customWidth="1"/>
    <col min="8963" max="8963" width="15.8984375" style="2466" customWidth="1"/>
    <col min="8964" max="8964" width="17.5" style="2466" customWidth="1"/>
    <col min="8965" max="8965" width="12.69921875" style="2466" customWidth="1"/>
    <col min="8966" max="8966" width="5.5" style="2466" customWidth="1"/>
    <col min="8967" max="9216" width="8.09765625" style="2466"/>
    <col min="9217" max="9217" width="15.8984375" style="2466" customWidth="1"/>
    <col min="9218" max="9218" width="18.59765625" style="2466" customWidth="1"/>
    <col min="9219" max="9219" width="15.8984375" style="2466" customWidth="1"/>
    <col min="9220" max="9220" width="17.5" style="2466" customWidth="1"/>
    <col min="9221" max="9221" width="12.69921875" style="2466" customWidth="1"/>
    <col min="9222" max="9222" width="5.5" style="2466" customWidth="1"/>
    <col min="9223" max="9472" width="8.09765625" style="2466"/>
    <col min="9473" max="9473" width="15.8984375" style="2466" customWidth="1"/>
    <col min="9474" max="9474" width="18.59765625" style="2466" customWidth="1"/>
    <col min="9475" max="9475" width="15.8984375" style="2466" customWidth="1"/>
    <col min="9476" max="9476" width="17.5" style="2466" customWidth="1"/>
    <col min="9477" max="9477" width="12.69921875" style="2466" customWidth="1"/>
    <col min="9478" max="9478" width="5.5" style="2466" customWidth="1"/>
    <col min="9479" max="9728" width="8.09765625" style="2466"/>
    <col min="9729" max="9729" width="15.8984375" style="2466" customWidth="1"/>
    <col min="9730" max="9730" width="18.59765625" style="2466" customWidth="1"/>
    <col min="9731" max="9731" width="15.8984375" style="2466" customWidth="1"/>
    <col min="9732" max="9732" width="17.5" style="2466" customWidth="1"/>
    <col min="9733" max="9733" width="12.69921875" style="2466" customWidth="1"/>
    <col min="9734" max="9734" width="5.5" style="2466" customWidth="1"/>
    <col min="9735" max="9984" width="8.09765625" style="2466"/>
    <col min="9985" max="9985" width="15.8984375" style="2466" customWidth="1"/>
    <col min="9986" max="9986" width="18.59765625" style="2466" customWidth="1"/>
    <col min="9987" max="9987" width="15.8984375" style="2466" customWidth="1"/>
    <col min="9988" max="9988" width="17.5" style="2466" customWidth="1"/>
    <col min="9989" max="9989" width="12.69921875" style="2466" customWidth="1"/>
    <col min="9990" max="9990" width="5.5" style="2466" customWidth="1"/>
    <col min="9991" max="10240" width="8.09765625" style="2466"/>
    <col min="10241" max="10241" width="15.8984375" style="2466" customWidth="1"/>
    <col min="10242" max="10242" width="18.59765625" style="2466" customWidth="1"/>
    <col min="10243" max="10243" width="15.8984375" style="2466" customWidth="1"/>
    <col min="10244" max="10244" width="17.5" style="2466" customWidth="1"/>
    <col min="10245" max="10245" width="12.69921875" style="2466" customWidth="1"/>
    <col min="10246" max="10246" width="5.5" style="2466" customWidth="1"/>
    <col min="10247" max="10496" width="8.09765625" style="2466"/>
    <col min="10497" max="10497" width="15.8984375" style="2466" customWidth="1"/>
    <col min="10498" max="10498" width="18.59765625" style="2466" customWidth="1"/>
    <col min="10499" max="10499" width="15.8984375" style="2466" customWidth="1"/>
    <col min="10500" max="10500" width="17.5" style="2466" customWidth="1"/>
    <col min="10501" max="10501" width="12.69921875" style="2466" customWidth="1"/>
    <col min="10502" max="10502" width="5.5" style="2466" customWidth="1"/>
    <col min="10503" max="10752" width="8.09765625" style="2466"/>
    <col min="10753" max="10753" width="15.8984375" style="2466" customWidth="1"/>
    <col min="10754" max="10754" width="18.59765625" style="2466" customWidth="1"/>
    <col min="10755" max="10755" width="15.8984375" style="2466" customWidth="1"/>
    <col min="10756" max="10756" width="17.5" style="2466" customWidth="1"/>
    <col min="10757" max="10757" width="12.69921875" style="2466" customWidth="1"/>
    <col min="10758" max="10758" width="5.5" style="2466" customWidth="1"/>
    <col min="10759" max="11008" width="8.09765625" style="2466"/>
    <col min="11009" max="11009" width="15.8984375" style="2466" customWidth="1"/>
    <col min="11010" max="11010" width="18.59765625" style="2466" customWidth="1"/>
    <col min="11011" max="11011" width="15.8984375" style="2466" customWidth="1"/>
    <col min="11012" max="11012" width="17.5" style="2466" customWidth="1"/>
    <col min="11013" max="11013" width="12.69921875" style="2466" customWidth="1"/>
    <col min="11014" max="11014" width="5.5" style="2466" customWidth="1"/>
    <col min="11015" max="11264" width="8.09765625" style="2466"/>
    <col min="11265" max="11265" width="15.8984375" style="2466" customWidth="1"/>
    <col min="11266" max="11266" width="18.59765625" style="2466" customWidth="1"/>
    <col min="11267" max="11267" width="15.8984375" style="2466" customWidth="1"/>
    <col min="11268" max="11268" width="17.5" style="2466" customWidth="1"/>
    <col min="11269" max="11269" width="12.69921875" style="2466" customWidth="1"/>
    <col min="11270" max="11270" width="5.5" style="2466" customWidth="1"/>
    <col min="11271" max="11520" width="8.09765625" style="2466"/>
    <col min="11521" max="11521" width="15.8984375" style="2466" customWidth="1"/>
    <col min="11522" max="11522" width="18.59765625" style="2466" customWidth="1"/>
    <col min="11523" max="11523" width="15.8984375" style="2466" customWidth="1"/>
    <col min="11524" max="11524" width="17.5" style="2466" customWidth="1"/>
    <col min="11525" max="11525" width="12.69921875" style="2466" customWidth="1"/>
    <col min="11526" max="11526" width="5.5" style="2466" customWidth="1"/>
    <col min="11527" max="11776" width="8.09765625" style="2466"/>
    <col min="11777" max="11777" width="15.8984375" style="2466" customWidth="1"/>
    <col min="11778" max="11778" width="18.59765625" style="2466" customWidth="1"/>
    <col min="11779" max="11779" width="15.8984375" style="2466" customWidth="1"/>
    <col min="11780" max="11780" width="17.5" style="2466" customWidth="1"/>
    <col min="11781" max="11781" width="12.69921875" style="2466" customWidth="1"/>
    <col min="11782" max="11782" width="5.5" style="2466" customWidth="1"/>
    <col min="11783" max="12032" width="8.09765625" style="2466"/>
    <col min="12033" max="12033" width="15.8984375" style="2466" customWidth="1"/>
    <col min="12034" max="12034" width="18.59765625" style="2466" customWidth="1"/>
    <col min="12035" max="12035" width="15.8984375" style="2466" customWidth="1"/>
    <col min="12036" max="12036" width="17.5" style="2466" customWidth="1"/>
    <col min="12037" max="12037" width="12.69921875" style="2466" customWidth="1"/>
    <col min="12038" max="12038" width="5.5" style="2466" customWidth="1"/>
    <col min="12039" max="12288" width="8.09765625" style="2466"/>
    <col min="12289" max="12289" width="15.8984375" style="2466" customWidth="1"/>
    <col min="12290" max="12290" width="18.59765625" style="2466" customWidth="1"/>
    <col min="12291" max="12291" width="15.8984375" style="2466" customWidth="1"/>
    <col min="12292" max="12292" width="17.5" style="2466" customWidth="1"/>
    <col min="12293" max="12293" width="12.69921875" style="2466" customWidth="1"/>
    <col min="12294" max="12294" width="5.5" style="2466" customWidth="1"/>
    <col min="12295" max="12544" width="8.09765625" style="2466"/>
    <col min="12545" max="12545" width="15.8984375" style="2466" customWidth="1"/>
    <col min="12546" max="12546" width="18.59765625" style="2466" customWidth="1"/>
    <col min="12547" max="12547" width="15.8984375" style="2466" customWidth="1"/>
    <col min="12548" max="12548" width="17.5" style="2466" customWidth="1"/>
    <col min="12549" max="12549" width="12.69921875" style="2466" customWidth="1"/>
    <col min="12550" max="12550" width="5.5" style="2466" customWidth="1"/>
    <col min="12551" max="12800" width="8.09765625" style="2466"/>
    <col min="12801" max="12801" width="15.8984375" style="2466" customWidth="1"/>
    <col min="12802" max="12802" width="18.59765625" style="2466" customWidth="1"/>
    <col min="12803" max="12803" width="15.8984375" style="2466" customWidth="1"/>
    <col min="12804" max="12804" width="17.5" style="2466" customWidth="1"/>
    <col min="12805" max="12805" width="12.69921875" style="2466" customWidth="1"/>
    <col min="12806" max="12806" width="5.5" style="2466" customWidth="1"/>
    <col min="12807" max="13056" width="8.09765625" style="2466"/>
    <col min="13057" max="13057" width="15.8984375" style="2466" customWidth="1"/>
    <col min="13058" max="13058" width="18.59765625" style="2466" customWidth="1"/>
    <col min="13059" max="13059" width="15.8984375" style="2466" customWidth="1"/>
    <col min="13060" max="13060" width="17.5" style="2466" customWidth="1"/>
    <col min="13061" max="13061" width="12.69921875" style="2466" customWidth="1"/>
    <col min="13062" max="13062" width="5.5" style="2466" customWidth="1"/>
    <col min="13063" max="13312" width="8.09765625" style="2466"/>
    <col min="13313" max="13313" width="15.8984375" style="2466" customWidth="1"/>
    <col min="13314" max="13314" width="18.59765625" style="2466" customWidth="1"/>
    <col min="13315" max="13315" width="15.8984375" style="2466" customWidth="1"/>
    <col min="13316" max="13316" width="17.5" style="2466" customWidth="1"/>
    <col min="13317" max="13317" width="12.69921875" style="2466" customWidth="1"/>
    <col min="13318" max="13318" width="5.5" style="2466" customWidth="1"/>
    <col min="13319" max="13568" width="8.09765625" style="2466"/>
    <col min="13569" max="13569" width="15.8984375" style="2466" customWidth="1"/>
    <col min="13570" max="13570" width="18.59765625" style="2466" customWidth="1"/>
    <col min="13571" max="13571" width="15.8984375" style="2466" customWidth="1"/>
    <col min="13572" max="13572" width="17.5" style="2466" customWidth="1"/>
    <col min="13573" max="13573" width="12.69921875" style="2466" customWidth="1"/>
    <col min="13574" max="13574" width="5.5" style="2466" customWidth="1"/>
    <col min="13575" max="13824" width="8.09765625" style="2466"/>
    <col min="13825" max="13825" width="15.8984375" style="2466" customWidth="1"/>
    <col min="13826" max="13826" width="18.59765625" style="2466" customWidth="1"/>
    <col min="13827" max="13827" width="15.8984375" style="2466" customWidth="1"/>
    <col min="13828" max="13828" width="17.5" style="2466" customWidth="1"/>
    <col min="13829" max="13829" width="12.69921875" style="2466" customWidth="1"/>
    <col min="13830" max="13830" width="5.5" style="2466" customWidth="1"/>
    <col min="13831" max="14080" width="8.09765625" style="2466"/>
    <col min="14081" max="14081" width="15.8984375" style="2466" customWidth="1"/>
    <col min="14082" max="14082" width="18.59765625" style="2466" customWidth="1"/>
    <col min="14083" max="14083" width="15.8984375" style="2466" customWidth="1"/>
    <col min="14084" max="14084" width="17.5" style="2466" customWidth="1"/>
    <col min="14085" max="14085" width="12.69921875" style="2466" customWidth="1"/>
    <col min="14086" max="14086" width="5.5" style="2466" customWidth="1"/>
    <col min="14087" max="14336" width="8.09765625" style="2466"/>
    <col min="14337" max="14337" width="15.8984375" style="2466" customWidth="1"/>
    <col min="14338" max="14338" width="18.59765625" style="2466" customWidth="1"/>
    <col min="14339" max="14339" width="15.8984375" style="2466" customWidth="1"/>
    <col min="14340" max="14340" width="17.5" style="2466" customWidth="1"/>
    <col min="14341" max="14341" width="12.69921875" style="2466" customWidth="1"/>
    <col min="14342" max="14342" width="5.5" style="2466" customWidth="1"/>
    <col min="14343" max="14592" width="8.09765625" style="2466"/>
    <col min="14593" max="14593" width="15.8984375" style="2466" customWidth="1"/>
    <col min="14594" max="14594" width="18.59765625" style="2466" customWidth="1"/>
    <col min="14595" max="14595" width="15.8984375" style="2466" customWidth="1"/>
    <col min="14596" max="14596" width="17.5" style="2466" customWidth="1"/>
    <col min="14597" max="14597" width="12.69921875" style="2466" customWidth="1"/>
    <col min="14598" max="14598" width="5.5" style="2466" customWidth="1"/>
    <col min="14599" max="14848" width="8.09765625" style="2466"/>
    <col min="14849" max="14849" width="15.8984375" style="2466" customWidth="1"/>
    <col min="14850" max="14850" width="18.59765625" style="2466" customWidth="1"/>
    <col min="14851" max="14851" width="15.8984375" style="2466" customWidth="1"/>
    <col min="14852" max="14852" width="17.5" style="2466" customWidth="1"/>
    <col min="14853" max="14853" width="12.69921875" style="2466" customWidth="1"/>
    <col min="14854" max="14854" width="5.5" style="2466" customWidth="1"/>
    <col min="14855" max="15104" width="8.09765625" style="2466"/>
    <col min="15105" max="15105" width="15.8984375" style="2466" customWidth="1"/>
    <col min="15106" max="15106" width="18.59765625" style="2466" customWidth="1"/>
    <col min="15107" max="15107" width="15.8984375" style="2466" customWidth="1"/>
    <col min="15108" max="15108" width="17.5" style="2466" customWidth="1"/>
    <col min="15109" max="15109" width="12.69921875" style="2466" customWidth="1"/>
    <col min="15110" max="15110" width="5.5" style="2466" customWidth="1"/>
    <col min="15111" max="15360" width="8.09765625" style="2466"/>
    <col min="15361" max="15361" width="15.8984375" style="2466" customWidth="1"/>
    <col min="15362" max="15362" width="18.59765625" style="2466" customWidth="1"/>
    <col min="15363" max="15363" width="15.8984375" style="2466" customWidth="1"/>
    <col min="15364" max="15364" width="17.5" style="2466" customWidth="1"/>
    <col min="15365" max="15365" width="12.69921875" style="2466" customWidth="1"/>
    <col min="15366" max="15366" width="5.5" style="2466" customWidth="1"/>
    <col min="15367" max="15616" width="8.09765625" style="2466"/>
    <col min="15617" max="15617" width="15.8984375" style="2466" customWidth="1"/>
    <col min="15618" max="15618" width="18.59765625" style="2466" customWidth="1"/>
    <col min="15619" max="15619" width="15.8984375" style="2466" customWidth="1"/>
    <col min="15620" max="15620" width="17.5" style="2466" customWidth="1"/>
    <col min="15621" max="15621" width="12.69921875" style="2466" customWidth="1"/>
    <col min="15622" max="15622" width="5.5" style="2466" customWidth="1"/>
    <col min="15623" max="15872" width="8.09765625" style="2466"/>
    <col min="15873" max="15873" width="15.8984375" style="2466" customWidth="1"/>
    <col min="15874" max="15874" width="18.59765625" style="2466" customWidth="1"/>
    <col min="15875" max="15875" width="15.8984375" style="2466" customWidth="1"/>
    <col min="15876" max="15876" width="17.5" style="2466" customWidth="1"/>
    <col min="15877" max="15877" width="12.69921875" style="2466" customWidth="1"/>
    <col min="15878" max="15878" width="5.5" style="2466" customWidth="1"/>
    <col min="15879" max="16128" width="8.09765625" style="2466"/>
    <col min="16129" max="16129" width="15.8984375" style="2466" customWidth="1"/>
    <col min="16130" max="16130" width="18.59765625" style="2466" customWidth="1"/>
    <col min="16131" max="16131" width="15.8984375" style="2466" customWidth="1"/>
    <col min="16132" max="16132" width="17.5" style="2466" customWidth="1"/>
    <col min="16133" max="16133" width="12.69921875" style="2466" customWidth="1"/>
    <col min="16134" max="16134" width="5.5" style="2466" customWidth="1"/>
    <col min="16135" max="16384" width="8.09765625" style="2466"/>
  </cols>
  <sheetData>
    <row r="1" spans="1:7">
      <c r="A1" s="4001" t="s">
        <v>7170</v>
      </c>
      <c r="B1" s="4001"/>
      <c r="C1" s="4001"/>
      <c r="D1" s="3463"/>
      <c r="E1" s="3463"/>
      <c r="F1" s="3463"/>
      <c r="G1" s="2485"/>
    </row>
    <row r="2" spans="1:7" ht="34.200000000000003" customHeight="1">
      <c r="A2" s="2729" t="s">
        <v>7412</v>
      </c>
      <c r="B2" s="2729"/>
      <c r="C2" s="2729"/>
      <c r="D2" s="2729"/>
      <c r="E2" s="2729"/>
      <c r="F2" s="2729"/>
      <c r="G2" s="2729"/>
    </row>
    <row r="3" spans="1:7" ht="25.5" customHeight="1">
      <c r="A3" s="2498" t="s">
        <v>7171</v>
      </c>
      <c r="B3" s="3994">
        <f>基本情况!B2</f>
        <v>0</v>
      </c>
      <c r="C3" s="3994"/>
      <c r="D3" s="2520" t="s">
        <v>1624</v>
      </c>
      <c r="E3" s="3995" t="str">
        <f>基本情况!B48</f>
        <v>0</v>
      </c>
      <c r="F3" s="3995"/>
      <c r="G3" s="3995"/>
    </row>
    <row r="4" spans="1:7" ht="25.5" customHeight="1">
      <c r="A4" s="2497" t="s">
        <v>7172</v>
      </c>
      <c r="B4" s="3996">
        <f>基本情况!B31</f>
        <v>0</v>
      </c>
      <c r="C4" s="3997"/>
      <c r="D4" s="2490" t="s">
        <v>419</v>
      </c>
      <c r="E4" s="3998">
        <f>基本情况!B36</f>
        <v>0</v>
      </c>
      <c r="F4" s="3999"/>
      <c r="G4" s="4000"/>
    </row>
    <row r="5" spans="1:7" ht="25.5" customHeight="1">
      <c r="A5" s="2487" t="s">
        <v>7173</v>
      </c>
      <c r="B5" s="3985">
        <f>地税、基本情况!B4</f>
        <v>0</v>
      </c>
      <c r="C5" s="3986"/>
      <c r="D5" s="2491" t="s">
        <v>408</v>
      </c>
      <c r="E5" s="3987">
        <f>基本情况!B34</f>
        <v>0</v>
      </c>
      <c r="F5" s="3987"/>
      <c r="G5" s="3987"/>
    </row>
    <row r="6" spans="1:7" ht="25.5" customHeight="1">
      <c r="A6" s="2486" t="s">
        <v>7174</v>
      </c>
      <c r="B6" s="2479"/>
      <c r="C6" s="2487" t="s">
        <v>7175</v>
      </c>
      <c r="D6" s="2479"/>
      <c r="E6" s="2498" t="s">
        <v>7413</v>
      </c>
      <c r="F6" s="3988"/>
      <c r="G6" s="3989"/>
    </row>
    <row r="7" spans="1:7" ht="25.5" customHeight="1">
      <c r="A7" s="2495" t="s">
        <v>7176</v>
      </c>
      <c r="B7" s="2493"/>
      <c r="C7" s="3977" t="s">
        <v>7177</v>
      </c>
      <c r="D7" s="3978"/>
      <c r="E7" s="3990"/>
      <c r="F7" s="3991"/>
      <c r="G7" s="3991"/>
    </row>
    <row r="8" spans="1:7" ht="31.5" customHeight="1">
      <c r="A8" s="3992" t="s">
        <v>7178</v>
      </c>
      <c r="B8" s="3977" t="s">
        <v>7179</v>
      </c>
      <c r="C8" s="3978"/>
      <c r="D8" s="3978"/>
      <c r="E8" s="3990"/>
      <c r="F8" s="3991"/>
      <c r="G8" s="3991"/>
    </row>
    <row r="9" spans="1:7" ht="31.5" customHeight="1">
      <c r="A9" s="3993"/>
      <c r="B9" s="3977" t="s">
        <v>7180</v>
      </c>
      <c r="C9" s="3978"/>
      <c r="D9" s="3978"/>
      <c r="E9" s="2494"/>
      <c r="F9" s="2495" t="s">
        <v>7181</v>
      </c>
      <c r="G9" s="1225"/>
    </row>
    <row r="10" spans="1:7" ht="31.5" customHeight="1">
      <c r="A10" s="3993"/>
      <c r="B10" s="3977" t="s">
        <v>7182</v>
      </c>
      <c r="C10" s="3978"/>
      <c r="D10" s="3978"/>
      <c r="E10" s="3974"/>
      <c r="F10" s="3975"/>
      <c r="G10" s="3976"/>
    </row>
    <row r="11" spans="1:7" ht="31.5" customHeight="1">
      <c r="A11" s="3993"/>
      <c r="B11" s="3977" t="s">
        <v>7183</v>
      </c>
      <c r="C11" s="3978"/>
      <c r="D11" s="3978"/>
      <c r="E11" s="2494"/>
      <c r="F11" s="2492" t="s">
        <v>7181</v>
      </c>
      <c r="G11" s="1225"/>
    </row>
    <row r="12" spans="1:7" ht="31.5" customHeight="1">
      <c r="A12" s="3993"/>
      <c r="B12" s="3977" t="s">
        <v>7184</v>
      </c>
      <c r="C12" s="3978"/>
      <c r="D12" s="3978"/>
      <c r="E12" s="3974"/>
      <c r="F12" s="3975"/>
      <c r="G12" s="3976"/>
    </row>
    <row r="13" spans="1:7" ht="25.5" customHeight="1">
      <c r="A13" s="2487" t="s">
        <v>7185</v>
      </c>
      <c r="B13" s="3979"/>
      <c r="C13" s="3980"/>
      <c r="D13" s="3980"/>
      <c r="E13" s="3980"/>
      <c r="F13" s="3980"/>
      <c r="G13" s="3981"/>
    </row>
    <row r="14" spans="1:7" ht="54" customHeight="1">
      <c r="A14" s="2488" t="s">
        <v>7186</v>
      </c>
      <c r="B14" s="3982"/>
      <c r="C14" s="3983"/>
      <c r="D14" s="3983"/>
      <c r="E14" s="3983"/>
      <c r="F14" s="3983"/>
      <c r="G14" s="3984"/>
    </row>
    <row r="15" spans="1:7" ht="25.5" customHeight="1">
      <c r="A15" s="2489" t="s">
        <v>7187</v>
      </c>
      <c r="B15" s="3971">
        <f>基本情况!B12</f>
        <v>0</v>
      </c>
      <c r="C15" s="3972"/>
      <c r="D15" s="2489" t="s">
        <v>7188</v>
      </c>
      <c r="E15" s="3971" t="str">
        <f>基本情况!B21</f>
        <v>2017年3月16日</v>
      </c>
      <c r="F15" s="3972"/>
      <c r="G15" s="3973"/>
    </row>
  </sheetData>
  <mergeCells count="25">
    <mergeCell ref="B3:C3"/>
    <mergeCell ref="E3:G3"/>
    <mergeCell ref="B4:C4"/>
    <mergeCell ref="E4:G4"/>
    <mergeCell ref="A1:C1"/>
    <mergeCell ref="D1:F1"/>
    <mergeCell ref="A2:G2"/>
    <mergeCell ref="A8:A12"/>
    <mergeCell ref="B8:D8"/>
    <mergeCell ref="E8:G8"/>
    <mergeCell ref="B9:D9"/>
    <mergeCell ref="B10:D10"/>
    <mergeCell ref="B5:C5"/>
    <mergeCell ref="E5:G5"/>
    <mergeCell ref="F6:G6"/>
    <mergeCell ref="C7:D7"/>
    <mergeCell ref="E7:G7"/>
    <mergeCell ref="B15:C15"/>
    <mergeCell ref="E15:G15"/>
    <mergeCell ref="E10:G10"/>
    <mergeCell ref="B11:D11"/>
    <mergeCell ref="B12:D12"/>
    <mergeCell ref="E12:G12"/>
    <mergeCell ref="B13:G13"/>
    <mergeCell ref="B14:G14"/>
  </mergeCells>
  <phoneticPr fontId="51" type="noConversion"/>
  <dataValidations count="3">
    <dataValidation type="list" allowBlank="1" showInputMessage="1" showErrorMessage="1" sqref="B7 IX7 ST7 ACP7 AML7 AWH7 BGD7 BPZ7 BZV7 CJR7 CTN7 DDJ7 DNF7 DXB7 EGX7 EQT7 FAP7 FKL7 FUH7 GED7 GNZ7 GXV7 HHR7 HRN7 IBJ7 ILF7 IVB7 JEX7 JOT7 JYP7 KIL7 KSH7 LCD7 LLZ7 LVV7 MFR7 MPN7 MZJ7 NJF7 NTB7 OCX7 OMT7 OWP7 PGL7 PQH7 QAD7 QJZ7 QTV7 RDR7 RNN7 RXJ7 SHF7 SRB7 TAX7 TKT7 TUP7 UEL7 UOH7 UYD7 VHZ7 VRV7 WBR7 WLN7 WVJ7 B65543 IX65543 ST65543 ACP65543 AML65543 AWH65543 BGD65543 BPZ65543 BZV65543 CJR65543 CTN65543 DDJ65543 DNF65543 DXB65543 EGX65543 EQT65543 FAP65543 FKL65543 FUH65543 GED65543 GNZ65543 GXV65543 HHR65543 HRN65543 IBJ65543 ILF65543 IVB65543 JEX65543 JOT65543 JYP65543 KIL65543 KSH65543 LCD65543 LLZ65543 LVV65543 MFR65543 MPN65543 MZJ65543 NJF65543 NTB65543 OCX65543 OMT65543 OWP65543 PGL65543 PQH65543 QAD65543 QJZ65543 QTV65543 RDR65543 RNN65543 RXJ65543 SHF65543 SRB65543 TAX65543 TKT65543 TUP65543 UEL65543 UOH65543 UYD65543 VHZ65543 VRV65543 WBR65543 WLN65543 WVJ65543 B131079 IX131079 ST131079 ACP131079 AML131079 AWH131079 BGD131079 BPZ131079 BZV131079 CJR131079 CTN131079 DDJ131079 DNF131079 DXB131079 EGX131079 EQT131079 FAP131079 FKL131079 FUH131079 GED131079 GNZ131079 GXV131079 HHR131079 HRN131079 IBJ131079 ILF131079 IVB131079 JEX131079 JOT131079 JYP131079 KIL131079 KSH131079 LCD131079 LLZ131079 LVV131079 MFR131079 MPN131079 MZJ131079 NJF131079 NTB131079 OCX131079 OMT131079 OWP131079 PGL131079 PQH131079 QAD131079 QJZ131079 QTV131079 RDR131079 RNN131079 RXJ131079 SHF131079 SRB131079 TAX131079 TKT131079 TUP131079 UEL131079 UOH131079 UYD131079 VHZ131079 VRV131079 WBR131079 WLN131079 WVJ131079 B196615 IX196615 ST196615 ACP196615 AML196615 AWH196615 BGD196615 BPZ196615 BZV196615 CJR196615 CTN196615 DDJ196615 DNF196615 DXB196615 EGX196615 EQT196615 FAP196615 FKL196615 FUH196615 GED196615 GNZ196615 GXV196615 HHR196615 HRN196615 IBJ196615 ILF196615 IVB196615 JEX196615 JOT196615 JYP196615 KIL196615 KSH196615 LCD196615 LLZ196615 LVV196615 MFR196615 MPN196615 MZJ196615 NJF196615 NTB196615 OCX196615 OMT196615 OWP196615 PGL196615 PQH196615 QAD196615 QJZ196615 QTV196615 RDR196615 RNN196615 RXJ196615 SHF196615 SRB196615 TAX196615 TKT196615 TUP196615 UEL196615 UOH196615 UYD196615 VHZ196615 VRV196615 WBR196615 WLN196615 WVJ196615 B262151 IX262151 ST262151 ACP262151 AML262151 AWH262151 BGD262151 BPZ262151 BZV262151 CJR262151 CTN262151 DDJ262151 DNF262151 DXB262151 EGX262151 EQT262151 FAP262151 FKL262151 FUH262151 GED262151 GNZ262151 GXV262151 HHR262151 HRN262151 IBJ262151 ILF262151 IVB262151 JEX262151 JOT262151 JYP262151 KIL262151 KSH262151 LCD262151 LLZ262151 LVV262151 MFR262151 MPN262151 MZJ262151 NJF262151 NTB262151 OCX262151 OMT262151 OWP262151 PGL262151 PQH262151 QAD262151 QJZ262151 QTV262151 RDR262151 RNN262151 RXJ262151 SHF262151 SRB262151 TAX262151 TKT262151 TUP262151 UEL262151 UOH262151 UYD262151 VHZ262151 VRV262151 WBR262151 WLN262151 WVJ262151 B327687 IX327687 ST327687 ACP327687 AML327687 AWH327687 BGD327687 BPZ327687 BZV327687 CJR327687 CTN327687 DDJ327687 DNF327687 DXB327687 EGX327687 EQT327687 FAP327687 FKL327687 FUH327687 GED327687 GNZ327687 GXV327687 HHR327687 HRN327687 IBJ327687 ILF327687 IVB327687 JEX327687 JOT327687 JYP327687 KIL327687 KSH327687 LCD327687 LLZ327687 LVV327687 MFR327687 MPN327687 MZJ327687 NJF327687 NTB327687 OCX327687 OMT327687 OWP327687 PGL327687 PQH327687 QAD327687 QJZ327687 QTV327687 RDR327687 RNN327687 RXJ327687 SHF327687 SRB327687 TAX327687 TKT327687 TUP327687 UEL327687 UOH327687 UYD327687 VHZ327687 VRV327687 WBR327687 WLN327687 WVJ327687 B393223 IX393223 ST393223 ACP393223 AML393223 AWH393223 BGD393223 BPZ393223 BZV393223 CJR393223 CTN393223 DDJ393223 DNF393223 DXB393223 EGX393223 EQT393223 FAP393223 FKL393223 FUH393223 GED393223 GNZ393223 GXV393223 HHR393223 HRN393223 IBJ393223 ILF393223 IVB393223 JEX393223 JOT393223 JYP393223 KIL393223 KSH393223 LCD393223 LLZ393223 LVV393223 MFR393223 MPN393223 MZJ393223 NJF393223 NTB393223 OCX393223 OMT393223 OWP393223 PGL393223 PQH393223 QAD393223 QJZ393223 QTV393223 RDR393223 RNN393223 RXJ393223 SHF393223 SRB393223 TAX393223 TKT393223 TUP393223 UEL393223 UOH393223 UYD393223 VHZ393223 VRV393223 WBR393223 WLN393223 WVJ393223 B458759 IX458759 ST458759 ACP458759 AML458759 AWH458759 BGD458759 BPZ458759 BZV458759 CJR458759 CTN458759 DDJ458759 DNF458759 DXB458759 EGX458759 EQT458759 FAP458759 FKL458759 FUH458759 GED458759 GNZ458759 GXV458759 HHR458759 HRN458759 IBJ458759 ILF458759 IVB458759 JEX458759 JOT458759 JYP458759 KIL458759 KSH458759 LCD458759 LLZ458759 LVV458759 MFR458759 MPN458759 MZJ458759 NJF458759 NTB458759 OCX458759 OMT458759 OWP458759 PGL458759 PQH458759 QAD458759 QJZ458759 QTV458759 RDR458759 RNN458759 RXJ458759 SHF458759 SRB458759 TAX458759 TKT458759 TUP458759 UEL458759 UOH458759 UYD458759 VHZ458759 VRV458759 WBR458759 WLN458759 WVJ458759 B524295 IX524295 ST524295 ACP524295 AML524295 AWH524295 BGD524295 BPZ524295 BZV524295 CJR524295 CTN524295 DDJ524295 DNF524295 DXB524295 EGX524295 EQT524295 FAP524295 FKL524295 FUH524295 GED524295 GNZ524295 GXV524295 HHR524295 HRN524295 IBJ524295 ILF524295 IVB524295 JEX524295 JOT524295 JYP524295 KIL524295 KSH524295 LCD524295 LLZ524295 LVV524295 MFR524295 MPN524295 MZJ524295 NJF524295 NTB524295 OCX524295 OMT524295 OWP524295 PGL524295 PQH524295 QAD524295 QJZ524295 QTV524295 RDR524295 RNN524295 RXJ524295 SHF524295 SRB524295 TAX524295 TKT524295 TUP524295 UEL524295 UOH524295 UYD524295 VHZ524295 VRV524295 WBR524295 WLN524295 WVJ524295 B589831 IX589831 ST589831 ACP589831 AML589831 AWH589831 BGD589831 BPZ589831 BZV589831 CJR589831 CTN589831 DDJ589831 DNF589831 DXB589831 EGX589831 EQT589831 FAP589831 FKL589831 FUH589831 GED589831 GNZ589831 GXV589831 HHR589831 HRN589831 IBJ589831 ILF589831 IVB589831 JEX589831 JOT589831 JYP589831 KIL589831 KSH589831 LCD589831 LLZ589831 LVV589831 MFR589831 MPN589831 MZJ589831 NJF589831 NTB589831 OCX589831 OMT589831 OWP589831 PGL589831 PQH589831 QAD589831 QJZ589831 QTV589831 RDR589831 RNN589831 RXJ589831 SHF589831 SRB589831 TAX589831 TKT589831 TUP589831 UEL589831 UOH589831 UYD589831 VHZ589831 VRV589831 WBR589831 WLN589831 WVJ589831 B655367 IX655367 ST655367 ACP655367 AML655367 AWH655367 BGD655367 BPZ655367 BZV655367 CJR655367 CTN655367 DDJ655367 DNF655367 DXB655367 EGX655367 EQT655367 FAP655367 FKL655367 FUH655367 GED655367 GNZ655367 GXV655367 HHR655367 HRN655367 IBJ655367 ILF655367 IVB655367 JEX655367 JOT655367 JYP655367 KIL655367 KSH655367 LCD655367 LLZ655367 LVV655367 MFR655367 MPN655367 MZJ655367 NJF655367 NTB655367 OCX655367 OMT655367 OWP655367 PGL655367 PQH655367 QAD655367 QJZ655367 QTV655367 RDR655367 RNN655367 RXJ655367 SHF655367 SRB655367 TAX655367 TKT655367 TUP655367 UEL655367 UOH655367 UYD655367 VHZ655367 VRV655367 WBR655367 WLN655367 WVJ655367 B720903 IX720903 ST720903 ACP720903 AML720903 AWH720903 BGD720903 BPZ720903 BZV720903 CJR720903 CTN720903 DDJ720903 DNF720903 DXB720903 EGX720903 EQT720903 FAP720903 FKL720903 FUH720903 GED720903 GNZ720903 GXV720903 HHR720903 HRN720903 IBJ720903 ILF720903 IVB720903 JEX720903 JOT720903 JYP720903 KIL720903 KSH720903 LCD720903 LLZ720903 LVV720903 MFR720903 MPN720903 MZJ720903 NJF720903 NTB720903 OCX720903 OMT720903 OWP720903 PGL720903 PQH720903 QAD720903 QJZ720903 QTV720903 RDR720903 RNN720903 RXJ720903 SHF720903 SRB720903 TAX720903 TKT720903 TUP720903 UEL720903 UOH720903 UYD720903 VHZ720903 VRV720903 WBR720903 WLN720903 WVJ720903 B786439 IX786439 ST786439 ACP786439 AML786439 AWH786439 BGD786439 BPZ786439 BZV786439 CJR786439 CTN786439 DDJ786439 DNF786439 DXB786439 EGX786439 EQT786439 FAP786439 FKL786439 FUH786439 GED786439 GNZ786439 GXV786439 HHR786439 HRN786439 IBJ786439 ILF786439 IVB786439 JEX786439 JOT786439 JYP786439 KIL786439 KSH786439 LCD786439 LLZ786439 LVV786439 MFR786439 MPN786439 MZJ786439 NJF786439 NTB786439 OCX786439 OMT786439 OWP786439 PGL786439 PQH786439 QAD786439 QJZ786439 QTV786439 RDR786439 RNN786439 RXJ786439 SHF786439 SRB786439 TAX786439 TKT786439 TUP786439 UEL786439 UOH786439 UYD786439 VHZ786439 VRV786439 WBR786439 WLN786439 WVJ786439 B851975 IX851975 ST851975 ACP851975 AML851975 AWH851975 BGD851975 BPZ851975 BZV851975 CJR851975 CTN851975 DDJ851975 DNF851975 DXB851975 EGX851975 EQT851975 FAP851975 FKL851975 FUH851975 GED851975 GNZ851975 GXV851975 HHR851975 HRN851975 IBJ851975 ILF851975 IVB851975 JEX851975 JOT851975 JYP851975 KIL851975 KSH851975 LCD851975 LLZ851975 LVV851975 MFR851975 MPN851975 MZJ851975 NJF851975 NTB851975 OCX851975 OMT851975 OWP851975 PGL851975 PQH851975 QAD851975 QJZ851975 QTV851975 RDR851975 RNN851975 RXJ851975 SHF851975 SRB851975 TAX851975 TKT851975 TUP851975 UEL851975 UOH851975 UYD851975 VHZ851975 VRV851975 WBR851975 WLN851975 WVJ851975 B917511 IX917511 ST917511 ACP917511 AML917511 AWH917511 BGD917511 BPZ917511 BZV917511 CJR917511 CTN917511 DDJ917511 DNF917511 DXB917511 EGX917511 EQT917511 FAP917511 FKL917511 FUH917511 GED917511 GNZ917511 GXV917511 HHR917511 HRN917511 IBJ917511 ILF917511 IVB917511 JEX917511 JOT917511 JYP917511 KIL917511 KSH917511 LCD917511 LLZ917511 LVV917511 MFR917511 MPN917511 MZJ917511 NJF917511 NTB917511 OCX917511 OMT917511 OWP917511 PGL917511 PQH917511 QAD917511 QJZ917511 QTV917511 RDR917511 RNN917511 RXJ917511 SHF917511 SRB917511 TAX917511 TKT917511 TUP917511 UEL917511 UOH917511 UYD917511 VHZ917511 VRV917511 WBR917511 WLN917511 WVJ917511 B983047 IX983047 ST983047 ACP983047 AML983047 AWH983047 BGD983047 BPZ983047 BZV983047 CJR983047 CTN983047 DDJ983047 DNF983047 DXB983047 EGX983047 EQT983047 FAP983047 FKL983047 FUH983047 GED983047 GNZ983047 GXV983047 HHR983047 HRN983047 IBJ983047 ILF983047 IVB983047 JEX983047 JOT983047 JYP983047 KIL983047 KSH983047 LCD983047 LLZ983047 LVV983047 MFR983047 MPN983047 MZJ983047 NJF983047 NTB983047 OCX983047 OMT983047 OWP983047 PGL983047 PQH983047 QAD983047 QJZ983047 QTV983047 RDR983047 RNN983047 RXJ983047 SHF983047 SRB983047 TAX983047 TKT983047 TUP983047 UEL983047 UOH983047 UYD983047 VHZ983047 VRV983047 WBR983047 WLN983047 WVJ983047">
      <formula1>"法律形式改变,债务重组,股权收购,资产收购,合并,分立"</formula1>
    </dataValidation>
    <dataValidation type="list" allowBlank="1" showInputMessage="1" showErrorMessage="1" sqref="E7 JA7 SW7 ACS7 AMO7 AWK7 BGG7 BQC7 BZY7 CJU7 CTQ7 DDM7 DNI7 DXE7 EHA7 EQW7 FAS7 FKO7 FUK7 GEG7 GOC7 GXY7 HHU7 HRQ7 IBM7 ILI7 IVE7 JFA7 JOW7 JYS7 KIO7 KSK7 LCG7 LMC7 LVY7 MFU7 MPQ7 MZM7 NJI7 NTE7 ODA7 OMW7 OWS7 PGO7 PQK7 QAG7 QKC7 QTY7 RDU7 RNQ7 RXM7 SHI7 SRE7 TBA7 TKW7 TUS7 UEO7 UOK7 UYG7 VIC7 VRY7 WBU7 WLQ7 WVM7 E65543 JA65543 SW65543 ACS65543 AMO65543 AWK65543 BGG65543 BQC65543 BZY65543 CJU65543 CTQ65543 DDM65543 DNI65543 DXE65543 EHA65543 EQW65543 FAS65543 FKO65543 FUK65543 GEG65543 GOC65543 GXY65543 HHU65543 HRQ65543 IBM65543 ILI65543 IVE65543 JFA65543 JOW65543 JYS65543 KIO65543 KSK65543 LCG65543 LMC65543 LVY65543 MFU65543 MPQ65543 MZM65543 NJI65543 NTE65543 ODA65543 OMW65543 OWS65543 PGO65543 PQK65543 QAG65543 QKC65543 QTY65543 RDU65543 RNQ65543 RXM65543 SHI65543 SRE65543 TBA65543 TKW65543 TUS65543 UEO65543 UOK65543 UYG65543 VIC65543 VRY65543 WBU65543 WLQ65543 WVM65543 E131079 JA131079 SW131079 ACS131079 AMO131079 AWK131079 BGG131079 BQC131079 BZY131079 CJU131079 CTQ131079 DDM131079 DNI131079 DXE131079 EHA131079 EQW131079 FAS131079 FKO131079 FUK131079 GEG131079 GOC131079 GXY131079 HHU131079 HRQ131079 IBM131079 ILI131079 IVE131079 JFA131079 JOW131079 JYS131079 KIO131079 KSK131079 LCG131079 LMC131079 LVY131079 MFU131079 MPQ131079 MZM131079 NJI131079 NTE131079 ODA131079 OMW131079 OWS131079 PGO131079 PQK131079 QAG131079 QKC131079 QTY131079 RDU131079 RNQ131079 RXM131079 SHI131079 SRE131079 TBA131079 TKW131079 TUS131079 UEO131079 UOK131079 UYG131079 VIC131079 VRY131079 WBU131079 WLQ131079 WVM131079 E196615 JA196615 SW196615 ACS196615 AMO196615 AWK196615 BGG196615 BQC196615 BZY196615 CJU196615 CTQ196615 DDM196615 DNI196615 DXE196615 EHA196615 EQW196615 FAS196615 FKO196615 FUK196615 GEG196615 GOC196615 GXY196615 HHU196615 HRQ196615 IBM196615 ILI196615 IVE196615 JFA196615 JOW196615 JYS196615 KIO196615 KSK196615 LCG196615 LMC196615 LVY196615 MFU196615 MPQ196615 MZM196615 NJI196615 NTE196615 ODA196615 OMW196615 OWS196615 PGO196615 PQK196615 QAG196615 QKC196615 QTY196615 RDU196615 RNQ196615 RXM196615 SHI196615 SRE196615 TBA196615 TKW196615 TUS196615 UEO196615 UOK196615 UYG196615 VIC196615 VRY196615 WBU196615 WLQ196615 WVM196615 E262151 JA262151 SW262151 ACS262151 AMO262151 AWK262151 BGG262151 BQC262151 BZY262151 CJU262151 CTQ262151 DDM262151 DNI262151 DXE262151 EHA262151 EQW262151 FAS262151 FKO262151 FUK262151 GEG262151 GOC262151 GXY262151 HHU262151 HRQ262151 IBM262151 ILI262151 IVE262151 JFA262151 JOW262151 JYS262151 KIO262151 KSK262151 LCG262151 LMC262151 LVY262151 MFU262151 MPQ262151 MZM262151 NJI262151 NTE262151 ODA262151 OMW262151 OWS262151 PGO262151 PQK262151 QAG262151 QKC262151 QTY262151 RDU262151 RNQ262151 RXM262151 SHI262151 SRE262151 TBA262151 TKW262151 TUS262151 UEO262151 UOK262151 UYG262151 VIC262151 VRY262151 WBU262151 WLQ262151 WVM262151 E327687 JA327687 SW327687 ACS327687 AMO327687 AWK327687 BGG327687 BQC327687 BZY327687 CJU327687 CTQ327687 DDM327687 DNI327687 DXE327687 EHA327687 EQW327687 FAS327687 FKO327687 FUK327687 GEG327687 GOC327687 GXY327687 HHU327687 HRQ327687 IBM327687 ILI327687 IVE327687 JFA327687 JOW327687 JYS327687 KIO327687 KSK327687 LCG327687 LMC327687 LVY327687 MFU327687 MPQ327687 MZM327687 NJI327687 NTE327687 ODA327687 OMW327687 OWS327687 PGO327687 PQK327687 QAG327687 QKC327687 QTY327687 RDU327687 RNQ327687 RXM327687 SHI327687 SRE327687 TBA327687 TKW327687 TUS327687 UEO327687 UOK327687 UYG327687 VIC327687 VRY327687 WBU327687 WLQ327687 WVM327687 E393223 JA393223 SW393223 ACS393223 AMO393223 AWK393223 BGG393223 BQC393223 BZY393223 CJU393223 CTQ393223 DDM393223 DNI393223 DXE393223 EHA393223 EQW393223 FAS393223 FKO393223 FUK393223 GEG393223 GOC393223 GXY393223 HHU393223 HRQ393223 IBM393223 ILI393223 IVE393223 JFA393223 JOW393223 JYS393223 KIO393223 KSK393223 LCG393223 LMC393223 LVY393223 MFU393223 MPQ393223 MZM393223 NJI393223 NTE393223 ODA393223 OMW393223 OWS393223 PGO393223 PQK393223 QAG393223 QKC393223 QTY393223 RDU393223 RNQ393223 RXM393223 SHI393223 SRE393223 TBA393223 TKW393223 TUS393223 UEO393223 UOK393223 UYG393223 VIC393223 VRY393223 WBU393223 WLQ393223 WVM393223 E458759 JA458759 SW458759 ACS458759 AMO458759 AWK458759 BGG458759 BQC458759 BZY458759 CJU458759 CTQ458759 DDM458759 DNI458759 DXE458759 EHA458759 EQW458759 FAS458759 FKO458759 FUK458759 GEG458759 GOC458759 GXY458759 HHU458759 HRQ458759 IBM458759 ILI458759 IVE458759 JFA458759 JOW458759 JYS458759 KIO458759 KSK458759 LCG458759 LMC458759 LVY458759 MFU458759 MPQ458759 MZM458759 NJI458759 NTE458759 ODA458759 OMW458759 OWS458759 PGO458759 PQK458759 QAG458759 QKC458759 QTY458759 RDU458759 RNQ458759 RXM458759 SHI458759 SRE458759 TBA458759 TKW458759 TUS458759 UEO458759 UOK458759 UYG458759 VIC458759 VRY458759 WBU458759 WLQ458759 WVM458759 E524295 JA524295 SW524295 ACS524295 AMO524295 AWK524295 BGG524295 BQC524295 BZY524295 CJU524295 CTQ524295 DDM524295 DNI524295 DXE524295 EHA524295 EQW524295 FAS524295 FKO524295 FUK524295 GEG524295 GOC524295 GXY524295 HHU524295 HRQ524295 IBM524295 ILI524295 IVE524295 JFA524295 JOW524295 JYS524295 KIO524295 KSK524295 LCG524295 LMC524295 LVY524295 MFU524295 MPQ524295 MZM524295 NJI524295 NTE524295 ODA524295 OMW524295 OWS524295 PGO524295 PQK524295 QAG524295 QKC524295 QTY524295 RDU524295 RNQ524295 RXM524295 SHI524295 SRE524295 TBA524295 TKW524295 TUS524295 UEO524295 UOK524295 UYG524295 VIC524295 VRY524295 WBU524295 WLQ524295 WVM524295 E589831 JA589831 SW589831 ACS589831 AMO589831 AWK589831 BGG589831 BQC589831 BZY589831 CJU589831 CTQ589831 DDM589831 DNI589831 DXE589831 EHA589831 EQW589831 FAS589831 FKO589831 FUK589831 GEG589831 GOC589831 GXY589831 HHU589831 HRQ589831 IBM589831 ILI589831 IVE589831 JFA589831 JOW589831 JYS589831 KIO589831 KSK589831 LCG589831 LMC589831 LVY589831 MFU589831 MPQ589831 MZM589831 NJI589831 NTE589831 ODA589831 OMW589831 OWS589831 PGO589831 PQK589831 QAG589831 QKC589831 QTY589831 RDU589831 RNQ589831 RXM589831 SHI589831 SRE589831 TBA589831 TKW589831 TUS589831 UEO589831 UOK589831 UYG589831 VIC589831 VRY589831 WBU589831 WLQ589831 WVM589831 E655367 JA655367 SW655367 ACS655367 AMO655367 AWK655367 BGG655367 BQC655367 BZY655367 CJU655367 CTQ655367 DDM655367 DNI655367 DXE655367 EHA655367 EQW655367 FAS655367 FKO655367 FUK655367 GEG655367 GOC655367 GXY655367 HHU655367 HRQ655367 IBM655367 ILI655367 IVE655367 JFA655367 JOW655367 JYS655367 KIO655367 KSK655367 LCG655367 LMC655367 LVY655367 MFU655367 MPQ655367 MZM655367 NJI655367 NTE655367 ODA655367 OMW655367 OWS655367 PGO655367 PQK655367 QAG655367 QKC655367 QTY655367 RDU655367 RNQ655367 RXM655367 SHI655367 SRE655367 TBA655367 TKW655367 TUS655367 UEO655367 UOK655367 UYG655367 VIC655367 VRY655367 WBU655367 WLQ655367 WVM655367 E720903 JA720903 SW720903 ACS720903 AMO720903 AWK720903 BGG720903 BQC720903 BZY720903 CJU720903 CTQ720903 DDM720903 DNI720903 DXE720903 EHA720903 EQW720903 FAS720903 FKO720903 FUK720903 GEG720903 GOC720903 GXY720903 HHU720903 HRQ720903 IBM720903 ILI720903 IVE720903 JFA720903 JOW720903 JYS720903 KIO720903 KSK720903 LCG720903 LMC720903 LVY720903 MFU720903 MPQ720903 MZM720903 NJI720903 NTE720903 ODA720903 OMW720903 OWS720903 PGO720903 PQK720903 QAG720903 QKC720903 QTY720903 RDU720903 RNQ720903 RXM720903 SHI720903 SRE720903 TBA720903 TKW720903 TUS720903 UEO720903 UOK720903 UYG720903 VIC720903 VRY720903 WBU720903 WLQ720903 WVM720903 E786439 JA786439 SW786439 ACS786439 AMO786439 AWK786439 BGG786439 BQC786439 BZY786439 CJU786439 CTQ786439 DDM786439 DNI786439 DXE786439 EHA786439 EQW786439 FAS786439 FKO786439 FUK786439 GEG786439 GOC786439 GXY786439 HHU786439 HRQ786439 IBM786439 ILI786439 IVE786439 JFA786439 JOW786439 JYS786439 KIO786439 KSK786439 LCG786439 LMC786439 LVY786439 MFU786439 MPQ786439 MZM786439 NJI786439 NTE786439 ODA786439 OMW786439 OWS786439 PGO786439 PQK786439 QAG786439 QKC786439 QTY786439 RDU786439 RNQ786439 RXM786439 SHI786439 SRE786439 TBA786439 TKW786439 TUS786439 UEO786439 UOK786439 UYG786439 VIC786439 VRY786439 WBU786439 WLQ786439 WVM786439 E851975 JA851975 SW851975 ACS851975 AMO851975 AWK851975 BGG851975 BQC851975 BZY851975 CJU851975 CTQ851975 DDM851975 DNI851975 DXE851975 EHA851975 EQW851975 FAS851975 FKO851975 FUK851975 GEG851975 GOC851975 GXY851975 HHU851975 HRQ851975 IBM851975 ILI851975 IVE851975 JFA851975 JOW851975 JYS851975 KIO851975 KSK851975 LCG851975 LMC851975 LVY851975 MFU851975 MPQ851975 MZM851975 NJI851975 NTE851975 ODA851975 OMW851975 OWS851975 PGO851975 PQK851975 QAG851975 QKC851975 QTY851975 RDU851975 RNQ851975 RXM851975 SHI851975 SRE851975 TBA851975 TKW851975 TUS851975 UEO851975 UOK851975 UYG851975 VIC851975 VRY851975 WBU851975 WLQ851975 WVM851975 E917511 JA917511 SW917511 ACS917511 AMO917511 AWK917511 BGG917511 BQC917511 BZY917511 CJU917511 CTQ917511 DDM917511 DNI917511 DXE917511 EHA917511 EQW917511 FAS917511 FKO917511 FUK917511 GEG917511 GOC917511 GXY917511 HHU917511 HRQ917511 IBM917511 ILI917511 IVE917511 JFA917511 JOW917511 JYS917511 KIO917511 KSK917511 LCG917511 LMC917511 LVY917511 MFU917511 MPQ917511 MZM917511 NJI917511 NTE917511 ODA917511 OMW917511 OWS917511 PGO917511 PQK917511 QAG917511 QKC917511 QTY917511 RDU917511 RNQ917511 RXM917511 SHI917511 SRE917511 TBA917511 TKW917511 TUS917511 UEO917511 UOK917511 UYG917511 VIC917511 VRY917511 WBU917511 WLQ917511 WVM917511 E983047 JA983047 SW983047 ACS983047 AMO983047 AWK983047 BGG983047 BQC983047 BZY983047 CJU983047 CTQ983047 DDM983047 DNI983047 DXE983047 EHA983047 EQW983047 FAS983047 FKO983047 FUK983047 GEG983047 GOC983047 GXY983047 HHU983047 HRQ983047 IBM983047 ILI983047 IVE983047 JFA983047 JOW983047 JYS983047 KIO983047 KSK983047 LCG983047 LMC983047 LVY983047 MFU983047 MPQ983047 MZM983047 NJI983047 NTE983047 ODA983047 OMW983047 OWS983047 PGO983047 PQK983047 QAG983047 QKC983047 QTY983047 RDU983047 RNQ983047 RXM983047 SHI983047 SRE983047 TBA983047 TKW983047 TUS983047 UEO983047 UOK983047 UYG983047 VIC983047 VRY983047 WBU983047 WLQ983047 WVM983047">
      <formula1>"债务人,债权人,收购方,转让方,被收购企业,合并企业,被合并企业,被合并企业股东,分立企业,被分立企业,被分立企业股东"</formula1>
    </dataValidation>
    <dataValidation type="list" allowBlank="1" showInputMessage="1" showErrorMessage="1" sqref="E8:E12 JA8:JA12 SW8:SW12 ACS8:ACS12 AMO8:AMO12 AWK8:AWK12 BGG8:BGG12 BQC8:BQC12 BZY8:BZY12 CJU8:CJU12 CTQ8:CTQ12 DDM8:DDM12 DNI8:DNI12 DXE8:DXE12 EHA8:EHA12 EQW8:EQW12 FAS8:FAS12 FKO8:FKO12 FUK8:FUK12 GEG8:GEG12 GOC8:GOC12 GXY8:GXY12 HHU8:HHU12 HRQ8:HRQ12 IBM8:IBM12 ILI8:ILI12 IVE8:IVE12 JFA8:JFA12 JOW8:JOW12 JYS8:JYS12 KIO8:KIO12 KSK8:KSK12 LCG8:LCG12 LMC8:LMC12 LVY8:LVY12 MFU8:MFU12 MPQ8:MPQ12 MZM8:MZM12 NJI8:NJI12 NTE8:NTE12 ODA8:ODA12 OMW8:OMW12 OWS8:OWS12 PGO8:PGO12 PQK8:PQK12 QAG8:QAG12 QKC8:QKC12 QTY8:QTY12 RDU8:RDU12 RNQ8:RNQ12 RXM8:RXM12 SHI8:SHI12 SRE8:SRE12 TBA8:TBA12 TKW8:TKW12 TUS8:TUS12 UEO8:UEO12 UOK8:UOK12 UYG8:UYG12 VIC8:VIC12 VRY8:VRY12 WBU8:WBU12 WLQ8:WLQ12 WVM8:WVM12 E65544:E65548 JA65544:JA65548 SW65544:SW65548 ACS65544:ACS65548 AMO65544:AMO65548 AWK65544:AWK65548 BGG65544:BGG65548 BQC65544:BQC65548 BZY65544:BZY65548 CJU65544:CJU65548 CTQ65544:CTQ65548 DDM65544:DDM65548 DNI65544:DNI65548 DXE65544:DXE65548 EHA65544:EHA65548 EQW65544:EQW65548 FAS65544:FAS65548 FKO65544:FKO65548 FUK65544:FUK65548 GEG65544:GEG65548 GOC65544:GOC65548 GXY65544:GXY65548 HHU65544:HHU65548 HRQ65544:HRQ65548 IBM65544:IBM65548 ILI65544:ILI65548 IVE65544:IVE65548 JFA65544:JFA65548 JOW65544:JOW65548 JYS65544:JYS65548 KIO65544:KIO65548 KSK65544:KSK65548 LCG65544:LCG65548 LMC65544:LMC65548 LVY65544:LVY65548 MFU65544:MFU65548 MPQ65544:MPQ65548 MZM65544:MZM65548 NJI65544:NJI65548 NTE65544:NTE65548 ODA65544:ODA65548 OMW65544:OMW65548 OWS65544:OWS65548 PGO65544:PGO65548 PQK65544:PQK65548 QAG65544:QAG65548 QKC65544:QKC65548 QTY65544:QTY65548 RDU65544:RDU65548 RNQ65544:RNQ65548 RXM65544:RXM65548 SHI65544:SHI65548 SRE65544:SRE65548 TBA65544:TBA65548 TKW65544:TKW65548 TUS65544:TUS65548 UEO65544:UEO65548 UOK65544:UOK65548 UYG65544:UYG65548 VIC65544:VIC65548 VRY65544:VRY65548 WBU65544:WBU65548 WLQ65544:WLQ65548 WVM65544:WVM65548 E131080:E131084 JA131080:JA131084 SW131080:SW131084 ACS131080:ACS131084 AMO131080:AMO131084 AWK131080:AWK131084 BGG131080:BGG131084 BQC131080:BQC131084 BZY131080:BZY131084 CJU131080:CJU131084 CTQ131080:CTQ131084 DDM131080:DDM131084 DNI131080:DNI131084 DXE131080:DXE131084 EHA131080:EHA131084 EQW131080:EQW131084 FAS131080:FAS131084 FKO131080:FKO131084 FUK131080:FUK131084 GEG131080:GEG131084 GOC131080:GOC131084 GXY131080:GXY131084 HHU131080:HHU131084 HRQ131080:HRQ131084 IBM131080:IBM131084 ILI131080:ILI131084 IVE131080:IVE131084 JFA131080:JFA131084 JOW131080:JOW131084 JYS131080:JYS131084 KIO131080:KIO131084 KSK131080:KSK131084 LCG131080:LCG131084 LMC131080:LMC131084 LVY131080:LVY131084 MFU131080:MFU131084 MPQ131080:MPQ131084 MZM131080:MZM131084 NJI131080:NJI131084 NTE131080:NTE131084 ODA131080:ODA131084 OMW131080:OMW131084 OWS131080:OWS131084 PGO131080:PGO131084 PQK131080:PQK131084 QAG131080:QAG131084 QKC131080:QKC131084 QTY131080:QTY131084 RDU131080:RDU131084 RNQ131080:RNQ131084 RXM131080:RXM131084 SHI131080:SHI131084 SRE131080:SRE131084 TBA131080:TBA131084 TKW131080:TKW131084 TUS131080:TUS131084 UEO131080:UEO131084 UOK131080:UOK131084 UYG131080:UYG131084 VIC131080:VIC131084 VRY131080:VRY131084 WBU131080:WBU131084 WLQ131080:WLQ131084 WVM131080:WVM131084 E196616:E196620 JA196616:JA196620 SW196616:SW196620 ACS196616:ACS196620 AMO196616:AMO196620 AWK196616:AWK196620 BGG196616:BGG196620 BQC196616:BQC196620 BZY196616:BZY196620 CJU196616:CJU196620 CTQ196616:CTQ196620 DDM196616:DDM196620 DNI196616:DNI196620 DXE196616:DXE196620 EHA196616:EHA196620 EQW196616:EQW196620 FAS196616:FAS196620 FKO196616:FKO196620 FUK196616:FUK196620 GEG196616:GEG196620 GOC196616:GOC196620 GXY196616:GXY196620 HHU196616:HHU196620 HRQ196616:HRQ196620 IBM196616:IBM196620 ILI196616:ILI196620 IVE196616:IVE196620 JFA196616:JFA196620 JOW196616:JOW196620 JYS196616:JYS196620 KIO196616:KIO196620 KSK196616:KSK196620 LCG196616:LCG196620 LMC196616:LMC196620 LVY196616:LVY196620 MFU196616:MFU196620 MPQ196616:MPQ196620 MZM196616:MZM196620 NJI196616:NJI196620 NTE196616:NTE196620 ODA196616:ODA196620 OMW196616:OMW196620 OWS196616:OWS196620 PGO196616:PGO196620 PQK196616:PQK196620 QAG196616:QAG196620 QKC196616:QKC196620 QTY196616:QTY196620 RDU196616:RDU196620 RNQ196616:RNQ196620 RXM196616:RXM196620 SHI196616:SHI196620 SRE196616:SRE196620 TBA196616:TBA196620 TKW196616:TKW196620 TUS196616:TUS196620 UEO196616:UEO196620 UOK196616:UOK196620 UYG196616:UYG196620 VIC196616:VIC196620 VRY196616:VRY196620 WBU196616:WBU196620 WLQ196616:WLQ196620 WVM196616:WVM196620 E262152:E262156 JA262152:JA262156 SW262152:SW262156 ACS262152:ACS262156 AMO262152:AMO262156 AWK262152:AWK262156 BGG262152:BGG262156 BQC262152:BQC262156 BZY262152:BZY262156 CJU262152:CJU262156 CTQ262152:CTQ262156 DDM262152:DDM262156 DNI262152:DNI262156 DXE262152:DXE262156 EHA262152:EHA262156 EQW262152:EQW262156 FAS262152:FAS262156 FKO262152:FKO262156 FUK262152:FUK262156 GEG262152:GEG262156 GOC262152:GOC262156 GXY262152:GXY262156 HHU262152:HHU262156 HRQ262152:HRQ262156 IBM262152:IBM262156 ILI262152:ILI262156 IVE262152:IVE262156 JFA262152:JFA262156 JOW262152:JOW262156 JYS262152:JYS262156 KIO262152:KIO262156 KSK262152:KSK262156 LCG262152:LCG262156 LMC262152:LMC262156 LVY262152:LVY262156 MFU262152:MFU262156 MPQ262152:MPQ262156 MZM262152:MZM262156 NJI262152:NJI262156 NTE262152:NTE262156 ODA262152:ODA262156 OMW262152:OMW262156 OWS262152:OWS262156 PGO262152:PGO262156 PQK262152:PQK262156 QAG262152:QAG262156 QKC262152:QKC262156 QTY262152:QTY262156 RDU262152:RDU262156 RNQ262152:RNQ262156 RXM262152:RXM262156 SHI262152:SHI262156 SRE262152:SRE262156 TBA262152:TBA262156 TKW262152:TKW262156 TUS262152:TUS262156 UEO262152:UEO262156 UOK262152:UOK262156 UYG262152:UYG262156 VIC262152:VIC262156 VRY262152:VRY262156 WBU262152:WBU262156 WLQ262152:WLQ262156 WVM262152:WVM262156 E327688:E327692 JA327688:JA327692 SW327688:SW327692 ACS327688:ACS327692 AMO327688:AMO327692 AWK327688:AWK327692 BGG327688:BGG327692 BQC327688:BQC327692 BZY327688:BZY327692 CJU327688:CJU327692 CTQ327688:CTQ327692 DDM327688:DDM327692 DNI327688:DNI327692 DXE327688:DXE327692 EHA327688:EHA327692 EQW327688:EQW327692 FAS327688:FAS327692 FKO327688:FKO327692 FUK327688:FUK327692 GEG327688:GEG327692 GOC327688:GOC327692 GXY327688:GXY327692 HHU327688:HHU327692 HRQ327688:HRQ327692 IBM327688:IBM327692 ILI327688:ILI327692 IVE327688:IVE327692 JFA327688:JFA327692 JOW327688:JOW327692 JYS327688:JYS327692 KIO327688:KIO327692 KSK327688:KSK327692 LCG327688:LCG327692 LMC327688:LMC327692 LVY327688:LVY327692 MFU327688:MFU327692 MPQ327688:MPQ327692 MZM327688:MZM327692 NJI327688:NJI327692 NTE327688:NTE327692 ODA327688:ODA327692 OMW327688:OMW327692 OWS327688:OWS327692 PGO327688:PGO327692 PQK327688:PQK327692 QAG327688:QAG327692 QKC327688:QKC327692 QTY327688:QTY327692 RDU327688:RDU327692 RNQ327688:RNQ327692 RXM327688:RXM327692 SHI327688:SHI327692 SRE327688:SRE327692 TBA327688:TBA327692 TKW327688:TKW327692 TUS327688:TUS327692 UEO327688:UEO327692 UOK327688:UOK327692 UYG327688:UYG327692 VIC327688:VIC327692 VRY327688:VRY327692 WBU327688:WBU327692 WLQ327688:WLQ327692 WVM327688:WVM327692 E393224:E393228 JA393224:JA393228 SW393224:SW393228 ACS393224:ACS393228 AMO393224:AMO393228 AWK393224:AWK393228 BGG393224:BGG393228 BQC393224:BQC393228 BZY393224:BZY393228 CJU393224:CJU393228 CTQ393224:CTQ393228 DDM393224:DDM393228 DNI393224:DNI393228 DXE393224:DXE393228 EHA393224:EHA393228 EQW393224:EQW393228 FAS393224:FAS393228 FKO393224:FKO393228 FUK393224:FUK393228 GEG393224:GEG393228 GOC393224:GOC393228 GXY393224:GXY393228 HHU393224:HHU393228 HRQ393224:HRQ393228 IBM393224:IBM393228 ILI393224:ILI393228 IVE393224:IVE393228 JFA393224:JFA393228 JOW393224:JOW393228 JYS393224:JYS393228 KIO393224:KIO393228 KSK393224:KSK393228 LCG393224:LCG393228 LMC393224:LMC393228 LVY393224:LVY393228 MFU393224:MFU393228 MPQ393224:MPQ393228 MZM393224:MZM393228 NJI393224:NJI393228 NTE393224:NTE393228 ODA393224:ODA393228 OMW393224:OMW393228 OWS393224:OWS393228 PGO393224:PGO393228 PQK393224:PQK393228 QAG393224:QAG393228 QKC393224:QKC393228 QTY393224:QTY393228 RDU393224:RDU393228 RNQ393224:RNQ393228 RXM393224:RXM393228 SHI393224:SHI393228 SRE393224:SRE393228 TBA393224:TBA393228 TKW393224:TKW393228 TUS393224:TUS393228 UEO393224:UEO393228 UOK393224:UOK393228 UYG393224:UYG393228 VIC393224:VIC393228 VRY393224:VRY393228 WBU393224:WBU393228 WLQ393224:WLQ393228 WVM393224:WVM393228 E458760:E458764 JA458760:JA458764 SW458760:SW458764 ACS458760:ACS458764 AMO458760:AMO458764 AWK458760:AWK458764 BGG458760:BGG458764 BQC458760:BQC458764 BZY458760:BZY458764 CJU458760:CJU458764 CTQ458760:CTQ458764 DDM458760:DDM458764 DNI458760:DNI458764 DXE458760:DXE458764 EHA458760:EHA458764 EQW458760:EQW458764 FAS458760:FAS458764 FKO458760:FKO458764 FUK458760:FUK458764 GEG458760:GEG458764 GOC458760:GOC458764 GXY458760:GXY458764 HHU458760:HHU458764 HRQ458760:HRQ458764 IBM458760:IBM458764 ILI458760:ILI458764 IVE458760:IVE458764 JFA458760:JFA458764 JOW458760:JOW458764 JYS458760:JYS458764 KIO458760:KIO458764 KSK458760:KSK458764 LCG458760:LCG458764 LMC458760:LMC458764 LVY458760:LVY458764 MFU458760:MFU458764 MPQ458760:MPQ458764 MZM458760:MZM458764 NJI458760:NJI458764 NTE458760:NTE458764 ODA458760:ODA458764 OMW458760:OMW458764 OWS458760:OWS458764 PGO458760:PGO458764 PQK458760:PQK458764 QAG458760:QAG458764 QKC458760:QKC458764 QTY458760:QTY458764 RDU458760:RDU458764 RNQ458760:RNQ458764 RXM458760:RXM458764 SHI458760:SHI458764 SRE458760:SRE458764 TBA458760:TBA458764 TKW458760:TKW458764 TUS458760:TUS458764 UEO458760:UEO458764 UOK458760:UOK458764 UYG458760:UYG458764 VIC458760:VIC458764 VRY458760:VRY458764 WBU458760:WBU458764 WLQ458760:WLQ458764 WVM458760:WVM458764 E524296:E524300 JA524296:JA524300 SW524296:SW524300 ACS524296:ACS524300 AMO524296:AMO524300 AWK524296:AWK524300 BGG524296:BGG524300 BQC524296:BQC524300 BZY524296:BZY524300 CJU524296:CJU524300 CTQ524296:CTQ524300 DDM524296:DDM524300 DNI524296:DNI524300 DXE524296:DXE524300 EHA524296:EHA524300 EQW524296:EQW524300 FAS524296:FAS524300 FKO524296:FKO524300 FUK524296:FUK524300 GEG524296:GEG524300 GOC524296:GOC524300 GXY524296:GXY524300 HHU524296:HHU524300 HRQ524296:HRQ524300 IBM524296:IBM524300 ILI524296:ILI524300 IVE524296:IVE524300 JFA524296:JFA524300 JOW524296:JOW524300 JYS524296:JYS524300 KIO524296:KIO524300 KSK524296:KSK524300 LCG524296:LCG524300 LMC524296:LMC524300 LVY524296:LVY524300 MFU524296:MFU524300 MPQ524296:MPQ524300 MZM524296:MZM524300 NJI524296:NJI524300 NTE524296:NTE524300 ODA524296:ODA524300 OMW524296:OMW524300 OWS524296:OWS524300 PGO524296:PGO524300 PQK524296:PQK524300 QAG524296:QAG524300 QKC524296:QKC524300 QTY524296:QTY524300 RDU524296:RDU524300 RNQ524296:RNQ524300 RXM524296:RXM524300 SHI524296:SHI524300 SRE524296:SRE524300 TBA524296:TBA524300 TKW524296:TKW524300 TUS524296:TUS524300 UEO524296:UEO524300 UOK524296:UOK524300 UYG524296:UYG524300 VIC524296:VIC524300 VRY524296:VRY524300 WBU524296:WBU524300 WLQ524296:WLQ524300 WVM524296:WVM524300 E589832:E589836 JA589832:JA589836 SW589832:SW589836 ACS589832:ACS589836 AMO589832:AMO589836 AWK589832:AWK589836 BGG589832:BGG589836 BQC589832:BQC589836 BZY589832:BZY589836 CJU589832:CJU589836 CTQ589832:CTQ589836 DDM589832:DDM589836 DNI589832:DNI589836 DXE589832:DXE589836 EHA589832:EHA589836 EQW589832:EQW589836 FAS589832:FAS589836 FKO589832:FKO589836 FUK589832:FUK589836 GEG589832:GEG589836 GOC589832:GOC589836 GXY589832:GXY589836 HHU589832:HHU589836 HRQ589832:HRQ589836 IBM589832:IBM589836 ILI589832:ILI589836 IVE589832:IVE589836 JFA589832:JFA589836 JOW589832:JOW589836 JYS589832:JYS589836 KIO589832:KIO589836 KSK589832:KSK589836 LCG589832:LCG589836 LMC589832:LMC589836 LVY589832:LVY589836 MFU589832:MFU589836 MPQ589832:MPQ589836 MZM589832:MZM589836 NJI589832:NJI589836 NTE589832:NTE589836 ODA589832:ODA589836 OMW589832:OMW589836 OWS589832:OWS589836 PGO589832:PGO589836 PQK589832:PQK589836 QAG589832:QAG589836 QKC589832:QKC589836 QTY589832:QTY589836 RDU589832:RDU589836 RNQ589832:RNQ589836 RXM589832:RXM589836 SHI589832:SHI589836 SRE589832:SRE589836 TBA589832:TBA589836 TKW589832:TKW589836 TUS589832:TUS589836 UEO589832:UEO589836 UOK589832:UOK589836 UYG589832:UYG589836 VIC589832:VIC589836 VRY589832:VRY589836 WBU589832:WBU589836 WLQ589832:WLQ589836 WVM589832:WVM589836 E655368:E655372 JA655368:JA655372 SW655368:SW655372 ACS655368:ACS655372 AMO655368:AMO655372 AWK655368:AWK655372 BGG655368:BGG655372 BQC655368:BQC655372 BZY655368:BZY655372 CJU655368:CJU655372 CTQ655368:CTQ655372 DDM655368:DDM655372 DNI655368:DNI655372 DXE655368:DXE655372 EHA655368:EHA655372 EQW655368:EQW655372 FAS655368:FAS655372 FKO655368:FKO655372 FUK655368:FUK655372 GEG655368:GEG655372 GOC655368:GOC655372 GXY655368:GXY655372 HHU655368:HHU655372 HRQ655368:HRQ655372 IBM655368:IBM655372 ILI655368:ILI655372 IVE655368:IVE655372 JFA655368:JFA655372 JOW655368:JOW655372 JYS655368:JYS655372 KIO655368:KIO655372 KSK655368:KSK655372 LCG655368:LCG655372 LMC655368:LMC655372 LVY655368:LVY655372 MFU655368:MFU655372 MPQ655368:MPQ655372 MZM655368:MZM655372 NJI655368:NJI655372 NTE655368:NTE655372 ODA655368:ODA655372 OMW655368:OMW655372 OWS655368:OWS655372 PGO655368:PGO655372 PQK655368:PQK655372 QAG655368:QAG655372 QKC655368:QKC655372 QTY655368:QTY655372 RDU655368:RDU655372 RNQ655368:RNQ655372 RXM655368:RXM655372 SHI655368:SHI655372 SRE655368:SRE655372 TBA655368:TBA655372 TKW655368:TKW655372 TUS655368:TUS655372 UEO655368:UEO655372 UOK655368:UOK655372 UYG655368:UYG655372 VIC655368:VIC655372 VRY655368:VRY655372 WBU655368:WBU655372 WLQ655368:WLQ655372 WVM655368:WVM655372 E720904:E720908 JA720904:JA720908 SW720904:SW720908 ACS720904:ACS720908 AMO720904:AMO720908 AWK720904:AWK720908 BGG720904:BGG720908 BQC720904:BQC720908 BZY720904:BZY720908 CJU720904:CJU720908 CTQ720904:CTQ720908 DDM720904:DDM720908 DNI720904:DNI720908 DXE720904:DXE720908 EHA720904:EHA720908 EQW720904:EQW720908 FAS720904:FAS720908 FKO720904:FKO720908 FUK720904:FUK720908 GEG720904:GEG720908 GOC720904:GOC720908 GXY720904:GXY720908 HHU720904:HHU720908 HRQ720904:HRQ720908 IBM720904:IBM720908 ILI720904:ILI720908 IVE720904:IVE720908 JFA720904:JFA720908 JOW720904:JOW720908 JYS720904:JYS720908 KIO720904:KIO720908 KSK720904:KSK720908 LCG720904:LCG720908 LMC720904:LMC720908 LVY720904:LVY720908 MFU720904:MFU720908 MPQ720904:MPQ720908 MZM720904:MZM720908 NJI720904:NJI720908 NTE720904:NTE720908 ODA720904:ODA720908 OMW720904:OMW720908 OWS720904:OWS720908 PGO720904:PGO720908 PQK720904:PQK720908 QAG720904:QAG720908 QKC720904:QKC720908 QTY720904:QTY720908 RDU720904:RDU720908 RNQ720904:RNQ720908 RXM720904:RXM720908 SHI720904:SHI720908 SRE720904:SRE720908 TBA720904:TBA720908 TKW720904:TKW720908 TUS720904:TUS720908 UEO720904:UEO720908 UOK720904:UOK720908 UYG720904:UYG720908 VIC720904:VIC720908 VRY720904:VRY720908 WBU720904:WBU720908 WLQ720904:WLQ720908 WVM720904:WVM720908 E786440:E786444 JA786440:JA786444 SW786440:SW786444 ACS786440:ACS786444 AMO786440:AMO786444 AWK786440:AWK786444 BGG786440:BGG786444 BQC786440:BQC786444 BZY786440:BZY786444 CJU786440:CJU786444 CTQ786440:CTQ786444 DDM786440:DDM786444 DNI786440:DNI786444 DXE786440:DXE786444 EHA786440:EHA786444 EQW786440:EQW786444 FAS786440:FAS786444 FKO786440:FKO786444 FUK786440:FUK786444 GEG786440:GEG786444 GOC786440:GOC786444 GXY786440:GXY786444 HHU786440:HHU786444 HRQ786440:HRQ786444 IBM786440:IBM786444 ILI786440:ILI786444 IVE786440:IVE786444 JFA786440:JFA786444 JOW786440:JOW786444 JYS786440:JYS786444 KIO786440:KIO786444 KSK786440:KSK786444 LCG786440:LCG786444 LMC786440:LMC786444 LVY786440:LVY786444 MFU786440:MFU786444 MPQ786440:MPQ786444 MZM786440:MZM786444 NJI786440:NJI786444 NTE786440:NTE786444 ODA786440:ODA786444 OMW786440:OMW786444 OWS786440:OWS786444 PGO786440:PGO786444 PQK786440:PQK786444 QAG786440:QAG786444 QKC786440:QKC786444 QTY786440:QTY786444 RDU786440:RDU786444 RNQ786440:RNQ786444 RXM786440:RXM786444 SHI786440:SHI786444 SRE786440:SRE786444 TBA786440:TBA786444 TKW786440:TKW786444 TUS786440:TUS786444 UEO786440:UEO786444 UOK786440:UOK786444 UYG786440:UYG786444 VIC786440:VIC786444 VRY786440:VRY786444 WBU786440:WBU786444 WLQ786440:WLQ786444 WVM786440:WVM786444 E851976:E851980 JA851976:JA851980 SW851976:SW851980 ACS851976:ACS851980 AMO851976:AMO851980 AWK851976:AWK851980 BGG851976:BGG851980 BQC851976:BQC851980 BZY851976:BZY851980 CJU851976:CJU851980 CTQ851976:CTQ851980 DDM851976:DDM851980 DNI851976:DNI851980 DXE851976:DXE851980 EHA851976:EHA851980 EQW851976:EQW851980 FAS851976:FAS851980 FKO851976:FKO851980 FUK851976:FUK851980 GEG851976:GEG851980 GOC851976:GOC851980 GXY851976:GXY851980 HHU851976:HHU851980 HRQ851976:HRQ851980 IBM851976:IBM851980 ILI851976:ILI851980 IVE851976:IVE851980 JFA851976:JFA851980 JOW851976:JOW851980 JYS851976:JYS851980 KIO851976:KIO851980 KSK851976:KSK851980 LCG851976:LCG851980 LMC851976:LMC851980 LVY851976:LVY851980 MFU851976:MFU851980 MPQ851976:MPQ851980 MZM851976:MZM851980 NJI851976:NJI851980 NTE851976:NTE851980 ODA851976:ODA851980 OMW851976:OMW851980 OWS851976:OWS851980 PGO851976:PGO851980 PQK851976:PQK851980 QAG851976:QAG851980 QKC851976:QKC851980 QTY851976:QTY851980 RDU851976:RDU851980 RNQ851976:RNQ851980 RXM851976:RXM851980 SHI851976:SHI851980 SRE851976:SRE851980 TBA851976:TBA851980 TKW851976:TKW851980 TUS851976:TUS851980 UEO851976:UEO851980 UOK851976:UOK851980 UYG851976:UYG851980 VIC851976:VIC851980 VRY851976:VRY851980 WBU851976:WBU851980 WLQ851976:WLQ851980 WVM851976:WVM851980 E917512:E917516 JA917512:JA917516 SW917512:SW917516 ACS917512:ACS917516 AMO917512:AMO917516 AWK917512:AWK917516 BGG917512:BGG917516 BQC917512:BQC917516 BZY917512:BZY917516 CJU917512:CJU917516 CTQ917512:CTQ917516 DDM917512:DDM917516 DNI917512:DNI917516 DXE917512:DXE917516 EHA917512:EHA917516 EQW917512:EQW917516 FAS917512:FAS917516 FKO917512:FKO917516 FUK917512:FUK917516 GEG917512:GEG917516 GOC917512:GOC917516 GXY917512:GXY917516 HHU917512:HHU917516 HRQ917512:HRQ917516 IBM917512:IBM917516 ILI917512:ILI917516 IVE917512:IVE917516 JFA917512:JFA917516 JOW917512:JOW917516 JYS917512:JYS917516 KIO917512:KIO917516 KSK917512:KSK917516 LCG917512:LCG917516 LMC917512:LMC917516 LVY917512:LVY917516 MFU917512:MFU917516 MPQ917512:MPQ917516 MZM917512:MZM917516 NJI917512:NJI917516 NTE917512:NTE917516 ODA917512:ODA917516 OMW917512:OMW917516 OWS917512:OWS917516 PGO917512:PGO917516 PQK917512:PQK917516 QAG917512:QAG917516 QKC917512:QKC917516 QTY917512:QTY917516 RDU917512:RDU917516 RNQ917512:RNQ917516 RXM917512:RXM917516 SHI917512:SHI917516 SRE917512:SRE917516 TBA917512:TBA917516 TKW917512:TKW917516 TUS917512:TUS917516 UEO917512:UEO917516 UOK917512:UOK917516 UYG917512:UYG917516 VIC917512:VIC917516 VRY917512:VRY917516 WBU917512:WBU917516 WLQ917512:WLQ917516 WVM917512:WVM917516 E983048:E983052 JA983048:JA983052 SW983048:SW983052 ACS983048:ACS983052 AMO983048:AMO983052 AWK983048:AWK983052 BGG983048:BGG983052 BQC983048:BQC983052 BZY983048:BZY983052 CJU983048:CJU983052 CTQ983048:CTQ983052 DDM983048:DDM983052 DNI983048:DNI983052 DXE983048:DXE983052 EHA983048:EHA983052 EQW983048:EQW983052 FAS983048:FAS983052 FKO983048:FKO983052 FUK983048:FUK983052 GEG983048:GEG983052 GOC983048:GOC983052 GXY983048:GXY983052 HHU983048:HHU983052 HRQ983048:HRQ983052 IBM983048:IBM983052 ILI983048:ILI983052 IVE983048:IVE983052 JFA983048:JFA983052 JOW983048:JOW983052 JYS983048:JYS983052 KIO983048:KIO983052 KSK983048:KSK983052 LCG983048:LCG983052 LMC983048:LMC983052 LVY983048:LVY983052 MFU983048:MFU983052 MPQ983048:MPQ983052 MZM983048:MZM983052 NJI983048:NJI983052 NTE983048:NTE983052 ODA983048:ODA983052 OMW983048:OMW983052 OWS983048:OWS983052 PGO983048:PGO983052 PQK983048:PQK983052 QAG983048:QAG983052 QKC983048:QKC983052 QTY983048:QTY983052 RDU983048:RDU983052 RNQ983048:RNQ983052 RXM983048:RXM983052 SHI983048:SHI983052 SRE983048:SRE983052 TBA983048:TBA983052 TKW983048:TKW983052 TUS983048:TUS983052 UEO983048:UEO983052 UOK983048:UOK983052 UYG983048:UYG983052 VIC983048:VIC983052 VRY983048:VRY983052 WBU983048:WBU983052 WLQ983048:WLQ983052 WVM983048:WVM983052">
      <formula1>"是,否"</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G24"/>
  <sheetViews>
    <sheetView topLeftCell="A7" workbookViewId="0">
      <selection activeCell="J16" sqref="J16"/>
    </sheetView>
  </sheetViews>
  <sheetFormatPr defaultColWidth="8.09765625" defaultRowHeight="30" customHeight="1"/>
  <cols>
    <col min="1" max="1" width="9.8984375" style="2466" customWidth="1"/>
    <col min="2" max="2" width="22.09765625" style="2466" customWidth="1"/>
    <col min="3" max="3" width="17.09765625" style="2466" customWidth="1"/>
    <col min="4" max="4" width="24.19921875" style="2466" customWidth="1"/>
    <col min="5" max="5" width="14.69921875" style="2466" customWidth="1"/>
    <col min="6" max="256" width="8.09765625" style="2466"/>
    <col min="257" max="257" width="9.8984375" style="2466" customWidth="1"/>
    <col min="258" max="258" width="28.09765625" style="2466" customWidth="1"/>
    <col min="259" max="259" width="12.8984375" style="2466" customWidth="1"/>
    <col min="260" max="260" width="34.19921875" style="2466" customWidth="1"/>
    <col min="261" max="261" width="13.8984375" style="2466" customWidth="1"/>
    <col min="262" max="512" width="8.09765625" style="2466"/>
    <col min="513" max="513" width="9.8984375" style="2466" customWidth="1"/>
    <col min="514" max="514" width="28.09765625" style="2466" customWidth="1"/>
    <col min="515" max="515" width="12.8984375" style="2466" customWidth="1"/>
    <col min="516" max="516" width="34.19921875" style="2466" customWidth="1"/>
    <col min="517" max="517" width="13.8984375" style="2466" customWidth="1"/>
    <col min="518" max="768" width="8.09765625" style="2466"/>
    <col min="769" max="769" width="9.8984375" style="2466" customWidth="1"/>
    <col min="770" max="770" width="28.09765625" style="2466" customWidth="1"/>
    <col min="771" max="771" width="12.8984375" style="2466" customWidth="1"/>
    <col min="772" max="772" width="34.19921875" style="2466" customWidth="1"/>
    <col min="773" max="773" width="13.8984375" style="2466" customWidth="1"/>
    <col min="774" max="1024" width="8.09765625" style="2466"/>
    <col min="1025" max="1025" width="9.8984375" style="2466" customWidth="1"/>
    <col min="1026" max="1026" width="28.09765625" style="2466" customWidth="1"/>
    <col min="1027" max="1027" width="12.8984375" style="2466" customWidth="1"/>
    <col min="1028" max="1028" width="34.19921875" style="2466" customWidth="1"/>
    <col min="1029" max="1029" width="13.8984375" style="2466" customWidth="1"/>
    <col min="1030" max="1280" width="8.09765625" style="2466"/>
    <col min="1281" max="1281" width="9.8984375" style="2466" customWidth="1"/>
    <col min="1282" max="1282" width="28.09765625" style="2466" customWidth="1"/>
    <col min="1283" max="1283" width="12.8984375" style="2466" customWidth="1"/>
    <col min="1284" max="1284" width="34.19921875" style="2466" customWidth="1"/>
    <col min="1285" max="1285" width="13.8984375" style="2466" customWidth="1"/>
    <col min="1286" max="1536" width="8.09765625" style="2466"/>
    <col min="1537" max="1537" width="9.8984375" style="2466" customWidth="1"/>
    <col min="1538" max="1538" width="28.09765625" style="2466" customWidth="1"/>
    <col min="1539" max="1539" width="12.8984375" style="2466" customWidth="1"/>
    <col min="1540" max="1540" width="34.19921875" style="2466" customWidth="1"/>
    <col min="1541" max="1541" width="13.8984375" style="2466" customWidth="1"/>
    <col min="1542" max="1792" width="8.09765625" style="2466"/>
    <col min="1793" max="1793" width="9.8984375" style="2466" customWidth="1"/>
    <col min="1794" max="1794" width="28.09765625" style="2466" customWidth="1"/>
    <col min="1795" max="1795" width="12.8984375" style="2466" customWidth="1"/>
    <col min="1796" max="1796" width="34.19921875" style="2466" customWidth="1"/>
    <col min="1797" max="1797" width="13.8984375" style="2466" customWidth="1"/>
    <col min="1798" max="2048" width="8.09765625" style="2466"/>
    <col min="2049" max="2049" width="9.8984375" style="2466" customWidth="1"/>
    <col min="2050" max="2050" width="28.09765625" style="2466" customWidth="1"/>
    <col min="2051" max="2051" width="12.8984375" style="2466" customWidth="1"/>
    <col min="2052" max="2052" width="34.19921875" style="2466" customWidth="1"/>
    <col min="2053" max="2053" width="13.8984375" style="2466" customWidth="1"/>
    <col min="2054" max="2304" width="8.09765625" style="2466"/>
    <col min="2305" max="2305" width="9.8984375" style="2466" customWidth="1"/>
    <col min="2306" max="2306" width="28.09765625" style="2466" customWidth="1"/>
    <col min="2307" max="2307" width="12.8984375" style="2466" customWidth="1"/>
    <col min="2308" max="2308" width="34.19921875" style="2466" customWidth="1"/>
    <col min="2309" max="2309" width="13.8984375" style="2466" customWidth="1"/>
    <col min="2310" max="2560" width="8.09765625" style="2466"/>
    <col min="2561" max="2561" width="9.8984375" style="2466" customWidth="1"/>
    <col min="2562" max="2562" width="28.09765625" style="2466" customWidth="1"/>
    <col min="2563" max="2563" width="12.8984375" style="2466" customWidth="1"/>
    <col min="2564" max="2564" width="34.19921875" style="2466" customWidth="1"/>
    <col min="2565" max="2565" width="13.8984375" style="2466" customWidth="1"/>
    <col min="2566" max="2816" width="8.09765625" style="2466"/>
    <col min="2817" max="2817" width="9.8984375" style="2466" customWidth="1"/>
    <col min="2818" max="2818" width="28.09765625" style="2466" customWidth="1"/>
    <col min="2819" max="2819" width="12.8984375" style="2466" customWidth="1"/>
    <col min="2820" max="2820" width="34.19921875" style="2466" customWidth="1"/>
    <col min="2821" max="2821" width="13.8984375" style="2466" customWidth="1"/>
    <col min="2822" max="3072" width="8.09765625" style="2466"/>
    <col min="3073" max="3073" width="9.8984375" style="2466" customWidth="1"/>
    <col min="3074" max="3074" width="28.09765625" style="2466" customWidth="1"/>
    <col min="3075" max="3075" width="12.8984375" style="2466" customWidth="1"/>
    <col min="3076" max="3076" width="34.19921875" style="2466" customWidth="1"/>
    <col min="3077" max="3077" width="13.8984375" style="2466" customWidth="1"/>
    <col min="3078" max="3328" width="8.09765625" style="2466"/>
    <col min="3329" max="3329" width="9.8984375" style="2466" customWidth="1"/>
    <col min="3330" max="3330" width="28.09765625" style="2466" customWidth="1"/>
    <col min="3331" max="3331" width="12.8984375" style="2466" customWidth="1"/>
    <col min="3332" max="3332" width="34.19921875" style="2466" customWidth="1"/>
    <col min="3333" max="3333" width="13.8984375" style="2466" customWidth="1"/>
    <col min="3334" max="3584" width="8.09765625" style="2466"/>
    <col min="3585" max="3585" width="9.8984375" style="2466" customWidth="1"/>
    <col min="3586" max="3586" width="28.09765625" style="2466" customWidth="1"/>
    <col min="3587" max="3587" width="12.8984375" style="2466" customWidth="1"/>
    <col min="3588" max="3588" width="34.19921875" style="2466" customWidth="1"/>
    <col min="3589" max="3589" width="13.8984375" style="2466" customWidth="1"/>
    <col min="3590" max="3840" width="8.09765625" style="2466"/>
    <col min="3841" max="3841" width="9.8984375" style="2466" customWidth="1"/>
    <col min="3842" max="3842" width="28.09765625" style="2466" customWidth="1"/>
    <col min="3843" max="3843" width="12.8984375" style="2466" customWidth="1"/>
    <col min="3844" max="3844" width="34.19921875" style="2466" customWidth="1"/>
    <col min="3845" max="3845" width="13.8984375" style="2466" customWidth="1"/>
    <col min="3846" max="4096" width="8.09765625" style="2466"/>
    <col min="4097" max="4097" width="9.8984375" style="2466" customWidth="1"/>
    <col min="4098" max="4098" width="28.09765625" style="2466" customWidth="1"/>
    <col min="4099" max="4099" width="12.8984375" style="2466" customWidth="1"/>
    <col min="4100" max="4100" width="34.19921875" style="2466" customWidth="1"/>
    <col min="4101" max="4101" width="13.8984375" style="2466" customWidth="1"/>
    <col min="4102" max="4352" width="8.09765625" style="2466"/>
    <col min="4353" max="4353" width="9.8984375" style="2466" customWidth="1"/>
    <col min="4354" max="4354" width="28.09765625" style="2466" customWidth="1"/>
    <col min="4355" max="4355" width="12.8984375" style="2466" customWidth="1"/>
    <col min="4356" max="4356" width="34.19921875" style="2466" customWidth="1"/>
    <col min="4357" max="4357" width="13.8984375" style="2466" customWidth="1"/>
    <col min="4358" max="4608" width="8.09765625" style="2466"/>
    <col min="4609" max="4609" width="9.8984375" style="2466" customWidth="1"/>
    <col min="4610" max="4610" width="28.09765625" style="2466" customWidth="1"/>
    <col min="4611" max="4611" width="12.8984375" style="2466" customWidth="1"/>
    <col min="4612" max="4612" width="34.19921875" style="2466" customWidth="1"/>
    <col min="4613" max="4613" width="13.8984375" style="2466" customWidth="1"/>
    <col min="4614" max="4864" width="8.09765625" style="2466"/>
    <col min="4865" max="4865" width="9.8984375" style="2466" customWidth="1"/>
    <col min="4866" max="4866" width="28.09765625" style="2466" customWidth="1"/>
    <col min="4867" max="4867" width="12.8984375" style="2466" customWidth="1"/>
    <col min="4868" max="4868" width="34.19921875" style="2466" customWidth="1"/>
    <col min="4869" max="4869" width="13.8984375" style="2466" customWidth="1"/>
    <col min="4870" max="5120" width="8.09765625" style="2466"/>
    <col min="5121" max="5121" width="9.8984375" style="2466" customWidth="1"/>
    <col min="5122" max="5122" width="28.09765625" style="2466" customWidth="1"/>
    <col min="5123" max="5123" width="12.8984375" style="2466" customWidth="1"/>
    <col min="5124" max="5124" width="34.19921875" style="2466" customWidth="1"/>
    <col min="5125" max="5125" width="13.8984375" style="2466" customWidth="1"/>
    <col min="5126" max="5376" width="8.09765625" style="2466"/>
    <col min="5377" max="5377" width="9.8984375" style="2466" customWidth="1"/>
    <col min="5378" max="5378" width="28.09765625" style="2466" customWidth="1"/>
    <col min="5379" max="5379" width="12.8984375" style="2466" customWidth="1"/>
    <col min="5380" max="5380" width="34.19921875" style="2466" customWidth="1"/>
    <col min="5381" max="5381" width="13.8984375" style="2466" customWidth="1"/>
    <col min="5382" max="5632" width="8.09765625" style="2466"/>
    <col min="5633" max="5633" width="9.8984375" style="2466" customWidth="1"/>
    <col min="5634" max="5634" width="28.09765625" style="2466" customWidth="1"/>
    <col min="5635" max="5635" width="12.8984375" style="2466" customWidth="1"/>
    <col min="5636" max="5636" width="34.19921875" style="2466" customWidth="1"/>
    <col min="5637" max="5637" width="13.8984375" style="2466" customWidth="1"/>
    <col min="5638" max="5888" width="8.09765625" style="2466"/>
    <col min="5889" max="5889" width="9.8984375" style="2466" customWidth="1"/>
    <col min="5890" max="5890" width="28.09765625" style="2466" customWidth="1"/>
    <col min="5891" max="5891" width="12.8984375" style="2466" customWidth="1"/>
    <col min="5892" max="5892" width="34.19921875" style="2466" customWidth="1"/>
    <col min="5893" max="5893" width="13.8984375" style="2466" customWidth="1"/>
    <col min="5894" max="6144" width="8.09765625" style="2466"/>
    <col min="6145" max="6145" width="9.8984375" style="2466" customWidth="1"/>
    <col min="6146" max="6146" width="28.09765625" style="2466" customWidth="1"/>
    <col min="6147" max="6147" width="12.8984375" style="2466" customWidth="1"/>
    <col min="6148" max="6148" width="34.19921875" style="2466" customWidth="1"/>
    <col min="6149" max="6149" width="13.8984375" style="2466" customWidth="1"/>
    <col min="6150" max="6400" width="8.09765625" style="2466"/>
    <col min="6401" max="6401" width="9.8984375" style="2466" customWidth="1"/>
    <col min="6402" max="6402" width="28.09765625" style="2466" customWidth="1"/>
    <col min="6403" max="6403" width="12.8984375" style="2466" customWidth="1"/>
    <col min="6404" max="6404" width="34.19921875" style="2466" customWidth="1"/>
    <col min="6405" max="6405" width="13.8984375" style="2466" customWidth="1"/>
    <col min="6406" max="6656" width="8.09765625" style="2466"/>
    <col min="6657" max="6657" width="9.8984375" style="2466" customWidth="1"/>
    <col min="6658" max="6658" width="28.09765625" style="2466" customWidth="1"/>
    <col min="6659" max="6659" width="12.8984375" style="2466" customWidth="1"/>
    <col min="6660" max="6660" width="34.19921875" style="2466" customWidth="1"/>
    <col min="6661" max="6661" width="13.8984375" style="2466" customWidth="1"/>
    <col min="6662" max="6912" width="8.09765625" style="2466"/>
    <col min="6913" max="6913" width="9.8984375" style="2466" customWidth="1"/>
    <col min="6914" max="6914" width="28.09765625" style="2466" customWidth="1"/>
    <col min="6915" max="6915" width="12.8984375" style="2466" customWidth="1"/>
    <col min="6916" max="6916" width="34.19921875" style="2466" customWidth="1"/>
    <col min="6917" max="6917" width="13.8984375" style="2466" customWidth="1"/>
    <col min="6918" max="7168" width="8.09765625" style="2466"/>
    <col min="7169" max="7169" width="9.8984375" style="2466" customWidth="1"/>
    <col min="7170" max="7170" width="28.09765625" style="2466" customWidth="1"/>
    <col min="7171" max="7171" width="12.8984375" style="2466" customWidth="1"/>
    <col min="7172" max="7172" width="34.19921875" style="2466" customWidth="1"/>
    <col min="7173" max="7173" width="13.8984375" style="2466" customWidth="1"/>
    <col min="7174" max="7424" width="8.09765625" style="2466"/>
    <col min="7425" max="7425" width="9.8984375" style="2466" customWidth="1"/>
    <col min="7426" max="7426" width="28.09765625" style="2466" customWidth="1"/>
    <col min="7427" max="7427" width="12.8984375" style="2466" customWidth="1"/>
    <col min="7428" max="7428" width="34.19921875" style="2466" customWidth="1"/>
    <col min="7429" max="7429" width="13.8984375" style="2466" customWidth="1"/>
    <col min="7430" max="7680" width="8.09765625" style="2466"/>
    <col min="7681" max="7681" width="9.8984375" style="2466" customWidth="1"/>
    <col min="7682" max="7682" width="28.09765625" style="2466" customWidth="1"/>
    <col min="7683" max="7683" width="12.8984375" style="2466" customWidth="1"/>
    <col min="7684" max="7684" width="34.19921875" style="2466" customWidth="1"/>
    <col min="7685" max="7685" width="13.8984375" style="2466" customWidth="1"/>
    <col min="7686" max="7936" width="8.09765625" style="2466"/>
    <col min="7937" max="7937" width="9.8984375" style="2466" customWidth="1"/>
    <col min="7938" max="7938" width="28.09765625" style="2466" customWidth="1"/>
    <col min="7939" max="7939" width="12.8984375" style="2466" customWidth="1"/>
    <col min="7940" max="7940" width="34.19921875" style="2466" customWidth="1"/>
    <col min="7941" max="7941" width="13.8984375" style="2466" customWidth="1"/>
    <col min="7942" max="8192" width="8.09765625" style="2466"/>
    <col min="8193" max="8193" width="9.8984375" style="2466" customWidth="1"/>
    <col min="8194" max="8194" width="28.09765625" style="2466" customWidth="1"/>
    <col min="8195" max="8195" width="12.8984375" style="2466" customWidth="1"/>
    <col min="8196" max="8196" width="34.19921875" style="2466" customWidth="1"/>
    <col min="8197" max="8197" width="13.8984375" style="2466" customWidth="1"/>
    <col min="8198" max="8448" width="8.09765625" style="2466"/>
    <col min="8449" max="8449" width="9.8984375" style="2466" customWidth="1"/>
    <col min="8450" max="8450" width="28.09765625" style="2466" customWidth="1"/>
    <col min="8451" max="8451" width="12.8984375" style="2466" customWidth="1"/>
    <col min="8452" max="8452" width="34.19921875" style="2466" customWidth="1"/>
    <col min="8453" max="8453" width="13.8984375" style="2466" customWidth="1"/>
    <col min="8454" max="8704" width="8.09765625" style="2466"/>
    <col min="8705" max="8705" width="9.8984375" style="2466" customWidth="1"/>
    <col min="8706" max="8706" width="28.09765625" style="2466" customWidth="1"/>
    <col min="8707" max="8707" width="12.8984375" style="2466" customWidth="1"/>
    <col min="8708" max="8708" width="34.19921875" style="2466" customWidth="1"/>
    <col min="8709" max="8709" width="13.8984375" style="2466" customWidth="1"/>
    <col min="8710" max="8960" width="8.09765625" style="2466"/>
    <col min="8961" max="8961" width="9.8984375" style="2466" customWidth="1"/>
    <col min="8962" max="8962" width="28.09765625" style="2466" customWidth="1"/>
    <col min="8963" max="8963" width="12.8984375" style="2466" customWidth="1"/>
    <col min="8964" max="8964" width="34.19921875" style="2466" customWidth="1"/>
    <col min="8965" max="8965" width="13.8984375" style="2466" customWidth="1"/>
    <col min="8966" max="9216" width="8.09765625" style="2466"/>
    <col min="9217" max="9217" width="9.8984375" style="2466" customWidth="1"/>
    <col min="9218" max="9218" width="28.09765625" style="2466" customWidth="1"/>
    <col min="9219" max="9219" width="12.8984375" style="2466" customWidth="1"/>
    <col min="9220" max="9220" width="34.19921875" style="2466" customWidth="1"/>
    <col min="9221" max="9221" width="13.8984375" style="2466" customWidth="1"/>
    <col min="9222" max="9472" width="8.09765625" style="2466"/>
    <col min="9473" max="9473" width="9.8984375" style="2466" customWidth="1"/>
    <col min="9474" max="9474" width="28.09765625" style="2466" customWidth="1"/>
    <col min="9475" max="9475" width="12.8984375" style="2466" customWidth="1"/>
    <col min="9476" max="9476" width="34.19921875" style="2466" customWidth="1"/>
    <col min="9477" max="9477" width="13.8984375" style="2466" customWidth="1"/>
    <col min="9478" max="9728" width="8.09765625" style="2466"/>
    <col min="9729" max="9729" width="9.8984375" style="2466" customWidth="1"/>
    <col min="9730" max="9730" width="28.09765625" style="2466" customWidth="1"/>
    <col min="9731" max="9731" width="12.8984375" style="2466" customWidth="1"/>
    <col min="9732" max="9732" width="34.19921875" style="2466" customWidth="1"/>
    <col min="9733" max="9733" width="13.8984375" style="2466" customWidth="1"/>
    <col min="9734" max="9984" width="8.09765625" style="2466"/>
    <col min="9985" max="9985" width="9.8984375" style="2466" customWidth="1"/>
    <col min="9986" max="9986" width="28.09765625" style="2466" customWidth="1"/>
    <col min="9987" max="9987" width="12.8984375" style="2466" customWidth="1"/>
    <col min="9988" max="9988" width="34.19921875" style="2466" customWidth="1"/>
    <col min="9989" max="9989" width="13.8984375" style="2466" customWidth="1"/>
    <col min="9990" max="10240" width="8.09765625" style="2466"/>
    <col min="10241" max="10241" width="9.8984375" style="2466" customWidth="1"/>
    <col min="10242" max="10242" width="28.09765625" style="2466" customWidth="1"/>
    <col min="10243" max="10243" width="12.8984375" style="2466" customWidth="1"/>
    <col min="10244" max="10244" width="34.19921875" style="2466" customWidth="1"/>
    <col min="10245" max="10245" width="13.8984375" style="2466" customWidth="1"/>
    <col min="10246" max="10496" width="8.09765625" style="2466"/>
    <col min="10497" max="10497" width="9.8984375" style="2466" customWidth="1"/>
    <col min="10498" max="10498" width="28.09765625" style="2466" customWidth="1"/>
    <col min="10499" max="10499" width="12.8984375" style="2466" customWidth="1"/>
    <col min="10500" max="10500" width="34.19921875" style="2466" customWidth="1"/>
    <col min="10501" max="10501" width="13.8984375" style="2466" customWidth="1"/>
    <col min="10502" max="10752" width="8.09765625" style="2466"/>
    <col min="10753" max="10753" width="9.8984375" style="2466" customWidth="1"/>
    <col min="10754" max="10754" width="28.09765625" style="2466" customWidth="1"/>
    <col min="10755" max="10755" width="12.8984375" style="2466" customWidth="1"/>
    <col min="10756" max="10756" width="34.19921875" style="2466" customWidth="1"/>
    <col min="10757" max="10757" width="13.8984375" style="2466" customWidth="1"/>
    <col min="10758" max="11008" width="8.09765625" style="2466"/>
    <col min="11009" max="11009" width="9.8984375" style="2466" customWidth="1"/>
    <col min="11010" max="11010" width="28.09765625" style="2466" customWidth="1"/>
    <col min="11011" max="11011" width="12.8984375" style="2466" customWidth="1"/>
    <col min="11012" max="11012" width="34.19921875" style="2466" customWidth="1"/>
    <col min="11013" max="11013" width="13.8984375" style="2466" customWidth="1"/>
    <col min="11014" max="11264" width="8.09765625" style="2466"/>
    <col min="11265" max="11265" width="9.8984375" style="2466" customWidth="1"/>
    <col min="11266" max="11266" width="28.09765625" style="2466" customWidth="1"/>
    <col min="11267" max="11267" width="12.8984375" style="2466" customWidth="1"/>
    <col min="11268" max="11268" width="34.19921875" style="2466" customWidth="1"/>
    <col min="11269" max="11269" width="13.8984375" style="2466" customWidth="1"/>
    <col min="11270" max="11520" width="8.09765625" style="2466"/>
    <col min="11521" max="11521" width="9.8984375" style="2466" customWidth="1"/>
    <col min="11522" max="11522" width="28.09765625" style="2466" customWidth="1"/>
    <col min="11523" max="11523" width="12.8984375" style="2466" customWidth="1"/>
    <col min="11524" max="11524" width="34.19921875" style="2466" customWidth="1"/>
    <col min="11525" max="11525" width="13.8984375" style="2466" customWidth="1"/>
    <col min="11526" max="11776" width="8.09765625" style="2466"/>
    <col min="11777" max="11777" width="9.8984375" style="2466" customWidth="1"/>
    <col min="11778" max="11778" width="28.09765625" style="2466" customWidth="1"/>
    <col min="11779" max="11779" width="12.8984375" style="2466" customWidth="1"/>
    <col min="11780" max="11780" width="34.19921875" style="2466" customWidth="1"/>
    <col min="11781" max="11781" width="13.8984375" style="2466" customWidth="1"/>
    <col min="11782" max="12032" width="8.09765625" style="2466"/>
    <col min="12033" max="12033" width="9.8984375" style="2466" customWidth="1"/>
    <col min="12034" max="12034" width="28.09765625" style="2466" customWidth="1"/>
    <col min="12035" max="12035" width="12.8984375" style="2466" customWidth="1"/>
    <col min="12036" max="12036" width="34.19921875" style="2466" customWidth="1"/>
    <col min="12037" max="12037" width="13.8984375" style="2466" customWidth="1"/>
    <col min="12038" max="12288" width="8.09765625" style="2466"/>
    <col min="12289" max="12289" width="9.8984375" style="2466" customWidth="1"/>
    <col min="12290" max="12290" width="28.09765625" style="2466" customWidth="1"/>
    <col min="12291" max="12291" width="12.8984375" style="2466" customWidth="1"/>
    <col min="12292" max="12292" width="34.19921875" style="2466" customWidth="1"/>
    <col min="12293" max="12293" width="13.8984375" style="2466" customWidth="1"/>
    <col min="12294" max="12544" width="8.09765625" style="2466"/>
    <col min="12545" max="12545" width="9.8984375" style="2466" customWidth="1"/>
    <col min="12546" max="12546" width="28.09765625" style="2466" customWidth="1"/>
    <col min="12547" max="12547" width="12.8984375" style="2466" customWidth="1"/>
    <col min="12548" max="12548" width="34.19921875" style="2466" customWidth="1"/>
    <col min="12549" max="12549" width="13.8984375" style="2466" customWidth="1"/>
    <col min="12550" max="12800" width="8.09765625" style="2466"/>
    <col min="12801" max="12801" width="9.8984375" style="2466" customWidth="1"/>
    <col min="12802" max="12802" width="28.09765625" style="2466" customWidth="1"/>
    <col min="12803" max="12803" width="12.8984375" style="2466" customWidth="1"/>
    <col min="12804" max="12804" width="34.19921875" style="2466" customWidth="1"/>
    <col min="12805" max="12805" width="13.8984375" style="2466" customWidth="1"/>
    <col min="12806" max="13056" width="8.09765625" style="2466"/>
    <col min="13057" max="13057" width="9.8984375" style="2466" customWidth="1"/>
    <col min="13058" max="13058" width="28.09765625" style="2466" customWidth="1"/>
    <col min="13059" max="13059" width="12.8984375" style="2466" customWidth="1"/>
    <col min="13060" max="13060" width="34.19921875" style="2466" customWidth="1"/>
    <col min="13061" max="13061" width="13.8984375" style="2466" customWidth="1"/>
    <col min="13062" max="13312" width="8.09765625" style="2466"/>
    <col min="13313" max="13313" width="9.8984375" style="2466" customWidth="1"/>
    <col min="13314" max="13314" width="28.09765625" style="2466" customWidth="1"/>
    <col min="13315" max="13315" width="12.8984375" style="2466" customWidth="1"/>
    <col min="13316" max="13316" width="34.19921875" style="2466" customWidth="1"/>
    <col min="13317" max="13317" width="13.8984375" style="2466" customWidth="1"/>
    <col min="13318" max="13568" width="8.09765625" style="2466"/>
    <col min="13569" max="13569" width="9.8984375" style="2466" customWidth="1"/>
    <col min="13570" max="13570" width="28.09765625" style="2466" customWidth="1"/>
    <col min="13571" max="13571" width="12.8984375" style="2466" customWidth="1"/>
    <col min="13572" max="13572" width="34.19921875" style="2466" customWidth="1"/>
    <col min="13573" max="13573" width="13.8984375" style="2466" customWidth="1"/>
    <col min="13574" max="13824" width="8.09765625" style="2466"/>
    <col min="13825" max="13825" width="9.8984375" style="2466" customWidth="1"/>
    <col min="13826" max="13826" width="28.09765625" style="2466" customWidth="1"/>
    <col min="13827" max="13827" width="12.8984375" style="2466" customWidth="1"/>
    <col min="13828" max="13828" width="34.19921875" style="2466" customWidth="1"/>
    <col min="13829" max="13829" width="13.8984375" style="2466" customWidth="1"/>
    <col min="13830" max="14080" width="8.09765625" style="2466"/>
    <col min="14081" max="14081" width="9.8984375" style="2466" customWidth="1"/>
    <col min="14082" max="14082" width="28.09765625" style="2466" customWidth="1"/>
    <col min="14083" max="14083" width="12.8984375" style="2466" customWidth="1"/>
    <col min="14084" max="14084" width="34.19921875" style="2466" customWidth="1"/>
    <col min="14085" max="14085" width="13.8984375" style="2466" customWidth="1"/>
    <col min="14086" max="14336" width="8.09765625" style="2466"/>
    <col min="14337" max="14337" width="9.8984375" style="2466" customWidth="1"/>
    <col min="14338" max="14338" width="28.09765625" style="2466" customWidth="1"/>
    <col min="14339" max="14339" width="12.8984375" style="2466" customWidth="1"/>
    <col min="14340" max="14340" width="34.19921875" style="2466" customWidth="1"/>
    <col min="14341" max="14341" width="13.8984375" style="2466" customWidth="1"/>
    <col min="14342" max="14592" width="8.09765625" style="2466"/>
    <col min="14593" max="14593" width="9.8984375" style="2466" customWidth="1"/>
    <col min="14594" max="14594" width="28.09765625" style="2466" customWidth="1"/>
    <col min="14595" max="14595" width="12.8984375" style="2466" customWidth="1"/>
    <col min="14596" max="14596" width="34.19921875" style="2466" customWidth="1"/>
    <col min="14597" max="14597" width="13.8984375" style="2466" customWidth="1"/>
    <col min="14598" max="14848" width="8.09765625" style="2466"/>
    <col min="14849" max="14849" width="9.8984375" style="2466" customWidth="1"/>
    <col min="14850" max="14850" width="28.09765625" style="2466" customWidth="1"/>
    <col min="14851" max="14851" width="12.8984375" style="2466" customWidth="1"/>
    <col min="14852" max="14852" width="34.19921875" style="2466" customWidth="1"/>
    <col min="14853" max="14853" width="13.8984375" style="2466" customWidth="1"/>
    <col min="14854" max="15104" width="8.09765625" style="2466"/>
    <col min="15105" max="15105" width="9.8984375" style="2466" customWidth="1"/>
    <col min="15106" max="15106" width="28.09765625" style="2466" customWidth="1"/>
    <col min="15107" max="15107" width="12.8984375" style="2466" customWidth="1"/>
    <col min="15108" max="15108" width="34.19921875" style="2466" customWidth="1"/>
    <col min="15109" max="15109" width="13.8984375" style="2466" customWidth="1"/>
    <col min="15110" max="15360" width="8.09765625" style="2466"/>
    <col min="15361" max="15361" width="9.8984375" style="2466" customWidth="1"/>
    <col min="15362" max="15362" width="28.09765625" style="2466" customWidth="1"/>
    <col min="15363" max="15363" width="12.8984375" style="2466" customWidth="1"/>
    <col min="15364" max="15364" width="34.19921875" style="2466" customWidth="1"/>
    <col min="15365" max="15365" width="13.8984375" style="2466" customWidth="1"/>
    <col min="15366" max="15616" width="8.09765625" style="2466"/>
    <col min="15617" max="15617" width="9.8984375" style="2466" customWidth="1"/>
    <col min="15618" max="15618" width="28.09765625" style="2466" customWidth="1"/>
    <col min="15619" max="15619" width="12.8984375" style="2466" customWidth="1"/>
    <col min="15620" max="15620" width="34.19921875" style="2466" customWidth="1"/>
    <col min="15621" max="15621" width="13.8984375" style="2466" customWidth="1"/>
    <col min="15622" max="15872" width="8.09765625" style="2466"/>
    <col min="15873" max="15873" width="9.8984375" style="2466" customWidth="1"/>
    <col min="15874" max="15874" width="28.09765625" style="2466" customWidth="1"/>
    <col min="15875" max="15875" width="12.8984375" style="2466" customWidth="1"/>
    <col min="15876" max="15876" width="34.19921875" style="2466" customWidth="1"/>
    <col min="15877" max="15877" width="13.8984375" style="2466" customWidth="1"/>
    <col min="15878" max="16128" width="8.09765625" style="2466"/>
    <col min="16129" max="16129" width="9.8984375" style="2466" customWidth="1"/>
    <col min="16130" max="16130" width="28.09765625" style="2466" customWidth="1"/>
    <col min="16131" max="16131" width="12.8984375" style="2466" customWidth="1"/>
    <col min="16132" max="16132" width="34.19921875" style="2466" customWidth="1"/>
    <col min="16133" max="16133" width="13.8984375" style="2466" customWidth="1"/>
    <col min="16134" max="16384" width="8.09765625" style="2466"/>
  </cols>
  <sheetData>
    <row r="1" spans="1:7" ht="20.100000000000001" customHeight="1">
      <c r="A1" s="4015" t="s">
        <v>7189</v>
      </c>
      <c r="B1" s="4015"/>
      <c r="C1" s="4015"/>
      <c r="D1" s="4015"/>
      <c r="E1" s="4015"/>
      <c r="F1" s="2523"/>
    </row>
    <row r="2" spans="1:7" ht="24" customHeight="1">
      <c r="A2" s="4016" t="s">
        <v>7414</v>
      </c>
      <c r="B2" s="4016"/>
      <c r="C2" s="4016"/>
      <c r="D2" s="4016"/>
      <c r="E2" s="4016"/>
    </row>
    <row r="3" spans="1:7" ht="25.5" customHeight="1">
      <c r="A3" s="4017" t="s">
        <v>7190</v>
      </c>
      <c r="B3" s="4018"/>
      <c r="C3" s="2495" t="s">
        <v>7191</v>
      </c>
      <c r="D3" s="4002" t="s">
        <v>7192</v>
      </c>
      <c r="E3" s="4002"/>
      <c r="G3" s="2522"/>
    </row>
    <row r="4" spans="1:7" ht="25.5" customHeight="1">
      <c r="A4" s="4019"/>
      <c r="B4" s="4019"/>
      <c r="C4" s="2480"/>
      <c r="D4" s="4019"/>
      <c r="E4" s="4019"/>
    </row>
    <row r="5" spans="1:7" ht="25.5" customHeight="1">
      <c r="A5" s="4020" t="s">
        <v>7193</v>
      </c>
      <c r="B5" s="4020"/>
      <c r="C5" s="2496" t="s">
        <v>7194</v>
      </c>
      <c r="D5" s="4020" t="s">
        <v>7195</v>
      </c>
      <c r="E5" s="4020"/>
    </row>
    <row r="6" spans="1:7" ht="25.5" customHeight="1">
      <c r="A6" s="4019"/>
      <c r="B6" s="4019"/>
      <c r="C6" s="2480"/>
      <c r="D6" s="4013"/>
      <c r="E6" s="4013"/>
    </row>
    <row r="7" spans="1:7" ht="25.5" customHeight="1">
      <c r="A7" s="4013"/>
      <c r="B7" s="4013"/>
      <c r="C7" s="2480"/>
      <c r="D7" s="4013"/>
      <c r="E7" s="4013"/>
    </row>
    <row r="8" spans="1:7" ht="25.5" customHeight="1">
      <c r="A8" s="4013"/>
      <c r="B8" s="4013"/>
      <c r="C8" s="2480"/>
      <c r="D8" s="4013"/>
      <c r="E8" s="4013"/>
    </row>
    <row r="9" spans="1:7" ht="25.5" customHeight="1">
      <c r="A9" s="4013"/>
      <c r="B9" s="4013"/>
      <c r="C9" s="2480"/>
      <c r="D9" s="4013"/>
      <c r="E9" s="4013"/>
    </row>
    <row r="10" spans="1:7" ht="25.5" customHeight="1">
      <c r="A10" s="4002" t="s">
        <v>7196</v>
      </c>
      <c r="B10" s="4002"/>
      <c r="C10" s="4014"/>
      <c r="D10" s="4014"/>
      <c r="E10" s="4014"/>
    </row>
    <row r="11" spans="1:7" ht="25.5" customHeight="1">
      <c r="A11" s="4002" t="s">
        <v>7197</v>
      </c>
      <c r="B11" s="4002"/>
      <c r="C11" s="4005"/>
      <c r="D11" s="4005"/>
      <c r="E11" s="4005"/>
    </row>
    <row r="12" spans="1:7" ht="25.5" customHeight="1">
      <c r="A12" s="4002" t="s">
        <v>7198</v>
      </c>
      <c r="B12" s="4002"/>
      <c r="C12" s="4006"/>
      <c r="D12" s="2495" t="s">
        <v>7199</v>
      </c>
      <c r="E12" s="1225"/>
    </row>
    <row r="13" spans="1:7" ht="25.5" customHeight="1">
      <c r="A13" s="4002"/>
      <c r="B13" s="4002"/>
      <c r="C13" s="4007"/>
      <c r="D13" s="2495" t="s">
        <v>7200</v>
      </c>
      <c r="E13" s="1225"/>
    </row>
    <row r="14" spans="1:7" ht="25.5" customHeight="1">
      <c r="A14" s="4002"/>
      <c r="B14" s="4002"/>
      <c r="C14" s="4007"/>
      <c r="D14" s="2495" t="s">
        <v>7201</v>
      </c>
      <c r="E14" s="1225"/>
    </row>
    <row r="15" spans="1:7" ht="25.5" customHeight="1">
      <c r="A15" s="4002"/>
      <c r="B15" s="4002"/>
      <c r="C15" s="4008"/>
      <c r="D15" s="2495" t="s">
        <v>7202</v>
      </c>
      <c r="E15" s="1225"/>
    </row>
    <row r="16" spans="1:7" ht="25.5" customHeight="1">
      <c r="A16" s="4002" t="s">
        <v>7203</v>
      </c>
      <c r="B16" s="4002" t="s">
        <v>7204</v>
      </c>
      <c r="C16" s="4009"/>
      <c r="D16" s="2495" t="s">
        <v>7205</v>
      </c>
      <c r="E16" s="1225"/>
    </row>
    <row r="17" spans="1:7" ht="25.5" customHeight="1">
      <c r="A17" s="4002"/>
      <c r="B17" s="4002"/>
      <c r="C17" s="4009"/>
      <c r="D17" s="2495" t="s">
        <v>7206</v>
      </c>
      <c r="E17" s="1225"/>
    </row>
    <row r="18" spans="1:7" ht="25.5" customHeight="1">
      <c r="A18" s="4002"/>
      <c r="B18" s="4002"/>
      <c r="C18" s="4009"/>
      <c r="D18" s="2495" t="s">
        <v>7207</v>
      </c>
      <c r="E18" s="1225"/>
    </row>
    <row r="19" spans="1:7" ht="25.5" customHeight="1">
      <c r="A19" s="4002"/>
      <c r="B19" s="4002"/>
      <c r="C19" s="4009"/>
      <c r="D19" s="2495" t="s">
        <v>7208</v>
      </c>
      <c r="E19" s="1225"/>
    </row>
    <row r="20" spans="1:7" ht="25.5" customHeight="1">
      <c r="A20" s="4002"/>
      <c r="B20" s="2495" t="s">
        <v>7209</v>
      </c>
      <c r="C20" s="4010"/>
      <c r="D20" s="4011"/>
      <c r="E20" s="4012"/>
    </row>
    <row r="21" spans="1:7" ht="25.5" customHeight="1">
      <c r="A21" s="4002"/>
      <c r="B21" s="2495" t="s">
        <v>7210</v>
      </c>
      <c r="C21" s="1225"/>
      <c r="D21" s="2495" t="s">
        <v>7211</v>
      </c>
      <c r="E21" s="1225"/>
    </row>
    <row r="22" spans="1:7" ht="25.5" customHeight="1">
      <c r="A22" s="4002" t="s">
        <v>7212</v>
      </c>
      <c r="B22" s="2495" t="s">
        <v>7213</v>
      </c>
      <c r="C22" s="1225"/>
      <c r="D22" s="2495" t="s">
        <v>7214</v>
      </c>
      <c r="E22" s="1225"/>
    </row>
    <row r="23" spans="1:7" ht="25.5" customHeight="1">
      <c r="A23" s="4003"/>
      <c r="B23" s="2510" t="s">
        <v>7215</v>
      </c>
      <c r="C23" s="2547"/>
      <c r="D23" s="2510" t="s">
        <v>7216</v>
      </c>
      <c r="E23" s="2547"/>
    </row>
    <row r="24" spans="1:7" ht="25.5" customHeight="1">
      <c r="A24" s="2517" t="s">
        <v>7187</v>
      </c>
      <c r="B24" s="4004">
        <f>基本情况!B12</f>
        <v>0</v>
      </c>
      <c r="C24" s="3987"/>
      <c r="D24" s="2517" t="s">
        <v>7188</v>
      </c>
      <c r="E24" s="2521" t="str">
        <f>基本情况!B21</f>
        <v>2017年3月16日</v>
      </c>
      <c r="F24" s="2483"/>
      <c r="G24" s="2483"/>
    </row>
  </sheetData>
  <mergeCells count="28">
    <mergeCell ref="A5:B5"/>
    <mergeCell ref="D5:E5"/>
    <mergeCell ref="A6:B6"/>
    <mergeCell ref="D6:E6"/>
    <mergeCell ref="A7:B7"/>
    <mergeCell ref="D7:E7"/>
    <mergeCell ref="A1:E1"/>
    <mergeCell ref="A2:E2"/>
    <mergeCell ref="A3:B3"/>
    <mergeCell ref="D3:E3"/>
    <mergeCell ref="A4:B4"/>
    <mergeCell ref="D4:E4"/>
    <mergeCell ref="A8:B8"/>
    <mergeCell ref="D8:E8"/>
    <mergeCell ref="A9:B9"/>
    <mergeCell ref="D9:E9"/>
    <mergeCell ref="A10:B10"/>
    <mergeCell ref="C10:E10"/>
    <mergeCell ref="A22:A23"/>
    <mergeCell ref="B24:C24"/>
    <mergeCell ref="A11:B11"/>
    <mergeCell ref="C11:E11"/>
    <mergeCell ref="A12:B15"/>
    <mergeCell ref="C12:C15"/>
    <mergeCell ref="A16:A21"/>
    <mergeCell ref="B16:B19"/>
    <mergeCell ref="C16:C19"/>
    <mergeCell ref="C20:E20"/>
  </mergeCells>
  <phoneticPr fontId="51" type="noConversion"/>
  <dataValidations count="1">
    <dataValidation type="list" allowBlank="1" showInputMessage="1" showErrorMessage="1" sqref="C10:E10 IY10:JA10 SU10:SW10 ACQ10:ACS10 AMM10:AMO10 AWI10:AWK10 BGE10:BGG10 BQA10:BQC10 BZW10:BZY10 CJS10:CJU10 CTO10:CTQ10 DDK10:DDM10 DNG10:DNI10 DXC10:DXE10 EGY10:EHA10 EQU10:EQW10 FAQ10:FAS10 FKM10:FKO10 FUI10:FUK10 GEE10:GEG10 GOA10:GOC10 GXW10:GXY10 HHS10:HHU10 HRO10:HRQ10 IBK10:IBM10 ILG10:ILI10 IVC10:IVE10 JEY10:JFA10 JOU10:JOW10 JYQ10:JYS10 KIM10:KIO10 KSI10:KSK10 LCE10:LCG10 LMA10:LMC10 LVW10:LVY10 MFS10:MFU10 MPO10:MPQ10 MZK10:MZM10 NJG10:NJI10 NTC10:NTE10 OCY10:ODA10 OMU10:OMW10 OWQ10:OWS10 PGM10:PGO10 PQI10:PQK10 QAE10:QAG10 QKA10:QKC10 QTW10:QTY10 RDS10:RDU10 RNO10:RNQ10 RXK10:RXM10 SHG10:SHI10 SRC10:SRE10 TAY10:TBA10 TKU10:TKW10 TUQ10:TUS10 UEM10:UEO10 UOI10:UOK10 UYE10:UYG10 VIA10:VIC10 VRW10:VRY10 WBS10:WBU10 WLO10:WLQ10 WVK10:WVM10 C65546:E65546 IY65546:JA65546 SU65546:SW65546 ACQ65546:ACS65546 AMM65546:AMO65546 AWI65546:AWK65546 BGE65546:BGG65546 BQA65546:BQC65546 BZW65546:BZY65546 CJS65546:CJU65546 CTO65546:CTQ65546 DDK65546:DDM65546 DNG65546:DNI65546 DXC65546:DXE65546 EGY65546:EHA65546 EQU65546:EQW65546 FAQ65546:FAS65546 FKM65546:FKO65546 FUI65546:FUK65546 GEE65546:GEG65546 GOA65546:GOC65546 GXW65546:GXY65546 HHS65546:HHU65546 HRO65546:HRQ65546 IBK65546:IBM65546 ILG65546:ILI65546 IVC65546:IVE65546 JEY65546:JFA65546 JOU65546:JOW65546 JYQ65546:JYS65546 KIM65546:KIO65546 KSI65546:KSK65546 LCE65546:LCG65546 LMA65546:LMC65546 LVW65546:LVY65546 MFS65546:MFU65546 MPO65546:MPQ65546 MZK65546:MZM65546 NJG65546:NJI65546 NTC65546:NTE65546 OCY65546:ODA65546 OMU65546:OMW65546 OWQ65546:OWS65546 PGM65546:PGO65546 PQI65546:PQK65546 QAE65546:QAG65546 QKA65546:QKC65546 QTW65546:QTY65546 RDS65546:RDU65546 RNO65546:RNQ65546 RXK65546:RXM65546 SHG65546:SHI65546 SRC65546:SRE65546 TAY65546:TBA65546 TKU65546:TKW65546 TUQ65546:TUS65546 UEM65546:UEO65546 UOI65546:UOK65546 UYE65546:UYG65546 VIA65546:VIC65546 VRW65546:VRY65546 WBS65546:WBU65546 WLO65546:WLQ65546 WVK65546:WVM65546 C131082:E131082 IY131082:JA131082 SU131082:SW131082 ACQ131082:ACS131082 AMM131082:AMO131082 AWI131082:AWK131082 BGE131082:BGG131082 BQA131082:BQC131082 BZW131082:BZY131082 CJS131082:CJU131082 CTO131082:CTQ131082 DDK131082:DDM131082 DNG131082:DNI131082 DXC131082:DXE131082 EGY131082:EHA131082 EQU131082:EQW131082 FAQ131082:FAS131082 FKM131082:FKO131082 FUI131082:FUK131082 GEE131082:GEG131082 GOA131082:GOC131082 GXW131082:GXY131082 HHS131082:HHU131082 HRO131082:HRQ131082 IBK131082:IBM131082 ILG131082:ILI131082 IVC131082:IVE131082 JEY131082:JFA131082 JOU131082:JOW131082 JYQ131082:JYS131082 KIM131082:KIO131082 KSI131082:KSK131082 LCE131082:LCG131082 LMA131082:LMC131082 LVW131082:LVY131082 MFS131082:MFU131082 MPO131082:MPQ131082 MZK131082:MZM131082 NJG131082:NJI131082 NTC131082:NTE131082 OCY131082:ODA131082 OMU131082:OMW131082 OWQ131082:OWS131082 PGM131082:PGO131082 PQI131082:PQK131082 QAE131082:QAG131082 QKA131082:QKC131082 QTW131082:QTY131082 RDS131082:RDU131082 RNO131082:RNQ131082 RXK131082:RXM131082 SHG131082:SHI131082 SRC131082:SRE131082 TAY131082:TBA131082 TKU131082:TKW131082 TUQ131082:TUS131082 UEM131082:UEO131082 UOI131082:UOK131082 UYE131082:UYG131082 VIA131082:VIC131082 VRW131082:VRY131082 WBS131082:WBU131082 WLO131082:WLQ131082 WVK131082:WVM131082 C196618:E196618 IY196618:JA196618 SU196618:SW196618 ACQ196618:ACS196618 AMM196618:AMO196618 AWI196618:AWK196618 BGE196618:BGG196618 BQA196618:BQC196618 BZW196618:BZY196618 CJS196618:CJU196618 CTO196618:CTQ196618 DDK196618:DDM196618 DNG196618:DNI196618 DXC196618:DXE196618 EGY196618:EHA196618 EQU196618:EQW196618 FAQ196618:FAS196618 FKM196618:FKO196618 FUI196618:FUK196618 GEE196618:GEG196618 GOA196618:GOC196618 GXW196618:GXY196618 HHS196618:HHU196618 HRO196618:HRQ196618 IBK196618:IBM196618 ILG196618:ILI196618 IVC196618:IVE196618 JEY196618:JFA196618 JOU196618:JOW196618 JYQ196618:JYS196618 KIM196618:KIO196618 KSI196618:KSK196618 LCE196618:LCG196618 LMA196618:LMC196618 LVW196618:LVY196618 MFS196618:MFU196618 MPO196618:MPQ196618 MZK196618:MZM196618 NJG196618:NJI196618 NTC196618:NTE196618 OCY196618:ODA196618 OMU196618:OMW196618 OWQ196618:OWS196618 PGM196618:PGO196618 PQI196618:PQK196618 QAE196618:QAG196618 QKA196618:QKC196618 QTW196618:QTY196618 RDS196618:RDU196618 RNO196618:RNQ196618 RXK196618:RXM196618 SHG196618:SHI196618 SRC196618:SRE196618 TAY196618:TBA196618 TKU196618:TKW196618 TUQ196618:TUS196618 UEM196618:UEO196618 UOI196618:UOK196618 UYE196618:UYG196618 VIA196618:VIC196618 VRW196618:VRY196618 WBS196618:WBU196618 WLO196618:WLQ196618 WVK196618:WVM196618 C262154:E262154 IY262154:JA262154 SU262154:SW262154 ACQ262154:ACS262154 AMM262154:AMO262154 AWI262154:AWK262154 BGE262154:BGG262154 BQA262154:BQC262154 BZW262154:BZY262154 CJS262154:CJU262154 CTO262154:CTQ262154 DDK262154:DDM262154 DNG262154:DNI262154 DXC262154:DXE262154 EGY262154:EHA262154 EQU262154:EQW262154 FAQ262154:FAS262154 FKM262154:FKO262154 FUI262154:FUK262154 GEE262154:GEG262154 GOA262154:GOC262154 GXW262154:GXY262154 HHS262154:HHU262154 HRO262154:HRQ262154 IBK262154:IBM262154 ILG262154:ILI262154 IVC262154:IVE262154 JEY262154:JFA262154 JOU262154:JOW262154 JYQ262154:JYS262154 KIM262154:KIO262154 KSI262154:KSK262154 LCE262154:LCG262154 LMA262154:LMC262154 LVW262154:LVY262154 MFS262154:MFU262154 MPO262154:MPQ262154 MZK262154:MZM262154 NJG262154:NJI262154 NTC262154:NTE262154 OCY262154:ODA262154 OMU262154:OMW262154 OWQ262154:OWS262154 PGM262154:PGO262154 PQI262154:PQK262154 QAE262154:QAG262154 QKA262154:QKC262154 QTW262154:QTY262154 RDS262154:RDU262154 RNO262154:RNQ262154 RXK262154:RXM262154 SHG262154:SHI262154 SRC262154:SRE262154 TAY262154:TBA262154 TKU262154:TKW262154 TUQ262154:TUS262154 UEM262154:UEO262154 UOI262154:UOK262154 UYE262154:UYG262154 VIA262154:VIC262154 VRW262154:VRY262154 WBS262154:WBU262154 WLO262154:WLQ262154 WVK262154:WVM262154 C327690:E327690 IY327690:JA327690 SU327690:SW327690 ACQ327690:ACS327690 AMM327690:AMO327690 AWI327690:AWK327690 BGE327690:BGG327690 BQA327690:BQC327690 BZW327690:BZY327690 CJS327690:CJU327690 CTO327690:CTQ327690 DDK327690:DDM327690 DNG327690:DNI327690 DXC327690:DXE327690 EGY327690:EHA327690 EQU327690:EQW327690 FAQ327690:FAS327690 FKM327690:FKO327690 FUI327690:FUK327690 GEE327690:GEG327690 GOA327690:GOC327690 GXW327690:GXY327690 HHS327690:HHU327690 HRO327690:HRQ327690 IBK327690:IBM327690 ILG327690:ILI327690 IVC327690:IVE327690 JEY327690:JFA327690 JOU327690:JOW327690 JYQ327690:JYS327690 KIM327690:KIO327690 KSI327690:KSK327690 LCE327690:LCG327690 LMA327690:LMC327690 LVW327690:LVY327690 MFS327690:MFU327690 MPO327690:MPQ327690 MZK327690:MZM327690 NJG327690:NJI327690 NTC327690:NTE327690 OCY327690:ODA327690 OMU327690:OMW327690 OWQ327690:OWS327690 PGM327690:PGO327690 PQI327690:PQK327690 QAE327690:QAG327690 QKA327690:QKC327690 QTW327690:QTY327690 RDS327690:RDU327690 RNO327690:RNQ327690 RXK327690:RXM327690 SHG327690:SHI327690 SRC327690:SRE327690 TAY327690:TBA327690 TKU327690:TKW327690 TUQ327690:TUS327690 UEM327690:UEO327690 UOI327690:UOK327690 UYE327690:UYG327690 VIA327690:VIC327690 VRW327690:VRY327690 WBS327690:WBU327690 WLO327690:WLQ327690 WVK327690:WVM327690 C393226:E393226 IY393226:JA393226 SU393226:SW393226 ACQ393226:ACS393226 AMM393226:AMO393226 AWI393226:AWK393226 BGE393226:BGG393226 BQA393226:BQC393226 BZW393226:BZY393226 CJS393226:CJU393226 CTO393226:CTQ393226 DDK393226:DDM393226 DNG393226:DNI393226 DXC393226:DXE393226 EGY393226:EHA393226 EQU393226:EQW393226 FAQ393226:FAS393226 FKM393226:FKO393226 FUI393226:FUK393226 GEE393226:GEG393226 GOA393226:GOC393226 GXW393226:GXY393226 HHS393226:HHU393226 HRO393226:HRQ393226 IBK393226:IBM393226 ILG393226:ILI393226 IVC393226:IVE393226 JEY393226:JFA393226 JOU393226:JOW393226 JYQ393226:JYS393226 KIM393226:KIO393226 KSI393226:KSK393226 LCE393226:LCG393226 LMA393226:LMC393226 LVW393226:LVY393226 MFS393226:MFU393226 MPO393226:MPQ393226 MZK393226:MZM393226 NJG393226:NJI393226 NTC393226:NTE393226 OCY393226:ODA393226 OMU393226:OMW393226 OWQ393226:OWS393226 PGM393226:PGO393226 PQI393226:PQK393226 QAE393226:QAG393226 QKA393226:QKC393226 QTW393226:QTY393226 RDS393226:RDU393226 RNO393226:RNQ393226 RXK393226:RXM393226 SHG393226:SHI393226 SRC393226:SRE393226 TAY393226:TBA393226 TKU393226:TKW393226 TUQ393226:TUS393226 UEM393226:UEO393226 UOI393226:UOK393226 UYE393226:UYG393226 VIA393226:VIC393226 VRW393226:VRY393226 WBS393226:WBU393226 WLO393226:WLQ393226 WVK393226:WVM393226 C458762:E458762 IY458762:JA458762 SU458762:SW458762 ACQ458762:ACS458762 AMM458762:AMO458762 AWI458762:AWK458762 BGE458762:BGG458762 BQA458762:BQC458762 BZW458762:BZY458762 CJS458762:CJU458762 CTO458762:CTQ458762 DDK458762:DDM458762 DNG458762:DNI458762 DXC458762:DXE458762 EGY458762:EHA458762 EQU458762:EQW458762 FAQ458762:FAS458762 FKM458762:FKO458762 FUI458762:FUK458762 GEE458762:GEG458762 GOA458762:GOC458762 GXW458762:GXY458762 HHS458762:HHU458762 HRO458762:HRQ458762 IBK458762:IBM458762 ILG458762:ILI458762 IVC458762:IVE458762 JEY458762:JFA458762 JOU458762:JOW458762 JYQ458762:JYS458762 KIM458762:KIO458762 KSI458762:KSK458762 LCE458762:LCG458762 LMA458762:LMC458762 LVW458762:LVY458762 MFS458762:MFU458762 MPO458762:MPQ458762 MZK458762:MZM458762 NJG458762:NJI458762 NTC458762:NTE458762 OCY458762:ODA458762 OMU458762:OMW458762 OWQ458762:OWS458762 PGM458762:PGO458762 PQI458762:PQK458762 QAE458762:QAG458762 QKA458762:QKC458762 QTW458762:QTY458762 RDS458762:RDU458762 RNO458762:RNQ458762 RXK458762:RXM458762 SHG458762:SHI458762 SRC458762:SRE458762 TAY458762:TBA458762 TKU458762:TKW458762 TUQ458762:TUS458762 UEM458762:UEO458762 UOI458762:UOK458762 UYE458762:UYG458762 VIA458762:VIC458762 VRW458762:VRY458762 WBS458762:WBU458762 WLO458762:WLQ458762 WVK458762:WVM458762 C524298:E524298 IY524298:JA524298 SU524298:SW524298 ACQ524298:ACS524298 AMM524298:AMO524298 AWI524298:AWK524298 BGE524298:BGG524298 BQA524298:BQC524298 BZW524298:BZY524298 CJS524298:CJU524298 CTO524298:CTQ524298 DDK524298:DDM524298 DNG524298:DNI524298 DXC524298:DXE524298 EGY524298:EHA524298 EQU524298:EQW524298 FAQ524298:FAS524298 FKM524298:FKO524298 FUI524298:FUK524298 GEE524298:GEG524298 GOA524298:GOC524298 GXW524298:GXY524298 HHS524298:HHU524298 HRO524298:HRQ524298 IBK524298:IBM524298 ILG524298:ILI524298 IVC524298:IVE524298 JEY524298:JFA524298 JOU524298:JOW524298 JYQ524298:JYS524298 KIM524298:KIO524298 KSI524298:KSK524298 LCE524298:LCG524298 LMA524298:LMC524298 LVW524298:LVY524298 MFS524298:MFU524298 MPO524298:MPQ524298 MZK524298:MZM524298 NJG524298:NJI524298 NTC524298:NTE524298 OCY524298:ODA524298 OMU524298:OMW524298 OWQ524298:OWS524298 PGM524298:PGO524298 PQI524298:PQK524298 QAE524298:QAG524298 QKA524298:QKC524298 QTW524298:QTY524298 RDS524298:RDU524298 RNO524298:RNQ524298 RXK524298:RXM524298 SHG524298:SHI524298 SRC524298:SRE524298 TAY524298:TBA524298 TKU524298:TKW524298 TUQ524298:TUS524298 UEM524298:UEO524298 UOI524298:UOK524298 UYE524298:UYG524298 VIA524298:VIC524298 VRW524298:VRY524298 WBS524298:WBU524298 WLO524298:WLQ524298 WVK524298:WVM524298 C589834:E589834 IY589834:JA589834 SU589834:SW589834 ACQ589834:ACS589834 AMM589834:AMO589834 AWI589834:AWK589834 BGE589834:BGG589834 BQA589834:BQC589834 BZW589834:BZY589834 CJS589834:CJU589834 CTO589834:CTQ589834 DDK589834:DDM589834 DNG589834:DNI589834 DXC589834:DXE589834 EGY589834:EHA589834 EQU589834:EQW589834 FAQ589834:FAS589834 FKM589834:FKO589834 FUI589834:FUK589834 GEE589834:GEG589834 GOA589834:GOC589834 GXW589834:GXY589834 HHS589834:HHU589834 HRO589834:HRQ589834 IBK589834:IBM589834 ILG589834:ILI589834 IVC589834:IVE589834 JEY589834:JFA589834 JOU589834:JOW589834 JYQ589834:JYS589834 KIM589834:KIO589834 KSI589834:KSK589834 LCE589834:LCG589834 LMA589834:LMC589834 LVW589834:LVY589834 MFS589834:MFU589834 MPO589834:MPQ589834 MZK589834:MZM589834 NJG589834:NJI589834 NTC589834:NTE589834 OCY589834:ODA589834 OMU589834:OMW589834 OWQ589834:OWS589834 PGM589834:PGO589834 PQI589834:PQK589834 QAE589834:QAG589834 QKA589834:QKC589834 QTW589834:QTY589834 RDS589834:RDU589834 RNO589834:RNQ589834 RXK589834:RXM589834 SHG589834:SHI589834 SRC589834:SRE589834 TAY589834:TBA589834 TKU589834:TKW589834 TUQ589834:TUS589834 UEM589834:UEO589834 UOI589834:UOK589834 UYE589834:UYG589834 VIA589834:VIC589834 VRW589834:VRY589834 WBS589834:WBU589834 WLO589834:WLQ589834 WVK589834:WVM589834 C655370:E655370 IY655370:JA655370 SU655370:SW655370 ACQ655370:ACS655370 AMM655370:AMO655370 AWI655370:AWK655370 BGE655370:BGG655370 BQA655370:BQC655370 BZW655370:BZY655370 CJS655370:CJU655370 CTO655370:CTQ655370 DDK655370:DDM655370 DNG655370:DNI655370 DXC655370:DXE655370 EGY655370:EHA655370 EQU655370:EQW655370 FAQ655370:FAS655370 FKM655370:FKO655370 FUI655370:FUK655370 GEE655370:GEG655370 GOA655370:GOC655370 GXW655370:GXY655370 HHS655370:HHU655370 HRO655370:HRQ655370 IBK655370:IBM655370 ILG655370:ILI655370 IVC655370:IVE655370 JEY655370:JFA655370 JOU655370:JOW655370 JYQ655370:JYS655370 KIM655370:KIO655370 KSI655370:KSK655370 LCE655370:LCG655370 LMA655370:LMC655370 LVW655370:LVY655370 MFS655370:MFU655370 MPO655370:MPQ655370 MZK655370:MZM655370 NJG655370:NJI655370 NTC655370:NTE655370 OCY655370:ODA655370 OMU655370:OMW655370 OWQ655370:OWS655370 PGM655370:PGO655370 PQI655370:PQK655370 QAE655370:QAG655370 QKA655370:QKC655370 QTW655370:QTY655370 RDS655370:RDU655370 RNO655370:RNQ655370 RXK655370:RXM655370 SHG655370:SHI655370 SRC655370:SRE655370 TAY655370:TBA655370 TKU655370:TKW655370 TUQ655370:TUS655370 UEM655370:UEO655370 UOI655370:UOK655370 UYE655370:UYG655370 VIA655370:VIC655370 VRW655370:VRY655370 WBS655370:WBU655370 WLO655370:WLQ655370 WVK655370:WVM655370 C720906:E720906 IY720906:JA720906 SU720906:SW720906 ACQ720906:ACS720906 AMM720906:AMO720906 AWI720906:AWK720906 BGE720906:BGG720906 BQA720906:BQC720906 BZW720906:BZY720906 CJS720906:CJU720906 CTO720906:CTQ720906 DDK720906:DDM720906 DNG720906:DNI720906 DXC720906:DXE720906 EGY720906:EHA720906 EQU720906:EQW720906 FAQ720906:FAS720906 FKM720906:FKO720906 FUI720906:FUK720906 GEE720906:GEG720906 GOA720906:GOC720906 GXW720906:GXY720906 HHS720906:HHU720906 HRO720906:HRQ720906 IBK720906:IBM720906 ILG720906:ILI720906 IVC720906:IVE720906 JEY720906:JFA720906 JOU720906:JOW720906 JYQ720906:JYS720906 KIM720906:KIO720906 KSI720906:KSK720906 LCE720906:LCG720906 LMA720906:LMC720906 LVW720906:LVY720906 MFS720906:MFU720906 MPO720906:MPQ720906 MZK720906:MZM720906 NJG720906:NJI720906 NTC720906:NTE720906 OCY720906:ODA720906 OMU720906:OMW720906 OWQ720906:OWS720906 PGM720906:PGO720906 PQI720906:PQK720906 QAE720906:QAG720906 QKA720906:QKC720906 QTW720906:QTY720906 RDS720906:RDU720906 RNO720906:RNQ720906 RXK720906:RXM720906 SHG720906:SHI720906 SRC720906:SRE720906 TAY720906:TBA720906 TKU720906:TKW720906 TUQ720906:TUS720906 UEM720906:UEO720906 UOI720906:UOK720906 UYE720906:UYG720906 VIA720906:VIC720906 VRW720906:VRY720906 WBS720906:WBU720906 WLO720906:WLQ720906 WVK720906:WVM720906 C786442:E786442 IY786442:JA786442 SU786442:SW786442 ACQ786442:ACS786442 AMM786442:AMO786442 AWI786442:AWK786442 BGE786442:BGG786442 BQA786442:BQC786442 BZW786442:BZY786442 CJS786442:CJU786442 CTO786442:CTQ786442 DDK786442:DDM786442 DNG786442:DNI786442 DXC786442:DXE786442 EGY786442:EHA786442 EQU786442:EQW786442 FAQ786442:FAS786442 FKM786442:FKO786442 FUI786442:FUK786442 GEE786442:GEG786442 GOA786442:GOC786442 GXW786442:GXY786442 HHS786442:HHU786442 HRO786442:HRQ786442 IBK786442:IBM786442 ILG786442:ILI786442 IVC786442:IVE786442 JEY786442:JFA786442 JOU786442:JOW786442 JYQ786442:JYS786442 KIM786442:KIO786442 KSI786442:KSK786442 LCE786442:LCG786442 LMA786442:LMC786442 LVW786442:LVY786442 MFS786442:MFU786442 MPO786442:MPQ786442 MZK786442:MZM786442 NJG786442:NJI786442 NTC786442:NTE786442 OCY786442:ODA786442 OMU786442:OMW786442 OWQ786442:OWS786442 PGM786442:PGO786442 PQI786442:PQK786442 QAE786442:QAG786442 QKA786442:QKC786442 QTW786442:QTY786442 RDS786442:RDU786442 RNO786442:RNQ786442 RXK786442:RXM786442 SHG786442:SHI786442 SRC786442:SRE786442 TAY786442:TBA786442 TKU786442:TKW786442 TUQ786442:TUS786442 UEM786442:UEO786442 UOI786442:UOK786442 UYE786442:UYG786442 VIA786442:VIC786442 VRW786442:VRY786442 WBS786442:WBU786442 WLO786442:WLQ786442 WVK786442:WVM786442 C851978:E851978 IY851978:JA851978 SU851978:SW851978 ACQ851978:ACS851978 AMM851978:AMO851978 AWI851978:AWK851978 BGE851978:BGG851978 BQA851978:BQC851978 BZW851978:BZY851978 CJS851978:CJU851978 CTO851978:CTQ851978 DDK851978:DDM851978 DNG851978:DNI851978 DXC851978:DXE851978 EGY851978:EHA851978 EQU851978:EQW851978 FAQ851978:FAS851978 FKM851978:FKO851978 FUI851978:FUK851978 GEE851978:GEG851978 GOA851978:GOC851978 GXW851978:GXY851978 HHS851978:HHU851978 HRO851978:HRQ851978 IBK851978:IBM851978 ILG851978:ILI851978 IVC851978:IVE851978 JEY851978:JFA851978 JOU851978:JOW851978 JYQ851978:JYS851978 KIM851978:KIO851978 KSI851978:KSK851978 LCE851978:LCG851978 LMA851978:LMC851978 LVW851978:LVY851978 MFS851978:MFU851978 MPO851978:MPQ851978 MZK851978:MZM851978 NJG851978:NJI851978 NTC851978:NTE851978 OCY851978:ODA851978 OMU851978:OMW851978 OWQ851978:OWS851978 PGM851978:PGO851978 PQI851978:PQK851978 QAE851978:QAG851978 QKA851978:QKC851978 QTW851978:QTY851978 RDS851978:RDU851978 RNO851978:RNQ851978 RXK851978:RXM851978 SHG851978:SHI851978 SRC851978:SRE851978 TAY851978:TBA851978 TKU851978:TKW851978 TUQ851978:TUS851978 UEM851978:UEO851978 UOI851978:UOK851978 UYE851978:UYG851978 VIA851978:VIC851978 VRW851978:VRY851978 WBS851978:WBU851978 WLO851978:WLQ851978 WVK851978:WVM851978 C917514:E917514 IY917514:JA917514 SU917514:SW917514 ACQ917514:ACS917514 AMM917514:AMO917514 AWI917514:AWK917514 BGE917514:BGG917514 BQA917514:BQC917514 BZW917514:BZY917514 CJS917514:CJU917514 CTO917514:CTQ917514 DDK917514:DDM917514 DNG917514:DNI917514 DXC917514:DXE917514 EGY917514:EHA917514 EQU917514:EQW917514 FAQ917514:FAS917514 FKM917514:FKO917514 FUI917514:FUK917514 GEE917514:GEG917514 GOA917514:GOC917514 GXW917514:GXY917514 HHS917514:HHU917514 HRO917514:HRQ917514 IBK917514:IBM917514 ILG917514:ILI917514 IVC917514:IVE917514 JEY917514:JFA917514 JOU917514:JOW917514 JYQ917514:JYS917514 KIM917514:KIO917514 KSI917514:KSK917514 LCE917514:LCG917514 LMA917514:LMC917514 LVW917514:LVY917514 MFS917514:MFU917514 MPO917514:MPQ917514 MZK917514:MZM917514 NJG917514:NJI917514 NTC917514:NTE917514 OCY917514:ODA917514 OMU917514:OMW917514 OWQ917514:OWS917514 PGM917514:PGO917514 PQI917514:PQK917514 QAE917514:QAG917514 QKA917514:QKC917514 QTW917514:QTY917514 RDS917514:RDU917514 RNO917514:RNQ917514 RXK917514:RXM917514 SHG917514:SHI917514 SRC917514:SRE917514 TAY917514:TBA917514 TKU917514:TKW917514 TUQ917514:TUS917514 UEM917514:UEO917514 UOI917514:UOK917514 UYE917514:UYG917514 VIA917514:VIC917514 VRW917514:VRY917514 WBS917514:WBU917514 WLO917514:WLQ917514 WVK917514:WVM917514 C983050:E983050 IY983050:JA983050 SU983050:SW983050 ACQ983050:ACS983050 AMM983050:AMO983050 AWI983050:AWK983050 BGE983050:BGG983050 BQA983050:BQC983050 BZW983050:BZY983050 CJS983050:CJU983050 CTO983050:CTQ983050 DDK983050:DDM983050 DNG983050:DNI983050 DXC983050:DXE983050 EGY983050:EHA983050 EQU983050:EQW983050 FAQ983050:FAS983050 FKM983050:FKO983050 FUI983050:FUK983050 GEE983050:GEG983050 GOA983050:GOC983050 GXW983050:GXY983050 HHS983050:HHU983050 HRO983050:HRQ983050 IBK983050:IBM983050 ILG983050:ILI983050 IVC983050:IVE983050 JEY983050:JFA983050 JOU983050:JOW983050 JYQ983050:JYS983050 KIM983050:KIO983050 KSI983050:KSK983050 LCE983050:LCG983050 LMA983050:LMC983050 LVW983050:LVY983050 MFS983050:MFU983050 MPO983050:MPQ983050 MZK983050:MZM983050 NJG983050:NJI983050 NTC983050:NTE983050 OCY983050:ODA983050 OMU983050:OMW983050 OWQ983050:OWS983050 PGM983050:PGO983050 PQI983050:PQK983050 QAE983050:QAG983050 QKA983050:QKC983050 QTW983050:QTY983050 RDS983050:RDU983050 RNO983050:RNQ983050 RXK983050:RXM983050 SHG983050:SHI983050 SRC983050:SRE983050 TAY983050:TBA983050 TKU983050:TKW983050 TUQ983050:TUS983050 UEM983050:UEO983050 UOI983050:UOK983050 UYE983050:UYG983050 VIA983050:VIC983050 VRW983050:VRY983050 WBS983050:WBU983050 WLO983050:WLQ983050 WVK983050:WVM983050">
      <formula1>"重组所得超过应纳税所得额50%,债转股"</formula1>
    </dataValidation>
  </dataValidations>
  <pageMargins left="0.78740157480314998" right="0.35433070866141703" top="0.511811023622047" bottom="0.11811023622047198" header="0.511811023622047" footer="0.511811023622047"/>
  <pageSetup paperSize="9" orientation="portrait" blackAndWhite="1" r:id="rId1"/>
  <drawing r:id="rId2"/>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I62"/>
  <sheetViews>
    <sheetView topLeftCell="A28" zoomScale="90" zoomScaleNormal="90" workbookViewId="0">
      <selection activeCell="J16" sqref="J16"/>
    </sheetView>
  </sheetViews>
  <sheetFormatPr defaultColWidth="8.09765625" defaultRowHeight="15.6"/>
  <cols>
    <col min="1" max="1" width="17.69921875" style="2468" customWidth="1"/>
    <col min="2" max="2" width="14.09765625" style="2468" customWidth="1"/>
    <col min="3" max="3" width="12.8984375" style="2468" customWidth="1"/>
    <col min="4" max="4" width="16.59765625" style="2468" customWidth="1"/>
    <col min="5" max="5" width="24.69921875" style="2468" customWidth="1"/>
    <col min="6" max="6" width="10.59765625" style="2468" customWidth="1"/>
    <col min="7" max="7" width="16" style="2468" customWidth="1"/>
    <col min="8" max="8" width="14.19921875" style="2468" customWidth="1"/>
    <col min="9" max="9" width="9.69921875" style="2468" customWidth="1"/>
    <col min="10" max="256" width="8.09765625" style="2468"/>
    <col min="257" max="257" width="17.69921875" style="2468" customWidth="1"/>
    <col min="258" max="258" width="14.09765625" style="2468" customWidth="1"/>
    <col min="259" max="259" width="12.8984375" style="2468" customWidth="1"/>
    <col min="260" max="260" width="13.69921875" style="2468" customWidth="1"/>
    <col min="261" max="261" width="24.69921875" style="2468" customWidth="1"/>
    <col min="262" max="262" width="10.59765625" style="2468" customWidth="1"/>
    <col min="263" max="263" width="16" style="2468" customWidth="1"/>
    <col min="264" max="264" width="14.19921875" style="2468" customWidth="1"/>
    <col min="265" max="265" width="9.69921875" style="2468" customWidth="1"/>
    <col min="266" max="512" width="8.09765625" style="2468"/>
    <col min="513" max="513" width="17.69921875" style="2468" customWidth="1"/>
    <col min="514" max="514" width="14.09765625" style="2468" customWidth="1"/>
    <col min="515" max="515" width="12.8984375" style="2468" customWidth="1"/>
    <col min="516" max="516" width="13.69921875" style="2468" customWidth="1"/>
    <col min="517" max="517" width="24.69921875" style="2468" customWidth="1"/>
    <col min="518" max="518" width="10.59765625" style="2468" customWidth="1"/>
    <col min="519" max="519" width="16" style="2468" customWidth="1"/>
    <col min="520" max="520" width="14.19921875" style="2468" customWidth="1"/>
    <col min="521" max="521" width="9.69921875" style="2468" customWidth="1"/>
    <col min="522" max="768" width="8.09765625" style="2468"/>
    <col min="769" max="769" width="17.69921875" style="2468" customWidth="1"/>
    <col min="770" max="770" width="14.09765625" style="2468" customWidth="1"/>
    <col min="771" max="771" width="12.8984375" style="2468" customWidth="1"/>
    <col min="772" max="772" width="13.69921875" style="2468" customWidth="1"/>
    <col min="773" max="773" width="24.69921875" style="2468" customWidth="1"/>
    <col min="774" max="774" width="10.59765625" style="2468" customWidth="1"/>
    <col min="775" max="775" width="16" style="2468" customWidth="1"/>
    <col min="776" max="776" width="14.19921875" style="2468" customWidth="1"/>
    <col min="777" max="777" width="9.69921875" style="2468" customWidth="1"/>
    <col min="778" max="1024" width="8.09765625" style="2468"/>
    <col min="1025" max="1025" width="17.69921875" style="2468" customWidth="1"/>
    <col min="1026" max="1026" width="14.09765625" style="2468" customWidth="1"/>
    <col min="1027" max="1027" width="12.8984375" style="2468" customWidth="1"/>
    <col min="1028" max="1028" width="13.69921875" style="2468" customWidth="1"/>
    <col min="1029" max="1029" width="24.69921875" style="2468" customWidth="1"/>
    <col min="1030" max="1030" width="10.59765625" style="2468" customWidth="1"/>
    <col min="1031" max="1031" width="16" style="2468" customWidth="1"/>
    <col min="1032" max="1032" width="14.19921875" style="2468" customWidth="1"/>
    <col min="1033" max="1033" width="9.69921875" style="2468" customWidth="1"/>
    <col min="1034" max="1280" width="8.09765625" style="2468"/>
    <col min="1281" max="1281" width="17.69921875" style="2468" customWidth="1"/>
    <col min="1282" max="1282" width="14.09765625" style="2468" customWidth="1"/>
    <col min="1283" max="1283" width="12.8984375" style="2468" customWidth="1"/>
    <col min="1284" max="1284" width="13.69921875" style="2468" customWidth="1"/>
    <col min="1285" max="1285" width="24.69921875" style="2468" customWidth="1"/>
    <col min="1286" max="1286" width="10.59765625" style="2468" customWidth="1"/>
    <col min="1287" max="1287" width="16" style="2468" customWidth="1"/>
    <col min="1288" max="1288" width="14.19921875" style="2468" customWidth="1"/>
    <col min="1289" max="1289" width="9.69921875" style="2468" customWidth="1"/>
    <col min="1290" max="1536" width="8.09765625" style="2468"/>
    <col min="1537" max="1537" width="17.69921875" style="2468" customWidth="1"/>
    <col min="1538" max="1538" width="14.09765625" style="2468" customWidth="1"/>
    <col min="1539" max="1539" width="12.8984375" style="2468" customWidth="1"/>
    <col min="1540" max="1540" width="13.69921875" style="2468" customWidth="1"/>
    <col min="1541" max="1541" width="24.69921875" style="2468" customWidth="1"/>
    <col min="1542" max="1542" width="10.59765625" style="2468" customWidth="1"/>
    <col min="1543" max="1543" width="16" style="2468" customWidth="1"/>
    <col min="1544" max="1544" width="14.19921875" style="2468" customWidth="1"/>
    <col min="1545" max="1545" width="9.69921875" style="2468" customWidth="1"/>
    <col min="1546" max="1792" width="8.09765625" style="2468"/>
    <col min="1793" max="1793" width="17.69921875" style="2468" customWidth="1"/>
    <col min="1794" max="1794" width="14.09765625" style="2468" customWidth="1"/>
    <col min="1795" max="1795" width="12.8984375" style="2468" customWidth="1"/>
    <col min="1796" max="1796" width="13.69921875" style="2468" customWidth="1"/>
    <col min="1797" max="1797" width="24.69921875" style="2468" customWidth="1"/>
    <col min="1798" max="1798" width="10.59765625" style="2468" customWidth="1"/>
    <col min="1799" max="1799" width="16" style="2468" customWidth="1"/>
    <col min="1800" max="1800" width="14.19921875" style="2468" customWidth="1"/>
    <col min="1801" max="1801" width="9.69921875" style="2468" customWidth="1"/>
    <col min="1802" max="2048" width="8.09765625" style="2468"/>
    <col min="2049" max="2049" width="17.69921875" style="2468" customWidth="1"/>
    <col min="2050" max="2050" width="14.09765625" style="2468" customWidth="1"/>
    <col min="2051" max="2051" width="12.8984375" style="2468" customWidth="1"/>
    <col min="2052" max="2052" width="13.69921875" style="2468" customWidth="1"/>
    <col min="2053" max="2053" width="24.69921875" style="2468" customWidth="1"/>
    <col min="2054" max="2054" width="10.59765625" style="2468" customWidth="1"/>
    <col min="2055" max="2055" width="16" style="2468" customWidth="1"/>
    <col min="2056" max="2056" width="14.19921875" style="2468" customWidth="1"/>
    <col min="2057" max="2057" width="9.69921875" style="2468" customWidth="1"/>
    <col min="2058" max="2304" width="8.09765625" style="2468"/>
    <col min="2305" max="2305" width="17.69921875" style="2468" customWidth="1"/>
    <col min="2306" max="2306" width="14.09765625" style="2468" customWidth="1"/>
    <col min="2307" max="2307" width="12.8984375" style="2468" customWidth="1"/>
    <col min="2308" max="2308" width="13.69921875" style="2468" customWidth="1"/>
    <col min="2309" max="2309" width="24.69921875" style="2468" customWidth="1"/>
    <col min="2310" max="2310" width="10.59765625" style="2468" customWidth="1"/>
    <col min="2311" max="2311" width="16" style="2468" customWidth="1"/>
    <col min="2312" max="2312" width="14.19921875" style="2468" customWidth="1"/>
    <col min="2313" max="2313" width="9.69921875" style="2468" customWidth="1"/>
    <col min="2314" max="2560" width="8.09765625" style="2468"/>
    <col min="2561" max="2561" width="17.69921875" style="2468" customWidth="1"/>
    <col min="2562" max="2562" width="14.09765625" style="2468" customWidth="1"/>
    <col min="2563" max="2563" width="12.8984375" style="2468" customWidth="1"/>
    <col min="2564" max="2564" width="13.69921875" style="2468" customWidth="1"/>
    <col min="2565" max="2565" width="24.69921875" style="2468" customWidth="1"/>
    <col min="2566" max="2566" width="10.59765625" style="2468" customWidth="1"/>
    <col min="2567" max="2567" width="16" style="2468" customWidth="1"/>
    <col min="2568" max="2568" width="14.19921875" style="2468" customWidth="1"/>
    <col min="2569" max="2569" width="9.69921875" style="2468" customWidth="1"/>
    <col min="2570" max="2816" width="8.09765625" style="2468"/>
    <col min="2817" max="2817" width="17.69921875" style="2468" customWidth="1"/>
    <col min="2818" max="2818" width="14.09765625" style="2468" customWidth="1"/>
    <col min="2819" max="2819" width="12.8984375" style="2468" customWidth="1"/>
    <col min="2820" max="2820" width="13.69921875" style="2468" customWidth="1"/>
    <col min="2821" max="2821" width="24.69921875" style="2468" customWidth="1"/>
    <col min="2822" max="2822" width="10.59765625" style="2468" customWidth="1"/>
    <col min="2823" max="2823" width="16" style="2468" customWidth="1"/>
    <col min="2824" max="2824" width="14.19921875" style="2468" customWidth="1"/>
    <col min="2825" max="2825" width="9.69921875" style="2468" customWidth="1"/>
    <col min="2826" max="3072" width="8.09765625" style="2468"/>
    <col min="3073" max="3073" width="17.69921875" style="2468" customWidth="1"/>
    <col min="3074" max="3074" width="14.09765625" style="2468" customWidth="1"/>
    <col min="3075" max="3075" width="12.8984375" style="2468" customWidth="1"/>
    <col min="3076" max="3076" width="13.69921875" style="2468" customWidth="1"/>
    <col min="3077" max="3077" width="24.69921875" style="2468" customWidth="1"/>
    <col min="3078" max="3078" width="10.59765625" style="2468" customWidth="1"/>
    <col min="3079" max="3079" width="16" style="2468" customWidth="1"/>
    <col min="3080" max="3080" width="14.19921875" style="2468" customWidth="1"/>
    <col min="3081" max="3081" width="9.69921875" style="2468" customWidth="1"/>
    <col min="3082" max="3328" width="8.09765625" style="2468"/>
    <col min="3329" max="3329" width="17.69921875" style="2468" customWidth="1"/>
    <col min="3330" max="3330" width="14.09765625" style="2468" customWidth="1"/>
    <col min="3331" max="3331" width="12.8984375" style="2468" customWidth="1"/>
    <col min="3332" max="3332" width="13.69921875" style="2468" customWidth="1"/>
    <col min="3333" max="3333" width="24.69921875" style="2468" customWidth="1"/>
    <col min="3334" max="3334" width="10.59765625" style="2468" customWidth="1"/>
    <col min="3335" max="3335" width="16" style="2468" customWidth="1"/>
    <col min="3336" max="3336" width="14.19921875" style="2468" customWidth="1"/>
    <col min="3337" max="3337" width="9.69921875" style="2468" customWidth="1"/>
    <col min="3338" max="3584" width="8.09765625" style="2468"/>
    <col min="3585" max="3585" width="17.69921875" style="2468" customWidth="1"/>
    <col min="3586" max="3586" width="14.09765625" style="2468" customWidth="1"/>
    <col min="3587" max="3587" width="12.8984375" style="2468" customWidth="1"/>
    <col min="3588" max="3588" width="13.69921875" style="2468" customWidth="1"/>
    <col min="3589" max="3589" width="24.69921875" style="2468" customWidth="1"/>
    <col min="3590" max="3590" width="10.59765625" style="2468" customWidth="1"/>
    <col min="3591" max="3591" width="16" style="2468" customWidth="1"/>
    <col min="3592" max="3592" width="14.19921875" style="2468" customWidth="1"/>
    <col min="3593" max="3593" width="9.69921875" style="2468" customWidth="1"/>
    <col min="3594" max="3840" width="8.09765625" style="2468"/>
    <col min="3841" max="3841" width="17.69921875" style="2468" customWidth="1"/>
    <col min="3842" max="3842" width="14.09765625" style="2468" customWidth="1"/>
    <col min="3843" max="3843" width="12.8984375" style="2468" customWidth="1"/>
    <col min="3844" max="3844" width="13.69921875" style="2468" customWidth="1"/>
    <col min="3845" max="3845" width="24.69921875" style="2468" customWidth="1"/>
    <col min="3846" max="3846" width="10.59765625" style="2468" customWidth="1"/>
    <col min="3847" max="3847" width="16" style="2468" customWidth="1"/>
    <col min="3848" max="3848" width="14.19921875" style="2468" customWidth="1"/>
    <col min="3849" max="3849" width="9.69921875" style="2468" customWidth="1"/>
    <col min="3850" max="4096" width="8.09765625" style="2468"/>
    <col min="4097" max="4097" width="17.69921875" style="2468" customWidth="1"/>
    <col min="4098" max="4098" width="14.09765625" style="2468" customWidth="1"/>
    <col min="4099" max="4099" width="12.8984375" style="2468" customWidth="1"/>
    <col min="4100" max="4100" width="13.69921875" style="2468" customWidth="1"/>
    <col min="4101" max="4101" width="24.69921875" style="2468" customWidth="1"/>
    <col min="4102" max="4102" width="10.59765625" style="2468" customWidth="1"/>
    <col min="4103" max="4103" width="16" style="2468" customWidth="1"/>
    <col min="4104" max="4104" width="14.19921875" style="2468" customWidth="1"/>
    <col min="4105" max="4105" width="9.69921875" style="2468" customWidth="1"/>
    <col min="4106" max="4352" width="8.09765625" style="2468"/>
    <col min="4353" max="4353" width="17.69921875" style="2468" customWidth="1"/>
    <col min="4354" max="4354" width="14.09765625" style="2468" customWidth="1"/>
    <col min="4355" max="4355" width="12.8984375" style="2468" customWidth="1"/>
    <col min="4356" max="4356" width="13.69921875" style="2468" customWidth="1"/>
    <col min="4357" max="4357" width="24.69921875" style="2468" customWidth="1"/>
    <col min="4358" max="4358" width="10.59765625" style="2468" customWidth="1"/>
    <col min="4359" max="4359" width="16" style="2468" customWidth="1"/>
    <col min="4360" max="4360" width="14.19921875" style="2468" customWidth="1"/>
    <col min="4361" max="4361" width="9.69921875" style="2468" customWidth="1"/>
    <col min="4362" max="4608" width="8.09765625" style="2468"/>
    <col min="4609" max="4609" width="17.69921875" style="2468" customWidth="1"/>
    <col min="4610" max="4610" width="14.09765625" style="2468" customWidth="1"/>
    <col min="4611" max="4611" width="12.8984375" style="2468" customWidth="1"/>
    <col min="4612" max="4612" width="13.69921875" style="2468" customWidth="1"/>
    <col min="4613" max="4613" width="24.69921875" style="2468" customWidth="1"/>
    <col min="4614" max="4614" width="10.59765625" style="2468" customWidth="1"/>
    <col min="4615" max="4615" width="16" style="2468" customWidth="1"/>
    <col min="4616" max="4616" width="14.19921875" style="2468" customWidth="1"/>
    <col min="4617" max="4617" width="9.69921875" style="2468" customWidth="1"/>
    <col min="4618" max="4864" width="8.09765625" style="2468"/>
    <col min="4865" max="4865" width="17.69921875" style="2468" customWidth="1"/>
    <col min="4866" max="4866" width="14.09765625" style="2468" customWidth="1"/>
    <col min="4867" max="4867" width="12.8984375" style="2468" customWidth="1"/>
    <col min="4868" max="4868" width="13.69921875" style="2468" customWidth="1"/>
    <col min="4869" max="4869" width="24.69921875" style="2468" customWidth="1"/>
    <col min="4870" max="4870" width="10.59765625" style="2468" customWidth="1"/>
    <col min="4871" max="4871" width="16" style="2468" customWidth="1"/>
    <col min="4872" max="4872" width="14.19921875" style="2468" customWidth="1"/>
    <col min="4873" max="4873" width="9.69921875" style="2468" customWidth="1"/>
    <col min="4874" max="5120" width="8.09765625" style="2468"/>
    <col min="5121" max="5121" width="17.69921875" style="2468" customWidth="1"/>
    <col min="5122" max="5122" width="14.09765625" style="2468" customWidth="1"/>
    <col min="5123" max="5123" width="12.8984375" style="2468" customWidth="1"/>
    <col min="5124" max="5124" width="13.69921875" style="2468" customWidth="1"/>
    <col min="5125" max="5125" width="24.69921875" style="2468" customWidth="1"/>
    <col min="5126" max="5126" width="10.59765625" style="2468" customWidth="1"/>
    <col min="5127" max="5127" width="16" style="2468" customWidth="1"/>
    <col min="5128" max="5128" width="14.19921875" style="2468" customWidth="1"/>
    <col min="5129" max="5129" width="9.69921875" style="2468" customWidth="1"/>
    <col min="5130" max="5376" width="8.09765625" style="2468"/>
    <col min="5377" max="5377" width="17.69921875" style="2468" customWidth="1"/>
    <col min="5378" max="5378" width="14.09765625" style="2468" customWidth="1"/>
    <col min="5379" max="5379" width="12.8984375" style="2468" customWidth="1"/>
    <col min="5380" max="5380" width="13.69921875" style="2468" customWidth="1"/>
    <col min="5381" max="5381" width="24.69921875" style="2468" customWidth="1"/>
    <col min="5382" max="5382" width="10.59765625" style="2468" customWidth="1"/>
    <col min="5383" max="5383" width="16" style="2468" customWidth="1"/>
    <col min="5384" max="5384" width="14.19921875" style="2468" customWidth="1"/>
    <col min="5385" max="5385" width="9.69921875" style="2468" customWidth="1"/>
    <col min="5386" max="5632" width="8.09765625" style="2468"/>
    <col min="5633" max="5633" width="17.69921875" style="2468" customWidth="1"/>
    <col min="5634" max="5634" width="14.09765625" style="2468" customWidth="1"/>
    <col min="5635" max="5635" width="12.8984375" style="2468" customWidth="1"/>
    <col min="5636" max="5636" width="13.69921875" style="2468" customWidth="1"/>
    <col min="5637" max="5637" width="24.69921875" style="2468" customWidth="1"/>
    <col min="5638" max="5638" width="10.59765625" style="2468" customWidth="1"/>
    <col min="5639" max="5639" width="16" style="2468" customWidth="1"/>
    <col min="5640" max="5640" width="14.19921875" style="2468" customWidth="1"/>
    <col min="5641" max="5641" width="9.69921875" style="2468" customWidth="1"/>
    <col min="5642" max="5888" width="8.09765625" style="2468"/>
    <col min="5889" max="5889" width="17.69921875" style="2468" customWidth="1"/>
    <col min="5890" max="5890" width="14.09765625" style="2468" customWidth="1"/>
    <col min="5891" max="5891" width="12.8984375" style="2468" customWidth="1"/>
    <col min="5892" max="5892" width="13.69921875" style="2468" customWidth="1"/>
    <col min="5893" max="5893" width="24.69921875" style="2468" customWidth="1"/>
    <col min="5894" max="5894" width="10.59765625" style="2468" customWidth="1"/>
    <col min="5895" max="5895" width="16" style="2468" customWidth="1"/>
    <col min="5896" max="5896" width="14.19921875" style="2468" customWidth="1"/>
    <col min="5897" max="5897" width="9.69921875" style="2468" customWidth="1"/>
    <col min="5898" max="6144" width="8.09765625" style="2468"/>
    <col min="6145" max="6145" width="17.69921875" style="2468" customWidth="1"/>
    <col min="6146" max="6146" width="14.09765625" style="2468" customWidth="1"/>
    <col min="6147" max="6147" width="12.8984375" style="2468" customWidth="1"/>
    <col min="6148" max="6148" width="13.69921875" style="2468" customWidth="1"/>
    <col min="6149" max="6149" width="24.69921875" style="2468" customWidth="1"/>
    <col min="6150" max="6150" width="10.59765625" style="2468" customWidth="1"/>
    <col min="6151" max="6151" width="16" style="2468" customWidth="1"/>
    <col min="6152" max="6152" width="14.19921875" style="2468" customWidth="1"/>
    <col min="6153" max="6153" width="9.69921875" style="2468" customWidth="1"/>
    <col min="6154" max="6400" width="8.09765625" style="2468"/>
    <col min="6401" max="6401" width="17.69921875" style="2468" customWidth="1"/>
    <col min="6402" max="6402" width="14.09765625" style="2468" customWidth="1"/>
    <col min="6403" max="6403" width="12.8984375" style="2468" customWidth="1"/>
    <col min="6404" max="6404" width="13.69921875" style="2468" customWidth="1"/>
    <col min="6405" max="6405" width="24.69921875" style="2468" customWidth="1"/>
    <col min="6406" max="6406" width="10.59765625" style="2468" customWidth="1"/>
    <col min="6407" max="6407" width="16" style="2468" customWidth="1"/>
    <col min="6408" max="6408" width="14.19921875" style="2468" customWidth="1"/>
    <col min="6409" max="6409" width="9.69921875" style="2468" customWidth="1"/>
    <col min="6410" max="6656" width="8.09765625" style="2468"/>
    <col min="6657" max="6657" width="17.69921875" style="2468" customWidth="1"/>
    <col min="6658" max="6658" width="14.09765625" style="2468" customWidth="1"/>
    <col min="6659" max="6659" width="12.8984375" style="2468" customWidth="1"/>
    <col min="6660" max="6660" width="13.69921875" style="2468" customWidth="1"/>
    <col min="6661" max="6661" width="24.69921875" style="2468" customWidth="1"/>
    <col min="6662" max="6662" width="10.59765625" style="2468" customWidth="1"/>
    <col min="6663" max="6663" width="16" style="2468" customWidth="1"/>
    <col min="6664" max="6664" width="14.19921875" style="2468" customWidth="1"/>
    <col min="6665" max="6665" width="9.69921875" style="2468" customWidth="1"/>
    <col min="6666" max="6912" width="8.09765625" style="2468"/>
    <col min="6913" max="6913" width="17.69921875" style="2468" customWidth="1"/>
    <col min="6914" max="6914" width="14.09765625" style="2468" customWidth="1"/>
    <col min="6915" max="6915" width="12.8984375" style="2468" customWidth="1"/>
    <col min="6916" max="6916" width="13.69921875" style="2468" customWidth="1"/>
    <col min="6917" max="6917" width="24.69921875" style="2468" customWidth="1"/>
    <col min="6918" max="6918" width="10.59765625" style="2468" customWidth="1"/>
    <col min="6919" max="6919" width="16" style="2468" customWidth="1"/>
    <col min="6920" max="6920" width="14.19921875" style="2468" customWidth="1"/>
    <col min="6921" max="6921" width="9.69921875" style="2468" customWidth="1"/>
    <col min="6922" max="7168" width="8.09765625" style="2468"/>
    <col min="7169" max="7169" width="17.69921875" style="2468" customWidth="1"/>
    <col min="7170" max="7170" width="14.09765625" style="2468" customWidth="1"/>
    <col min="7171" max="7171" width="12.8984375" style="2468" customWidth="1"/>
    <col min="7172" max="7172" width="13.69921875" style="2468" customWidth="1"/>
    <col min="7173" max="7173" width="24.69921875" style="2468" customWidth="1"/>
    <col min="7174" max="7174" width="10.59765625" style="2468" customWidth="1"/>
    <col min="7175" max="7175" width="16" style="2468" customWidth="1"/>
    <col min="7176" max="7176" width="14.19921875" style="2468" customWidth="1"/>
    <col min="7177" max="7177" width="9.69921875" style="2468" customWidth="1"/>
    <col min="7178" max="7424" width="8.09765625" style="2468"/>
    <col min="7425" max="7425" width="17.69921875" style="2468" customWidth="1"/>
    <col min="7426" max="7426" width="14.09765625" style="2468" customWidth="1"/>
    <col min="7427" max="7427" width="12.8984375" style="2468" customWidth="1"/>
    <col min="7428" max="7428" width="13.69921875" style="2468" customWidth="1"/>
    <col min="7429" max="7429" width="24.69921875" style="2468" customWidth="1"/>
    <col min="7430" max="7430" width="10.59765625" style="2468" customWidth="1"/>
    <col min="7431" max="7431" width="16" style="2468" customWidth="1"/>
    <col min="7432" max="7432" width="14.19921875" style="2468" customWidth="1"/>
    <col min="7433" max="7433" width="9.69921875" style="2468" customWidth="1"/>
    <col min="7434" max="7680" width="8.09765625" style="2468"/>
    <col min="7681" max="7681" width="17.69921875" style="2468" customWidth="1"/>
    <col min="7682" max="7682" width="14.09765625" style="2468" customWidth="1"/>
    <col min="7683" max="7683" width="12.8984375" style="2468" customWidth="1"/>
    <col min="7684" max="7684" width="13.69921875" style="2468" customWidth="1"/>
    <col min="7685" max="7685" width="24.69921875" style="2468" customWidth="1"/>
    <col min="7686" max="7686" width="10.59765625" style="2468" customWidth="1"/>
    <col min="7687" max="7687" width="16" style="2468" customWidth="1"/>
    <col min="7688" max="7688" width="14.19921875" style="2468" customWidth="1"/>
    <col min="7689" max="7689" width="9.69921875" style="2468" customWidth="1"/>
    <col min="7690" max="7936" width="8.09765625" style="2468"/>
    <col min="7937" max="7937" width="17.69921875" style="2468" customWidth="1"/>
    <col min="7938" max="7938" width="14.09765625" style="2468" customWidth="1"/>
    <col min="7939" max="7939" width="12.8984375" style="2468" customWidth="1"/>
    <col min="7940" max="7940" width="13.69921875" style="2468" customWidth="1"/>
    <col min="7941" max="7941" width="24.69921875" style="2468" customWidth="1"/>
    <col min="7942" max="7942" width="10.59765625" style="2468" customWidth="1"/>
    <col min="7943" max="7943" width="16" style="2468" customWidth="1"/>
    <col min="7944" max="7944" width="14.19921875" style="2468" customWidth="1"/>
    <col min="7945" max="7945" width="9.69921875" style="2468" customWidth="1"/>
    <col min="7946" max="8192" width="8.09765625" style="2468"/>
    <col min="8193" max="8193" width="17.69921875" style="2468" customWidth="1"/>
    <col min="8194" max="8194" width="14.09765625" style="2468" customWidth="1"/>
    <col min="8195" max="8195" width="12.8984375" style="2468" customWidth="1"/>
    <col min="8196" max="8196" width="13.69921875" style="2468" customWidth="1"/>
    <col min="8197" max="8197" width="24.69921875" style="2468" customWidth="1"/>
    <col min="8198" max="8198" width="10.59765625" style="2468" customWidth="1"/>
    <col min="8199" max="8199" width="16" style="2468" customWidth="1"/>
    <col min="8200" max="8200" width="14.19921875" style="2468" customWidth="1"/>
    <col min="8201" max="8201" width="9.69921875" style="2468" customWidth="1"/>
    <col min="8202" max="8448" width="8.09765625" style="2468"/>
    <col min="8449" max="8449" width="17.69921875" style="2468" customWidth="1"/>
    <col min="8450" max="8450" width="14.09765625" style="2468" customWidth="1"/>
    <col min="8451" max="8451" width="12.8984375" style="2468" customWidth="1"/>
    <col min="8452" max="8452" width="13.69921875" style="2468" customWidth="1"/>
    <col min="8453" max="8453" width="24.69921875" style="2468" customWidth="1"/>
    <col min="8454" max="8454" width="10.59765625" style="2468" customWidth="1"/>
    <col min="8455" max="8455" width="16" style="2468" customWidth="1"/>
    <col min="8456" max="8456" width="14.19921875" style="2468" customWidth="1"/>
    <col min="8457" max="8457" width="9.69921875" style="2468" customWidth="1"/>
    <col min="8458" max="8704" width="8.09765625" style="2468"/>
    <col min="8705" max="8705" width="17.69921875" style="2468" customWidth="1"/>
    <col min="8706" max="8706" width="14.09765625" style="2468" customWidth="1"/>
    <col min="8707" max="8707" width="12.8984375" style="2468" customWidth="1"/>
    <col min="8708" max="8708" width="13.69921875" style="2468" customWidth="1"/>
    <col min="8709" max="8709" width="24.69921875" style="2468" customWidth="1"/>
    <col min="8710" max="8710" width="10.59765625" style="2468" customWidth="1"/>
    <col min="8711" max="8711" width="16" style="2468" customWidth="1"/>
    <col min="8712" max="8712" width="14.19921875" style="2468" customWidth="1"/>
    <col min="8713" max="8713" width="9.69921875" style="2468" customWidth="1"/>
    <col min="8714" max="8960" width="8.09765625" style="2468"/>
    <col min="8961" max="8961" width="17.69921875" style="2468" customWidth="1"/>
    <col min="8962" max="8962" width="14.09765625" style="2468" customWidth="1"/>
    <col min="8963" max="8963" width="12.8984375" style="2468" customWidth="1"/>
    <col min="8964" max="8964" width="13.69921875" style="2468" customWidth="1"/>
    <col min="8965" max="8965" width="24.69921875" style="2468" customWidth="1"/>
    <col min="8966" max="8966" width="10.59765625" style="2468" customWidth="1"/>
    <col min="8967" max="8967" width="16" style="2468" customWidth="1"/>
    <col min="8968" max="8968" width="14.19921875" style="2468" customWidth="1"/>
    <col min="8969" max="8969" width="9.69921875" style="2468" customWidth="1"/>
    <col min="8970" max="9216" width="8.09765625" style="2468"/>
    <col min="9217" max="9217" width="17.69921875" style="2468" customWidth="1"/>
    <col min="9218" max="9218" width="14.09765625" style="2468" customWidth="1"/>
    <col min="9219" max="9219" width="12.8984375" style="2468" customWidth="1"/>
    <col min="9220" max="9220" width="13.69921875" style="2468" customWidth="1"/>
    <col min="9221" max="9221" width="24.69921875" style="2468" customWidth="1"/>
    <col min="9222" max="9222" width="10.59765625" style="2468" customWidth="1"/>
    <col min="9223" max="9223" width="16" style="2468" customWidth="1"/>
    <col min="9224" max="9224" width="14.19921875" style="2468" customWidth="1"/>
    <col min="9225" max="9225" width="9.69921875" style="2468" customWidth="1"/>
    <col min="9226" max="9472" width="8.09765625" style="2468"/>
    <col min="9473" max="9473" width="17.69921875" style="2468" customWidth="1"/>
    <col min="9474" max="9474" width="14.09765625" style="2468" customWidth="1"/>
    <col min="9475" max="9475" width="12.8984375" style="2468" customWidth="1"/>
    <col min="9476" max="9476" width="13.69921875" style="2468" customWidth="1"/>
    <col min="9477" max="9477" width="24.69921875" style="2468" customWidth="1"/>
    <col min="9478" max="9478" width="10.59765625" style="2468" customWidth="1"/>
    <col min="9479" max="9479" width="16" style="2468" customWidth="1"/>
    <col min="9480" max="9480" width="14.19921875" style="2468" customWidth="1"/>
    <col min="9481" max="9481" width="9.69921875" style="2468" customWidth="1"/>
    <col min="9482" max="9728" width="8.09765625" style="2468"/>
    <col min="9729" max="9729" width="17.69921875" style="2468" customWidth="1"/>
    <col min="9730" max="9730" width="14.09765625" style="2468" customWidth="1"/>
    <col min="9731" max="9731" width="12.8984375" style="2468" customWidth="1"/>
    <col min="9732" max="9732" width="13.69921875" style="2468" customWidth="1"/>
    <col min="9733" max="9733" width="24.69921875" style="2468" customWidth="1"/>
    <col min="9734" max="9734" width="10.59765625" style="2468" customWidth="1"/>
    <col min="9735" max="9735" width="16" style="2468" customWidth="1"/>
    <col min="9736" max="9736" width="14.19921875" style="2468" customWidth="1"/>
    <col min="9737" max="9737" width="9.69921875" style="2468" customWidth="1"/>
    <col min="9738" max="9984" width="8.09765625" style="2468"/>
    <col min="9985" max="9985" width="17.69921875" style="2468" customWidth="1"/>
    <col min="9986" max="9986" width="14.09765625" style="2468" customWidth="1"/>
    <col min="9987" max="9987" width="12.8984375" style="2468" customWidth="1"/>
    <col min="9988" max="9988" width="13.69921875" style="2468" customWidth="1"/>
    <col min="9989" max="9989" width="24.69921875" style="2468" customWidth="1"/>
    <col min="9990" max="9990" width="10.59765625" style="2468" customWidth="1"/>
    <col min="9991" max="9991" width="16" style="2468" customWidth="1"/>
    <col min="9992" max="9992" width="14.19921875" style="2468" customWidth="1"/>
    <col min="9993" max="9993" width="9.69921875" style="2468" customWidth="1"/>
    <col min="9994" max="10240" width="8.09765625" style="2468"/>
    <col min="10241" max="10241" width="17.69921875" style="2468" customWidth="1"/>
    <col min="10242" max="10242" width="14.09765625" style="2468" customWidth="1"/>
    <col min="10243" max="10243" width="12.8984375" style="2468" customWidth="1"/>
    <col min="10244" max="10244" width="13.69921875" style="2468" customWidth="1"/>
    <col min="10245" max="10245" width="24.69921875" style="2468" customWidth="1"/>
    <col min="10246" max="10246" width="10.59765625" style="2468" customWidth="1"/>
    <col min="10247" max="10247" width="16" style="2468" customWidth="1"/>
    <col min="10248" max="10248" width="14.19921875" style="2468" customWidth="1"/>
    <col min="10249" max="10249" width="9.69921875" style="2468" customWidth="1"/>
    <col min="10250" max="10496" width="8.09765625" style="2468"/>
    <col min="10497" max="10497" width="17.69921875" style="2468" customWidth="1"/>
    <col min="10498" max="10498" width="14.09765625" style="2468" customWidth="1"/>
    <col min="10499" max="10499" width="12.8984375" style="2468" customWidth="1"/>
    <col min="10500" max="10500" width="13.69921875" style="2468" customWidth="1"/>
    <col min="10501" max="10501" width="24.69921875" style="2468" customWidth="1"/>
    <col min="10502" max="10502" width="10.59765625" style="2468" customWidth="1"/>
    <col min="10503" max="10503" width="16" style="2468" customWidth="1"/>
    <col min="10504" max="10504" width="14.19921875" style="2468" customWidth="1"/>
    <col min="10505" max="10505" width="9.69921875" style="2468" customWidth="1"/>
    <col min="10506" max="10752" width="8.09765625" style="2468"/>
    <col min="10753" max="10753" width="17.69921875" style="2468" customWidth="1"/>
    <col min="10754" max="10754" width="14.09765625" style="2468" customWidth="1"/>
    <col min="10755" max="10755" width="12.8984375" style="2468" customWidth="1"/>
    <col min="10756" max="10756" width="13.69921875" style="2468" customWidth="1"/>
    <col min="10757" max="10757" width="24.69921875" style="2468" customWidth="1"/>
    <col min="10758" max="10758" width="10.59765625" style="2468" customWidth="1"/>
    <col min="10759" max="10759" width="16" style="2468" customWidth="1"/>
    <col min="10760" max="10760" width="14.19921875" style="2468" customWidth="1"/>
    <col min="10761" max="10761" width="9.69921875" style="2468" customWidth="1"/>
    <col min="10762" max="11008" width="8.09765625" style="2468"/>
    <col min="11009" max="11009" width="17.69921875" style="2468" customWidth="1"/>
    <col min="11010" max="11010" width="14.09765625" style="2468" customWidth="1"/>
    <col min="11011" max="11011" width="12.8984375" style="2468" customWidth="1"/>
    <col min="11012" max="11012" width="13.69921875" style="2468" customWidth="1"/>
    <col min="11013" max="11013" width="24.69921875" style="2468" customWidth="1"/>
    <col min="11014" max="11014" width="10.59765625" style="2468" customWidth="1"/>
    <col min="11015" max="11015" width="16" style="2468" customWidth="1"/>
    <col min="11016" max="11016" width="14.19921875" style="2468" customWidth="1"/>
    <col min="11017" max="11017" width="9.69921875" style="2468" customWidth="1"/>
    <col min="11018" max="11264" width="8.09765625" style="2468"/>
    <col min="11265" max="11265" width="17.69921875" style="2468" customWidth="1"/>
    <col min="11266" max="11266" width="14.09765625" style="2468" customWidth="1"/>
    <col min="11267" max="11267" width="12.8984375" style="2468" customWidth="1"/>
    <col min="11268" max="11268" width="13.69921875" style="2468" customWidth="1"/>
    <col min="11269" max="11269" width="24.69921875" style="2468" customWidth="1"/>
    <col min="11270" max="11270" width="10.59765625" style="2468" customWidth="1"/>
    <col min="11271" max="11271" width="16" style="2468" customWidth="1"/>
    <col min="11272" max="11272" width="14.19921875" style="2468" customWidth="1"/>
    <col min="11273" max="11273" width="9.69921875" style="2468" customWidth="1"/>
    <col min="11274" max="11520" width="8.09765625" style="2468"/>
    <col min="11521" max="11521" width="17.69921875" style="2468" customWidth="1"/>
    <col min="11522" max="11522" width="14.09765625" style="2468" customWidth="1"/>
    <col min="11523" max="11523" width="12.8984375" style="2468" customWidth="1"/>
    <col min="11524" max="11524" width="13.69921875" style="2468" customWidth="1"/>
    <col min="11525" max="11525" width="24.69921875" style="2468" customWidth="1"/>
    <col min="11526" max="11526" width="10.59765625" style="2468" customWidth="1"/>
    <col min="11527" max="11527" width="16" style="2468" customWidth="1"/>
    <col min="11528" max="11528" width="14.19921875" style="2468" customWidth="1"/>
    <col min="11529" max="11529" width="9.69921875" style="2468" customWidth="1"/>
    <col min="11530" max="11776" width="8.09765625" style="2468"/>
    <col min="11777" max="11777" width="17.69921875" style="2468" customWidth="1"/>
    <col min="11778" max="11778" width="14.09765625" style="2468" customWidth="1"/>
    <col min="11779" max="11779" width="12.8984375" style="2468" customWidth="1"/>
    <col min="11780" max="11780" width="13.69921875" style="2468" customWidth="1"/>
    <col min="11781" max="11781" width="24.69921875" style="2468" customWidth="1"/>
    <col min="11782" max="11782" width="10.59765625" style="2468" customWidth="1"/>
    <col min="11783" max="11783" width="16" style="2468" customWidth="1"/>
    <col min="11784" max="11784" width="14.19921875" style="2468" customWidth="1"/>
    <col min="11785" max="11785" width="9.69921875" style="2468" customWidth="1"/>
    <col min="11786" max="12032" width="8.09765625" style="2468"/>
    <col min="12033" max="12033" width="17.69921875" style="2468" customWidth="1"/>
    <col min="12034" max="12034" width="14.09765625" style="2468" customWidth="1"/>
    <col min="12035" max="12035" width="12.8984375" style="2468" customWidth="1"/>
    <col min="12036" max="12036" width="13.69921875" style="2468" customWidth="1"/>
    <col min="12037" max="12037" width="24.69921875" style="2468" customWidth="1"/>
    <col min="12038" max="12038" width="10.59765625" style="2468" customWidth="1"/>
    <col min="12039" max="12039" width="16" style="2468" customWidth="1"/>
    <col min="12040" max="12040" width="14.19921875" style="2468" customWidth="1"/>
    <col min="12041" max="12041" width="9.69921875" style="2468" customWidth="1"/>
    <col min="12042" max="12288" width="8.09765625" style="2468"/>
    <col min="12289" max="12289" width="17.69921875" style="2468" customWidth="1"/>
    <col min="12290" max="12290" width="14.09765625" style="2468" customWidth="1"/>
    <col min="12291" max="12291" width="12.8984375" style="2468" customWidth="1"/>
    <col min="12292" max="12292" width="13.69921875" style="2468" customWidth="1"/>
    <col min="12293" max="12293" width="24.69921875" style="2468" customWidth="1"/>
    <col min="12294" max="12294" width="10.59765625" style="2468" customWidth="1"/>
    <col min="12295" max="12295" width="16" style="2468" customWidth="1"/>
    <col min="12296" max="12296" width="14.19921875" style="2468" customWidth="1"/>
    <col min="12297" max="12297" width="9.69921875" style="2468" customWidth="1"/>
    <col min="12298" max="12544" width="8.09765625" style="2468"/>
    <col min="12545" max="12545" width="17.69921875" style="2468" customWidth="1"/>
    <col min="12546" max="12546" width="14.09765625" style="2468" customWidth="1"/>
    <col min="12547" max="12547" width="12.8984375" style="2468" customWidth="1"/>
    <col min="12548" max="12548" width="13.69921875" style="2468" customWidth="1"/>
    <col min="12549" max="12549" width="24.69921875" style="2468" customWidth="1"/>
    <col min="12550" max="12550" width="10.59765625" style="2468" customWidth="1"/>
    <col min="12551" max="12551" width="16" style="2468" customWidth="1"/>
    <col min="12552" max="12552" width="14.19921875" style="2468" customWidth="1"/>
    <col min="12553" max="12553" width="9.69921875" style="2468" customWidth="1"/>
    <col min="12554" max="12800" width="8.09765625" style="2468"/>
    <col min="12801" max="12801" width="17.69921875" style="2468" customWidth="1"/>
    <col min="12802" max="12802" width="14.09765625" style="2468" customWidth="1"/>
    <col min="12803" max="12803" width="12.8984375" style="2468" customWidth="1"/>
    <col min="12804" max="12804" width="13.69921875" style="2468" customWidth="1"/>
    <col min="12805" max="12805" width="24.69921875" style="2468" customWidth="1"/>
    <col min="12806" max="12806" width="10.59765625" style="2468" customWidth="1"/>
    <col min="12807" max="12807" width="16" style="2468" customWidth="1"/>
    <col min="12808" max="12808" width="14.19921875" style="2468" customWidth="1"/>
    <col min="12809" max="12809" width="9.69921875" style="2468" customWidth="1"/>
    <col min="12810" max="13056" width="8.09765625" style="2468"/>
    <col min="13057" max="13057" width="17.69921875" style="2468" customWidth="1"/>
    <col min="13058" max="13058" width="14.09765625" style="2468" customWidth="1"/>
    <col min="13059" max="13059" width="12.8984375" style="2468" customWidth="1"/>
    <col min="13060" max="13060" width="13.69921875" style="2468" customWidth="1"/>
    <col min="13061" max="13061" width="24.69921875" style="2468" customWidth="1"/>
    <col min="13062" max="13062" width="10.59765625" style="2468" customWidth="1"/>
    <col min="13063" max="13063" width="16" style="2468" customWidth="1"/>
    <col min="13064" max="13064" width="14.19921875" style="2468" customWidth="1"/>
    <col min="13065" max="13065" width="9.69921875" style="2468" customWidth="1"/>
    <col min="13066" max="13312" width="8.09765625" style="2468"/>
    <col min="13313" max="13313" width="17.69921875" style="2468" customWidth="1"/>
    <col min="13314" max="13314" width="14.09765625" style="2468" customWidth="1"/>
    <col min="13315" max="13315" width="12.8984375" style="2468" customWidth="1"/>
    <col min="13316" max="13316" width="13.69921875" style="2468" customWidth="1"/>
    <col min="13317" max="13317" width="24.69921875" style="2468" customWidth="1"/>
    <col min="13318" max="13318" width="10.59765625" style="2468" customWidth="1"/>
    <col min="13319" max="13319" width="16" style="2468" customWidth="1"/>
    <col min="13320" max="13320" width="14.19921875" style="2468" customWidth="1"/>
    <col min="13321" max="13321" width="9.69921875" style="2468" customWidth="1"/>
    <col min="13322" max="13568" width="8.09765625" style="2468"/>
    <col min="13569" max="13569" width="17.69921875" style="2468" customWidth="1"/>
    <col min="13570" max="13570" width="14.09765625" style="2468" customWidth="1"/>
    <col min="13571" max="13571" width="12.8984375" style="2468" customWidth="1"/>
    <col min="13572" max="13572" width="13.69921875" style="2468" customWidth="1"/>
    <col min="13573" max="13573" width="24.69921875" style="2468" customWidth="1"/>
    <col min="13574" max="13574" width="10.59765625" style="2468" customWidth="1"/>
    <col min="13575" max="13575" width="16" style="2468" customWidth="1"/>
    <col min="13576" max="13576" width="14.19921875" style="2468" customWidth="1"/>
    <col min="13577" max="13577" width="9.69921875" style="2468" customWidth="1"/>
    <col min="13578" max="13824" width="8.09765625" style="2468"/>
    <col min="13825" max="13825" width="17.69921875" style="2468" customWidth="1"/>
    <col min="13826" max="13826" width="14.09765625" style="2468" customWidth="1"/>
    <col min="13827" max="13827" width="12.8984375" style="2468" customWidth="1"/>
    <col min="13828" max="13828" width="13.69921875" style="2468" customWidth="1"/>
    <col min="13829" max="13829" width="24.69921875" style="2468" customWidth="1"/>
    <col min="13830" max="13830" width="10.59765625" style="2468" customWidth="1"/>
    <col min="13831" max="13831" width="16" style="2468" customWidth="1"/>
    <col min="13832" max="13832" width="14.19921875" style="2468" customWidth="1"/>
    <col min="13833" max="13833" width="9.69921875" style="2468" customWidth="1"/>
    <col min="13834" max="14080" width="8.09765625" style="2468"/>
    <col min="14081" max="14081" width="17.69921875" style="2468" customWidth="1"/>
    <col min="14082" max="14082" width="14.09765625" style="2468" customWidth="1"/>
    <col min="14083" max="14083" width="12.8984375" style="2468" customWidth="1"/>
    <col min="14084" max="14084" width="13.69921875" style="2468" customWidth="1"/>
    <col min="14085" max="14085" width="24.69921875" style="2468" customWidth="1"/>
    <col min="14086" max="14086" width="10.59765625" style="2468" customWidth="1"/>
    <col min="14087" max="14087" width="16" style="2468" customWidth="1"/>
    <col min="14088" max="14088" width="14.19921875" style="2468" customWidth="1"/>
    <col min="14089" max="14089" width="9.69921875" style="2468" customWidth="1"/>
    <col min="14090" max="14336" width="8.09765625" style="2468"/>
    <col min="14337" max="14337" width="17.69921875" style="2468" customWidth="1"/>
    <col min="14338" max="14338" width="14.09765625" style="2468" customWidth="1"/>
    <col min="14339" max="14339" width="12.8984375" style="2468" customWidth="1"/>
    <col min="14340" max="14340" width="13.69921875" style="2468" customWidth="1"/>
    <col min="14341" max="14341" width="24.69921875" style="2468" customWidth="1"/>
    <col min="14342" max="14342" width="10.59765625" style="2468" customWidth="1"/>
    <col min="14343" max="14343" width="16" style="2468" customWidth="1"/>
    <col min="14344" max="14344" width="14.19921875" style="2468" customWidth="1"/>
    <col min="14345" max="14345" width="9.69921875" style="2468" customWidth="1"/>
    <col min="14346" max="14592" width="8.09765625" style="2468"/>
    <col min="14593" max="14593" width="17.69921875" style="2468" customWidth="1"/>
    <col min="14594" max="14594" width="14.09765625" style="2468" customWidth="1"/>
    <col min="14595" max="14595" width="12.8984375" style="2468" customWidth="1"/>
    <col min="14596" max="14596" width="13.69921875" style="2468" customWidth="1"/>
    <col min="14597" max="14597" width="24.69921875" style="2468" customWidth="1"/>
    <col min="14598" max="14598" width="10.59765625" style="2468" customWidth="1"/>
    <col min="14599" max="14599" width="16" style="2468" customWidth="1"/>
    <col min="14600" max="14600" width="14.19921875" style="2468" customWidth="1"/>
    <col min="14601" max="14601" width="9.69921875" style="2468" customWidth="1"/>
    <col min="14602" max="14848" width="8.09765625" style="2468"/>
    <col min="14849" max="14849" width="17.69921875" style="2468" customWidth="1"/>
    <col min="14850" max="14850" width="14.09765625" style="2468" customWidth="1"/>
    <col min="14851" max="14851" width="12.8984375" style="2468" customWidth="1"/>
    <col min="14852" max="14852" width="13.69921875" style="2468" customWidth="1"/>
    <col min="14853" max="14853" width="24.69921875" style="2468" customWidth="1"/>
    <col min="14854" max="14854" width="10.59765625" style="2468" customWidth="1"/>
    <col min="14855" max="14855" width="16" style="2468" customWidth="1"/>
    <col min="14856" max="14856" width="14.19921875" style="2468" customWidth="1"/>
    <col min="14857" max="14857" width="9.69921875" style="2468" customWidth="1"/>
    <col min="14858" max="15104" width="8.09765625" style="2468"/>
    <col min="15105" max="15105" width="17.69921875" style="2468" customWidth="1"/>
    <col min="15106" max="15106" width="14.09765625" style="2468" customWidth="1"/>
    <col min="15107" max="15107" width="12.8984375" style="2468" customWidth="1"/>
    <col min="15108" max="15108" width="13.69921875" style="2468" customWidth="1"/>
    <col min="15109" max="15109" width="24.69921875" style="2468" customWidth="1"/>
    <col min="15110" max="15110" width="10.59765625" style="2468" customWidth="1"/>
    <col min="15111" max="15111" width="16" style="2468" customWidth="1"/>
    <col min="15112" max="15112" width="14.19921875" style="2468" customWidth="1"/>
    <col min="15113" max="15113" width="9.69921875" style="2468" customWidth="1"/>
    <col min="15114" max="15360" width="8.09765625" style="2468"/>
    <col min="15361" max="15361" width="17.69921875" style="2468" customWidth="1"/>
    <col min="15362" max="15362" width="14.09765625" style="2468" customWidth="1"/>
    <col min="15363" max="15363" width="12.8984375" style="2468" customWidth="1"/>
    <col min="15364" max="15364" width="13.69921875" style="2468" customWidth="1"/>
    <col min="15365" max="15365" width="24.69921875" style="2468" customWidth="1"/>
    <col min="15366" max="15366" width="10.59765625" style="2468" customWidth="1"/>
    <col min="15367" max="15367" width="16" style="2468" customWidth="1"/>
    <col min="15368" max="15368" width="14.19921875" style="2468" customWidth="1"/>
    <col min="15369" max="15369" width="9.69921875" style="2468" customWidth="1"/>
    <col min="15370" max="15616" width="8.09765625" style="2468"/>
    <col min="15617" max="15617" width="17.69921875" style="2468" customWidth="1"/>
    <col min="15618" max="15618" width="14.09765625" style="2468" customWidth="1"/>
    <col min="15619" max="15619" width="12.8984375" style="2468" customWidth="1"/>
    <col min="15620" max="15620" width="13.69921875" style="2468" customWidth="1"/>
    <col min="15621" max="15621" width="24.69921875" style="2468" customWidth="1"/>
    <col min="15622" max="15622" width="10.59765625" style="2468" customWidth="1"/>
    <col min="15623" max="15623" width="16" style="2468" customWidth="1"/>
    <col min="15624" max="15624" width="14.19921875" style="2468" customWidth="1"/>
    <col min="15625" max="15625" width="9.69921875" style="2468" customWidth="1"/>
    <col min="15626" max="15872" width="8.09765625" style="2468"/>
    <col min="15873" max="15873" width="17.69921875" style="2468" customWidth="1"/>
    <col min="15874" max="15874" width="14.09765625" style="2468" customWidth="1"/>
    <col min="15875" max="15875" width="12.8984375" style="2468" customWidth="1"/>
    <col min="15876" max="15876" width="13.69921875" style="2468" customWidth="1"/>
    <col min="15877" max="15877" width="24.69921875" style="2468" customWidth="1"/>
    <col min="15878" max="15878" width="10.59765625" style="2468" customWidth="1"/>
    <col min="15879" max="15879" width="16" style="2468" customWidth="1"/>
    <col min="15880" max="15880" width="14.19921875" style="2468" customWidth="1"/>
    <col min="15881" max="15881" width="9.69921875" style="2468" customWidth="1"/>
    <col min="15882" max="16128" width="8.09765625" style="2468"/>
    <col min="16129" max="16129" width="17.69921875" style="2468" customWidth="1"/>
    <col min="16130" max="16130" width="14.09765625" style="2468" customWidth="1"/>
    <col min="16131" max="16131" width="12.8984375" style="2468" customWidth="1"/>
    <col min="16132" max="16132" width="13.69921875" style="2468" customWidth="1"/>
    <col min="16133" max="16133" width="24.69921875" style="2468" customWidth="1"/>
    <col min="16134" max="16134" width="10.59765625" style="2468" customWidth="1"/>
    <col min="16135" max="16135" width="16" style="2468" customWidth="1"/>
    <col min="16136" max="16136" width="14.19921875" style="2468" customWidth="1"/>
    <col min="16137" max="16137" width="9.69921875" style="2468" customWidth="1"/>
    <col min="16138" max="16384" width="8.09765625" style="2468"/>
  </cols>
  <sheetData>
    <row r="1" spans="1:9" ht="17.100000000000001" customHeight="1">
      <c r="A1" s="4015" t="s">
        <v>7217</v>
      </c>
      <c r="B1" s="4015"/>
      <c r="C1" s="4015"/>
      <c r="D1" s="4015"/>
      <c r="E1" s="4015"/>
      <c r="F1" s="4015"/>
      <c r="G1" s="4015"/>
      <c r="H1" s="4015"/>
      <c r="I1" s="4015"/>
    </row>
    <row r="2" spans="1:9" ht="24" customHeight="1">
      <c r="A2" s="2729" t="s">
        <v>7415</v>
      </c>
      <c r="B2" s="2729"/>
      <c r="C2" s="2729"/>
      <c r="D2" s="2729"/>
      <c r="E2" s="2729"/>
      <c r="F2" s="2729"/>
      <c r="G2" s="2729"/>
      <c r="H2" s="2729"/>
      <c r="I2" s="2729"/>
    </row>
    <row r="3" spans="1:9" ht="25.2" customHeight="1">
      <c r="A3" s="4025" t="s">
        <v>7218</v>
      </c>
      <c r="B3" s="4025"/>
      <c r="C3" s="2469"/>
      <c r="D3" s="4025" t="s">
        <v>7219</v>
      </c>
      <c r="E3" s="4025"/>
      <c r="F3" s="2501"/>
      <c r="G3" s="4022" t="s">
        <v>7220</v>
      </c>
      <c r="H3" s="4022"/>
      <c r="I3" s="2501"/>
    </row>
    <row r="4" spans="1:9" ht="25.2" customHeight="1">
      <c r="A4" s="4025" t="s">
        <v>7221</v>
      </c>
      <c r="B4" s="4025"/>
      <c r="C4" s="2469"/>
      <c r="D4" s="4025" t="s">
        <v>7222</v>
      </c>
      <c r="E4" s="4025"/>
      <c r="F4" s="2501"/>
      <c r="G4" s="4025" t="s">
        <v>7223</v>
      </c>
      <c r="H4" s="4025"/>
      <c r="I4" s="2501"/>
    </row>
    <row r="5" spans="1:9" ht="25.2" customHeight="1">
      <c r="A5" s="4022" t="s">
        <v>7224</v>
      </c>
      <c r="B5" s="4022"/>
      <c r="C5" s="2469"/>
      <c r="D5" s="4025" t="s">
        <v>7225</v>
      </c>
      <c r="E5" s="4025"/>
      <c r="F5" s="4005"/>
      <c r="G5" s="4025" t="s">
        <v>7226</v>
      </c>
      <c r="H5" s="4025"/>
      <c r="I5" s="4005"/>
    </row>
    <row r="6" spans="1:9" ht="25.2" customHeight="1">
      <c r="A6" s="4022" t="s">
        <v>7227</v>
      </c>
      <c r="B6" s="4022"/>
      <c r="C6" s="2469"/>
      <c r="D6" s="4025"/>
      <c r="E6" s="4025"/>
      <c r="F6" s="4005"/>
      <c r="G6" s="4025"/>
      <c r="H6" s="4025"/>
      <c r="I6" s="4005"/>
    </row>
    <row r="7" spans="1:9" ht="25.2" customHeight="1">
      <c r="A7" s="4022" t="s">
        <v>7228</v>
      </c>
      <c r="B7" s="4022"/>
      <c r="C7" s="2469"/>
      <c r="D7" s="4025" t="s">
        <v>7229</v>
      </c>
      <c r="E7" s="4025"/>
      <c r="F7" s="4005"/>
      <c r="G7" s="4025" t="s">
        <v>7230</v>
      </c>
      <c r="H7" s="4025"/>
      <c r="I7" s="4005"/>
    </row>
    <row r="8" spans="1:9" ht="25.2" customHeight="1">
      <c r="A8" s="4022" t="s">
        <v>7231</v>
      </c>
      <c r="B8" s="4022"/>
      <c r="C8" s="2469"/>
      <c r="D8" s="4025"/>
      <c r="E8" s="4025"/>
      <c r="F8" s="4005"/>
      <c r="G8" s="4025"/>
      <c r="H8" s="4025"/>
      <c r="I8" s="4005"/>
    </row>
    <row r="9" spans="1:9" ht="25.2" customHeight="1">
      <c r="A9" s="4022" t="s">
        <v>7232</v>
      </c>
      <c r="B9" s="4022"/>
      <c r="C9" s="2469"/>
      <c r="D9" s="4025" t="s">
        <v>7233</v>
      </c>
      <c r="E9" s="4025"/>
      <c r="F9" s="4005"/>
      <c r="G9" s="4025" t="s">
        <v>7234</v>
      </c>
      <c r="H9" s="4025"/>
      <c r="I9" s="4005"/>
    </row>
    <row r="10" spans="1:9" ht="25.2" customHeight="1">
      <c r="A10" s="4022" t="s">
        <v>7235</v>
      </c>
      <c r="B10" s="4022"/>
      <c r="C10" s="2469"/>
      <c r="D10" s="4025"/>
      <c r="E10" s="4025"/>
      <c r="F10" s="4005"/>
      <c r="G10" s="4025"/>
      <c r="H10" s="4025"/>
      <c r="I10" s="4005"/>
    </row>
    <row r="11" spans="1:9" ht="25.2" customHeight="1">
      <c r="A11" s="4022" t="s">
        <v>7236</v>
      </c>
      <c r="B11" s="4022"/>
      <c r="C11" s="2469"/>
      <c r="D11" s="4025" t="s">
        <v>7237</v>
      </c>
      <c r="E11" s="4025"/>
      <c r="F11" s="4005"/>
      <c r="G11" s="4025" t="s">
        <v>7238</v>
      </c>
      <c r="H11" s="4025"/>
      <c r="I11" s="4005"/>
    </row>
    <row r="12" spans="1:9" ht="25.2" customHeight="1">
      <c r="A12" s="4022" t="s">
        <v>7239</v>
      </c>
      <c r="B12" s="4022"/>
      <c r="C12" s="2469"/>
      <c r="D12" s="4025"/>
      <c r="E12" s="4025"/>
      <c r="F12" s="4005"/>
      <c r="G12" s="4025"/>
      <c r="H12" s="4025"/>
      <c r="I12" s="4005"/>
    </row>
    <row r="13" spans="1:9" ht="25.2" customHeight="1">
      <c r="A13" s="4022" t="s">
        <v>7240</v>
      </c>
      <c r="B13" s="4022"/>
      <c r="C13" s="2469"/>
      <c r="D13" s="4025" t="s">
        <v>7241</v>
      </c>
      <c r="E13" s="4025"/>
      <c r="F13" s="4005"/>
      <c r="G13" s="4025" t="s">
        <v>7242</v>
      </c>
      <c r="H13" s="4025"/>
      <c r="I13" s="4005"/>
    </row>
    <row r="14" spans="1:9" ht="25.2" customHeight="1">
      <c r="A14" s="4022" t="s">
        <v>7243</v>
      </c>
      <c r="B14" s="4022"/>
      <c r="C14" s="2469"/>
      <c r="D14" s="4025"/>
      <c r="E14" s="4025"/>
      <c r="F14" s="4005"/>
      <c r="G14" s="4025"/>
      <c r="H14" s="4025"/>
      <c r="I14" s="4005"/>
    </row>
    <row r="15" spans="1:9" ht="25.2" customHeight="1">
      <c r="A15" s="4022" t="s">
        <v>7244</v>
      </c>
      <c r="B15" s="4022"/>
      <c r="C15" s="2469"/>
      <c r="D15" s="4025" t="s">
        <v>7245</v>
      </c>
      <c r="E15" s="4025"/>
      <c r="F15" s="4005"/>
      <c r="G15" s="4025" t="s">
        <v>7246</v>
      </c>
      <c r="H15" s="4025"/>
      <c r="I15" s="4005"/>
    </row>
    <row r="16" spans="1:9" ht="25.2" customHeight="1">
      <c r="A16" s="4022" t="s">
        <v>7247</v>
      </c>
      <c r="B16" s="4022"/>
      <c r="C16" s="2469"/>
      <c r="D16" s="4025"/>
      <c r="E16" s="4025"/>
      <c r="F16" s="4005"/>
      <c r="G16" s="4025"/>
      <c r="H16" s="4025"/>
      <c r="I16" s="4005"/>
    </row>
    <row r="17" spans="1:9" ht="25.2" customHeight="1">
      <c r="A17" s="4022" t="s">
        <v>7248</v>
      </c>
      <c r="B17" s="4022"/>
      <c r="C17" s="2469"/>
      <c r="D17" s="4025" t="s">
        <v>7249</v>
      </c>
      <c r="E17" s="4025"/>
      <c r="F17" s="4005"/>
      <c r="G17" s="4026" t="s">
        <v>7250</v>
      </c>
      <c r="H17" s="4026"/>
      <c r="I17" s="4005"/>
    </row>
    <row r="18" spans="1:9" ht="25.2" customHeight="1">
      <c r="A18" s="4022" t="s">
        <v>7251</v>
      </c>
      <c r="B18" s="4022"/>
      <c r="C18" s="2469"/>
      <c r="D18" s="4025"/>
      <c r="E18" s="4025"/>
      <c r="F18" s="4005"/>
      <c r="G18" s="4026"/>
      <c r="H18" s="4026"/>
      <c r="I18" s="4005"/>
    </row>
    <row r="19" spans="1:9" ht="25.2" customHeight="1">
      <c r="A19" s="4022" t="s">
        <v>7252</v>
      </c>
      <c r="B19" s="4022"/>
      <c r="C19" s="4022"/>
      <c r="D19" s="4024"/>
      <c r="E19" s="4024"/>
      <c r="F19" s="4002" t="s">
        <v>7253</v>
      </c>
      <c r="G19" s="4002"/>
      <c r="H19" s="4002"/>
      <c r="I19" s="2524"/>
    </row>
    <row r="20" spans="1:9" ht="25.2" customHeight="1">
      <c r="A20" s="4002" t="s">
        <v>7254</v>
      </c>
      <c r="B20" s="4002"/>
      <c r="C20" s="2524"/>
      <c r="D20" s="4002" t="s">
        <v>7255</v>
      </c>
      <c r="E20" s="4002"/>
      <c r="F20" s="2524"/>
      <c r="G20" s="4002" t="s">
        <v>7256</v>
      </c>
      <c r="H20" s="4002"/>
      <c r="I20" s="2524"/>
    </row>
    <row r="21" spans="1:9" ht="25.2" customHeight="1">
      <c r="A21" s="4002" t="s">
        <v>7257</v>
      </c>
      <c r="B21" s="4002"/>
      <c r="C21" s="2501"/>
      <c r="D21" s="4002" t="s">
        <v>7258</v>
      </c>
      <c r="E21" s="4002"/>
      <c r="F21" s="2501"/>
      <c r="G21" s="4002" t="s">
        <v>7259</v>
      </c>
      <c r="H21" s="4002"/>
      <c r="I21" s="2531"/>
    </row>
    <row r="22" spans="1:9" ht="25.2" customHeight="1">
      <c r="A22" s="4002" t="s">
        <v>7260</v>
      </c>
      <c r="B22" s="4002"/>
      <c r="C22" s="4002"/>
      <c r="D22" s="4002"/>
      <c r="E22" s="4002"/>
      <c r="F22" s="4014"/>
      <c r="G22" s="4014"/>
      <c r="H22" s="4014"/>
      <c r="I22" s="4014"/>
    </row>
    <row r="23" spans="1:9" ht="17.100000000000001" customHeight="1">
      <c r="A23" s="4002" t="s">
        <v>7261</v>
      </c>
      <c r="B23" s="2507" t="s">
        <v>284</v>
      </c>
      <c r="C23" s="2507" t="s">
        <v>7262</v>
      </c>
      <c r="D23" s="2507" t="s">
        <v>7263</v>
      </c>
      <c r="E23" s="2507" t="s">
        <v>7406</v>
      </c>
      <c r="F23" s="4023" t="s">
        <v>7265</v>
      </c>
      <c r="G23" s="4002" t="s">
        <v>7266</v>
      </c>
      <c r="H23" s="4002"/>
      <c r="I23" s="4002"/>
    </row>
    <row r="24" spans="1:9" ht="17.100000000000001" customHeight="1">
      <c r="A24" s="4002"/>
      <c r="B24" s="1571"/>
      <c r="C24" s="2526"/>
      <c r="D24" s="2526"/>
      <c r="E24" s="2526"/>
      <c r="F24" s="4023"/>
      <c r="G24" s="2507" t="s">
        <v>284</v>
      </c>
      <c r="H24" s="2507" t="s">
        <v>7262</v>
      </c>
      <c r="I24" s="2507" t="s">
        <v>1255</v>
      </c>
    </row>
    <row r="25" spans="1:9" ht="17.100000000000001" customHeight="1">
      <c r="A25" s="4002"/>
      <c r="B25" s="1571"/>
      <c r="C25" s="2526"/>
      <c r="D25" s="2526"/>
      <c r="E25" s="2526"/>
      <c r="F25" s="4023"/>
      <c r="G25" s="2481"/>
      <c r="H25" s="2525"/>
      <c r="I25" s="2525"/>
    </row>
    <row r="26" spans="1:9" ht="17.100000000000001" customHeight="1">
      <c r="A26" s="4002"/>
      <c r="B26" s="1571"/>
      <c r="C26" s="2526"/>
      <c r="D26" s="2526"/>
      <c r="E26" s="2526"/>
      <c r="F26" s="2501"/>
      <c r="G26" s="2507" t="s">
        <v>702</v>
      </c>
      <c r="H26" s="2527"/>
      <c r="I26" s="2527"/>
    </row>
    <row r="27" spans="1:9" ht="17.100000000000001" customHeight="1">
      <c r="A27" s="4002" t="s">
        <v>7267</v>
      </c>
      <c r="B27" s="2507" t="s">
        <v>284</v>
      </c>
      <c r="C27" s="2507" t="s">
        <v>7262</v>
      </c>
      <c r="D27" s="2507" t="s">
        <v>7263</v>
      </c>
      <c r="E27" s="2507" t="s">
        <v>7264</v>
      </c>
      <c r="F27" s="4023" t="s">
        <v>7265</v>
      </c>
      <c r="G27" s="4002" t="s">
        <v>7266</v>
      </c>
      <c r="H27" s="4002"/>
      <c r="I27" s="4002"/>
    </row>
    <row r="28" spans="1:9" ht="17.100000000000001" customHeight="1">
      <c r="A28" s="4002"/>
      <c r="B28" s="1571"/>
      <c r="C28" s="2525"/>
      <c r="D28" s="2525"/>
      <c r="E28" s="2525"/>
      <c r="F28" s="4023"/>
      <c r="G28" s="2507" t="s">
        <v>284</v>
      </c>
      <c r="H28" s="2507" t="s">
        <v>7262</v>
      </c>
      <c r="I28" s="2507" t="s">
        <v>1255</v>
      </c>
    </row>
    <row r="29" spans="1:9" ht="17.100000000000001" customHeight="1">
      <c r="A29" s="4002"/>
      <c r="B29" s="1571"/>
      <c r="C29" s="2525"/>
      <c r="D29" s="2525"/>
      <c r="E29" s="2525"/>
      <c r="F29" s="4023"/>
      <c r="G29" s="2481"/>
      <c r="H29" s="2525"/>
      <c r="I29" s="2525"/>
    </row>
    <row r="30" spans="1:9" ht="17.100000000000001" customHeight="1">
      <c r="A30" s="4002"/>
      <c r="B30" s="1571"/>
      <c r="C30" s="2525"/>
      <c r="D30" s="2525"/>
      <c r="E30" s="2525"/>
      <c r="F30" s="2501"/>
      <c r="G30" s="2507" t="s">
        <v>702</v>
      </c>
      <c r="H30" s="2527"/>
      <c r="I30" s="2527"/>
    </row>
    <row r="31" spans="1:9" ht="17.100000000000001" customHeight="1">
      <c r="A31" s="4002" t="s">
        <v>7268</v>
      </c>
      <c r="B31" s="2507" t="s">
        <v>284</v>
      </c>
      <c r="C31" s="2507" t="s">
        <v>7262</v>
      </c>
      <c r="D31" s="2507" t="s">
        <v>7263</v>
      </c>
      <c r="E31" s="2507" t="s">
        <v>7264</v>
      </c>
      <c r="F31" s="4023" t="s">
        <v>7265</v>
      </c>
      <c r="G31" s="4002" t="s">
        <v>7266</v>
      </c>
      <c r="H31" s="4002"/>
      <c r="I31" s="4002"/>
    </row>
    <row r="32" spans="1:9" ht="17.100000000000001" customHeight="1">
      <c r="A32" s="4002"/>
      <c r="B32" s="1571"/>
      <c r="C32" s="2525"/>
      <c r="D32" s="2525"/>
      <c r="E32" s="2525"/>
      <c r="F32" s="4023"/>
      <c r="G32" s="2507" t="s">
        <v>284</v>
      </c>
      <c r="H32" s="2507" t="s">
        <v>7262</v>
      </c>
      <c r="I32" s="2507" t="s">
        <v>1255</v>
      </c>
    </row>
    <row r="33" spans="1:9" ht="17.100000000000001" customHeight="1">
      <c r="A33" s="4002"/>
      <c r="B33" s="1571"/>
      <c r="C33" s="2525"/>
      <c r="D33" s="2525"/>
      <c r="E33" s="2525"/>
      <c r="F33" s="4023"/>
      <c r="G33" s="2481"/>
      <c r="H33" s="2525"/>
      <c r="I33" s="2525"/>
    </row>
    <row r="34" spans="1:9" ht="17.100000000000001" customHeight="1">
      <c r="A34" s="4002"/>
      <c r="B34" s="1571"/>
      <c r="C34" s="2525"/>
      <c r="D34" s="2525"/>
      <c r="E34" s="2525"/>
      <c r="F34" s="2501"/>
      <c r="G34" s="2507" t="s">
        <v>702</v>
      </c>
      <c r="H34" s="2527"/>
      <c r="I34" s="2527"/>
    </row>
    <row r="35" spans="1:9" ht="17.100000000000001" customHeight="1">
      <c r="A35" s="4002" t="s">
        <v>7269</v>
      </c>
      <c r="B35" s="2507" t="s">
        <v>284</v>
      </c>
      <c r="C35" s="2507" t="s">
        <v>7262</v>
      </c>
      <c r="D35" s="2507" t="s">
        <v>7263</v>
      </c>
      <c r="E35" s="2507" t="s">
        <v>7264</v>
      </c>
      <c r="F35" s="4023" t="s">
        <v>7265</v>
      </c>
      <c r="G35" s="4002" t="s">
        <v>7266</v>
      </c>
      <c r="H35" s="4002"/>
      <c r="I35" s="4002"/>
    </row>
    <row r="36" spans="1:9" ht="17.100000000000001" customHeight="1">
      <c r="A36" s="4002"/>
      <c r="B36" s="1571"/>
      <c r="C36" s="2525"/>
      <c r="D36" s="2525"/>
      <c r="E36" s="2525"/>
      <c r="F36" s="4023"/>
      <c r="G36" s="2507" t="s">
        <v>284</v>
      </c>
      <c r="H36" s="2507" t="s">
        <v>7262</v>
      </c>
      <c r="I36" s="2507" t="s">
        <v>1255</v>
      </c>
    </row>
    <row r="37" spans="1:9" ht="17.100000000000001" customHeight="1">
      <c r="A37" s="4002"/>
      <c r="B37" s="1571"/>
      <c r="C37" s="2525"/>
      <c r="D37" s="2525"/>
      <c r="E37" s="2525"/>
      <c r="F37" s="4023"/>
      <c r="G37" s="2481"/>
      <c r="H37" s="2525"/>
      <c r="I37" s="2525"/>
    </row>
    <row r="38" spans="1:9" ht="17.100000000000001" customHeight="1">
      <c r="A38" s="4002"/>
      <c r="B38" s="1571"/>
      <c r="C38" s="2525"/>
      <c r="D38" s="2525"/>
      <c r="E38" s="2525"/>
      <c r="F38" s="2501"/>
      <c r="G38" s="2507" t="s">
        <v>702</v>
      </c>
      <c r="H38" s="2527"/>
      <c r="I38" s="2527"/>
    </row>
    <row r="39" spans="1:9" ht="17.100000000000001" customHeight="1">
      <c r="A39" s="4002" t="s">
        <v>7270</v>
      </c>
      <c r="B39" s="2507" t="s">
        <v>284</v>
      </c>
      <c r="C39" s="2507" t="s">
        <v>7262</v>
      </c>
      <c r="D39" s="2507" t="s">
        <v>7263</v>
      </c>
      <c r="E39" s="2507" t="s">
        <v>7264</v>
      </c>
      <c r="F39" s="4023" t="s">
        <v>7265</v>
      </c>
      <c r="G39" s="4002" t="s">
        <v>7266</v>
      </c>
      <c r="H39" s="4002"/>
      <c r="I39" s="4002"/>
    </row>
    <row r="40" spans="1:9" ht="17.100000000000001" customHeight="1">
      <c r="A40" s="4002"/>
      <c r="B40" s="1571"/>
      <c r="C40" s="2525"/>
      <c r="D40" s="2525"/>
      <c r="E40" s="2525"/>
      <c r="F40" s="4023"/>
      <c r="G40" s="2507" t="s">
        <v>284</v>
      </c>
      <c r="H40" s="2507" t="s">
        <v>7262</v>
      </c>
      <c r="I40" s="2507" t="s">
        <v>1255</v>
      </c>
    </row>
    <row r="41" spans="1:9" ht="17.100000000000001" customHeight="1">
      <c r="A41" s="4002"/>
      <c r="B41" s="1571"/>
      <c r="C41" s="2525"/>
      <c r="D41" s="2525"/>
      <c r="E41" s="2525"/>
      <c r="F41" s="4023"/>
      <c r="G41" s="2481"/>
      <c r="H41" s="2525"/>
      <c r="I41" s="2525"/>
    </row>
    <row r="42" spans="1:9" ht="17.100000000000001" customHeight="1">
      <c r="A42" s="4002"/>
      <c r="B42" s="1571"/>
      <c r="C42" s="2525"/>
      <c r="D42" s="2525"/>
      <c r="E42" s="2525"/>
      <c r="F42" s="2501"/>
      <c r="G42" s="2507" t="s">
        <v>702</v>
      </c>
      <c r="H42" s="2527"/>
      <c r="I42" s="2527"/>
    </row>
    <row r="43" spans="1:9" ht="17.100000000000001" customHeight="1">
      <c r="A43" s="4002" t="s">
        <v>7271</v>
      </c>
      <c r="B43" s="2507" t="s">
        <v>284</v>
      </c>
      <c r="C43" s="2507" t="s">
        <v>7262</v>
      </c>
      <c r="D43" s="2507" t="s">
        <v>7263</v>
      </c>
      <c r="E43" s="2507" t="s">
        <v>7264</v>
      </c>
      <c r="F43" s="4023" t="s">
        <v>7265</v>
      </c>
      <c r="G43" s="4002" t="s">
        <v>7266</v>
      </c>
      <c r="H43" s="4002"/>
      <c r="I43" s="4002"/>
    </row>
    <row r="44" spans="1:9" ht="17.100000000000001" customHeight="1">
      <c r="A44" s="4002"/>
      <c r="B44" s="1571"/>
      <c r="C44" s="2525"/>
      <c r="D44" s="2525"/>
      <c r="E44" s="2527"/>
      <c r="F44" s="4023"/>
      <c r="G44" s="2506" t="s">
        <v>284</v>
      </c>
      <c r="H44" s="2507" t="s">
        <v>7262</v>
      </c>
      <c r="I44" s="2507" t="s">
        <v>1255</v>
      </c>
    </row>
    <row r="45" spans="1:9" ht="17.100000000000001" customHeight="1">
      <c r="A45" s="4002"/>
      <c r="B45" s="1571"/>
      <c r="C45" s="2525"/>
      <c r="D45" s="2525"/>
      <c r="E45" s="2525"/>
      <c r="F45" s="4023"/>
      <c r="G45" s="2481"/>
      <c r="H45" s="2525"/>
      <c r="I45" s="2525"/>
    </row>
    <row r="46" spans="1:9" ht="17.100000000000001" customHeight="1">
      <c r="A46" s="4002"/>
      <c r="B46" s="1571"/>
      <c r="C46" s="2525"/>
      <c r="D46" s="2525"/>
      <c r="E46" s="2525"/>
      <c r="F46" s="2501"/>
      <c r="G46" s="2506" t="s">
        <v>702</v>
      </c>
      <c r="H46" s="2525"/>
      <c r="I46" s="2525"/>
    </row>
    <row r="47" spans="1:9" ht="17.100000000000001" customHeight="1">
      <c r="A47" s="4002" t="s">
        <v>7272</v>
      </c>
      <c r="B47" s="2507" t="s">
        <v>284</v>
      </c>
      <c r="C47" s="2507" t="s">
        <v>7262</v>
      </c>
      <c r="D47" s="2507" t="s">
        <v>7263</v>
      </c>
      <c r="E47" s="2507" t="s">
        <v>7264</v>
      </c>
      <c r="F47" s="4023" t="s">
        <v>7265</v>
      </c>
      <c r="G47" s="4002" t="s">
        <v>7266</v>
      </c>
      <c r="H47" s="4002"/>
      <c r="I47" s="4002"/>
    </row>
    <row r="48" spans="1:9" ht="17.100000000000001" customHeight="1">
      <c r="A48" s="4002"/>
      <c r="B48" s="1571"/>
      <c r="C48" s="2525"/>
      <c r="D48" s="2525"/>
      <c r="E48" s="2525"/>
      <c r="F48" s="4023"/>
      <c r="G48" s="2507" t="s">
        <v>284</v>
      </c>
      <c r="H48" s="2507" t="s">
        <v>7262</v>
      </c>
      <c r="I48" s="2507" t="s">
        <v>1255</v>
      </c>
    </row>
    <row r="49" spans="1:9" ht="17.100000000000001" customHeight="1">
      <c r="A49" s="4002"/>
      <c r="B49" s="1571"/>
      <c r="C49" s="2525"/>
      <c r="D49" s="2525"/>
      <c r="E49" s="2525"/>
      <c r="F49" s="4023"/>
      <c r="G49" s="2481"/>
      <c r="H49" s="2525"/>
      <c r="I49" s="2525"/>
    </row>
    <row r="50" spans="1:9" ht="17.100000000000001" customHeight="1">
      <c r="A50" s="4002"/>
      <c r="B50" s="1571"/>
      <c r="C50" s="2525"/>
      <c r="D50" s="2525"/>
      <c r="E50" s="2525"/>
      <c r="F50" s="2501"/>
      <c r="G50" s="2507" t="s">
        <v>702</v>
      </c>
      <c r="H50" s="2527"/>
      <c r="I50" s="2525"/>
    </row>
    <row r="51" spans="1:9" ht="17.100000000000001" customHeight="1">
      <c r="A51" s="4002" t="s">
        <v>7273</v>
      </c>
      <c r="B51" s="4022" t="s">
        <v>284</v>
      </c>
      <c r="C51" s="4002" t="s">
        <v>7262</v>
      </c>
      <c r="D51" s="4002" t="s">
        <v>7263</v>
      </c>
      <c r="E51" s="4002" t="s">
        <v>7264</v>
      </c>
      <c r="F51" s="4023" t="s">
        <v>7265</v>
      </c>
      <c r="G51" s="4002" t="s">
        <v>7266</v>
      </c>
      <c r="H51" s="4002"/>
      <c r="I51" s="4002"/>
    </row>
    <row r="52" spans="1:9" ht="40.200000000000003" customHeight="1">
      <c r="A52" s="4002"/>
      <c r="B52" s="4022"/>
      <c r="C52" s="4002"/>
      <c r="D52" s="4002"/>
      <c r="E52" s="4002"/>
      <c r="F52" s="4023"/>
      <c r="G52" s="2507" t="s">
        <v>284</v>
      </c>
      <c r="H52" s="2507" t="s">
        <v>7262</v>
      </c>
      <c r="I52" s="2507" t="s">
        <v>1255</v>
      </c>
    </row>
    <row r="53" spans="1:9" ht="22.95" customHeight="1">
      <c r="A53" s="4002"/>
      <c r="B53" s="2513" t="s">
        <v>7274</v>
      </c>
      <c r="C53" s="2527"/>
      <c r="D53" s="2527"/>
      <c r="E53" s="2527"/>
      <c r="F53" s="4009"/>
      <c r="G53" s="4002" t="s">
        <v>7275</v>
      </c>
      <c r="H53" s="4009"/>
      <c r="I53" s="4009"/>
    </row>
    <row r="54" spans="1:9" ht="22.95" customHeight="1">
      <c r="A54" s="4002"/>
      <c r="B54" s="2513" t="s">
        <v>7276</v>
      </c>
      <c r="C54" s="2527"/>
      <c r="D54" s="2527"/>
      <c r="E54" s="2527"/>
      <c r="F54" s="4009"/>
      <c r="G54" s="4002"/>
      <c r="H54" s="4009"/>
      <c r="I54" s="4009"/>
    </row>
    <row r="55" spans="1:9" ht="22.95" customHeight="1">
      <c r="A55" s="4002"/>
      <c r="B55" s="2513" t="s">
        <v>7277</v>
      </c>
      <c r="C55" s="2527"/>
      <c r="D55" s="2527"/>
      <c r="E55" s="2527"/>
      <c r="F55" s="4009"/>
      <c r="G55" s="4002"/>
      <c r="H55" s="4009"/>
      <c r="I55" s="4009"/>
    </row>
    <row r="56" spans="1:9" ht="22.95" customHeight="1">
      <c r="A56" s="4002"/>
      <c r="B56" s="2481"/>
      <c r="C56" s="2525"/>
      <c r="D56" s="2525"/>
      <c r="E56" s="2525"/>
      <c r="F56" s="4009"/>
      <c r="G56" s="4002"/>
      <c r="H56" s="4009"/>
      <c r="I56" s="4009"/>
    </row>
    <row r="57" spans="1:9" ht="22.95" customHeight="1">
      <c r="A57" s="4002"/>
      <c r="B57" s="2513" t="s">
        <v>7278</v>
      </c>
      <c r="C57" s="2527"/>
      <c r="D57" s="2527"/>
      <c r="E57" s="2527"/>
      <c r="F57" s="4009"/>
      <c r="G57" s="4002"/>
      <c r="H57" s="4009"/>
      <c r="I57" s="4009"/>
    </row>
    <row r="58" spans="1:9" ht="22.95" customHeight="1">
      <c r="A58" s="4002"/>
      <c r="B58" s="2513" t="s">
        <v>7279</v>
      </c>
      <c r="C58" s="2527"/>
      <c r="D58" s="2527"/>
      <c r="E58" s="2527"/>
      <c r="F58" s="4009"/>
      <c r="G58" s="4002"/>
      <c r="H58" s="4009"/>
      <c r="I58" s="4009"/>
    </row>
    <row r="59" spans="1:9" s="2466" customFormat="1" ht="30" customHeight="1">
      <c r="A59" s="2508" t="s">
        <v>7187</v>
      </c>
      <c r="B59" s="3998">
        <f>基本情况!B12</f>
        <v>0</v>
      </c>
      <c r="C59" s="3999"/>
      <c r="D59" s="4000"/>
      <c r="E59" s="2508" t="s">
        <v>7188</v>
      </c>
      <c r="F59" s="4021" t="str">
        <f>基本情况!B21</f>
        <v>2017年3月16日</v>
      </c>
      <c r="G59" s="4021"/>
      <c r="H59" s="4021"/>
      <c r="I59" s="4021"/>
    </row>
    <row r="62" spans="1:9">
      <c r="C62" s="2482"/>
    </row>
  </sheetData>
  <mergeCells count="95">
    <mergeCell ref="A4:B4"/>
    <mergeCell ref="D4:E4"/>
    <mergeCell ref="G4:H4"/>
    <mergeCell ref="A1:I1"/>
    <mergeCell ref="A2:I2"/>
    <mergeCell ref="A3:B3"/>
    <mergeCell ref="D3:E3"/>
    <mergeCell ref="G3:H3"/>
    <mergeCell ref="A5:B5"/>
    <mergeCell ref="D5:E6"/>
    <mergeCell ref="F5:F6"/>
    <mergeCell ref="G5:H6"/>
    <mergeCell ref="I5:I6"/>
    <mergeCell ref="A6:B6"/>
    <mergeCell ref="A7:B7"/>
    <mergeCell ref="D7:E8"/>
    <mergeCell ref="F7:F8"/>
    <mergeCell ref="G7:H8"/>
    <mergeCell ref="I7:I8"/>
    <mergeCell ref="A8:B8"/>
    <mergeCell ref="A9:B9"/>
    <mergeCell ref="D9:E10"/>
    <mergeCell ref="F9:F10"/>
    <mergeCell ref="G9:H10"/>
    <mergeCell ref="I9:I10"/>
    <mergeCell ref="A10:B10"/>
    <mergeCell ref="A11:B11"/>
    <mergeCell ref="D11:E12"/>
    <mergeCell ref="F11:F12"/>
    <mergeCell ref="G11:H12"/>
    <mergeCell ref="I11:I12"/>
    <mergeCell ref="A12:B12"/>
    <mergeCell ref="A13:B13"/>
    <mergeCell ref="D13:E14"/>
    <mergeCell ref="F13:F14"/>
    <mergeCell ref="G13:H14"/>
    <mergeCell ref="I13:I14"/>
    <mergeCell ref="A14:B14"/>
    <mergeCell ref="A15:B15"/>
    <mergeCell ref="D15:E16"/>
    <mergeCell ref="F15:F16"/>
    <mergeCell ref="G15:H16"/>
    <mergeCell ref="I15:I16"/>
    <mergeCell ref="A16:B16"/>
    <mergeCell ref="A17:B17"/>
    <mergeCell ref="D17:E18"/>
    <mergeCell ref="F17:F18"/>
    <mergeCell ref="I17:I18"/>
    <mergeCell ref="A18:B18"/>
    <mergeCell ref="G17:H18"/>
    <mergeCell ref="A23:A26"/>
    <mergeCell ref="F23:F25"/>
    <mergeCell ref="G23:I23"/>
    <mergeCell ref="A19:C19"/>
    <mergeCell ref="D19:E19"/>
    <mergeCell ref="F19:H19"/>
    <mergeCell ref="A20:B20"/>
    <mergeCell ref="D20:E20"/>
    <mergeCell ref="G20:H20"/>
    <mergeCell ref="A21:B21"/>
    <mergeCell ref="D21:E21"/>
    <mergeCell ref="G21:H21"/>
    <mergeCell ref="A22:E22"/>
    <mergeCell ref="F22:I22"/>
    <mergeCell ref="A27:A30"/>
    <mergeCell ref="F27:F29"/>
    <mergeCell ref="G27:I27"/>
    <mergeCell ref="A31:A34"/>
    <mergeCell ref="F31:F33"/>
    <mergeCell ref="G31:I31"/>
    <mergeCell ref="A35:A38"/>
    <mergeCell ref="F35:F37"/>
    <mergeCell ref="G35:I35"/>
    <mergeCell ref="A39:A42"/>
    <mergeCell ref="F39:F41"/>
    <mergeCell ref="G39:I39"/>
    <mergeCell ref="A43:A46"/>
    <mergeCell ref="F43:F45"/>
    <mergeCell ref="G43:I43"/>
    <mergeCell ref="A47:A50"/>
    <mergeCell ref="F47:F49"/>
    <mergeCell ref="G47:I47"/>
    <mergeCell ref="B59:D59"/>
    <mergeCell ref="F59:I59"/>
    <mergeCell ref="A51:A58"/>
    <mergeCell ref="B51:B52"/>
    <mergeCell ref="C51:C52"/>
    <mergeCell ref="D51:D52"/>
    <mergeCell ref="E51:E52"/>
    <mergeCell ref="F51:F52"/>
    <mergeCell ref="G51:I51"/>
    <mergeCell ref="F53:F58"/>
    <mergeCell ref="G53:G58"/>
    <mergeCell ref="H53:H58"/>
    <mergeCell ref="I53:I58"/>
  </mergeCells>
  <phoneticPr fontId="51" type="noConversion"/>
  <dataValidations count="2">
    <dataValidation type="list" allowBlank="1" showInputMessage="1" showErrorMessage="1" promptTitle="请选择" sqref="F22:I22 JB22:JE22 SX22:TA22 ACT22:ACW22 AMP22:AMS22 AWL22:AWO22 BGH22:BGK22 BQD22:BQG22 BZZ22:CAC22 CJV22:CJY22 CTR22:CTU22 DDN22:DDQ22 DNJ22:DNM22 DXF22:DXI22 EHB22:EHE22 EQX22:ERA22 FAT22:FAW22 FKP22:FKS22 FUL22:FUO22 GEH22:GEK22 GOD22:GOG22 GXZ22:GYC22 HHV22:HHY22 HRR22:HRU22 IBN22:IBQ22 ILJ22:ILM22 IVF22:IVI22 JFB22:JFE22 JOX22:JPA22 JYT22:JYW22 KIP22:KIS22 KSL22:KSO22 LCH22:LCK22 LMD22:LMG22 LVZ22:LWC22 MFV22:MFY22 MPR22:MPU22 MZN22:MZQ22 NJJ22:NJM22 NTF22:NTI22 ODB22:ODE22 OMX22:ONA22 OWT22:OWW22 PGP22:PGS22 PQL22:PQO22 QAH22:QAK22 QKD22:QKG22 QTZ22:QUC22 RDV22:RDY22 RNR22:RNU22 RXN22:RXQ22 SHJ22:SHM22 SRF22:SRI22 TBB22:TBE22 TKX22:TLA22 TUT22:TUW22 UEP22:UES22 UOL22:UOO22 UYH22:UYK22 VID22:VIG22 VRZ22:VSC22 WBV22:WBY22 WLR22:WLU22 WVN22:WVQ22 F65558:I65558 JB65558:JE65558 SX65558:TA65558 ACT65558:ACW65558 AMP65558:AMS65558 AWL65558:AWO65558 BGH65558:BGK65558 BQD65558:BQG65558 BZZ65558:CAC65558 CJV65558:CJY65558 CTR65558:CTU65558 DDN65558:DDQ65558 DNJ65558:DNM65558 DXF65558:DXI65558 EHB65558:EHE65558 EQX65558:ERA65558 FAT65558:FAW65558 FKP65558:FKS65558 FUL65558:FUO65558 GEH65558:GEK65558 GOD65558:GOG65558 GXZ65558:GYC65558 HHV65558:HHY65558 HRR65558:HRU65558 IBN65558:IBQ65558 ILJ65558:ILM65558 IVF65558:IVI65558 JFB65558:JFE65558 JOX65558:JPA65558 JYT65558:JYW65558 KIP65558:KIS65558 KSL65558:KSO65558 LCH65558:LCK65558 LMD65558:LMG65558 LVZ65558:LWC65558 MFV65558:MFY65558 MPR65558:MPU65558 MZN65558:MZQ65558 NJJ65558:NJM65558 NTF65558:NTI65558 ODB65558:ODE65558 OMX65558:ONA65558 OWT65558:OWW65558 PGP65558:PGS65558 PQL65558:PQO65558 QAH65558:QAK65558 QKD65558:QKG65558 QTZ65558:QUC65558 RDV65558:RDY65558 RNR65558:RNU65558 RXN65558:RXQ65558 SHJ65558:SHM65558 SRF65558:SRI65558 TBB65558:TBE65558 TKX65558:TLA65558 TUT65558:TUW65558 UEP65558:UES65558 UOL65558:UOO65558 UYH65558:UYK65558 VID65558:VIG65558 VRZ65558:VSC65558 WBV65558:WBY65558 WLR65558:WLU65558 WVN65558:WVQ65558 F131094:I131094 JB131094:JE131094 SX131094:TA131094 ACT131094:ACW131094 AMP131094:AMS131094 AWL131094:AWO131094 BGH131094:BGK131094 BQD131094:BQG131094 BZZ131094:CAC131094 CJV131094:CJY131094 CTR131094:CTU131094 DDN131094:DDQ131094 DNJ131094:DNM131094 DXF131094:DXI131094 EHB131094:EHE131094 EQX131094:ERA131094 FAT131094:FAW131094 FKP131094:FKS131094 FUL131094:FUO131094 GEH131094:GEK131094 GOD131094:GOG131094 GXZ131094:GYC131094 HHV131094:HHY131094 HRR131094:HRU131094 IBN131094:IBQ131094 ILJ131094:ILM131094 IVF131094:IVI131094 JFB131094:JFE131094 JOX131094:JPA131094 JYT131094:JYW131094 KIP131094:KIS131094 KSL131094:KSO131094 LCH131094:LCK131094 LMD131094:LMG131094 LVZ131094:LWC131094 MFV131094:MFY131094 MPR131094:MPU131094 MZN131094:MZQ131094 NJJ131094:NJM131094 NTF131094:NTI131094 ODB131094:ODE131094 OMX131094:ONA131094 OWT131094:OWW131094 PGP131094:PGS131094 PQL131094:PQO131094 QAH131094:QAK131094 QKD131094:QKG131094 QTZ131094:QUC131094 RDV131094:RDY131094 RNR131094:RNU131094 RXN131094:RXQ131094 SHJ131094:SHM131094 SRF131094:SRI131094 TBB131094:TBE131094 TKX131094:TLA131094 TUT131094:TUW131094 UEP131094:UES131094 UOL131094:UOO131094 UYH131094:UYK131094 VID131094:VIG131094 VRZ131094:VSC131094 WBV131094:WBY131094 WLR131094:WLU131094 WVN131094:WVQ131094 F196630:I196630 JB196630:JE196630 SX196630:TA196630 ACT196630:ACW196630 AMP196630:AMS196630 AWL196630:AWO196630 BGH196630:BGK196630 BQD196630:BQG196630 BZZ196630:CAC196630 CJV196630:CJY196630 CTR196630:CTU196630 DDN196630:DDQ196630 DNJ196630:DNM196630 DXF196630:DXI196630 EHB196630:EHE196630 EQX196630:ERA196630 FAT196630:FAW196630 FKP196630:FKS196630 FUL196630:FUO196630 GEH196630:GEK196630 GOD196630:GOG196630 GXZ196630:GYC196630 HHV196630:HHY196630 HRR196630:HRU196630 IBN196630:IBQ196630 ILJ196630:ILM196630 IVF196630:IVI196630 JFB196630:JFE196630 JOX196630:JPA196630 JYT196630:JYW196630 KIP196630:KIS196630 KSL196630:KSO196630 LCH196630:LCK196630 LMD196630:LMG196630 LVZ196630:LWC196630 MFV196630:MFY196630 MPR196630:MPU196630 MZN196630:MZQ196630 NJJ196630:NJM196630 NTF196630:NTI196630 ODB196630:ODE196630 OMX196630:ONA196630 OWT196630:OWW196630 PGP196630:PGS196630 PQL196630:PQO196630 QAH196630:QAK196630 QKD196630:QKG196630 QTZ196630:QUC196630 RDV196630:RDY196630 RNR196630:RNU196630 RXN196630:RXQ196630 SHJ196630:SHM196630 SRF196630:SRI196630 TBB196630:TBE196630 TKX196630:TLA196630 TUT196630:TUW196630 UEP196630:UES196630 UOL196630:UOO196630 UYH196630:UYK196630 VID196630:VIG196630 VRZ196630:VSC196630 WBV196630:WBY196630 WLR196630:WLU196630 WVN196630:WVQ196630 F262166:I262166 JB262166:JE262166 SX262166:TA262166 ACT262166:ACW262166 AMP262166:AMS262166 AWL262166:AWO262166 BGH262166:BGK262166 BQD262166:BQG262166 BZZ262166:CAC262166 CJV262166:CJY262166 CTR262166:CTU262166 DDN262166:DDQ262166 DNJ262166:DNM262166 DXF262166:DXI262166 EHB262166:EHE262166 EQX262166:ERA262166 FAT262166:FAW262166 FKP262166:FKS262166 FUL262166:FUO262166 GEH262166:GEK262166 GOD262166:GOG262166 GXZ262166:GYC262166 HHV262166:HHY262166 HRR262166:HRU262166 IBN262166:IBQ262166 ILJ262166:ILM262166 IVF262166:IVI262166 JFB262166:JFE262166 JOX262166:JPA262166 JYT262166:JYW262166 KIP262166:KIS262166 KSL262166:KSO262166 LCH262166:LCK262166 LMD262166:LMG262166 LVZ262166:LWC262166 MFV262166:MFY262166 MPR262166:MPU262166 MZN262166:MZQ262166 NJJ262166:NJM262166 NTF262166:NTI262166 ODB262166:ODE262166 OMX262166:ONA262166 OWT262166:OWW262166 PGP262166:PGS262166 PQL262166:PQO262166 QAH262166:QAK262166 QKD262166:QKG262166 QTZ262166:QUC262166 RDV262166:RDY262166 RNR262166:RNU262166 RXN262166:RXQ262166 SHJ262166:SHM262166 SRF262166:SRI262166 TBB262166:TBE262166 TKX262166:TLA262166 TUT262166:TUW262166 UEP262166:UES262166 UOL262166:UOO262166 UYH262166:UYK262166 VID262166:VIG262166 VRZ262166:VSC262166 WBV262166:WBY262166 WLR262166:WLU262166 WVN262166:WVQ262166 F327702:I327702 JB327702:JE327702 SX327702:TA327702 ACT327702:ACW327702 AMP327702:AMS327702 AWL327702:AWO327702 BGH327702:BGK327702 BQD327702:BQG327702 BZZ327702:CAC327702 CJV327702:CJY327702 CTR327702:CTU327702 DDN327702:DDQ327702 DNJ327702:DNM327702 DXF327702:DXI327702 EHB327702:EHE327702 EQX327702:ERA327702 FAT327702:FAW327702 FKP327702:FKS327702 FUL327702:FUO327702 GEH327702:GEK327702 GOD327702:GOG327702 GXZ327702:GYC327702 HHV327702:HHY327702 HRR327702:HRU327702 IBN327702:IBQ327702 ILJ327702:ILM327702 IVF327702:IVI327702 JFB327702:JFE327702 JOX327702:JPA327702 JYT327702:JYW327702 KIP327702:KIS327702 KSL327702:KSO327702 LCH327702:LCK327702 LMD327702:LMG327702 LVZ327702:LWC327702 MFV327702:MFY327702 MPR327702:MPU327702 MZN327702:MZQ327702 NJJ327702:NJM327702 NTF327702:NTI327702 ODB327702:ODE327702 OMX327702:ONA327702 OWT327702:OWW327702 PGP327702:PGS327702 PQL327702:PQO327702 QAH327702:QAK327702 QKD327702:QKG327702 QTZ327702:QUC327702 RDV327702:RDY327702 RNR327702:RNU327702 RXN327702:RXQ327702 SHJ327702:SHM327702 SRF327702:SRI327702 TBB327702:TBE327702 TKX327702:TLA327702 TUT327702:TUW327702 UEP327702:UES327702 UOL327702:UOO327702 UYH327702:UYK327702 VID327702:VIG327702 VRZ327702:VSC327702 WBV327702:WBY327702 WLR327702:WLU327702 WVN327702:WVQ327702 F393238:I393238 JB393238:JE393238 SX393238:TA393238 ACT393238:ACW393238 AMP393238:AMS393238 AWL393238:AWO393238 BGH393238:BGK393238 BQD393238:BQG393238 BZZ393238:CAC393238 CJV393238:CJY393238 CTR393238:CTU393238 DDN393238:DDQ393238 DNJ393238:DNM393238 DXF393238:DXI393238 EHB393238:EHE393238 EQX393238:ERA393238 FAT393238:FAW393238 FKP393238:FKS393238 FUL393238:FUO393238 GEH393238:GEK393238 GOD393238:GOG393238 GXZ393238:GYC393238 HHV393238:HHY393238 HRR393238:HRU393238 IBN393238:IBQ393238 ILJ393238:ILM393238 IVF393238:IVI393238 JFB393238:JFE393238 JOX393238:JPA393238 JYT393238:JYW393238 KIP393238:KIS393238 KSL393238:KSO393238 LCH393238:LCK393238 LMD393238:LMG393238 LVZ393238:LWC393238 MFV393238:MFY393238 MPR393238:MPU393238 MZN393238:MZQ393238 NJJ393238:NJM393238 NTF393238:NTI393238 ODB393238:ODE393238 OMX393238:ONA393238 OWT393238:OWW393238 PGP393238:PGS393238 PQL393238:PQO393238 QAH393238:QAK393238 QKD393238:QKG393238 QTZ393238:QUC393238 RDV393238:RDY393238 RNR393238:RNU393238 RXN393238:RXQ393238 SHJ393238:SHM393238 SRF393238:SRI393238 TBB393238:TBE393238 TKX393238:TLA393238 TUT393238:TUW393238 UEP393238:UES393238 UOL393238:UOO393238 UYH393238:UYK393238 VID393238:VIG393238 VRZ393238:VSC393238 WBV393238:WBY393238 WLR393238:WLU393238 WVN393238:WVQ393238 F458774:I458774 JB458774:JE458774 SX458774:TA458774 ACT458774:ACW458774 AMP458774:AMS458774 AWL458774:AWO458774 BGH458774:BGK458774 BQD458774:BQG458774 BZZ458774:CAC458774 CJV458774:CJY458774 CTR458774:CTU458774 DDN458774:DDQ458774 DNJ458774:DNM458774 DXF458774:DXI458774 EHB458774:EHE458774 EQX458774:ERA458774 FAT458774:FAW458774 FKP458774:FKS458774 FUL458774:FUO458774 GEH458774:GEK458774 GOD458774:GOG458774 GXZ458774:GYC458774 HHV458774:HHY458774 HRR458774:HRU458774 IBN458774:IBQ458774 ILJ458774:ILM458774 IVF458774:IVI458774 JFB458774:JFE458774 JOX458774:JPA458774 JYT458774:JYW458774 KIP458774:KIS458774 KSL458774:KSO458774 LCH458774:LCK458774 LMD458774:LMG458774 LVZ458774:LWC458774 MFV458774:MFY458774 MPR458774:MPU458774 MZN458774:MZQ458774 NJJ458774:NJM458774 NTF458774:NTI458774 ODB458774:ODE458774 OMX458774:ONA458774 OWT458774:OWW458774 PGP458774:PGS458774 PQL458774:PQO458774 QAH458774:QAK458774 QKD458774:QKG458774 QTZ458774:QUC458774 RDV458774:RDY458774 RNR458774:RNU458774 RXN458774:RXQ458774 SHJ458774:SHM458774 SRF458774:SRI458774 TBB458774:TBE458774 TKX458774:TLA458774 TUT458774:TUW458774 UEP458774:UES458774 UOL458774:UOO458774 UYH458774:UYK458774 VID458774:VIG458774 VRZ458774:VSC458774 WBV458774:WBY458774 WLR458774:WLU458774 WVN458774:WVQ458774 F524310:I524310 JB524310:JE524310 SX524310:TA524310 ACT524310:ACW524310 AMP524310:AMS524310 AWL524310:AWO524310 BGH524310:BGK524310 BQD524310:BQG524310 BZZ524310:CAC524310 CJV524310:CJY524310 CTR524310:CTU524310 DDN524310:DDQ524310 DNJ524310:DNM524310 DXF524310:DXI524310 EHB524310:EHE524310 EQX524310:ERA524310 FAT524310:FAW524310 FKP524310:FKS524310 FUL524310:FUO524310 GEH524310:GEK524310 GOD524310:GOG524310 GXZ524310:GYC524310 HHV524310:HHY524310 HRR524310:HRU524310 IBN524310:IBQ524310 ILJ524310:ILM524310 IVF524310:IVI524310 JFB524310:JFE524310 JOX524310:JPA524310 JYT524310:JYW524310 KIP524310:KIS524310 KSL524310:KSO524310 LCH524310:LCK524310 LMD524310:LMG524310 LVZ524310:LWC524310 MFV524310:MFY524310 MPR524310:MPU524310 MZN524310:MZQ524310 NJJ524310:NJM524310 NTF524310:NTI524310 ODB524310:ODE524310 OMX524310:ONA524310 OWT524310:OWW524310 PGP524310:PGS524310 PQL524310:PQO524310 QAH524310:QAK524310 QKD524310:QKG524310 QTZ524310:QUC524310 RDV524310:RDY524310 RNR524310:RNU524310 RXN524310:RXQ524310 SHJ524310:SHM524310 SRF524310:SRI524310 TBB524310:TBE524310 TKX524310:TLA524310 TUT524310:TUW524310 UEP524310:UES524310 UOL524310:UOO524310 UYH524310:UYK524310 VID524310:VIG524310 VRZ524310:VSC524310 WBV524310:WBY524310 WLR524310:WLU524310 WVN524310:WVQ524310 F589846:I589846 JB589846:JE589846 SX589846:TA589846 ACT589846:ACW589846 AMP589846:AMS589846 AWL589846:AWO589846 BGH589846:BGK589846 BQD589846:BQG589846 BZZ589846:CAC589846 CJV589846:CJY589846 CTR589846:CTU589846 DDN589846:DDQ589846 DNJ589846:DNM589846 DXF589846:DXI589846 EHB589846:EHE589846 EQX589846:ERA589846 FAT589846:FAW589846 FKP589846:FKS589846 FUL589846:FUO589846 GEH589846:GEK589846 GOD589846:GOG589846 GXZ589846:GYC589846 HHV589846:HHY589846 HRR589846:HRU589846 IBN589846:IBQ589846 ILJ589846:ILM589846 IVF589846:IVI589846 JFB589846:JFE589846 JOX589846:JPA589846 JYT589846:JYW589846 KIP589846:KIS589846 KSL589846:KSO589846 LCH589846:LCK589846 LMD589846:LMG589846 LVZ589846:LWC589846 MFV589846:MFY589846 MPR589846:MPU589846 MZN589846:MZQ589846 NJJ589846:NJM589846 NTF589846:NTI589846 ODB589846:ODE589846 OMX589846:ONA589846 OWT589846:OWW589846 PGP589846:PGS589846 PQL589846:PQO589846 QAH589846:QAK589846 QKD589846:QKG589846 QTZ589846:QUC589846 RDV589846:RDY589846 RNR589846:RNU589846 RXN589846:RXQ589846 SHJ589846:SHM589846 SRF589846:SRI589846 TBB589846:TBE589846 TKX589846:TLA589846 TUT589846:TUW589846 UEP589846:UES589846 UOL589846:UOO589846 UYH589846:UYK589846 VID589846:VIG589846 VRZ589846:VSC589846 WBV589846:WBY589846 WLR589846:WLU589846 WVN589846:WVQ589846 F655382:I655382 JB655382:JE655382 SX655382:TA655382 ACT655382:ACW655382 AMP655382:AMS655382 AWL655382:AWO655382 BGH655382:BGK655382 BQD655382:BQG655382 BZZ655382:CAC655382 CJV655382:CJY655382 CTR655382:CTU655382 DDN655382:DDQ655382 DNJ655382:DNM655382 DXF655382:DXI655382 EHB655382:EHE655382 EQX655382:ERA655382 FAT655382:FAW655382 FKP655382:FKS655382 FUL655382:FUO655382 GEH655382:GEK655382 GOD655382:GOG655382 GXZ655382:GYC655382 HHV655382:HHY655382 HRR655382:HRU655382 IBN655382:IBQ655382 ILJ655382:ILM655382 IVF655382:IVI655382 JFB655382:JFE655382 JOX655382:JPA655382 JYT655382:JYW655382 KIP655382:KIS655382 KSL655382:KSO655382 LCH655382:LCK655382 LMD655382:LMG655382 LVZ655382:LWC655382 MFV655382:MFY655382 MPR655382:MPU655382 MZN655382:MZQ655382 NJJ655382:NJM655382 NTF655382:NTI655382 ODB655382:ODE655382 OMX655382:ONA655382 OWT655382:OWW655382 PGP655382:PGS655382 PQL655382:PQO655382 QAH655382:QAK655382 QKD655382:QKG655382 QTZ655382:QUC655382 RDV655382:RDY655382 RNR655382:RNU655382 RXN655382:RXQ655382 SHJ655382:SHM655382 SRF655382:SRI655382 TBB655382:TBE655382 TKX655382:TLA655382 TUT655382:TUW655382 UEP655382:UES655382 UOL655382:UOO655382 UYH655382:UYK655382 VID655382:VIG655382 VRZ655382:VSC655382 WBV655382:WBY655382 WLR655382:WLU655382 WVN655382:WVQ655382 F720918:I720918 JB720918:JE720918 SX720918:TA720918 ACT720918:ACW720918 AMP720918:AMS720918 AWL720918:AWO720918 BGH720918:BGK720918 BQD720918:BQG720918 BZZ720918:CAC720918 CJV720918:CJY720918 CTR720918:CTU720918 DDN720918:DDQ720918 DNJ720918:DNM720918 DXF720918:DXI720918 EHB720918:EHE720918 EQX720918:ERA720918 FAT720918:FAW720918 FKP720918:FKS720918 FUL720918:FUO720918 GEH720918:GEK720918 GOD720918:GOG720918 GXZ720918:GYC720918 HHV720918:HHY720918 HRR720918:HRU720918 IBN720918:IBQ720918 ILJ720918:ILM720918 IVF720918:IVI720918 JFB720918:JFE720918 JOX720918:JPA720918 JYT720918:JYW720918 KIP720918:KIS720918 KSL720918:KSO720918 LCH720918:LCK720918 LMD720918:LMG720918 LVZ720918:LWC720918 MFV720918:MFY720918 MPR720918:MPU720918 MZN720918:MZQ720918 NJJ720918:NJM720918 NTF720918:NTI720918 ODB720918:ODE720918 OMX720918:ONA720918 OWT720918:OWW720918 PGP720918:PGS720918 PQL720918:PQO720918 QAH720918:QAK720918 QKD720918:QKG720918 QTZ720918:QUC720918 RDV720918:RDY720918 RNR720918:RNU720918 RXN720918:RXQ720918 SHJ720918:SHM720918 SRF720918:SRI720918 TBB720918:TBE720918 TKX720918:TLA720918 TUT720918:TUW720918 UEP720918:UES720918 UOL720918:UOO720918 UYH720918:UYK720918 VID720918:VIG720918 VRZ720918:VSC720918 WBV720918:WBY720918 WLR720918:WLU720918 WVN720918:WVQ720918 F786454:I786454 JB786454:JE786454 SX786454:TA786454 ACT786454:ACW786454 AMP786454:AMS786454 AWL786454:AWO786454 BGH786454:BGK786454 BQD786454:BQG786454 BZZ786454:CAC786454 CJV786454:CJY786454 CTR786454:CTU786454 DDN786454:DDQ786454 DNJ786454:DNM786454 DXF786454:DXI786454 EHB786454:EHE786454 EQX786454:ERA786454 FAT786454:FAW786454 FKP786454:FKS786454 FUL786454:FUO786454 GEH786454:GEK786454 GOD786454:GOG786454 GXZ786454:GYC786454 HHV786454:HHY786454 HRR786454:HRU786454 IBN786454:IBQ786454 ILJ786454:ILM786454 IVF786454:IVI786454 JFB786454:JFE786454 JOX786454:JPA786454 JYT786454:JYW786454 KIP786454:KIS786454 KSL786454:KSO786454 LCH786454:LCK786454 LMD786454:LMG786454 LVZ786454:LWC786454 MFV786454:MFY786454 MPR786454:MPU786454 MZN786454:MZQ786454 NJJ786454:NJM786454 NTF786454:NTI786454 ODB786454:ODE786454 OMX786454:ONA786454 OWT786454:OWW786454 PGP786454:PGS786454 PQL786454:PQO786454 QAH786454:QAK786454 QKD786454:QKG786454 QTZ786454:QUC786454 RDV786454:RDY786454 RNR786454:RNU786454 RXN786454:RXQ786454 SHJ786454:SHM786454 SRF786454:SRI786454 TBB786454:TBE786454 TKX786454:TLA786454 TUT786454:TUW786454 UEP786454:UES786454 UOL786454:UOO786454 UYH786454:UYK786454 VID786454:VIG786454 VRZ786454:VSC786454 WBV786454:WBY786454 WLR786454:WLU786454 WVN786454:WVQ786454 F851990:I851990 JB851990:JE851990 SX851990:TA851990 ACT851990:ACW851990 AMP851990:AMS851990 AWL851990:AWO851990 BGH851990:BGK851990 BQD851990:BQG851990 BZZ851990:CAC851990 CJV851990:CJY851990 CTR851990:CTU851990 DDN851990:DDQ851990 DNJ851990:DNM851990 DXF851990:DXI851990 EHB851990:EHE851990 EQX851990:ERA851990 FAT851990:FAW851990 FKP851990:FKS851990 FUL851990:FUO851990 GEH851990:GEK851990 GOD851990:GOG851990 GXZ851990:GYC851990 HHV851990:HHY851990 HRR851990:HRU851990 IBN851990:IBQ851990 ILJ851990:ILM851990 IVF851990:IVI851990 JFB851990:JFE851990 JOX851990:JPA851990 JYT851990:JYW851990 KIP851990:KIS851990 KSL851990:KSO851990 LCH851990:LCK851990 LMD851990:LMG851990 LVZ851990:LWC851990 MFV851990:MFY851990 MPR851990:MPU851990 MZN851990:MZQ851990 NJJ851990:NJM851990 NTF851990:NTI851990 ODB851990:ODE851990 OMX851990:ONA851990 OWT851990:OWW851990 PGP851990:PGS851990 PQL851990:PQO851990 QAH851990:QAK851990 QKD851990:QKG851990 QTZ851990:QUC851990 RDV851990:RDY851990 RNR851990:RNU851990 RXN851990:RXQ851990 SHJ851990:SHM851990 SRF851990:SRI851990 TBB851990:TBE851990 TKX851990:TLA851990 TUT851990:TUW851990 UEP851990:UES851990 UOL851990:UOO851990 UYH851990:UYK851990 VID851990:VIG851990 VRZ851990:VSC851990 WBV851990:WBY851990 WLR851990:WLU851990 WVN851990:WVQ851990 F917526:I917526 JB917526:JE917526 SX917526:TA917526 ACT917526:ACW917526 AMP917526:AMS917526 AWL917526:AWO917526 BGH917526:BGK917526 BQD917526:BQG917526 BZZ917526:CAC917526 CJV917526:CJY917526 CTR917526:CTU917526 DDN917526:DDQ917526 DNJ917526:DNM917526 DXF917526:DXI917526 EHB917526:EHE917526 EQX917526:ERA917526 FAT917526:FAW917526 FKP917526:FKS917526 FUL917526:FUO917526 GEH917526:GEK917526 GOD917526:GOG917526 GXZ917526:GYC917526 HHV917526:HHY917526 HRR917526:HRU917526 IBN917526:IBQ917526 ILJ917526:ILM917526 IVF917526:IVI917526 JFB917526:JFE917526 JOX917526:JPA917526 JYT917526:JYW917526 KIP917526:KIS917526 KSL917526:KSO917526 LCH917526:LCK917526 LMD917526:LMG917526 LVZ917526:LWC917526 MFV917526:MFY917526 MPR917526:MPU917526 MZN917526:MZQ917526 NJJ917526:NJM917526 NTF917526:NTI917526 ODB917526:ODE917526 OMX917526:ONA917526 OWT917526:OWW917526 PGP917526:PGS917526 PQL917526:PQO917526 QAH917526:QAK917526 QKD917526:QKG917526 QTZ917526:QUC917526 RDV917526:RDY917526 RNR917526:RNU917526 RXN917526:RXQ917526 SHJ917526:SHM917526 SRF917526:SRI917526 TBB917526:TBE917526 TKX917526:TLA917526 TUT917526:TUW917526 UEP917526:UES917526 UOL917526:UOO917526 UYH917526:UYK917526 VID917526:VIG917526 VRZ917526:VSC917526 WBV917526:WBY917526 WLR917526:WLU917526 WVN917526:WVQ917526 F983062:I983062 JB983062:JE983062 SX983062:TA983062 ACT983062:ACW983062 AMP983062:AMS983062 AWL983062:AWO983062 BGH983062:BGK983062 BQD983062:BQG983062 BZZ983062:CAC983062 CJV983062:CJY983062 CTR983062:CTU983062 DDN983062:DDQ983062 DNJ983062:DNM983062 DXF983062:DXI983062 EHB983062:EHE983062 EQX983062:ERA983062 FAT983062:FAW983062 FKP983062:FKS983062 FUL983062:FUO983062 GEH983062:GEK983062 GOD983062:GOG983062 GXZ983062:GYC983062 HHV983062:HHY983062 HRR983062:HRU983062 IBN983062:IBQ983062 ILJ983062:ILM983062 IVF983062:IVI983062 JFB983062:JFE983062 JOX983062:JPA983062 JYT983062:JYW983062 KIP983062:KIS983062 KSL983062:KSO983062 LCH983062:LCK983062 LMD983062:LMG983062 LVZ983062:LWC983062 MFV983062:MFY983062 MPR983062:MPU983062 MZN983062:MZQ983062 NJJ983062:NJM983062 NTF983062:NTI983062 ODB983062:ODE983062 OMX983062:ONA983062 OWT983062:OWW983062 PGP983062:PGS983062 PQL983062:PQO983062 QAH983062:QAK983062 QKD983062:QKG983062 QTZ983062:QUC983062 RDV983062:RDY983062 RNR983062:RNU983062 RXN983062:RXQ983062 SHJ983062:SHM983062 SRF983062:SRI983062 TBB983062:TBE983062 TKX983062:TLA983062 TUT983062:TUW983062 UEP983062:UES983062 UOL983062:UOO983062 UYH983062:UYK983062 VID983062:VIG983062 VRZ983062:VSC983062 WBV983062:WBY983062 WLR983062:WLU983062 WVN983062:WVQ983062">
      <formula1>"是,否"</formula1>
    </dataValidation>
    <dataValidation type="list" allowBlank="1" showInputMessage="1" showErrorMessage="1" sqref="I21 JE21 TA21 ACW21 AMS21 AWO21 BGK21 BQG21 CAC21 CJY21 CTU21 DDQ21 DNM21 DXI21 EHE21 ERA21 FAW21 FKS21 FUO21 GEK21 GOG21 GYC21 HHY21 HRU21 IBQ21 ILM21 IVI21 JFE21 JPA21 JYW21 KIS21 KSO21 LCK21 LMG21 LWC21 MFY21 MPU21 MZQ21 NJM21 NTI21 ODE21 ONA21 OWW21 PGS21 PQO21 QAK21 QKG21 QUC21 RDY21 RNU21 RXQ21 SHM21 SRI21 TBE21 TLA21 TUW21 UES21 UOO21 UYK21 VIG21 VSC21 WBY21 WLU21 WVQ21 I65557 JE65557 TA65557 ACW65557 AMS65557 AWO65557 BGK65557 BQG65557 CAC65557 CJY65557 CTU65557 DDQ65557 DNM65557 DXI65557 EHE65557 ERA65557 FAW65557 FKS65557 FUO65557 GEK65557 GOG65557 GYC65557 HHY65557 HRU65557 IBQ65557 ILM65557 IVI65557 JFE65557 JPA65557 JYW65557 KIS65557 KSO65557 LCK65557 LMG65557 LWC65557 MFY65557 MPU65557 MZQ65557 NJM65557 NTI65557 ODE65557 ONA65557 OWW65557 PGS65557 PQO65557 QAK65557 QKG65557 QUC65557 RDY65557 RNU65557 RXQ65557 SHM65557 SRI65557 TBE65557 TLA65557 TUW65557 UES65557 UOO65557 UYK65557 VIG65557 VSC65557 WBY65557 WLU65557 WVQ65557 I131093 JE131093 TA131093 ACW131093 AMS131093 AWO131093 BGK131093 BQG131093 CAC131093 CJY131093 CTU131093 DDQ131093 DNM131093 DXI131093 EHE131093 ERA131093 FAW131093 FKS131093 FUO131093 GEK131093 GOG131093 GYC131093 HHY131093 HRU131093 IBQ131093 ILM131093 IVI131093 JFE131093 JPA131093 JYW131093 KIS131093 KSO131093 LCK131093 LMG131093 LWC131093 MFY131093 MPU131093 MZQ131093 NJM131093 NTI131093 ODE131093 ONA131093 OWW131093 PGS131093 PQO131093 QAK131093 QKG131093 QUC131093 RDY131093 RNU131093 RXQ131093 SHM131093 SRI131093 TBE131093 TLA131093 TUW131093 UES131093 UOO131093 UYK131093 VIG131093 VSC131093 WBY131093 WLU131093 WVQ131093 I196629 JE196629 TA196629 ACW196629 AMS196629 AWO196629 BGK196629 BQG196629 CAC196629 CJY196629 CTU196629 DDQ196629 DNM196629 DXI196629 EHE196629 ERA196629 FAW196629 FKS196629 FUO196629 GEK196629 GOG196629 GYC196629 HHY196629 HRU196629 IBQ196629 ILM196629 IVI196629 JFE196629 JPA196629 JYW196629 KIS196629 KSO196629 LCK196629 LMG196629 LWC196629 MFY196629 MPU196629 MZQ196629 NJM196629 NTI196629 ODE196629 ONA196629 OWW196629 PGS196629 PQO196629 QAK196629 QKG196629 QUC196629 RDY196629 RNU196629 RXQ196629 SHM196629 SRI196629 TBE196629 TLA196629 TUW196629 UES196629 UOO196629 UYK196629 VIG196629 VSC196629 WBY196629 WLU196629 WVQ196629 I262165 JE262165 TA262165 ACW262165 AMS262165 AWO262165 BGK262165 BQG262165 CAC262165 CJY262165 CTU262165 DDQ262165 DNM262165 DXI262165 EHE262165 ERA262165 FAW262165 FKS262165 FUO262165 GEK262165 GOG262165 GYC262165 HHY262165 HRU262165 IBQ262165 ILM262165 IVI262165 JFE262165 JPA262165 JYW262165 KIS262165 KSO262165 LCK262165 LMG262165 LWC262165 MFY262165 MPU262165 MZQ262165 NJM262165 NTI262165 ODE262165 ONA262165 OWW262165 PGS262165 PQO262165 QAK262165 QKG262165 QUC262165 RDY262165 RNU262165 RXQ262165 SHM262165 SRI262165 TBE262165 TLA262165 TUW262165 UES262165 UOO262165 UYK262165 VIG262165 VSC262165 WBY262165 WLU262165 WVQ262165 I327701 JE327701 TA327701 ACW327701 AMS327701 AWO327701 BGK327701 BQG327701 CAC327701 CJY327701 CTU327701 DDQ327701 DNM327701 DXI327701 EHE327701 ERA327701 FAW327701 FKS327701 FUO327701 GEK327701 GOG327701 GYC327701 HHY327701 HRU327701 IBQ327701 ILM327701 IVI327701 JFE327701 JPA327701 JYW327701 KIS327701 KSO327701 LCK327701 LMG327701 LWC327701 MFY327701 MPU327701 MZQ327701 NJM327701 NTI327701 ODE327701 ONA327701 OWW327701 PGS327701 PQO327701 QAK327701 QKG327701 QUC327701 RDY327701 RNU327701 RXQ327701 SHM327701 SRI327701 TBE327701 TLA327701 TUW327701 UES327701 UOO327701 UYK327701 VIG327701 VSC327701 WBY327701 WLU327701 WVQ327701 I393237 JE393237 TA393237 ACW393237 AMS393237 AWO393237 BGK393237 BQG393237 CAC393237 CJY393237 CTU393237 DDQ393237 DNM393237 DXI393237 EHE393237 ERA393237 FAW393237 FKS393237 FUO393237 GEK393237 GOG393237 GYC393237 HHY393237 HRU393237 IBQ393237 ILM393237 IVI393237 JFE393237 JPA393237 JYW393237 KIS393237 KSO393237 LCK393237 LMG393237 LWC393237 MFY393237 MPU393237 MZQ393237 NJM393237 NTI393237 ODE393237 ONA393237 OWW393237 PGS393237 PQO393237 QAK393237 QKG393237 QUC393237 RDY393237 RNU393237 RXQ393237 SHM393237 SRI393237 TBE393237 TLA393237 TUW393237 UES393237 UOO393237 UYK393237 VIG393237 VSC393237 WBY393237 WLU393237 WVQ393237 I458773 JE458773 TA458773 ACW458773 AMS458773 AWO458773 BGK458773 BQG458773 CAC458773 CJY458773 CTU458773 DDQ458773 DNM458773 DXI458773 EHE458773 ERA458773 FAW458773 FKS458773 FUO458773 GEK458773 GOG458773 GYC458773 HHY458773 HRU458773 IBQ458773 ILM458773 IVI458773 JFE458773 JPA458773 JYW458773 KIS458773 KSO458773 LCK458773 LMG458773 LWC458773 MFY458773 MPU458773 MZQ458773 NJM458773 NTI458773 ODE458773 ONA458773 OWW458773 PGS458773 PQO458773 QAK458773 QKG458773 QUC458773 RDY458773 RNU458773 RXQ458773 SHM458773 SRI458773 TBE458773 TLA458773 TUW458773 UES458773 UOO458773 UYK458773 VIG458773 VSC458773 WBY458773 WLU458773 WVQ458773 I524309 JE524309 TA524309 ACW524309 AMS524309 AWO524309 BGK524309 BQG524309 CAC524309 CJY524309 CTU524309 DDQ524309 DNM524309 DXI524309 EHE524309 ERA524309 FAW524309 FKS524309 FUO524309 GEK524309 GOG524309 GYC524309 HHY524309 HRU524309 IBQ524309 ILM524309 IVI524309 JFE524309 JPA524309 JYW524309 KIS524309 KSO524309 LCK524309 LMG524309 LWC524309 MFY524309 MPU524309 MZQ524309 NJM524309 NTI524309 ODE524309 ONA524309 OWW524309 PGS524309 PQO524309 QAK524309 QKG524309 QUC524309 RDY524309 RNU524309 RXQ524309 SHM524309 SRI524309 TBE524309 TLA524309 TUW524309 UES524309 UOO524309 UYK524309 VIG524309 VSC524309 WBY524309 WLU524309 WVQ524309 I589845 JE589845 TA589845 ACW589845 AMS589845 AWO589845 BGK589845 BQG589845 CAC589845 CJY589845 CTU589845 DDQ589845 DNM589845 DXI589845 EHE589845 ERA589845 FAW589845 FKS589845 FUO589845 GEK589845 GOG589845 GYC589845 HHY589845 HRU589845 IBQ589845 ILM589845 IVI589845 JFE589845 JPA589845 JYW589845 KIS589845 KSO589845 LCK589845 LMG589845 LWC589845 MFY589845 MPU589845 MZQ589845 NJM589845 NTI589845 ODE589845 ONA589845 OWW589845 PGS589845 PQO589845 QAK589845 QKG589845 QUC589845 RDY589845 RNU589845 RXQ589845 SHM589845 SRI589845 TBE589845 TLA589845 TUW589845 UES589845 UOO589845 UYK589845 VIG589845 VSC589845 WBY589845 WLU589845 WVQ589845 I655381 JE655381 TA655381 ACW655381 AMS655381 AWO655381 BGK655381 BQG655381 CAC655381 CJY655381 CTU655381 DDQ655381 DNM655381 DXI655381 EHE655381 ERA655381 FAW655381 FKS655381 FUO655381 GEK655381 GOG655381 GYC655381 HHY655381 HRU655381 IBQ655381 ILM655381 IVI655381 JFE655381 JPA655381 JYW655381 KIS655381 KSO655381 LCK655381 LMG655381 LWC655381 MFY655381 MPU655381 MZQ655381 NJM655381 NTI655381 ODE655381 ONA655381 OWW655381 PGS655381 PQO655381 QAK655381 QKG655381 QUC655381 RDY655381 RNU655381 RXQ655381 SHM655381 SRI655381 TBE655381 TLA655381 TUW655381 UES655381 UOO655381 UYK655381 VIG655381 VSC655381 WBY655381 WLU655381 WVQ655381 I720917 JE720917 TA720917 ACW720917 AMS720917 AWO720917 BGK720917 BQG720917 CAC720917 CJY720917 CTU720917 DDQ720917 DNM720917 DXI720917 EHE720917 ERA720917 FAW720917 FKS720917 FUO720917 GEK720917 GOG720917 GYC720917 HHY720917 HRU720917 IBQ720917 ILM720917 IVI720917 JFE720917 JPA720917 JYW720917 KIS720917 KSO720917 LCK720917 LMG720917 LWC720917 MFY720917 MPU720917 MZQ720917 NJM720917 NTI720917 ODE720917 ONA720917 OWW720917 PGS720917 PQO720917 QAK720917 QKG720917 QUC720917 RDY720917 RNU720917 RXQ720917 SHM720917 SRI720917 TBE720917 TLA720917 TUW720917 UES720917 UOO720917 UYK720917 VIG720917 VSC720917 WBY720917 WLU720917 WVQ720917 I786453 JE786453 TA786453 ACW786453 AMS786453 AWO786453 BGK786453 BQG786453 CAC786453 CJY786453 CTU786453 DDQ786453 DNM786453 DXI786453 EHE786453 ERA786453 FAW786453 FKS786453 FUO786453 GEK786453 GOG786453 GYC786453 HHY786453 HRU786453 IBQ786453 ILM786453 IVI786453 JFE786453 JPA786453 JYW786453 KIS786453 KSO786453 LCK786453 LMG786453 LWC786453 MFY786453 MPU786453 MZQ786453 NJM786453 NTI786453 ODE786453 ONA786453 OWW786453 PGS786453 PQO786453 QAK786453 QKG786453 QUC786453 RDY786453 RNU786453 RXQ786453 SHM786453 SRI786453 TBE786453 TLA786453 TUW786453 UES786453 UOO786453 UYK786453 VIG786453 VSC786453 WBY786453 WLU786453 WVQ786453 I851989 JE851989 TA851989 ACW851989 AMS851989 AWO851989 BGK851989 BQG851989 CAC851989 CJY851989 CTU851989 DDQ851989 DNM851989 DXI851989 EHE851989 ERA851989 FAW851989 FKS851989 FUO851989 GEK851989 GOG851989 GYC851989 HHY851989 HRU851989 IBQ851989 ILM851989 IVI851989 JFE851989 JPA851989 JYW851989 KIS851989 KSO851989 LCK851989 LMG851989 LWC851989 MFY851989 MPU851989 MZQ851989 NJM851989 NTI851989 ODE851989 ONA851989 OWW851989 PGS851989 PQO851989 QAK851989 QKG851989 QUC851989 RDY851989 RNU851989 RXQ851989 SHM851989 SRI851989 TBE851989 TLA851989 TUW851989 UES851989 UOO851989 UYK851989 VIG851989 VSC851989 WBY851989 WLU851989 WVQ851989 I917525 JE917525 TA917525 ACW917525 AMS917525 AWO917525 BGK917525 BQG917525 CAC917525 CJY917525 CTU917525 DDQ917525 DNM917525 DXI917525 EHE917525 ERA917525 FAW917525 FKS917525 FUO917525 GEK917525 GOG917525 GYC917525 HHY917525 HRU917525 IBQ917525 ILM917525 IVI917525 JFE917525 JPA917525 JYW917525 KIS917525 KSO917525 LCK917525 LMG917525 LWC917525 MFY917525 MPU917525 MZQ917525 NJM917525 NTI917525 ODE917525 ONA917525 OWW917525 PGS917525 PQO917525 QAK917525 QKG917525 QUC917525 RDY917525 RNU917525 RXQ917525 SHM917525 SRI917525 TBE917525 TLA917525 TUW917525 UES917525 UOO917525 UYK917525 VIG917525 VSC917525 WBY917525 WLU917525 WVQ917525 I983061 JE983061 TA983061 ACW983061 AMS983061 AWO983061 BGK983061 BQG983061 CAC983061 CJY983061 CTU983061 DDQ983061 DNM983061 DXI983061 EHE983061 ERA983061 FAW983061 FKS983061 FUO983061 GEK983061 GOG983061 GYC983061 HHY983061 HRU983061 IBQ983061 ILM983061 IVI983061 JFE983061 JPA983061 JYW983061 KIS983061 KSO983061 LCK983061 LMG983061 LWC983061 MFY983061 MPU983061 MZQ983061 NJM983061 NTI983061 ODE983061 ONA983061 OWW983061 PGS983061 PQO983061 QAK983061 QKG983061 QUC983061 RDY983061 RNU983061 RXQ983061 SHM983061 SRI983061 TBE983061 TLA983061 TUW983061 UES983061 UOO983061 UYK983061 VIG983061 VSC983061 WBY983061 WLU983061 WVQ983061">
      <formula1>"是,否"</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pageSetUpPr fitToPage="1"/>
  </sheetPr>
  <dimension ref="A1:J25"/>
  <sheetViews>
    <sheetView zoomScale="90" zoomScaleNormal="90" workbookViewId="0">
      <selection activeCell="J16" sqref="J16"/>
    </sheetView>
  </sheetViews>
  <sheetFormatPr defaultColWidth="8.09765625" defaultRowHeight="12"/>
  <cols>
    <col min="1" max="1" width="17.59765625" style="2472" customWidth="1"/>
    <col min="2" max="2" width="15.3984375" style="2472" customWidth="1"/>
    <col min="3" max="5" width="14.09765625" style="2472" customWidth="1"/>
    <col min="6" max="6" width="15.8984375" style="2472" customWidth="1"/>
    <col min="7" max="7" width="18.69921875" style="2472" customWidth="1"/>
    <col min="8" max="9" width="14.09765625" style="2472" customWidth="1"/>
    <col min="10" max="255" width="15.8984375" style="2472" customWidth="1"/>
    <col min="256" max="256" width="8.09765625" style="2472"/>
    <col min="257" max="257" width="21.09765625" style="2472" customWidth="1"/>
    <col min="258" max="258" width="15.3984375" style="2472" customWidth="1"/>
    <col min="259" max="261" width="14.09765625" style="2472" customWidth="1"/>
    <col min="262" max="262" width="15.8984375" style="2472" customWidth="1"/>
    <col min="263" max="265" width="14.09765625" style="2472" customWidth="1"/>
    <col min="266" max="511" width="15.8984375" style="2472" customWidth="1"/>
    <col min="512" max="512" width="8.09765625" style="2472"/>
    <col min="513" max="513" width="21.09765625" style="2472" customWidth="1"/>
    <col min="514" max="514" width="15.3984375" style="2472" customWidth="1"/>
    <col min="515" max="517" width="14.09765625" style="2472" customWidth="1"/>
    <col min="518" max="518" width="15.8984375" style="2472" customWidth="1"/>
    <col min="519" max="521" width="14.09765625" style="2472" customWidth="1"/>
    <col min="522" max="767" width="15.8984375" style="2472" customWidth="1"/>
    <col min="768" max="768" width="8.09765625" style="2472"/>
    <col min="769" max="769" width="21.09765625" style="2472" customWidth="1"/>
    <col min="770" max="770" width="15.3984375" style="2472" customWidth="1"/>
    <col min="771" max="773" width="14.09765625" style="2472" customWidth="1"/>
    <col min="774" max="774" width="15.8984375" style="2472" customWidth="1"/>
    <col min="775" max="777" width="14.09765625" style="2472" customWidth="1"/>
    <col min="778" max="1023" width="15.8984375" style="2472" customWidth="1"/>
    <col min="1024" max="1024" width="8.09765625" style="2472"/>
    <col min="1025" max="1025" width="21.09765625" style="2472" customWidth="1"/>
    <col min="1026" max="1026" width="15.3984375" style="2472" customWidth="1"/>
    <col min="1027" max="1029" width="14.09765625" style="2472" customWidth="1"/>
    <col min="1030" max="1030" width="15.8984375" style="2472" customWidth="1"/>
    <col min="1031" max="1033" width="14.09765625" style="2472" customWidth="1"/>
    <col min="1034" max="1279" width="15.8984375" style="2472" customWidth="1"/>
    <col min="1280" max="1280" width="8.09765625" style="2472"/>
    <col min="1281" max="1281" width="21.09765625" style="2472" customWidth="1"/>
    <col min="1282" max="1282" width="15.3984375" style="2472" customWidth="1"/>
    <col min="1283" max="1285" width="14.09765625" style="2472" customWidth="1"/>
    <col min="1286" max="1286" width="15.8984375" style="2472" customWidth="1"/>
    <col min="1287" max="1289" width="14.09765625" style="2472" customWidth="1"/>
    <col min="1290" max="1535" width="15.8984375" style="2472" customWidth="1"/>
    <col min="1536" max="1536" width="8.09765625" style="2472"/>
    <col min="1537" max="1537" width="21.09765625" style="2472" customWidth="1"/>
    <col min="1538" max="1538" width="15.3984375" style="2472" customWidth="1"/>
    <col min="1539" max="1541" width="14.09765625" style="2472" customWidth="1"/>
    <col min="1542" max="1542" width="15.8984375" style="2472" customWidth="1"/>
    <col min="1543" max="1545" width="14.09765625" style="2472" customWidth="1"/>
    <col min="1546" max="1791" width="15.8984375" style="2472" customWidth="1"/>
    <col min="1792" max="1792" width="8.09765625" style="2472"/>
    <col min="1793" max="1793" width="21.09765625" style="2472" customWidth="1"/>
    <col min="1794" max="1794" width="15.3984375" style="2472" customWidth="1"/>
    <col min="1795" max="1797" width="14.09765625" style="2472" customWidth="1"/>
    <col min="1798" max="1798" width="15.8984375" style="2472" customWidth="1"/>
    <col min="1799" max="1801" width="14.09765625" style="2472" customWidth="1"/>
    <col min="1802" max="2047" width="15.8984375" style="2472" customWidth="1"/>
    <col min="2048" max="2048" width="8.09765625" style="2472"/>
    <col min="2049" max="2049" width="21.09765625" style="2472" customWidth="1"/>
    <col min="2050" max="2050" width="15.3984375" style="2472" customWidth="1"/>
    <col min="2051" max="2053" width="14.09765625" style="2472" customWidth="1"/>
    <col min="2054" max="2054" width="15.8984375" style="2472" customWidth="1"/>
    <col min="2055" max="2057" width="14.09765625" style="2472" customWidth="1"/>
    <col min="2058" max="2303" width="15.8984375" style="2472" customWidth="1"/>
    <col min="2304" max="2304" width="8.09765625" style="2472"/>
    <col min="2305" max="2305" width="21.09765625" style="2472" customWidth="1"/>
    <col min="2306" max="2306" width="15.3984375" style="2472" customWidth="1"/>
    <col min="2307" max="2309" width="14.09765625" style="2472" customWidth="1"/>
    <col min="2310" max="2310" width="15.8984375" style="2472" customWidth="1"/>
    <col min="2311" max="2313" width="14.09765625" style="2472" customWidth="1"/>
    <col min="2314" max="2559" width="15.8984375" style="2472" customWidth="1"/>
    <col min="2560" max="2560" width="8.09765625" style="2472"/>
    <col min="2561" max="2561" width="21.09765625" style="2472" customWidth="1"/>
    <col min="2562" max="2562" width="15.3984375" style="2472" customWidth="1"/>
    <col min="2563" max="2565" width="14.09765625" style="2472" customWidth="1"/>
    <col min="2566" max="2566" width="15.8984375" style="2472" customWidth="1"/>
    <col min="2567" max="2569" width="14.09765625" style="2472" customWidth="1"/>
    <col min="2570" max="2815" width="15.8984375" style="2472" customWidth="1"/>
    <col min="2816" max="2816" width="8.09765625" style="2472"/>
    <col min="2817" max="2817" width="21.09765625" style="2472" customWidth="1"/>
    <col min="2818" max="2818" width="15.3984375" style="2472" customWidth="1"/>
    <col min="2819" max="2821" width="14.09765625" style="2472" customWidth="1"/>
    <col min="2822" max="2822" width="15.8984375" style="2472" customWidth="1"/>
    <col min="2823" max="2825" width="14.09765625" style="2472" customWidth="1"/>
    <col min="2826" max="3071" width="15.8984375" style="2472" customWidth="1"/>
    <col min="3072" max="3072" width="8.09765625" style="2472"/>
    <col min="3073" max="3073" width="21.09765625" style="2472" customWidth="1"/>
    <col min="3074" max="3074" width="15.3984375" style="2472" customWidth="1"/>
    <col min="3075" max="3077" width="14.09765625" style="2472" customWidth="1"/>
    <col min="3078" max="3078" width="15.8984375" style="2472" customWidth="1"/>
    <col min="3079" max="3081" width="14.09765625" style="2472" customWidth="1"/>
    <col min="3082" max="3327" width="15.8984375" style="2472" customWidth="1"/>
    <col min="3328" max="3328" width="8.09765625" style="2472"/>
    <col min="3329" max="3329" width="21.09765625" style="2472" customWidth="1"/>
    <col min="3330" max="3330" width="15.3984375" style="2472" customWidth="1"/>
    <col min="3331" max="3333" width="14.09765625" style="2472" customWidth="1"/>
    <col min="3334" max="3334" width="15.8984375" style="2472" customWidth="1"/>
    <col min="3335" max="3337" width="14.09765625" style="2472" customWidth="1"/>
    <col min="3338" max="3583" width="15.8984375" style="2472" customWidth="1"/>
    <col min="3584" max="3584" width="8.09765625" style="2472"/>
    <col min="3585" max="3585" width="21.09765625" style="2472" customWidth="1"/>
    <col min="3586" max="3586" width="15.3984375" style="2472" customWidth="1"/>
    <col min="3587" max="3589" width="14.09765625" style="2472" customWidth="1"/>
    <col min="3590" max="3590" width="15.8984375" style="2472" customWidth="1"/>
    <col min="3591" max="3593" width="14.09765625" style="2472" customWidth="1"/>
    <col min="3594" max="3839" width="15.8984375" style="2472" customWidth="1"/>
    <col min="3840" max="3840" width="8.09765625" style="2472"/>
    <col min="3841" max="3841" width="21.09765625" style="2472" customWidth="1"/>
    <col min="3842" max="3842" width="15.3984375" style="2472" customWidth="1"/>
    <col min="3843" max="3845" width="14.09765625" style="2472" customWidth="1"/>
    <col min="3846" max="3846" width="15.8984375" style="2472" customWidth="1"/>
    <col min="3847" max="3849" width="14.09765625" style="2472" customWidth="1"/>
    <col min="3850" max="4095" width="15.8984375" style="2472" customWidth="1"/>
    <col min="4096" max="4096" width="8.09765625" style="2472"/>
    <col min="4097" max="4097" width="21.09765625" style="2472" customWidth="1"/>
    <col min="4098" max="4098" width="15.3984375" style="2472" customWidth="1"/>
    <col min="4099" max="4101" width="14.09765625" style="2472" customWidth="1"/>
    <col min="4102" max="4102" width="15.8984375" style="2472" customWidth="1"/>
    <col min="4103" max="4105" width="14.09765625" style="2472" customWidth="1"/>
    <col min="4106" max="4351" width="15.8984375" style="2472" customWidth="1"/>
    <col min="4352" max="4352" width="8.09765625" style="2472"/>
    <col min="4353" max="4353" width="21.09765625" style="2472" customWidth="1"/>
    <col min="4354" max="4354" width="15.3984375" style="2472" customWidth="1"/>
    <col min="4355" max="4357" width="14.09765625" style="2472" customWidth="1"/>
    <col min="4358" max="4358" width="15.8984375" style="2472" customWidth="1"/>
    <col min="4359" max="4361" width="14.09765625" style="2472" customWidth="1"/>
    <col min="4362" max="4607" width="15.8984375" style="2472" customWidth="1"/>
    <col min="4608" max="4608" width="8.09765625" style="2472"/>
    <col min="4609" max="4609" width="21.09765625" style="2472" customWidth="1"/>
    <col min="4610" max="4610" width="15.3984375" style="2472" customWidth="1"/>
    <col min="4611" max="4613" width="14.09765625" style="2472" customWidth="1"/>
    <col min="4614" max="4614" width="15.8984375" style="2472" customWidth="1"/>
    <col min="4615" max="4617" width="14.09765625" style="2472" customWidth="1"/>
    <col min="4618" max="4863" width="15.8984375" style="2472" customWidth="1"/>
    <col min="4864" max="4864" width="8.09765625" style="2472"/>
    <col min="4865" max="4865" width="21.09765625" style="2472" customWidth="1"/>
    <col min="4866" max="4866" width="15.3984375" style="2472" customWidth="1"/>
    <col min="4867" max="4869" width="14.09765625" style="2472" customWidth="1"/>
    <col min="4870" max="4870" width="15.8984375" style="2472" customWidth="1"/>
    <col min="4871" max="4873" width="14.09765625" style="2472" customWidth="1"/>
    <col min="4874" max="5119" width="15.8984375" style="2472" customWidth="1"/>
    <col min="5120" max="5120" width="8.09765625" style="2472"/>
    <col min="5121" max="5121" width="21.09765625" style="2472" customWidth="1"/>
    <col min="5122" max="5122" width="15.3984375" style="2472" customWidth="1"/>
    <col min="5123" max="5125" width="14.09765625" style="2472" customWidth="1"/>
    <col min="5126" max="5126" width="15.8984375" style="2472" customWidth="1"/>
    <col min="5127" max="5129" width="14.09765625" style="2472" customWidth="1"/>
    <col min="5130" max="5375" width="15.8984375" style="2472" customWidth="1"/>
    <col min="5376" max="5376" width="8.09765625" style="2472"/>
    <col min="5377" max="5377" width="21.09765625" style="2472" customWidth="1"/>
    <col min="5378" max="5378" width="15.3984375" style="2472" customWidth="1"/>
    <col min="5379" max="5381" width="14.09765625" style="2472" customWidth="1"/>
    <col min="5382" max="5382" width="15.8984375" style="2472" customWidth="1"/>
    <col min="5383" max="5385" width="14.09765625" style="2472" customWidth="1"/>
    <col min="5386" max="5631" width="15.8984375" style="2472" customWidth="1"/>
    <col min="5632" max="5632" width="8.09765625" style="2472"/>
    <col min="5633" max="5633" width="21.09765625" style="2472" customWidth="1"/>
    <col min="5634" max="5634" width="15.3984375" style="2472" customWidth="1"/>
    <col min="5635" max="5637" width="14.09765625" style="2472" customWidth="1"/>
    <col min="5638" max="5638" width="15.8984375" style="2472" customWidth="1"/>
    <col min="5639" max="5641" width="14.09765625" style="2472" customWidth="1"/>
    <col min="5642" max="5887" width="15.8984375" style="2472" customWidth="1"/>
    <col min="5888" max="5888" width="8.09765625" style="2472"/>
    <col min="5889" max="5889" width="21.09765625" style="2472" customWidth="1"/>
    <col min="5890" max="5890" width="15.3984375" style="2472" customWidth="1"/>
    <col min="5891" max="5893" width="14.09765625" style="2472" customWidth="1"/>
    <col min="5894" max="5894" width="15.8984375" style="2472" customWidth="1"/>
    <col min="5895" max="5897" width="14.09765625" style="2472" customWidth="1"/>
    <col min="5898" max="6143" width="15.8984375" style="2472" customWidth="1"/>
    <col min="6144" max="6144" width="8.09765625" style="2472"/>
    <col min="6145" max="6145" width="21.09765625" style="2472" customWidth="1"/>
    <col min="6146" max="6146" width="15.3984375" style="2472" customWidth="1"/>
    <col min="6147" max="6149" width="14.09765625" style="2472" customWidth="1"/>
    <col min="6150" max="6150" width="15.8984375" style="2472" customWidth="1"/>
    <col min="6151" max="6153" width="14.09765625" style="2472" customWidth="1"/>
    <col min="6154" max="6399" width="15.8984375" style="2472" customWidth="1"/>
    <col min="6400" max="6400" width="8.09765625" style="2472"/>
    <col min="6401" max="6401" width="21.09765625" style="2472" customWidth="1"/>
    <col min="6402" max="6402" width="15.3984375" style="2472" customWidth="1"/>
    <col min="6403" max="6405" width="14.09765625" style="2472" customWidth="1"/>
    <col min="6406" max="6406" width="15.8984375" style="2472" customWidth="1"/>
    <col min="6407" max="6409" width="14.09765625" style="2472" customWidth="1"/>
    <col min="6410" max="6655" width="15.8984375" style="2472" customWidth="1"/>
    <col min="6656" max="6656" width="8.09765625" style="2472"/>
    <col min="6657" max="6657" width="21.09765625" style="2472" customWidth="1"/>
    <col min="6658" max="6658" width="15.3984375" style="2472" customWidth="1"/>
    <col min="6659" max="6661" width="14.09765625" style="2472" customWidth="1"/>
    <col min="6662" max="6662" width="15.8984375" style="2472" customWidth="1"/>
    <col min="6663" max="6665" width="14.09765625" style="2472" customWidth="1"/>
    <col min="6666" max="6911" width="15.8984375" style="2472" customWidth="1"/>
    <col min="6912" max="6912" width="8.09765625" style="2472"/>
    <col min="6913" max="6913" width="21.09765625" style="2472" customWidth="1"/>
    <col min="6914" max="6914" width="15.3984375" style="2472" customWidth="1"/>
    <col min="6915" max="6917" width="14.09765625" style="2472" customWidth="1"/>
    <col min="6918" max="6918" width="15.8984375" style="2472" customWidth="1"/>
    <col min="6919" max="6921" width="14.09765625" style="2472" customWidth="1"/>
    <col min="6922" max="7167" width="15.8984375" style="2472" customWidth="1"/>
    <col min="7168" max="7168" width="8.09765625" style="2472"/>
    <col min="7169" max="7169" width="21.09765625" style="2472" customWidth="1"/>
    <col min="7170" max="7170" width="15.3984375" style="2472" customWidth="1"/>
    <col min="7171" max="7173" width="14.09765625" style="2472" customWidth="1"/>
    <col min="7174" max="7174" width="15.8984375" style="2472" customWidth="1"/>
    <col min="7175" max="7177" width="14.09765625" style="2472" customWidth="1"/>
    <col min="7178" max="7423" width="15.8984375" style="2472" customWidth="1"/>
    <col min="7424" max="7424" width="8.09765625" style="2472"/>
    <col min="7425" max="7425" width="21.09765625" style="2472" customWidth="1"/>
    <col min="7426" max="7426" width="15.3984375" style="2472" customWidth="1"/>
    <col min="7427" max="7429" width="14.09765625" style="2472" customWidth="1"/>
    <col min="7430" max="7430" width="15.8984375" style="2472" customWidth="1"/>
    <col min="7431" max="7433" width="14.09765625" style="2472" customWidth="1"/>
    <col min="7434" max="7679" width="15.8984375" style="2472" customWidth="1"/>
    <col min="7680" max="7680" width="8.09765625" style="2472"/>
    <col min="7681" max="7681" width="21.09765625" style="2472" customWidth="1"/>
    <col min="7682" max="7682" width="15.3984375" style="2472" customWidth="1"/>
    <col min="7683" max="7685" width="14.09765625" style="2472" customWidth="1"/>
    <col min="7686" max="7686" width="15.8984375" style="2472" customWidth="1"/>
    <col min="7687" max="7689" width="14.09765625" style="2472" customWidth="1"/>
    <col min="7690" max="7935" width="15.8984375" style="2472" customWidth="1"/>
    <col min="7936" max="7936" width="8.09765625" style="2472"/>
    <col min="7937" max="7937" width="21.09765625" style="2472" customWidth="1"/>
    <col min="7938" max="7938" width="15.3984375" style="2472" customWidth="1"/>
    <col min="7939" max="7941" width="14.09765625" style="2472" customWidth="1"/>
    <col min="7942" max="7942" width="15.8984375" style="2472" customWidth="1"/>
    <col min="7943" max="7945" width="14.09765625" style="2472" customWidth="1"/>
    <col min="7946" max="8191" width="15.8984375" style="2472" customWidth="1"/>
    <col min="8192" max="8192" width="8.09765625" style="2472"/>
    <col min="8193" max="8193" width="21.09765625" style="2472" customWidth="1"/>
    <col min="8194" max="8194" width="15.3984375" style="2472" customWidth="1"/>
    <col min="8195" max="8197" width="14.09765625" style="2472" customWidth="1"/>
    <col min="8198" max="8198" width="15.8984375" style="2472" customWidth="1"/>
    <col min="8199" max="8201" width="14.09765625" style="2472" customWidth="1"/>
    <col min="8202" max="8447" width="15.8984375" style="2472" customWidth="1"/>
    <col min="8448" max="8448" width="8.09765625" style="2472"/>
    <col min="8449" max="8449" width="21.09765625" style="2472" customWidth="1"/>
    <col min="8450" max="8450" width="15.3984375" style="2472" customWidth="1"/>
    <col min="8451" max="8453" width="14.09765625" style="2472" customWidth="1"/>
    <col min="8454" max="8454" width="15.8984375" style="2472" customWidth="1"/>
    <col min="8455" max="8457" width="14.09765625" style="2472" customWidth="1"/>
    <col min="8458" max="8703" width="15.8984375" style="2472" customWidth="1"/>
    <col min="8704" max="8704" width="8.09765625" style="2472"/>
    <col min="8705" max="8705" width="21.09765625" style="2472" customWidth="1"/>
    <col min="8706" max="8706" width="15.3984375" style="2472" customWidth="1"/>
    <col min="8707" max="8709" width="14.09765625" style="2472" customWidth="1"/>
    <col min="8710" max="8710" width="15.8984375" style="2472" customWidth="1"/>
    <col min="8711" max="8713" width="14.09765625" style="2472" customWidth="1"/>
    <col min="8714" max="8959" width="15.8984375" style="2472" customWidth="1"/>
    <col min="8960" max="8960" width="8.09765625" style="2472"/>
    <col min="8961" max="8961" width="21.09765625" style="2472" customWidth="1"/>
    <col min="8962" max="8962" width="15.3984375" style="2472" customWidth="1"/>
    <col min="8963" max="8965" width="14.09765625" style="2472" customWidth="1"/>
    <col min="8966" max="8966" width="15.8984375" style="2472" customWidth="1"/>
    <col min="8967" max="8969" width="14.09765625" style="2472" customWidth="1"/>
    <col min="8970" max="9215" width="15.8984375" style="2472" customWidth="1"/>
    <col min="9216" max="9216" width="8.09765625" style="2472"/>
    <col min="9217" max="9217" width="21.09765625" style="2472" customWidth="1"/>
    <col min="9218" max="9218" width="15.3984375" style="2472" customWidth="1"/>
    <col min="9219" max="9221" width="14.09765625" style="2472" customWidth="1"/>
    <col min="9222" max="9222" width="15.8984375" style="2472" customWidth="1"/>
    <col min="9223" max="9225" width="14.09765625" style="2472" customWidth="1"/>
    <col min="9226" max="9471" width="15.8984375" style="2472" customWidth="1"/>
    <col min="9472" max="9472" width="8.09765625" style="2472"/>
    <col min="9473" max="9473" width="21.09765625" style="2472" customWidth="1"/>
    <col min="9474" max="9474" width="15.3984375" style="2472" customWidth="1"/>
    <col min="9475" max="9477" width="14.09765625" style="2472" customWidth="1"/>
    <col min="9478" max="9478" width="15.8984375" style="2472" customWidth="1"/>
    <col min="9479" max="9481" width="14.09765625" style="2472" customWidth="1"/>
    <col min="9482" max="9727" width="15.8984375" style="2472" customWidth="1"/>
    <col min="9728" max="9728" width="8.09765625" style="2472"/>
    <col min="9729" max="9729" width="21.09765625" style="2472" customWidth="1"/>
    <col min="9730" max="9730" width="15.3984375" style="2472" customWidth="1"/>
    <col min="9731" max="9733" width="14.09765625" style="2472" customWidth="1"/>
    <col min="9734" max="9734" width="15.8984375" style="2472" customWidth="1"/>
    <col min="9735" max="9737" width="14.09765625" style="2472" customWidth="1"/>
    <col min="9738" max="9983" width="15.8984375" style="2472" customWidth="1"/>
    <col min="9984" max="9984" width="8.09765625" style="2472"/>
    <col min="9985" max="9985" width="21.09765625" style="2472" customWidth="1"/>
    <col min="9986" max="9986" width="15.3984375" style="2472" customWidth="1"/>
    <col min="9987" max="9989" width="14.09765625" style="2472" customWidth="1"/>
    <col min="9990" max="9990" width="15.8984375" style="2472" customWidth="1"/>
    <col min="9991" max="9993" width="14.09765625" style="2472" customWidth="1"/>
    <col min="9994" max="10239" width="15.8984375" style="2472" customWidth="1"/>
    <col min="10240" max="10240" width="8.09765625" style="2472"/>
    <col min="10241" max="10241" width="21.09765625" style="2472" customWidth="1"/>
    <col min="10242" max="10242" width="15.3984375" style="2472" customWidth="1"/>
    <col min="10243" max="10245" width="14.09765625" style="2472" customWidth="1"/>
    <col min="10246" max="10246" width="15.8984375" style="2472" customWidth="1"/>
    <col min="10247" max="10249" width="14.09765625" style="2472" customWidth="1"/>
    <col min="10250" max="10495" width="15.8984375" style="2472" customWidth="1"/>
    <col min="10496" max="10496" width="8.09765625" style="2472"/>
    <col min="10497" max="10497" width="21.09765625" style="2472" customWidth="1"/>
    <col min="10498" max="10498" width="15.3984375" style="2472" customWidth="1"/>
    <col min="10499" max="10501" width="14.09765625" style="2472" customWidth="1"/>
    <col min="10502" max="10502" width="15.8984375" style="2472" customWidth="1"/>
    <col min="10503" max="10505" width="14.09765625" style="2472" customWidth="1"/>
    <col min="10506" max="10751" width="15.8984375" style="2472" customWidth="1"/>
    <col min="10752" max="10752" width="8.09765625" style="2472"/>
    <col min="10753" max="10753" width="21.09765625" style="2472" customWidth="1"/>
    <col min="10754" max="10754" width="15.3984375" style="2472" customWidth="1"/>
    <col min="10755" max="10757" width="14.09765625" style="2472" customWidth="1"/>
    <col min="10758" max="10758" width="15.8984375" style="2472" customWidth="1"/>
    <col min="10759" max="10761" width="14.09765625" style="2472" customWidth="1"/>
    <col min="10762" max="11007" width="15.8984375" style="2472" customWidth="1"/>
    <col min="11008" max="11008" width="8.09765625" style="2472"/>
    <col min="11009" max="11009" width="21.09765625" style="2472" customWidth="1"/>
    <col min="11010" max="11010" width="15.3984375" style="2472" customWidth="1"/>
    <col min="11011" max="11013" width="14.09765625" style="2472" customWidth="1"/>
    <col min="11014" max="11014" width="15.8984375" style="2472" customWidth="1"/>
    <col min="11015" max="11017" width="14.09765625" style="2472" customWidth="1"/>
    <col min="11018" max="11263" width="15.8984375" style="2472" customWidth="1"/>
    <col min="11264" max="11264" width="8.09765625" style="2472"/>
    <col min="11265" max="11265" width="21.09765625" style="2472" customWidth="1"/>
    <col min="11266" max="11266" width="15.3984375" style="2472" customWidth="1"/>
    <col min="11267" max="11269" width="14.09765625" style="2472" customWidth="1"/>
    <col min="11270" max="11270" width="15.8984375" style="2472" customWidth="1"/>
    <col min="11271" max="11273" width="14.09765625" style="2472" customWidth="1"/>
    <col min="11274" max="11519" width="15.8984375" style="2472" customWidth="1"/>
    <col min="11520" max="11520" width="8.09765625" style="2472"/>
    <col min="11521" max="11521" width="21.09765625" style="2472" customWidth="1"/>
    <col min="11522" max="11522" width="15.3984375" style="2472" customWidth="1"/>
    <col min="11523" max="11525" width="14.09765625" style="2472" customWidth="1"/>
    <col min="11526" max="11526" width="15.8984375" style="2472" customWidth="1"/>
    <col min="11527" max="11529" width="14.09765625" style="2472" customWidth="1"/>
    <col min="11530" max="11775" width="15.8984375" style="2472" customWidth="1"/>
    <col min="11776" max="11776" width="8.09765625" style="2472"/>
    <col min="11777" max="11777" width="21.09765625" style="2472" customWidth="1"/>
    <col min="11778" max="11778" width="15.3984375" style="2472" customWidth="1"/>
    <col min="11779" max="11781" width="14.09765625" style="2472" customWidth="1"/>
    <col min="11782" max="11782" width="15.8984375" style="2472" customWidth="1"/>
    <col min="11783" max="11785" width="14.09765625" style="2472" customWidth="1"/>
    <col min="11786" max="12031" width="15.8984375" style="2472" customWidth="1"/>
    <col min="12032" max="12032" width="8.09765625" style="2472"/>
    <col min="12033" max="12033" width="21.09765625" style="2472" customWidth="1"/>
    <col min="12034" max="12034" width="15.3984375" style="2472" customWidth="1"/>
    <col min="12035" max="12037" width="14.09765625" style="2472" customWidth="1"/>
    <col min="12038" max="12038" width="15.8984375" style="2472" customWidth="1"/>
    <col min="12039" max="12041" width="14.09765625" style="2472" customWidth="1"/>
    <col min="12042" max="12287" width="15.8984375" style="2472" customWidth="1"/>
    <col min="12288" max="12288" width="8.09765625" style="2472"/>
    <col min="12289" max="12289" width="21.09765625" style="2472" customWidth="1"/>
    <col min="12290" max="12290" width="15.3984375" style="2472" customWidth="1"/>
    <col min="12291" max="12293" width="14.09765625" style="2472" customWidth="1"/>
    <col min="12294" max="12294" width="15.8984375" style="2472" customWidth="1"/>
    <col min="12295" max="12297" width="14.09765625" style="2472" customWidth="1"/>
    <col min="12298" max="12543" width="15.8984375" style="2472" customWidth="1"/>
    <col min="12544" max="12544" width="8.09765625" style="2472"/>
    <col min="12545" max="12545" width="21.09765625" style="2472" customWidth="1"/>
    <col min="12546" max="12546" width="15.3984375" style="2472" customWidth="1"/>
    <col min="12547" max="12549" width="14.09765625" style="2472" customWidth="1"/>
    <col min="12550" max="12550" width="15.8984375" style="2472" customWidth="1"/>
    <col min="12551" max="12553" width="14.09765625" style="2472" customWidth="1"/>
    <col min="12554" max="12799" width="15.8984375" style="2472" customWidth="1"/>
    <col min="12800" max="12800" width="8.09765625" style="2472"/>
    <col min="12801" max="12801" width="21.09765625" style="2472" customWidth="1"/>
    <col min="12802" max="12802" width="15.3984375" style="2472" customWidth="1"/>
    <col min="12803" max="12805" width="14.09765625" style="2472" customWidth="1"/>
    <col min="12806" max="12806" width="15.8984375" style="2472" customWidth="1"/>
    <col min="12807" max="12809" width="14.09765625" style="2472" customWidth="1"/>
    <col min="12810" max="13055" width="15.8984375" style="2472" customWidth="1"/>
    <col min="13056" max="13056" width="8.09765625" style="2472"/>
    <col min="13057" max="13057" width="21.09765625" style="2472" customWidth="1"/>
    <col min="13058" max="13058" width="15.3984375" style="2472" customWidth="1"/>
    <col min="13059" max="13061" width="14.09765625" style="2472" customWidth="1"/>
    <col min="13062" max="13062" width="15.8984375" style="2472" customWidth="1"/>
    <col min="13063" max="13065" width="14.09765625" style="2472" customWidth="1"/>
    <col min="13066" max="13311" width="15.8984375" style="2472" customWidth="1"/>
    <col min="13312" max="13312" width="8.09765625" style="2472"/>
    <col min="13313" max="13313" width="21.09765625" style="2472" customWidth="1"/>
    <col min="13314" max="13314" width="15.3984375" style="2472" customWidth="1"/>
    <col min="13315" max="13317" width="14.09765625" style="2472" customWidth="1"/>
    <col min="13318" max="13318" width="15.8984375" style="2472" customWidth="1"/>
    <col min="13319" max="13321" width="14.09765625" style="2472" customWidth="1"/>
    <col min="13322" max="13567" width="15.8984375" style="2472" customWidth="1"/>
    <col min="13568" max="13568" width="8.09765625" style="2472"/>
    <col min="13569" max="13569" width="21.09765625" style="2472" customWidth="1"/>
    <col min="13570" max="13570" width="15.3984375" style="2472" customWidth="1"/>
    <col min="13571" max="13573" width="14.09765625" style="2472" customWidth="1"/>
    <col min="13574" max="13574" width="15.8984375" style="2472" customWidth="1"/>
    <col min="13575" max="13577" width="14.09765625" style="2472" customWidth="1"/>
    <col min="13578" max="13823" width="15.8984375" style="2472" customWidth="1"/>
    <col min="13824" max="13824" width="8.09765625" style="2472"/>
    <col min="13825" max="13825" width="21.09765625" style="2472" customWidth="1"/>
    <col min="13826" max="13826" width="15.3984375" style="2472" customWidth="1"/>
    <col min="13827" max="13829" width="14.09765625" style="2472" customWidth="1"/>
    <col min="13830" max="13830" width="15.8984375" style="2472" customWidth="1"/>
    <col min="13831" max="13833" width="14.09765625" style="2472" customWidth="1"/>
    <col min="13834" max="14079" width="15.8984375" style="2472" customWidth="1"/>
    <col min="14080" max="14080" width="8.09765625" style="2472"/>
    <col min="14081" max="14081" width="21.09765625" style="2472" customWidth="1"/>
    <col min="14082" max="14082" width="15.3984375" style="2472" customWidth="1"/>
    <col min="14083" max="14085" width="14.09765625" style="2472" customWidth="1"/>
    <col min="14086" max="14086" width="15.8984375" style="2472" customWidth="1"/>
    <col min="14087" max="14089" width="14.09765625" style="2472" customWidth="1"/>
    <col min="14090" max="14335" width="15.8984375" style="2472" customWidth="1"/>
    <col min="14336" max="14336" width="8.09765625" style="2472"/>
    <col min="14337" max="14337" width="21.09765625" style="2472" customWidth="1"/>
    <col min="14338" max="14338" width="15.3984375" style="2472" customWidth="1"/>
    <col min="14339" max="14341" width="14.09765625" style="2472" customWidth="1"/>
    <col min="14342" max="14342" width="15.8984375" style="2472" customWidth="1"/>
    <col min="14343" max="14345" width="14.09765625" style="2472" customWidth="1"/>
    <col min="14346" max="14591" width="15.8984375" style="2472" customWidth="1"/>
    <col min="14592" max="14592" width="8.09765625" style="2472"/>
    <col min="14593" max="14593" width="21.09765625" style="2472" customWidth="1"/>
    <col min="14594" max="14594" width="15.3984375" style="2472" customWidth="1"/>
    <col min="14595" max="14597" width="14.09765625" style="2472" customWidth="1"/>
    <col min="14598" max="14598" width="15.8984375" style="2472" customWidth="1"/>
    <col min="14599" max="14601" width="14.09765625" style="2472" customWidth="1"/>
    <col min="14602" max="14847" width="15.8984375" style="2472" customWidth="1"/>
    <col min="14848" max="14848" width="8.09765625" style="2472"/>
    <col min="14849" max="14849" width="21.09765625" style="2472" customWidth="1"/>
    <col min="14850" max="14850" width="15.3984375" style="2472" customWidth="1"/>
    <col min="14851" max="14853" width="14.09765625" style="2472" customWidth="1"/>
    <col min="14854" max="14854" width="15.8984375" style="2472" customWidth="1"/>
    <col min="14855" max="14857" width="14.09765625" style="2472" customWidth="1"/>
    <col min="14858" max="15103" width="15.8984375" style="2472" customWidth="1"/>
    <col min="15104" max="15104" width="8.09765625" style="2472"/>
    <col min="15105" max="15105" width="21.09765625" style="2472" customWidth="1"/>
    <col min="15106" max="15106" width="15.3984375" style="2472" customWidth="1"/>
    <col min="15107" max="15109" width="14.09765625" style="2472" customWidth="1"/>
    <col min="15110" max="15110" width="15.8984375" style="2472" customWidth="1"/>
    <col min="15111" max="15113" width="14.09765625" style="2472" customWidth="1"/>
    <col min="15114" max="15359" width="15.8984375" style="2472" customWidth="1"/>
    <col min="15360" max="15360" width="8.09765625" style="2472"/>
    <col min="15361" max="15361" width="21.09765625" style="2472" customWidth="1"/>
    <col min="15362" max="15362" width="15.3984375" style="2472" customWidth="1"/>
    <col min="15363" max="15365" width="14.09765625" style="2472" customWidth="1"/>
    <col min="15366" max="15366" width="15.8984375" style="2472" customWidth="1"/>
    <col min="15367" max="15369" width="14.09765625" style="2472" customWidth="1"/>
    <col min="15370" max="15615" width="15.8984375" style="2472" customWidth="1"/>
    <col min="15616" max="15616" width="8.09765625" style="2472"/>
    <col min="15617" max="15617" width="21.09765625" style="2472" customWidth="1"/>
    <col min="15618" max="15618" width="15.3984375" style="2472" customWidth="1"/>
    <col min="15619" max="15621" width="14.09765625" style="2472" customWidth="1"/>
    <col min="15622" max="15622" width="15.8984375" style="2472" customWidth="1"/>
    <col min="15623" max="15625" width="14.09765625" style="2472" customWidth="1"/>
    <col min="15626" max="15871" width="15.8984375" style="2472" customWidth="1"/>
    <col min="15872" max="15872" width="8.09765625" style="2472"/>
    <col min="15873" max="15873" width="21.09765625" style="2472" customWidth="1"/>
    <col min="15874" max="15874" width="15.3984375" style="2472" customWidth="1"/>
    <col min="15875" max="15877" width="14.09765625" style="2472" customWidth="1"/>
    <col min="15878" max="15878" width="15.8984375" style="2472" customWidth="1"/>
    <col min="15879" max="15881" width="14.09765625" style="2472" customWidth="1"/>
    <col min="15882" max="16127" width="15.8984375" style="2472" customWidth="1"/>
    <col min="16128" max="16128" width="8.09765625" style="2472"/>
    <col min="16129" max="16129" width="21.09765625" style="2472" customWidth="1"/>
    <col min="16130" max="16130" width="15.3984375" style="2472" customWidth="1"/>
    <col min="16131" max="16133" width="14.09765625" style="2472" customWidth="1"/>
    <col min="16134" max="16134" width="15.8984375" style="2472" customWidth="1"/>
    <col min="16135" max="16137" width="14.09765625" style="2472" customWidth="1"/>
    <col min="16138" max="16383" width="15.8984375" style="2472" customWidth="1"/>
    <col min="16384" max="16384" width="8.09765625" style="2472"/>
  </cols>
  <sheetData>
    <row r="1" spans="1:10" ht="20.100000000000001" customHeight="1">
      <c r="A1" s="4015" t="s">
        <v>7407</v>
      </c>
      <c r="B1" s="4015"/>
      <c r="C1" s="4015"/>
      <c r="D1" s="4015"/>
      <c r="E1" s="4015"/>
      <c r="F1" s="4015"/>
      <c r="G1" s="4015"/>
      <c r="H1" s="4015"/>
      <c r="I1" s="4015"/>
      <c r="J1" s="2475"/>
    </row>
    <row r="2" spans="1:10" ht="24" customHeight="1">
      <c r="A2" s="4016" t="s">
        <v>7416</v>
      </c>
      <c r="B2" s="4016"/>
      <c r="C2" s="4016"/>
      <c r="D2" s="4016"/>
      <c r="E2" s="4016"/>
      <c r="F2" s="4016"/>
      <c r="G2" s="4016"/>
      <c r="H2" s="4016"/>
      <c r="I2" s="4016"/>
    </row>
    <row r="3" spans="1:10" ht="25.5" customHeight="1">
      <c r="A3" s="2509" t="s">
        <v>7280</v>
      </c>
      <c r="B3" s="4038"/>
      <c r="C3" s="4038"/>
      <c r="D3" s="4038"/>
      <c r="E3" s="4038"/>
      <c r="F3" s="4039" t="s">
        <v>7281</v>
      </c>
      <c r="G3" s="4040"/>
      <c r="H3" s="4038"/>
      <c r="I3" s="4038"/>
    </row>
    <row r="4" spans="1:10" ht="25.5" customHeight="1">
      <c r="A4" s="2509" t="s">
        <v>7282</v>
      </c>
      <c r="B4" s="4005"/>
      <c r="C4" s="4005"/>
      <c r="D4" s="4005"/>
      <c r="E4" s="4005"/>
      <c r="F4" s="4036"/>
      <c r="G4" s="4037"/>
      <c r="H4" s="4005"/>
      <c r="I4" s="4005"/>
    </row>
    <row r="5" spans="1:10" ht="25.5" customHeight="1">
      <c r="A5" s="2539" t="s">
        <v>7283</v>
      </c>
      <c r="B5" s="4009"/>
      <c r="C5" s="4033"/>
      <c r="D5" s="4025" t="s">
        <v>7284</v>
      </c>
      <c r="E5" s="4025"/>
      <c r="F5" s="2532"/>
      <c r="G5" s="4002" t="s">
        <v>7285</v>
      </c>
      <c r="H5" s="4002"/>
      <c r="I5" s="2533"/>
    </row>
    <row r="6" spans="1:10" ht="25.5" customHeight="1">
      <c r="A6" s="2509" t="s">
        <v>7286</v>
      </c>
      <c r="B6" s="4005"/>
      <c r="C6" s="4005"/>
      <c r="D6" s="4034" t="s">
        <v>7287</v>
      </c>
      <c r="E6" s="4035"/>
      <c r="F6" s="4005"/>
      <c r="G6" s="4034" t="s">
        <v>7288</v>
      </c>
      <c r="H6" s="4035"/>
      <c r="I6" s="4024"/>
    </row>
    <row r="7" spans="1:10" ht="25.5" customHeight="1">
      <c r="A7" s="2509" t="s">
        <v>7289</v>
      </c>
      <c r="B7" s="4005"/>
      <c r="C7" s="4005"/>
      <c r="D7" s="4036"/>
      <c r="E7" s="4037"/>
      <c r="F7" s="4005"/>
      <c r="G7" s="4036"/>
      <c r="H7" s="4037"/>
      <c r="I7" s="4024"/>
    </row>
    <row r="8" spans="1:10" ht="25.5" customHeight="1">
      <c r="A8" s="2509" t="s">
        <v>7290</v>
      </c>
      <c r="B8" s="4009"/>
      <c r="C8" s="4033"/>
      <c r="D8" s="4003" t="s">
        <v>7255</v>
      </c>
      <c r="E8" s="4003"/>
      <c r="F8" s="2533"/>
      <c r="G8" s="4002" t="s">
        <v>7256</v>
      </c>
      <c r="H8" s="4002"/>
      <c r="I8" s="2533"/>
    </row>
    <row r="9" spans="1:10" ht="25.5" customHeight="1">
      <c r="A9" s="4017" t="s">
        <v>7291</v>
      </c>
      <c r="B9" s="2511" t="s">
        <v>7292</v>
      </c>
      <c r="C9" s="2489" t="s">
        <v>7262</v>
      </c>
      <c r="D9" s="2489" t="s">
        <v>7263</v>
      </c>
      <c r="E9" s="2489" t="s">
        <v>7264</v>
      </c>
      <c r="F9" s="2489" t="s">
        <v>7265</v>
      </c>
      <c r="G9" s="2508" t="s">
        <v>7266</v>
      </c>
      <c r="H9" s="2533"/>
      <c r="I9" s="2533"/>
    </row>
    <row r="10" spans="1:10" ht="25.5" customHeight="1">
      <c r="A10" s="4017"/>
      <c r="B10" s="2474"/>
      <c r="C10" s="2532"/>
      <c r="D10" s="2532"/>
      <c r="E10" s="2534"/>
      <c r="F10" s="2532"/>
      <c r="G10" s="2489" t="s">
        <v>284</v>
      </c>
      <c r="H10" s="2508" t="s">
        <v>7262</v>
      </c>
      <c r="I10" s="2489" t="s">
        <v>1255</v>
      </c>
    </row>
    <row r="11" spans="1:10" ht="25.5" customHeight="1">
      <c r="A11" s="4017"/>
      <c r="B11" s="2474"/>
      <c r="C11" s="2535"/>
      <c r="D11" s="2532"/>
      <c r="E11" s="2534"/>
      <c r="F11" s="2532"/>
      <c r="G11" s="2467"/>
      <c r="H11" s="2534"/>
      <c r="I11" s="2532"/>
    </row>
    <row r="12" spans="1:10" ht="25.5" customHeight="1">
      <c r="A12" s="4017"/>
      <c r="B12" s="2529"/>
      <c r="C12" s="2538"/>
      <c r="D12" s="2538"/>
      <c r="E12" s="2536"/>
      <c r="F12" s="2538"/>
      <c r="G12" s="2503"/>
      <c r="H12" s="2536"/>
      <c r="I12" s="2538"/>
    </row>
    <row r="13" spans="1:10" ht="25.5" customHeight="1">
      <c r="A13" s="4017"/>
      <c r="B13" s="2498" t="s">
        <v>7293</v>
      </c>
      <c r="C13" s="2537"/>
      <c r="D13" s="2537"/>
      <c r="E13" s="2537"/>
      <c r="F13" s="2537"/>
      <c r="G13" s="2498" t="s">
        <v>702</v>
      </c>
      <c r="H13" s="2537"/>
      <c r="I13" s="2537"/>
    </row>
    <row r="14" spans="1:10" ht="25.5" customHeight="1">
      <c r="A14" s="4017" t="s">
        <v>7294</v>
      </c>
      <c r="B14" s="4028" t="s">
        <v>284</v>
      </c>
      <c r="C14" s="4028" t="s">
        <v>7262</v>
      </c>
      <c r="D14" s="4028" t="s">
        <v>7263</v>
      </c>
      <c r="E14" s="4028" t="s">
        <v>7264</v>
      </c>
      <c r="F14" s="4028" t="s">
        <v>7265</v>
      </c>
      <c r="G14" s="4028" t="s">
        <v>7266</v>
      </c>
      <c r="H14" s="4028"/>
      <c r="I14" s="4028"/>
    </row>
    <row r="15" spans="1:10" ht="25.5" customHeight="1">
      <c r="A15" s="4017"/>
      <c r="B15" s="4028"/>
      <c r="C15" s="4028"/>
      <c r="D15" s="4028"/>
      <c r="E15" s="4028"/>
      <c r="F15" s="4028"/>
      <c r="G15" s="2530" t="s">
        <v>7295</v>
      </c>
      <c r="H15" s="2530" t="s">
        <v>7262</v>
      </c>
      <c r="I15" s="2530" t="s">
        <v>1255</v>
      </c>
    </row>
    <row r="16" spans="1:10" ht="25.5" customHeight="1">
      <c r="A16" s="4017"/>
      <c r="B16" s="2498" t="s">
        <v>7274</v>
      </c>
      <c r="C16" s="2537"/>
      <c r="D16" s="2537"/>
      <c r="E16" s="2537"/>
      <c r="F16" s="2537"/>
      <c r="G16" s="2473"/>
      <c r="H16" s="2537"/>
      <c r="I16" s="2537"/>
    </row>
    <row r="17" spans="1:10" ht="25.5" customHeight="1">
      <c r="A17" s="4017"/>
      <c r="B17" s="2498" t="s">
        <v>7276</v>
      </c>
      <c r="C17" s="2537"/>
      <c r="D17" s="2537"/>
      <c r="E17" s="2537"/>
      <c r="F17" s="2537"/>
      <c r="G17" s="2473"/>
      <c r="H17" s="2537"/>
      <c r="I17" s="2537"/>
      <c r="J17" s="2475"/>
    </row>
    <row r="18" spans="1:10" ht="25.5" customHeight="1">
      <c r="A18" s="4017"/>
      <c r="B18" s="2498" t="s">
        <v>7277</v>
      </c>
      <c r="C18" s="2537"/>
      <c r="D18" s="2537"/>
      <c r="E18" s="2537"/>
      <c r="F18" s="2537"/>
      <c r="G18" s="2473"/>
      <c r="H18" s="2537"/>
      <c r="I18" s="2537"/>
    </row>
    <row r="19" spans="1:10" ht="25.5" customHeight="1">
      <c r="A19" s="4017"/>
      <c r="B19" s="2473"/>
      <c r="C19" s="2537"/>
      <c r="D19" s="2537"/>
      <c r="E19" s="2537"/>
      <c r="F19" s="2537"/>
      <c r="G19" s="2473"/>
      <c r="H19" s="2537"/>
      <c r="I19" s="2537"/>
    </row>
    <row r="20" spans="1:10" ht="25.5" customHeight="1">
      <c r="A20" s="4017"/>
      <c r="B20" s="2473"/>
      <c r="C20" s="2537"/>
      <c r="D20" s="2537"/>
      <c r="E20" s="2537"/>
      <c r="F20" s="2537"/>
      <c r="G20" s="2473"/>
      <c r="H20" s="2537"/>
      <c r="I20" s="2537"/>
    </row>
    <row r="21" spans="1:10" ht="25.5" customHeight="1">
      <c r="A21" s="4017"/>
      <c r="B21" s="2520" t="s">
        <v>7278</v>
      </c>
      <c r="C21" s="2537"/>
      <c r="D21" s="2537"/>
      <c r="E21" s="2537"/>
      <c r="F21" s="2537"/>
      <c r="G21" s="2473"/>
      <c r="H21" s="2537"/>
      <c r="I21" s="2537"/>
    </row>
    <row r="22" spans="1:10" ht="25.5" customHeight="1">
      <c r="A22" s="4017"/>
      <c r="B22" s="2498" t="s">
        <v>7296</v>
      </c>
      <c r="C22" s="2537"/>
      <c r="D22" s="2537"/>
      <c r="E22" s="2537"/>
      <c r="F22" s="2537"/>
      <c r="G22" s="2498" t="s">
        <v>702</v>
      </c>
      <c r="H22" s="2537"/>
      <c r="I22" s="2537"/>
    </row>
    <row r="23" spans="1:10" ht="25.5" customHeight="1">
      <c r="A23" s="4029" t="s">
        <v>7297</v>
      </c>
      <c r="B23" s="4030"/>
      <c r="C23" s="4030"/>
      <c r="D23" s="4028" t="s">
        <v>7298</v>
      </c>
      <c r="E23" s="4028"/>
      <c r="F23" s="4031"/>
      <c r="G23" s="4028" t="s">
        <v>7299</v>
      </c>
      <c r="H23" s="4028"/>
      <c r="I23" s="4032"/>
    </row>
    <row r="24" spans="1:10" ht="25.5" customHeight="1">
      <c r="A24" s="4029"/>
      <c r="B24" s="4030"/>
      <c r="C24" s="4030"/>
      <c r="D24" s="4028"/>
      <c r="E24" s="4028"/>
      <c r="F24" s="4031"/>
      <c r="G24" s="4028"/>
      <c r="H24" s="4028"/>
      <c r="I24" s="4032"/>
    </row>
    <row r="25" spans="1:10" ht="25.5" customHeight="1">
      <c r="A25" s="2489" t="s">
        <v>7300</v>
      </c>
      <c r="B25" s="3998">
        <f>基本情况!B12</f>
        <v>0</v>
      </c>
      <c r="C25" s="3999"/>
      <c r="D25" s="3999"/>
      <c r="E25" s="4000"/>
      <c r="F25" s="2508" t="s">
        <v>7301</v>
      </c>
      <c r="G25" s="4027" t="str">
        <f>基本情况!B21</f>
        <v>2017年3月16日</v>
      </c>
      <c r="H25" s="3999"/>
      <c r="I25" s="4000"/>
    </row>
  </sheetData>
  <mergeCells count="34">
    <mergeCell ref="A1:I1"/>
    <mergeCell ref="A2:I2"/>
    <mergeCell ref="B3:E3"/>
    <mergeCell ref="F3:G4"/>
    <mergeCell ref="H3:I4"/>
    <mergeCell ref="B4:E4"/>
    <mergeCell ref="A9:A13"/>
    <mergeCell ref="B5:C5"/>
    <mergeCell ref="D5:E5"/>
    <mergeCell ref="G5:H5"/>
    <mergeCell ref="B6:C6"/>
    <mergeCell ref="D6:E7"/>
    <mergeCell ref="F6:F7"/>
    <mergeCell ref="G6:H7"/>
    <mergeCell ref="I6:I7"/>
    <mergeCell ref="B7:C7"/>
    <mergeCell ref="B8:C8"/>
    <mergeCell ref="D8:E8"/>
    <mergeCell ref="G8:H8"/>
    <mergeCell ref="B25:E25"/>
    <mergeCell ref="G25:I25"/>
    <mergeCell ref="G14:I14"/>
    <mergeCell ref="A23:A24"/>
    <mergeCell ref="B23:C24"/>
    <mergeCell ref="D23:E24"/>
    <mergeCell ref="F23:F24"/>
    <mergeCell ref="G23:H24"/>
    <mergeCell ref="I23:I24"/>
    <mergeCell ref="A14:A22"/>
    <mergeCell ref="B14:B15"/>
    <mergeCell ref="C14:C15"/>
    <mergeCell ref="D14:D15"/>
    <mergeCell ref="E14:E15"/>
    <mergeCell ref="F14:F15"/>
  </mergeCells>
  <phoneticPr fontId="51" type="noConversion"/>
  <dataValidations count="1">
    <dataValidation type="list" allowBlank="1" showInputMessage="1" showErrorMessage="1" sqref="B23:C24 IX23:IY24 ST23:SU24 ACP23:ACQ24 AML23:AMM24 AWH23:AWI24 BGD23:BGE24 BPZ23:BQA24 BZV23:BZW24 CJR23:CJS24 CTN23:CTO24 DDJ23:DDK24 DNF23:DNG24 DXB23:DXC24 EGX23:EGY24 EQT23:EQU24 FAP23:FAQ24 FKL23:FKM24 FUH23:FUI24 GED23:GEE24 GNZ23:GOA24 GXV23:GXW24 HHR23:HHS24 HRN23:HRO24 IBJ23:IBK24 ILF23:ILG24 IVB23:IVC24 JEX23:JEY24 JOT23:JOU24 JYP23:JYQ24 KIL23:KIM24 KSH23:KSI24 LCD23:LCE24 LLZ23:LMA24 LVV23:LVW24 MFR23:MFS24 MPN23:MPO24 MZJ23:MZK24 NJF23:NJG24 NTB23:NTC24 OCX23:OCY24 OMT23:OMU24 OWP23:OWQ24 PGL23:PGM24 PQH23:PQI24 QAD23:QAE24 QJZ23:QKA24 QTV23:QTW24 RDR23:RDS24 RNN23:RNO24 RXJ23:RXK24 SHF23:SHG24 SRB23:SRC24 TAX23:TAY24 TKT23:TKU24 TUP23:TUQ24 UEL23:UEM24 UOH23:UOI24 UYD23:UYE24 VHZ23:VIA24 VRV23:VRW24 WBR23:WBS24 WLN23:WLO24 WVJ23:WVK24 B65559:C65560 IX65559:IY65560 ST65559:SU65560 ACP65559:ACQ65560 AML65559:AMM65560 AWH65559:AWI65560 BGD65559:BGE65560 BPZ65559:BQA65560 BZV65559:BZW65560 CJR65559:CJS65560 CTN65559:CTO65560 DDJ65559:DDK65560 DNF65559:DNG65560 DXB65559:DXC65560 EGX65559:EGY65560 EQT65559:EQU65560 FAP65559:FAQ65560 FKL65559:FKM65560 FUH65559:FUI65560 GED65559:GEE65560 GNZ65559:GOA65560 GXV65559:GXW65560 HHR65559:HHS65560 HRN65559:HRO65560 IBJ65559:IBK65560 ILF65559:ILG65560 IVB65559:IVC65560 JEX65559:JEY65560 JOT65559:JOU65560 JYP65559:JYQ65560 KIL65559:KIM65560 KSH65559:KSI65560 LCD65559:LCE65560 LLZ65559:LMA65560 LVV65559:LVW65560 MFR65559:MFS65560 MPN65559:MPO65560 MZJ65559:MZK65560 NJF65559:NJG65560 NTB65559:NTC65560 OCX65559:OCY65560 OMT65559:OMU65560 OWP65559:OWQ65560 PGL65559:PGM65560 PQH65559:PQI65560 QAD65559:QAE65560 QJZ65559:QKA65560 QTV65559:QTW65560 RDR65559:RDS65560 RNN65559:RNO65560 RXJ65559:RXK65560 SHF65559:SHG65560 SRB65559:SRC65560 TAX65559:TAY65560 TKT65559:TKU65560 TUP65559:TUQ65560 UEL65559:UEM65560 UOH65559:UOI65560 UYD65559:UYE65560 VHZ65559:VIA65560 VRV65559:VRW65560 WBR65559:WBS65560 WLN65559:WLO65560 WVJ65559:WVK65560 B131095:C131096 IX131095:IY131096 ST131095:SU131096 ACP131095:ACQ131096 AML131095:AMM131096 AWH131095:AWI131096 BGD131095:BGE131096 BPZ131095:BQA131096 BZV131095:BZW131096 CJR131095:CJS131096 CTN131095:CTO131096 DDJ131095:DDK131096 DNF131095:DNG131096 DXB131095:DXC131096 EGX131095:EGY131096 EQT131095:EQU131096 FAP131095:FAQ131096 FKL131095:FKM131096 FUH131095:FUI131096 GED131095:GEE131096 GNZ131095:GOA131096 GXV131095:GXW131096 HHR131095:HHS131096 HRN131095:HRO131096 IBJ131095:IBK131096 ILF131095:ILG131096 IVB131095:IVC131096 JEX131095:JEY131096 JOT131095:JOU131096 JYP131095:JYQ131096 KIL131095:KIM131096 KSH131095:KSI131096 LCD131095:LCE131096 LLZ131095:LMA131096 LVV131095:LVW131096 MFR131095:MFS131096 MPN131095:MPO131096 MZJ131095:MZK131096 NJF131095:NJG131096 NTB131095:NTC131096 OCX131095:OCY131096 OMT131095:OMU131096 OWP131095:OWQ131096 PGL131095:PGM131096 PQH131095:PQI131096 QAD131095:QAE131096 QJZ131095:QKA131096 QTV131095:QTW131096 RDR131095:RDS131096 RNN131095:RNO131096 RXJ131095:RXK131096 SHF131095:SHG131096 SRB131095:SRC131096 TAX131095:TAY131096 TKT131095:TKU131096 TUP131095:TUQ131096 UEL131095:UEM131096 UOH131095:UOI131096 UYD131095:UYE131096 VHZ131095:VIA131096 VRV131095:VRW131096 WBR131095:WBS131096 WLN131095:WLO131096 WVJ131095:WVK131096 B196631:C196632 IX196631:IY196632 ST196631:SU196632 ACP196631:ACQ196632 AML196631:AMM196632 AWH196631:AWI196632 BGD196631:BGE196632 BPZ196631:BQA196632 BZV196631:BZW196632 CJR196631:CJS196632 CTN196631:CTO196632 DDJ196631:DDK196632 DNF196631:DNG196632 DXB196631:DXC196632 EGX196631:EGY196632 EQT196631:EQU196632 FAP196631:FAQ196632 FKL196631:FKM196632 FUH196631:FUI196632 GED196631:GEE196632 GNZ196631:GOA196632 GXV196631:GXW196632 HHR196631:HHS196632 HRN196631:HRO196632 IBJ196631:IBK196632 ILF196631:ILG196632 IVB196631:IVC196632 JEX196631:JEY196632 JOT196631:JOU196632 JYP196631:JYQ196632 KIL196631:KIM196632 KSH196631:KSI196632 LCD196631:LCE196632 LLZ196631:LMA196632 LVV196631:LVW196632 MFR196631:MFS196632 MPN196631:MPO196632 MZJ196631:MZK196632 NJF196631:NJG196632 NTB196631:NTC196632 OCX196631:OCY196632 OMT196631:OMU196632 OWP196631:OWQ196632 PGL196631:PGM196632 PQH196631:PQI196632 QAD196631:QAE196632 QJZ196631:QKA196632 QTV196631:QTW196632 RDR196631:RDS196632 RNN196631:RNO196632 RXJ196631:RXK196632 SHF196631:SHG196632 SRB196631:SRC196632 TAX196631:TAY196632 TKT196631:TKU196632 TUP196631:TUQ196632 UEL196631:UEM196632 UOH196631:UOI196632 UYD196631:UYE196632 VHZ196631:VIA196632 VRV196631:VRW196632 WBR196631:WBS196632 WLN196631:WLO196632 WVJ196631:WVK196632 B262167:C262168 IX262167:IY262168 ST262167:SU262168 ACP262167:ACQ262168 AML262167:AMM262168 AWH262167:AWI262168 BGD262167:BGE262168 BPZ262167:BQA262168 BZV262167:BZW262168 CJR262167:CJS262168 CTN262167:CTO262168 DDJ262167:DDK262168 DNF262167:DNG262168 DXB262167:DXC262168 EGX262167:EGY262168 EQT262167:EQU262168 FAP262167:FAQ262168 FKL262167:FKM262168 FUH262167:FUI262168 GED262167:GEE262168 GNZ262167:GOA262168 GXV262167:GXW262168 HHR262167:HHS262168 HRN262167:HRO262168 IBJ262167:IBK262168 ILF262167:ILG262168 IVB262167:IVC262168 JEX262167:JEY262168 JOT262167:JOU262168 JYP262167:JYQ262168 KIL262167:KIM262168 KSH262167:KSI262168 LCD262167:LCE262168 LLZ262167:LMA262168 LVV262167:LVW262168 MFR262167:MFS262168 MPN262167:MPO262168 MZJ262167:MZK262168 NJF262167:NJG262168 NTB262167:NTC262168 OCX262167:OCY262168 OMT262167:OMU262168 OWP262167:OWQ262168 PGL262167:PGM262168 PQH262167:PQI262168 QAD262167:QAE262168 QJZ262167:QKA262168 QTV262167:QTW262168 RDR262167:RDS262168 RNN262167:RNO262168 RXJ262167:RXK262168 SHF262167:SHG262168 SRB262167:SRC262168 TAX262167:TAY262168 TKT262167:TKU262168 TUP262167:TUQ262168 UEL262167:UEM262168 UOH262167:UOI262168 UYD262167:UYE262168 VHZ262167:VIA262168 VRV262167:VRW262168 WBR262167:WBS262168 WLN262167:WLO262168 WVJ262167:WVK262168 B327703:C327704 IX327703:IY327704 ST327703:SU327704 ACP327703:ACQ327704 AML327703:AMM327704 AWH327703:AWI327704 BGD327703:BGE327704 BPZ327703:BQA327704 BZV327703:BZW327704 CJR327703:CJS327704 CTN327703:CTO327704 DDJ327703:DDK327704 DNF327703:DNG327704 DXB327703:DXC327704 EGX327703:EGY327704 EQT327703:EQU327704 FAP327703:FAQ327704 FKL327703:FKM327704 FUH327703:FUI327704 GED327703:GEE327704 GNZ327703:GOA327704 GXV327703:GXW327704 HHR327703:HHS327704 HRN327703:HRO327704 IBJ327703:IBK327704 ILF327703:ILG327704 IVB327703:IVC327704 JEX327703:JEY327704 JOT327703:JOU327704 JYP327703:JYQ327704 KIL327703:KIM327704 KSH327703:KSI327704 LCD327703:LCE327704 LLZ327703:LMA327704 LVV327703:LVW327704 MFR327703:MFS327704 MPN327703:MPO327704 MZJ327703:MZK327704 NJF327703:NJG327704 NTB327703:NTC327704 OCX327703:OCY327704 OMT327703:OMU327704 OWP327703:OWQ327704 PGL327703:PGM327704 PQH327703:PQI327704 QAD327703:QAE327704 QJZ327703:QKA327704 QTV327703:QTW327704 RDR327703:RDS327704 RNN327703:RNO327704 RXJ327703:RXK327704 SHF327703:SHG327704 SRB327703:SRC327704 TAX327703:TAY327704 TKT327703:TKU327704 TUP327703:TUQ327704 UEL327703:UEM327704 UOH327703:UOI327704 UYD327703:UYE327704 VHZ327703:VIA327704 VRV327703:VRW327704 WBR327703:WBS327704 WLN327703:WLO327704 WVJ327703:WVK327704 B393239:C393240 IX393239:IY393240 ST393239:SU393240 ACP393239:ACQ393240 AML393239:AMM393240 AWH393239:AWI393240 BGD393239:BGE393240 BPZ393239:BQA393240 BZV393239:BZW393240 CJR393239:CJS393240 CTN393239:CTO393240 DDJ393239:DDK393240 DNF393239:DNG393240 DXB393239:DXC393240 EGX393239:EGY393240 EQT393239:EQU393240 FAP393239:FAQ393240 FKL393239:FKM393240 FUH393239:FUI393240 GED393239:GEE393240 GNZ393239:GOA393240 GXV393239:GXW393240 HHR393239:HHS393240 HRN393239:HRO393240 IBJ393239:IBK393240 ILF393239:ILG393240 IVB393239:IVC393240 JEX393239:JEY393240 JOT393239:JOU393240 JYP393239:JYQ393240 KIL393239:KIM393240 KSH393239:KSI393240 LCD393239:LCE393240 LLZ393239:LMA393240 LVV393239:LVW393240 MFR393239:MFS393240 MPN393239:MPO393240 MZJ393239:MZK393240 NJF393239:NJG393240 NTB393239:NTC393240 OCX393239:OCY393240 OMT393239:OMU393240 OWP393239:OWQ393240 PGL393239:PGM393240 PQH393239:PQI393240 QAD393239:QAE393240 QJZ393239:QKA393240 QTV393239:QTW393240 RDR393239:RDS393240 RNN393239:RNO393240 RXJ393239:RXK393240 SHF393239:SHG393240 SRB393239:SRC393240 TAX393239:TAY393240 TKT393239:TKU393240 TUP393239:TUQ393240 UEL393239:UEM393240 UOH393239:UOI393240 UYD393239:UYE393240 VHZ393239:VIA393240 VRV393239:VRW393240 WBR393239:WBS393240 WLN393239:WLO393240 WVJ393239:WVK393240 B458775:C458776 IX458775:IY458776 ST458775:SU458776 ACP458775:ACQ458776 AML458775:AMM458776 AWH458775:AWI458776 BGD458775:BGE458776 BPZ458775:BQA458776 BZV458775:BZW458776 CJR458775:CJS458776 CTN458775:CTO458776 DDJ458775:DDK458776 DNF458775:DNG458776 DXB458775:DXC458776 EGX458775:EGY458776 EQT458775:EQU458776 FAP458775:FAQ458776 FKL458775:FKM458776 FUH458775:FUI458776 GED458775:GEE458776 GNZ458775:GOA458776 GXV458775:GXW458776 HHR458775:HHS458776 HRN458775:HRO458776 IBJ458775:IBK458776 ILF458775:ILG458776 IVB458775:IVC458776 JEX458775:JEY458776 JOT458775:JOU458776 JYP458775:JYQ458776 KIL458775:KIM458776 KSH458775:KSI458776 LCD458775:LCE458776 LLZ458775:LMA458776 LVV458775:LVW458776 MFR458775:MFS458776 MPN458775:MPO458776 MZJ458775:MZK458776 NJF458775:NJG458776 NTB458775:NTC458776 OCX458775:OCY458776 OMT458775:OMU458776 OWP458775:OWQ458776 PGL458775:PGM458776 PQH458775:PQI458776 QAD458775:QAE458776 QJZ458775:QKA458776 QTV458775:QTW458776 RDR458775:RDS458776 RNN458775:RNO458776 RXJ458775:RXK458776 SHF458775:SHG458776 SRB458775:SRC458776 TAX458775:TAY458776 TKT458775:TKU458776 TUP458775:TUQ458776 UEL458775:UEM458776 UOH458775:UOI458776 UYD458775:UYE458776 VHZ458775:VIA458776 VRV458775:VRW458776 WBR458775:WBS458776 WLN458775:WLO458776 WVJ458775:WVK458776 B524311:C524312 IX524311:IY524312 ST524311:SU524312 ACP524311:ACQ524312 AML524311:AMM524312 AWH524311:AWI524312 BGD524311:BGE524312 BPZ524311:BQA524312 BZV524311:BZW524312 CJR524311:CJS524312 CTN524311:CTO524312 DDJ524311:DDK524312 DNF524311:DNG524312 DXB524311:DXC524312 EGX524311:EGY524312 EQT524311:EQU524312 FAP524311:FAQ524312 FKL524311:FKM524312 FUH524311:FUI524312 GED524311:GEE524312 GNZ524311:GOA524312 GXV524311:GXW524312 HHR524311:HHS524312 HRN524311:HRO524312 IBJ524311:IBK524312 ILF524311:ILG524312 IVB524311:IVC524312 JEX524311:JEY524312 JOT524311:JOU524312 JYP524311:JYQ524312 KIL524311:KIM524312 KSH524311:KSI524312 LCD524311:LCE524312 LLZ524311:LMA524312 LVV524311:LVW524312 MFR524311:MFS524312 MPN524311:MPO524312 MZJ524311:MZK524312 NJF524311:NJG524312 NTB524311:NTC524312 OCX524311:OCY524312 OMT524311:OMU524312 OWP524311:OWQ524312 PGL524311:PGM524312 PQH524311:PQI524312 QAD524311:QAE524312 QJZ524311:QKA524312 QTV524311:QTW524312 RDR524311:RDS524312 RNN524311:RNO524312 RXJ524311:RXK524312 SHF524311:SHG524312 SRB524311:SRC524312 TAX524311:TAY524312 TKT524311:TKU524312 TUP524311:TUQ524312 UEL524311:UEM524312 UOH524311:UOI524312 UYD524311:UYE524312 VHZ524311:VIA524312 VRV524311:VRW524312 WBR524311:WBS524312 WLN524311:WLO524312 WVJ524311:WVK524312 B589847:C589848 IX589847:IY589848 ST589847:SU589848 ACP589847:ACQ589848 AML589847:AMM589848 AWH589847:AWI589848 BGD589847:BGE589848 BPZ589847:BQA589848 BZV589847:BZW589848 CJR589847:CJS589848 CTN589847:CTO589848 DDJ589847:DDK589848 DNF589847:DNG589848 DXB589847:DXC589848 EGX589847:EGY589848 EQT589847:EQU589848 FAP589847:FAQ589848 FKL589847:FKM589848 FUH589847:FUI589848 GED589847:GEE589848 GNZ589847:GOA589848 GXV589847:GXW589848 HHR589847:HHS589848 HRN589847:HRO589848 IBJ589847:IBK589848 ILF589847:ILG589848 IVB589847:IVC589848 JEX589847:JEY589848 JOT589847:JOU589848 JYP589847:JYQ589848 KIL589847:KIM589848 KSH589847:KSI589848 LCD589847:LCE589848 LLZ589847:LMA589848 LVV589847:LVW589848 MFR589847:MFS589848 MPN589847:MPO589848 MZJ589847:MZK589848 NJF589847:NJG589848 NTB589847:NTC589848 OCX589847:OCY589848 OMT589847:OMU589848 OWP589847:OWQ589848 PGL589847:PGM589848 PQH589847:PQI589848 QAD589847:QAE589848 QJZ589847:QKA589848 QTV589847:QTW589848 RDR589847:RDS589848 RNN589847:RNO589848 RXJ589847:RXK589848 SHF589847:SHG589848 SRB589847:SRC589848 TAX589847:TAY589848 TKT589847:TKU589848 TUP589847:TUQ589848 UEL589847:UEM589848 UOH589847:UOI589848 UYD589847:UYE589848 VHZ589847:VIA589848 VRV589847:VRW589848 WBR589847:WBS589848 WLN589847:WLO589848 WVJ589847:WVK589848 B655383:C655384 IX655383:IY655384 ST655383:SU655384 ACP655383:ACQ655384 AML655383:AMM655384 AWH655383:AWI655384 BGD655383:BGE655384 BPZ655383:BQA655384 BZV655383:BZW655384 CJR655383:CJS655384 CTN655383:CTO655384 DDJ655383:DDK655384 DNF655383:DNG655384 DXB655383:DXC655384 EGX655383:EGY655384 EQT655383:EQU655384 FAP655383:FAQ655384 FKL655383:FKM655384 FUH655383:FUI655384 GED655383:GEE655384 GNZ655383:GOA655384 GXV655383:GXW655384 HHR655383:HHS655384 HRN655383:HRO655384 IBJ655383:IBK655384 ILF655383:ILG655384 IVB655383:IVC655384 JEX655383:JEY655384 JOT655383:JOU655384 JYP655383:JYQ655384 KIL655383:KIM655384 KSH655383:KSI655384 LCD655383:LCE655384 LLZ655383:LMA655384 LVV655383:LVW655384 MFR655383:MFS655384 MPN655383:MPO655384 MZJ655383:MZK655384 NJF655383:NJG655384 NTB655383:NTC655384 OCX655383:OCY655384 OMT655383:OMU655384 OWP655383:OWQ655384 PGL655383:PGM655384 PQH655383:PQI655384 QAD655383:QAE655384 QJZ655383:QKA655384 QTV655383:QTW655384 RDR655383:RDS655384 RNN655383:RNO655384 RXJ655383:RXK655384 SHF655383:SHG655384 SRB655383:SRC655384 TAX655383:TAY655384 TKT655383:TKU655384 TUP655383:TUQ655384 UEL655383:UEM655384 UOH655383:UOI655384 UYD655383:UYE655384 VHZ655383:VIA655384 VRV655383:VRW655384 WBR655383:WBS655384 WLN655383:WLO655384 WVJ655383:WVK655384 B720919:C720920 IX720919:IY720920 ST720919:SU720920 ACP720919:ACQ720920 AML720919:AMM720920 AWH720919:AWI720920 BGD720919:BGE720920 BPZ720919:BQA720920 BZV720919:BZW720920 CJR720919:CJS720920 CTN720919:CTO720920 DDJ720919:DDK720920 DNF720919:DNG720920 DXB720919:DXC720920 EGX720919:EGY720920 EQT720919:EQU720920 FAP720919:FAQ720920 FKL720919:FKM720920 FUH720919:FUI720920 GED720919:GEE720920 GNZ720919:GOA720920 GXV720919:GXW720920 HHR720919:HHS720920 HRN720919:HRO720920 IBJ720919:IBK720920 ILF720919:ILG720920 IVB720919:IVC720920 JEX720919:JEY720920 JOT720919:JOU720920 JYP720919:JYQ720920 KIL720919:KIM720920 KSH720919:KSI720920 LCD720919:LCE720920 LLZ720919:LMA720920 LVV720919:LVW720920 MFR720919:MFS720920 MPN720919:MPO720920 MZJ720919:MZK720920 NJF720919:NJG720920 NTB720919:NTC720920 OCX720919:OCY720920 OMT720919:OMU720920 OWP720919:OWQ720920 PGL720919:PGM720920 PQH720919:PQI720920 QAD720919:QAE720920 QJZ720919:QKA720920 QTV720919:QTW720920 RDR720919:RDS720920 RNN720919:RNO720920 RXJ720919:RXK720920 SHF720919:SHG720920 SRB720919:SRC720920 TAX720919:TAY720920 TKT720919:TKU720920 TUP720919:TUQ720920 UEL720919:UEM720920 UOH720919:UOI720920 UYD720919:UYE720920 VHZ720919:VIA720920 VRV720919:VRW720920 WBR720919:WBS720920 WLN720919:WLO720920 WVJ720919:WVK720920 B786455:C786456 IX786455:IY786456 ST786455:SU786456 ACP786455:ACQ786456 AML786455:AMM786456 AWH786455:AWI786456 BGD786455:BGE786456 BPZ786455:BQA786456 BZV786455:BZW786456 CJR786455:CJS786456 CTN786455:CTO786456 DDJ786455:DDK786456 DNF786455:DNG786456 DXB786455:DXC786456 EGX786455:EGY786456 EQT786455:EQU786456 FAP786455:FAQ786456 FKL786455:FKM786456 FUH786455:FUI786456 GED786455:GEE786456 GNZ786455:GOA786456 GXV786455:GXW786456 HHR786455:HHS786456 HRN786455:HRO786456 IBJ786455:IBK786456 ILF786455:ILG786456 IVB786455:IVC786456 JEX786455:JEY786456 JOT786455:JOU786456 JYP786455:JYQ786456 KIL786455:KIM786456 KSH786455:KSI786456 LCD786455:LCE786456 LLZ786455:LMA786456 LVV786455:LVW786456 MFR786455:MFS786456 MPN786455:MPO786456 MZJ786455:MZK786456 NJF786455:NJG786456 NTB786455:NTC786456 OCX786455:OCY786456 OMT786455:OMU786456 OWP786455:OWQ786456 PGL786455:PGM786456 PQH786455:PQI786456 QAD786455:QAE786456 QJZ786455:QKA786456 QTV786455:QTW786456 RDR786455:RDS786456 RNN786455:RNO786456 RXJ786455:RXK786456 SHF786455:SHG786456 SRB786455:SRC786456 TAX786455:TAY786456 TKT786455:TKU786456 TUP786455:TUQ786456 UEL786455:UEM786456 UOH786455:UOI786456 UYD786455:UYE786456 VHZ786455:VIA786456 VRV786455:VRW786456 WBR786455:WBS786456 WLN786455:WLO786456 WVJ786455:WVK786456 B851991:C851992 IX851991:IY851992 ST851991:SU851992 ACP851991:ACQ851992 AML851991:AMM851992 AWH851991:AWI851992 BGD851991:BGE851992 BPZ851991:BQA851992 BZV851991:BZW851992 CJR851991:CJS851992 CTN851991:CTO851992 DDJ851991:DDK851992 DNF851991:DNG851992 DXB851991:DXC851992 EGX851991:EGY851992 EQT851991:EQU851992 FAP851991:FAQ851992 FKL851991:FKM851992 FUH851991:FUI851992 GED851991:GEE851992 GNZ851991:GOA851992 GXV851991:GXW851992 HHR851991:HHS851992 HRN851991:HRO851992 IBJ851991:IBK851992 ILF851991:ILG851992 IVB851991:IVC851992 JEX851991:JEY851992 JOT851991:JOU851992 JYP851991:JYQ851992 KIL851991:KIM851992 KSH851991:KSI851992 LCD851991:LCE851992 LLZ851991:LMA851992 LVV851991:LVW851992 MFR851991:MFS851992 MPN851991:MPO851992 MZJ851991:MZK851992 NJF851991:NJG851992 NTB851991:NTC851992 OCX851991:OCY851992 OMT851991:OMU851992 OWP851991:OWQ851992 PGL851991:PGM851992 PQH851991:PQI851992 QAD851991:QAE851992 QJZ851991:QKA851992 QTV851991:QTW851992 RDR851991:RDS851992 RNN851991:RNO851992 RXJ851991:RXK851992 SHF851991:SHG851992 SRB851991:SRC851992 TAX851991:TAY851992 TKT851991:TKU851992 TUP851991:TUQ851992 UEL851991:UEM851992 UOH851991:UOI851992 UYD851991:UYE851992 VHZ851991:VIA851992 VRV851991:VRW851992 WBR851991:WBS851992 WLN851991:WLO851992 WVJ851991:WVK851992 B917527:C917528 IX917527:IY917528 ST917527:SU917528 ACP917527:ACQ917528 AML917527:AMM917528 AWH917527:AWI917528 BGD917527:BGE917528 BPZ917527:BQA917528 BZV917527:BZW917528 CJR917527:CJS917528 CTN917527:CTO917528 DDJ917527:DDK917528 DNF917527:DNG917528 DXB917527:DXC917528 EGX917527:EGY917528 EQT917527:EQU917528 FAP917527:FAQ917528 FKL917527:FKM917528 FUH917527:FUI917528 GED917527:GEE917528 GNZ917527:GOA917528 GXV917527:GXW917528 HHR917527:HHS917528 HRN917527:HRO917528 IBJ917527:IBK917528 ILF917527:ILG917528 IVB917527:IVC917528 JEX917527:JEY917528 JOT917527:JOU917528 JYP917527:JYQ917528 KIL917527:KIM917528 KSH917527:KSI917528 LCD917527:LCE917528 LLZ917527:LMA917528 LVV917527:LVW917528 MFR917527:MFS917528 MPN917527:MPO917528 MZJ917527:MZK917528 NJF917527:NJG917528 NTB917527:NTC917528 OCX917527:OCY917528 OMT917527:OMU917528 OWP917527:OWQ917528 PGL917527:PGM917528 PQH917527:PQI917528 QAD917527:QAE917528 QJZ917527:QKA917528 QTV917527:QTW917528 RDR917527:RDS917528 RNN917527:RNO917528 RXJ917527:RXK917528 SHF917527:SHG917528 SRB917527:SRC917528 TAX917527:TAY917528 TKT917527:TKU917528 TUP917527:TUQ917528 UEL917527:UEM917528 UOH917527:UOI917528 UYD917527:UYE917528 VHZ917527:VIA917528 VRV917527:VRW917528 WBR917527:WBS917528 WLN917527:WLO917528 WVJ917527:WVK917528 B983063:C983064 IX983063:IY983064 ST983063:SU983064 ACP983063:ACQ983064 AML983063:AMM983064 AWH983063:AWI983064 BGD983063:BGE983064 BPZ983063:BQA983064 BZV983063:BZW983064 CJR983063:CJS983064 CTN983063:CTO983064 DDJ983063:DDK983064 DNF983063:DNG983064 DXB983063:DXC983064 EGX983063:EGY983064 EQT983063:EQU983064 FAP983063:FAQ983064 FKL983063:FKM983064 FUH983063:FUI983064 GED983063:GEE983064 GNZ983063:GOA983064 GXV983063:GXW983064 HHR983063:HHS983064 HRN983063:HRO983064 IBJ983063:IBK983064 ILF983063:ILG983064 IVB983063:IVC983064 JEX983063:JEY983064 JOT983063:JOU983064 JYP983063:JYQ983064 KIL983063:KIM983064 KSH983063:KSI983064 LCD983063:LCE983064 LLZ983063:LMA983064 LVV983063:LVW983064 MFR983063:MFS983064 MPN983063:MPO983064 MZJ983063:MZK983064 NJF983063:NJG983064 NTB983063:NTC983064 OCX983063:OCY983064 OMT983063:OMU983064 OWP983063:OWQ983064 PGL983063:PGM983064 PQH983063:PQI983064 QAD983063:QAE983064 QJZ983063:QKA983064 QTV983063:QTW983064 RDR983063:RDS983064 RNN983063:RNO983064 RXJ983063:RXK983064 SHF983063:SHG983064 SRB983063:SRC983064 TAX983063:TAY983064 TKT983063:TKU983064 TUP983063:TUQ983064 UEL983063:UEM983064 UOH983063:UOI983064 UYD983063:UYE983064 VHZ983063:VIA983064 VRV983063:VRW983064 WBR983063:WBS983064 WLN983063:WLO983064 WVJ983063:WVK983064">
      <formula1>"是,否"</formula1>
    </dataValidation>
  </dataValidations>
  <pageMargins left="0.78740157480314998" right="0.35433070866141703" top="0.511811023622047" bottom="0.11811023622047198" header="0.511811023622047" footer="0.511811023622047"/>
  <pageSetup paperSize="9" scale="91" orientation="landscape" blackAndWhite="1"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E25"/>
  <sheetViews>
    <sheetView workbookViewId="0">
      <selection activeCell="J16" sqref="J16"/>
    </sheetView>
  </sheetViews>
  <sheetFormatPr defaultColWidth="21.59765625" defaultRowHeight="20.100000000000001" customHeight="1"/>
  <cols>
    <col min="1" max="1" width="29.19921875" style="2476" customWidth="1"/>
    <col min="2" max="2" width="17.09765625" style="2476" customWidth="1"/>
    <col min="3" max="3" width="25.3984375" style="2476" customWidth="1"/>
    <col min="4" max="4" width="17.09765625" style="2476" customWidth="1"/>
    <col min="5" max="256" width="21.59765625" style="2476"/>
    <col min="257" max="257" width="29.19921875" style="2476" customWidth="1"/>
    <col min="258" max="258" width="15.8984375" style="2476" customWidth="1"/>
    <col min="259" max="259" width="29" style="2476" customWidth="1"/>
    <col min="260" max="260" width="15.8984375" style="2476" customWidth="1"/>
    <col min="261" max="512" width="21.59765625" style="2476"/>
    <col min="513" max="513" width="29.19921875" style="2476" customWidth="1"/>
    <col min="514" max="514" width="15.8984375" style="2476" customWidth="1"/>
    <col min="515" max="515" width="29" style="2476" customWidth="1"/>
    <col min="516" max="516" width="15.8984375" style="2476" customWidth="1"/>
    <col min="517" max="768" width="21.59765625" style="2476"/>
    <col min="769" max="769" width="29.19921875" style="2476" customWidth="1"/>
    <col min="770" max="770" width="15.8984375" style="2476" customWidth="1"/>
    <col min="771" max="771" width="29" style="2476" customWidth="1"/>
    <col min="772" max="772" width="15.8984375" style="2476" customWidth="1"/>
    <col min="773" max="1024" width="21.59765625" style="2476"/>
    <col min="1025" max="1025" width="29.19921875" style="2476" customWidth="1"/>
    <col min="1026" max="1026" width="15.8984375" style="2476" customWidth="1"/>
    <col min="1027" max="1027" width="29" style="2476" customWidth="1"/>
    <col min="1028" max="1028" width="15.8984375" style="2476" customWidth="1"/>
    <col min="1029" max="1280" width="21.59765625" style="2476"/>
    <col min="1281" max="1281" width="29.19921875" style="2476" customWidth="1"/>
    <col min="1282" max="1282" width="15.8984375" style="2476" customWidth="1"/>
    <col min="1283" max="1283" width="29" style="2476" customWidth="1"/>
    <col min="1284" max="1284" width="15.8984375" style="2476" customWidth="1"/>
    <col min="1285" max="1536" width="21.59765625" style="2476"/>
    <col min="1537" max="1537" width="29.19921875" style="2476" customWidth="1"/>
    <col min="1538" max="1538" width="15.8984375" style="2476" customWidth="1"/>
    <col min="1539" max="1539" width="29" style="2476" customWidth="1"/>
    <col min="1540" max="1540" width="15.8984375" style="2476" customWidth="1"/>
    <col min="1541" max="1792" width="21.59765625" style="2476"/>
    <col min="1793" max="1793" width="29.19921875" style="2476" customWidth="1"/>
    <col min="1794" max="1794" width="15.8984375" style="2476" customWidth="1"/>
    <col min="1795" max="1795" width="29" style="2476" customWidth="1"/>
    <col min="1796" max="1796" width="15.8984375" style="2476" customWidth="1"/>
    <col min="1797" max="2048" width="21.59765625" style="2476"/>
    <col min="2049" max="2049" width="29.19921875" style="2476" customWidth="1"/>
    <col min="2050" max="2050" width="15.8984375" style="2476" customWidth="1"/>
    <col min="2051" max="2051" width="29" style="2476" customWidth="1"/>
    <col min="2052" max="2052" width="15.8984375" style="2476" customWidth="1"/>
    <col min="2053" max="2304" width="21.59765625" style="2476"/>
    <col min="2305" max="2305" width="29.19921875" style="2476" customWidth="1"/>
    <col min="2306" max="2306" width="15.8984375" style="2476" customWidth="1"/>
    <col min="2307" max="2307" width="29" style="2476" customWidth="1"/>
    <col min="2308" max="2308" width="15.8984375" style="2476" customWidth="1"/>
    <col min="2309" max="2560" width="21.59765625" style="2476"/>
    <col min="2561" max="2561" width="29.19921875" style="2476" customWidth="1"/>
    <col min="2562" max="2562" width="15.8984375" style="2476" customWidth="1"/>
    <col min="2563" max="2563" width="29" style="2476" customWidth="1"/>
    <col min="2564" max="2564" width="15.8984375" style="2476" customWidth="1"/>
    <col min="2565" max="2816" width="21.59765625" style="2476"/>
    <col min="2817" max="2817" width="29.19921875" style="2476" customWidth="1"/>
    <col min="2818" max="2818" width="15.8984375" style="2476" customWidth="1"/>
    <col min="2819" max="2819" width="29" style="2476" customWidth="1"/>
    <col min="2820" max="2820" width="15.8984375" style="2476" customWidth="1"/>
    <col min="2821" max="3072" width="21.59765625" style="2476"/>
    <col min="3073" max="3073" width="29.19921875" style="2476" customWidth="1"/>
    <col min="3074" max="3074" width="15.8984375" style="2476" customWidth="1"/>
    <col min="3075" max="3075" width="29" style="2476" customWidth="1"/>
    <col min="3076" max="3076" width="15.8984375" style="2476" customWidth="1"/>
    <col min="3077" max="3328" width="21.59765625" style="2476"/>
    <col min="3329" max="3329" width="29.19921875" style="2476" customWidth="1"/>
    <col min="3330" max="3330" width="15.8984375" style="2476" customWidth="1"/>
    <col min="3331" max="3331" width="29" style="2476" customWidth="1"/>
    <col min="3332" max="3332" width="15.8984375" style="2476" customWidth="1"/>
    <col min="3333" max="3584" width="21.59765625" style="2476"/>
    <col min="3585" max="3585" width="29.19921875" style="2476" customWidth="1"/>
    <col min="3586" max="3586" width="15.8984375" style="2476" customWidth="1"/>
    <col min="3587" max="3587" width="29" style="2476" customWidth="1"/>
    <col min="3588" max="3588" width="15.8984375" style="2476" customWidth="1"/>
    <col min="3589" max="3840" width="21.59765625" style="2476"/>
    <col min="3841" max="3841" width="29.19921875" style="2476" customWidth="1"/>
    <col min="3842" max="3842" width="15.8984375" style="2476" customWidth="1"/>
    <col min="3843" max="3843" width="29" style="2476" customWidth="1"/>
    <col min="3844" max="3844" width="15.8984375" style="2476" customWidth="1"/>
    <col min="3845" max="4096" width="21.59765625" style="2476"/>
    <col min="4097" max="4097" width="29.19921875" style="2476" customWidth="1"/>
    <col min="4098" max="4098" width="15.8984375" style="2476" customWidth="1"/>
    <col min="4099" max="4099" width="29" style="2476" customWidth="1"/>
    <col min="4100" max="4100" width="15.8984375" style="2476" customWidth="1"/>
    <col min="4101" max="4352" width="21.59765625" style="2476"/>
    <col min="4353" max="4353" width="29.19921875" style="2476" customWidth="1"/>
    <col min="4354" max="4354" width="15.8984375" style="2476" customWidth="1"/>
    <col min="4355" max="4355" width="29" style="2476" customWidth="1"/>
    <col min="4356" max="4356" width="15.8984375" style="2476" customWidth="1"/>
    <col min="4357" max="4608" width="21.59765625" style="2476"/>
    <col min="4609" max="4609" width="29.19921875" style="2476" customWidth="1"/>
    <col min="4610" max="4610" width="15.8984375" style="2476" customWidth="1"/>
    <col min="4611" max="4611" width="29" style="2476" customWidth="1"/>
    <col min="4612" max="4612" width="15.8984375" style="2476" customWidth="1"/>
    <col min="4613" max="4864" width="21.59765625" style="2476"/>
    <col min="4865" max="4865" width="29.19921875" style="2476" customWidth="1"/>
    <col min="4866" max="4866" width="15.8984375" style="2476" customWidth="1"/>
    <col min="4867" max="4867" width="29" style="2476" customWidth="1"/>
    <col min="4868" max="4868" width="15.8984375" style="2476" customWidth="1"/>
    <col min="4869" max="5120" width="21.59765625" style="2476"/>
    <col min="5121" max="5121" width="29.19921875" style="2476" customWidth="1"/>
    <col min="5122" max="5122" width="15.8984375" style="2476" customWidth="1"/>
    <col min="5123" max="5123" width="29" style="2476" customWidth="1"/>
    <col min="5124" max="5124" width="15.8984375" style="2476" customWidth="1"/>
    <col min="5125" max="5376" width="21.59765625" style="2476"/>
    <col min="5377" max="5377" width="29.19921875" style="2476" customWidth="1"/>
    <col min="5378" max="5378" width="15.8984375" style="2476" customWidth="1"/>
    <col min="5379" max="5379" width="29" style="2476" customWidth="1"/>
    <col min="5380" max="5380" width="15.8984375" style="2476" customWidth="1"/>
    <col min="5381" max="5632" width="21.59765625" style="2476"/>
    <col min="5633" max="5633" width="29.19921875" style="2476" customWidth="1"/>
    <col min="5634" max="5634" width="15.8984375" style="2476" customWidth="1"/>
    <col min="5635" max="5635" width="29" style="2476" customWidth="1"/>
    <col min="5636" max="5636" width="15.8984375" style="2476" customWidth="1"/>
    <col min="5637" max="5888" width="21.59765625" style="2476"/>
    <col min="5889" max="5889" width="29.19921875" style="2476" customWidth="1"/>
    <col min="5890" max="5890" width="15.8984375" style="2476" customWidth="1"/>
    <col min="5891" max="5891" width="29" style="2476" customWidth="1"/>
    <col min="5892" max="5892" width="15.8984375" style="2476" customWidth="1"/>
    <col min="5893" max="6144" width="21.59765625" style="2476"/>
    <col min="6145" max="6145" width="29.19921875" style="2476" customWidth="1"/>
    <col min="6146" max="6146" width="15.8984375" style="2476" customWidth="1"/>
    <col min="6147" max="6147" width="29" style="2476" customWidth="1"/>
    <col min="6148" max="6148" width="15.8984375" style="2476" customWidth="1"/>
    <col min="6149" max="6400" width="21.59765625" style="2476"/>
    <col min="6401" max="6401" width="29.19921875" style="2476" customWidth="1"/>
    <col min="6402" max="6402" width="15.8984375" style="2476" customWidth="1"/>
    <col min="6403" max="6403" width="29" style="2476" customWidth="1"/>
    <col min="6404" max="6404" width="15.8984375" style="2476" customWidth="1"/>
    <col min="6405" max="6656" width="21.59765625" style="2476"/>
    <col min="6657" max="6657" width="29.19921875" style="2476" customWidth="1"/>
    <col min="6658" max="6658" width="15.8984375" style="2476" customWidth="1"/>
    <col min="6659" max="6659" width="29" style="2476" customWidth="1"/>
    <col min="6660" max="6660" width="15.8984375" style="2476" customWidth="1"/>
    <col min="6661" max="6912" width="21.59765625" style="2476"/>
    <col min="6913" max="6913" width="29.19921875" style="2476" customWidth="1"/>
    <col min="6914" max="6914" width="15.8984375" style="2476" customWidth="1"/>
    <col min="6915" max="6915" width="29" style="2476" customWidth="1"/>
    <col min="6916" max="6916" width="15.8984375" style="2476" customWidth="1"/>
    <col min="6917" max="7168" width="21.59765625" style="2476"/>
    <col min="7169" max="7169" width="29.19921875" style="2476" customWidth="1"/>
    <col min="7170" max="7170" width="15.8984375" style="2476" customWidth="1"/>
    <col min="7171" max="7171" width="29" style="2476" customWidth="1"/>
    <col min="7172" max="7172" width="15.8984375" style="2476" customWidth="1"/>
    <col min="7173" max="7424" width="21.59765625" style="2476"/>
    <col min="7425" max="7425" width="29.19921875" style="2476" customWidth="1"/>
    <col min="7426" max="7426" width="15.8984375" style="2476" customWidth="1"/>
    <col min="7427" max="7427" width="29" style="2476" customWidth="1"/>
    <col min="7428" max="7428" width="15.8984375" style="2476" customWidth="1"/>
    <col min="7429" max="7680" width="21.59765625" style="2476"/>
    <col min="7681" max="7681" width="29.19921875" style="2476" customWidth="1"/>
    <col min="7682" max="7682" width="15.8984375" style="2476" customWidth="1"/>
    <col min="7683" max="7683" width="29" style="2476" customWidth="1"/>
    <col min="7684" max="7684" width="15.8984375" style="2476" customWidth="1"/>
    <col min="7685" max="7936" width="21.59765625" style="2476"/>
    <col min="7937" max="7937" width="29.19921875" style="2476" customWidth="1"/>
    <col min="7938" max="7938" width="15.8984375" style="2476" customWidth="1"/>
    <col min="7939" max="7939" width="29" style="2476" customWidth="1"/>
    <col min="7940" max="7940" width="15.8984375" style="2476" customWidth="1"/>
    <col min="7941" max="8192" width="21.59765625" style="2476"/>
    <col min="8193" max="8193" width="29.19921875" style="2476" customWidth="1"/>
    <col min="8194" max="8194" width="15.8984375" style="2476" customWidth="1"/>
    <col min="8195" max="8195" width="29" style="2476" customWidth="1"/>
    <col min="8196" max="8196" width="15.8984375" style="2476" customWidth="1"/>
    <col min="8197" max="8448" width="21.59765625" style="2476"/>
    <col min="8449" max="8449" width="29.19921875" style="2476" customWidth="1"/>
    <col min="8450" max="8450" width="15.8984375" style="2476" customWidth="1"/>
    <col min="8451" max="8451" width="29" style="2476" customWidth="1"/>
    <col min="8452" max="8452" width="15.8984375" style="2476" customWidth="1"/>
    <col min="8453" max="8704" width="21.59765625" style="2476"/>
    <col min="8705" max="8705" width="29.19921875" style="2476" customWidth="1"/>
    <col min="8706" max="8706" width="15.8984375" style="2476" customWidth="1"/>
    <col min="8707" max="8707" width="29" style="2476" customWidth="1"/>
    <col min="8708" max="8708" width="15.8984375" style="2476" customWidth="1"/>
    <col min="8709" max="8960" width="21.59765625" style="2476"/>
    <col min="8961" max="8961" width="29.19921875" style="2476" customWidth="1"/>
    <col min="8962" max="8962" width="15.8984375" style="2476" customWidth="1"/>
    <col min="8963" max="8963" width="29" style="2476" customWidth="1"/>
    <col min="8964" max="8964" width="15.8984375" style="2476" customWidth="1"/>
    <col min="8965" max="9216" width="21.59765625" style="2476"/>
    <col min="9217" max="9217" width="29.19921875" style="2476" customWidth="1"/>
    <col min="9218" max="9218" width="15.8984375" style="2476" customWidth="1"/>
    <col min="9219" max="9219" width="29" style="2476" customWidth="1"/>
    <col min="9220" max="9220" width="15.8984375" style="2476" customWidth="1"/>
    <col min="9221" max="9472" width="21.59765625" style="2476"/>
    <col min="9473" max="9473" width="29.19921875" style="2476" customWidth="1"/>
    <col min="9474" max="9474" width="15.8984375" style="2476" customWidth="1"/>
    <col min="9475" max="9475" width="29" style="2476" customWidth="1"/>
    <col min="9476" max="9476" width="15.8984375" style="2476" customWidth="1"/>
    <col min="9477" max="9728" width="21.59765625" style="2476"/>
    <col min="9729" max="9729" width="29.19921875" style="2476" customWidth="1"/>
    <col min="9730" max="9730" width="15.8984375" style="2476" customWidth="1"/>
    <col min="9731" max="9731" width="29" style="2476" customWidth="1"/>
    <col min="9732" max="9732" width="15.8984375" style="2476" customWidth="1"/>
    <col min="9733" max="9984" width="21.59765625" style="2476"/>
    <col min="9985" max="9985" width="29.19921875" style="2476" customWidth="1"/>
    <col min="9986" max="9986" width="15.8984375" style="2476" customWidth="1"/>
    <col min="9987" max="9987" width="29" style="2476" customWidth="1"/>
    <col min="9988" max="9988" width="15.8984375" style="2476" customWidth="1"/>
    <col min="9989" max="10240" width="21.59765625" style="2476"/>
    <col min="10241" max="10241" width="29.19921875" style="2476" customWidth="1"/>
    <col min="10242" max="10242" width="15.8984375" style="2476" customWidth="1"/>
    <col min="10243" max="10243" width="29" style="2476" customWidth="1"/>
    <col min="10244" max="10244" width="15.8984375" style="2476" customWidth="1"/>
    <col min="10245" max="10496" width="21.59765625" style="2476"/>
    <col min="10497" max="10497" width="29.19921875" style="2476" customWidth="1"/>
    <col min="10498" max="10498" width="15.8984375" style="2476" customWidth="1"/>
    <col min="10499" max="10499" width="29" style="2476" customWidth="1"/>
    <col min="10500" max="10500" width="15.8984375" style="2476" customWidth="1"/>
    <col min="10501" max="10752" width="21.59765625" style="2476"/>
    <col min="10753" max="10753" width="29.19921875" style="2476" customWidth="1"/>
    <col min="10754" max="10754" width="15.8984375" style="2476" customWidth="1"/>
    <col min="10755" max="10755" width="29" style="2476" customWidth="1"/>
    <col min="10756" max="10756" width="15.8984375" style="2476" customWidth="1"/>
    <col min="10757" max="11008" width="21.59765625" style="2476"/>
    <col min="11009" max="11009" width="29.19921875" style="2476" customWidth="1"/>
    <col min="11010" max="11010" width="15.8984375" style="2476" customWidth="1"/>
    <col min="11011" max="11011" width="29" style="2476" customWidth="1"/>
    <col min="11012" max="11012" width="15.8984375" style="2476" customWidth="1"/>
    <col min="11013" max="11264" width="21.59765625" style="2476"/>
    <col min="11265" max="11265" width="29.19921875" style="2476" customWidth="1"/>
    <col min="11266" max="11266" width="15.8984375" style="2476" customWidth="1"/>
    <col min="11267" max="11267" width="29" style="2476" customWidth="1"/>
    <col min="11268" max="11268" width="15.8984375" style="2476" customWidth="1"/>
    <col min="11269" max="11520" width="21.59765625" style="2476"/>
    <col min="11521" max="11521" width="29.19921875" style="2476" customWidth="1"/>
    <col min="11522" max="11522" width="15.8984375" style="2476" customWidth="1"/>
    <col min="11523" max="11523" width="29" style="2476" customWidth="1"/>
    <col min="11524" max="11524" width="15.8984375" style="2476" customWidth="1"/>
    <col min="11525" max="11776" width="21.59765625" style="2476"/>
    <col min="11777" max="11777" width="29.19921875" style="2476" customWidth="1"/>
    <col min="11778" max="11778" width="15.8984375" style="2476" customWidth="1"/>
    <col min="11779" max="11779" width="29" style="2476" customWidth="1"/>
    <col min="11780" max="11780" width="15.8984375" style="2476" customWidth="1"/>
    <col min="11781" max="12032" width="21.59765625" style="2476"/>
    <col min="12033" max="12033" width="29.19921875" style="2476" customWidth="1"/>
    <col min="12034" max="12034" width="15.8984375" style="2476" customWidth="1"/>
    <col min="12035" max="12035" width="29" style="2476" customWidth="1"/>
    <col min="12036" max="12036" width="15.8984375" style="2476" customWidth="1"/>
    <col min="12037" max="12288" width="21.59765625" style="2476"/>
    <col min="12289" max="12289" width="29.19921875" style="2476" customWidth="1"/>
    <col min="12290" max="12290" width="15.8984375" style="2476" customWidth="1"/>
    <col min="12291" max="12291" width="29" style="2476" customWidth="1"/>
    <col min="12292" max="12292" width="15.8984375" style="2476" customWidth="1"/>
    <col min="12293" max="12544" width="21.59765625" style="2476"/>
    <col min="12545" max="12545" width="29.19921875" style="2476" customWidth="1"/>
    <col min="12546" max="12546" width="15.8984375" style="2476" customWidth="1"/>
    <col min="12547" max="12547" width="29" style="2476" customWidth="1"/>
    <col min="12548" max="12548" width="15.8984375" style="2476" customWidth="1"/>
    <col min="12549" max="12800" width="21.59765625" style="2476"/>
    <col min="12801" max="12801" width="29.19921875" style="2476" customWidth="1"/>
    <col min="12802" max="12802" width="15.8984375" style="2476" customWidth="1"/>
    <col min="12803" max="12803" width="29" style="2476" customWidth="1"/>
    <col min="12804" max="12804" width="15.8984375" style="2476" customWidth="1"/>
    <col min="12805" max="13056" width="21.59765625" style="2476"/>
    <col min="13057" max="13057" width="29.19921875" style="2476" customWidth="1"/>
    <col min="13058" max="13058" width="15.8984375" style="2476" customWidth="1"/>
    <col min="13059" max="13059" width="29" style="2476" customWidth="1"/>
    <col min="13060" max="13060" width="15.8984375" style="2476" customWidth="1"/>
    <col min="13061" max="13312" width="21.59765625" style="2476"/>
    <col min="13313" max="13313" width="29.19921875" style="2476" customWidth="1"/>
    <col min="13314" max="13314" width="15.8984375" style="2476" customWidth="1"/>
    <col min="13315" max="13315" width="29" style="2476" customWidth="1"/>
    <col min="13316" max="13316" width="15.8984375" style="2476" customWidth="1"/>
    <col min="13317" max="13568" width="21.59765625" style="2476"/>
    <col min="13569" max="13569" width="29.19921875" style="2476" customWidth="1"/>
    <col min="13570" max="13570" width="15.8984375" style="2476" customWidth="1"/>
    <col min="13571" max="13571" width="29" style="2476" customWidth="1"/>
    <col min="13572" max="13572" width="15.8984375" style="2476" customWidth="1"/>
    <col min="13573" max="13824" width="21.59765625" style="2476"/>
    <col min="13825" max="13825" width="29.19921875" style="2476" customWidth="1"/>
    <col min="13826" max="13826" width="15.8984375" style="2476" customWidth="1"/>
    <col min="13827" max="13827" width="29" style="2476" customWidth="1"/>
    <col min="13828" max="13828" width="15.8984375" style="2476" customWidth="1"/>
    <col min="13829" max="14080" width="21.59765625" style="2476"/>
    <col min="14081" max="14081" width="29.19921875" style="2476" customWidth="1"/>
    <col min="14082" max="14082" width="15.8984375" style="2476" customWidth="1"/>
    <col min="14083" max="14083" width="29" style="2476" customWidth="1"/>
    <col min="14084" max="14084" width="15.8984375" style="2476" customWidth="1"/>
    <col min="14085" max="14336" width="21.59765625" style="2476"/>
    <col min="14337" max="14337" width="29.19921875" style="2476" customWidth="1"/>
    <col min="14338" max="14338" width="15.8984375" style="2476" customWidth="1"/>
    <col min="14339" max="14339" width="29" style="2476" customWidth="1"/>
    <col min="14340" max="14340" width="15.8984375" style="2476" customWidth="1"/>
    <col min="14341" max="14592" width="21.59765625" style="2476"/>
    <col min="14593" max="14593" width="29.19921875" style="2476" customWidth="1"/>
    <col min="14594" max="14594" width="15.8984375" style="2476" customWidth="1"/>
    <col min="14595" max="14595" width="29" style="2476" customWidth="1"/>
    <col min="14596" max="14596" width="15.8984375" style="2476" customWidth="1"/>
    <col min="14597" max="14848" width="21.59765625" style="2476"/>
    <col min="14849" max="14849" width="29.19921875" style="2476" customWidth="1"/>
    <col min="14850" max="14850" width="15.8984375" style="2476" customWidth="1"/>
    <col min="14851" max="14851" width="29" style="2476" customWidth="1"/>
    <col min="14852" max="14852" width="15.8984375" style="2476" customWidth="1"/>
    <col min="14853" max="15104" width="21.59765625" style="2476"/>
    <col min="15105" max="15105" width="29.19921875" style="2476" customWidth="1"/>
    <col min="15106" max="15106" width="15.8984375" style="2476" customWidth="1"/>
    <col min="15107" max="15107" width="29" style="2476" customWidth="1"/>
    <col min="15108" max="15108" width="15.8984375" style="2476" customWidth="1"/>
    <col min="15109" max="15360" width="21.59765625" style="2476"/>
    <col min="15361" max="15361" width="29.19921875" style="2476" customWidth="1"/>
    <col min="15362" max="15362" width="15.8984375" style="2476" customWidth="1"/>
    <col min="15363" max="15363" width="29" style="2476" customWidth="1"/>
    <col min="15364" max="15364" width="15.8984375" style="2476" customWidth="1"/>
    <col min="15365" max="15616" width="21.59765625" style="2476"/>
    <col min="15617" max="15617" width="29.19921875" style="2476" customWidth="1"/>
    <col min="15618" max="15618" width="15.8984375" style="2476" customWidth="1"/>
    <col min="15619" max="15619" width="29" style="2476" customWidth="1"/>
    <col min="15620" max="15620" width="15.8984375" style="2476" customWidth="1"/>
    <col min="15621" max="15872" width="21.59765625" style="2476"/>
    <col min="15873" max="15873" width="29.19921875" style="2476" customWidth="1"/>
    <col min="15874" max="15874" width="15.8984375" style="2476" customWidth="1"/>
    <col min="15875" max="15875" width="29" style="2476" customWidth="1"/>
    <col min="15876" max="15876" width="15.8984375" style="2476" customWidth="1"/>
    <col min="15877" max="16128" width="21.59765625" style="2476"/>
    <col min="16129" max="16129" width="29.19921875" style="2476" customWidth="1"/>
    <col min="16130" max="16130" width="15.8984375" style="2476" customWidth="1"/>
    <col min="16131" max="16131" width="29" style="2476" customWidth="1"/>
    <col min="16132" max="16132" width="15.8984375" style="2476" customWidth="1"/>
    <col min="16133" max="16384" width="21.59765625" style="2476"/>
  </cols>
  <sheetData>
    <row r="1" spans="1:5" ht="20.100000000000001" customHeight="1">
      <c r="A1" s="4042" t="s">
        <v>7408</v>
      </c>
      <c r="B1" s="4043"/>
      <c r="C1" s="4043"/>
      <c r="D1" s="4044"/>
      <c r="E1" s="2543"/>
    </row>
    <row r="2" spans="1:5" ht="24" customHeight="1">
      <c r="A2" s="4016" t="s">
        <v>7417</v>
      </c>
      <c r="B2" s="4016"/>
      <c r="C2" s="4016"/>
      <c r="D2" s="4016"/>
    </row>
    <row r="3" spans="1:5" ht="25.5" customHeight="1">
      <c r="A3" s="2513" t="s">
        <v>7302</v>
      </c>
      <c r="B3" s="2513" t="s">
        <v>7303</v>
      </c>
      <c r="C3" s="4022" t="s">
        <v>7304</v>
      </c>
      <c r="D3" s="4022"/>
    </row>
    <row r="4" spans="1:5" ht="25.5" customHeight="1">
      <c r="A4" s="2477"/>
      <c r="B4" s="2477"/>
      <c r="C4" s="4045"/>
      <c r="D4" s="4045"/>
    </row>
    <row r="5" spans="1:5" ht="25.5" customHeight="1">
      <c r="A5" s="2540" t="s">
        <v>7305</v>
      </c>
      <c r="B5" s="2540" t="s">
        <v>7306</v>
      </c>
      <c r="C5" s="4046" t="s">
        <v>7307</v>
      </c>
      <c r="D5" s="4046"/>
    </row>
    <row r="6" spans="1:5" ht="25.5" customHeight="1">
      <c r="A6" s="2541"/>
      <c r="B6" s="2541"/>
      <c r="C6" s="2541"/>
      <c r="D6" s="2541"/>
    </row>
    <row r="7" spans="1:5" ht="25.5" customHeight="1">
      <c r="A7" s="2541"/>
      <c r="B7" s="2541"/>
      <c r="C7" s="2541"/>
      <c r="D7" s="2541"/>
    </row>
    <row r="8" spans="1:5" ht="40.5" customHeight="1">
      <c r="A8" s="2540" t="s">
        <v>7308</v>
      </c>
      <c r="B8" s="2540" t="s">
        <v>7309</v>
      </c>
      <c r="C8" s="2540" t="s">
        <v>7310</v>
      </c>
      <c r="D8" s="2540" t="s">
        <v>7311</v>
      </c>
    </row>
    <row r="9" spans="1:5" ht="25.5" customHeight="1">
      <c r="A9" s="2541"/>
      <c r="B9" s="2541"/>
      <c r="C9" s="2544"/>
      <c r="D9" s="2541"/>
    </row>
    <row r="10" spans="1:5" ht="25.5" customHeight="1">
      <c r="A10" s="2541"/>
      <c r="B10" s="2541"/>
      <c r="C10" s="2544"/>
      <c r="D10" s="2541"/>
    </row>
    <row r="11" spans="1:5" ht="25.5" customHeight="1">
      <c r="A11" s="2542" t="s">
        <v>7312</v>
      </c>
      <c r="B11" s="2544"/>
      <c r="C11" s="2542" t="s">
        <v>7313</v>
      </c>
      <c r="D11" s="2545" t="s">
        <v>7314</v>
      </c>
    </row>
    <row r="12" spans="1:5" ht="25.5" customHeight="1">
      <c r="A12" s="2542" t="s">
        <v>7315</v>
      </c>
      <c r="B12" s="2544"/>
      <c r="C12" s="2542" t="s">
        <v>7316</v>
      </c>
      <c r="D12" s="2544"/>
    </row>
    <row r="13" spans="1:5" ht="25.5" customHeight="1">
      <c r="A13" s="2542" t="s">
        <v>7317</v>
      </c>
      <c r="B13" s="2544"/>
      <c r="C13" s="2542" t="s">
        <v>7318</v>
      </c>
      <c r="D13" s="2544"/>
    </row>
    <row r="14" spans="1:5" ht="25.5" customHeight="1">
      <c r="A14" s="2542" t="s">
        <v>7319</v>
      </c>
      <c r="B14" s="2544"/>
      <c r="C14" s="2542" t="s">
        <v>7265</v>
      </c>
      <c r="D14" s="2544"/>
    </row>
    <row r="15" spans="1:5" ht="25.5" customHeight="1">
      <c r="A15" s="2542" t="s">
        <v>7320</v>
      </c>
      <c r="B15" s="2544"/>
      <c r="C15" s="2542" t="s">
        <v>7321</v>
      </c>
      <c r="D15" s="2544"/>
    </row>
    <row r="16" spans="1:5" ht="25.5" customHeight="1">
      <c r="A16" s="2542" t="s">
        <v>7322</v>
      </c>
      <c r="B16" s="2544"/>
      <c r="C16" s="2542" t="s">
        <v>7323</v>
      </c>
      <c r="D16" s="2544"/>
    </row>
    <row r="17" spans="1:4" ht="25.5" customHeight="1">
      <c r="A17" s="2542" t="s">
        <v>7324</v>
      </c>
      <c r="B17" s="2544"/>
      <c r="C17" s="2542" t="s">
        <v>7325</v>
      </c>
      <c r="D17" s="2544"/>
    </row>
    <row r="18" spans="1:4" ht="25.5" customHeight="1">
      <c r="A18" s="2542" t="s">
        <v>7326</v>
      </c>
      <c r="B18" s="2544"/>
      <c r="C18" s="2542" t="s">
        <v>7327</v>
      </c>
      <c r="D18" s="2544"/>
    </row>
    <row r="19" spans="1:4" ht="25.5" customHeight="1">
      <c r="A19" s="2542" t="s">
        <v>7328</v>
      </c>
      <c r="B19" s="2544"/>
      <c r="C19" s="2542" t="s">
        <v>7329</v>
      </c>
      <c r="D19" s="2544"/>
    </row>
    <row r="20" spans="1:4" ht="25.5" customHeight="1">
      <c r="A20" s="3993" t="s">
        <v>7330</v>
      </c>
      <c r="B20" s="3993"/>
      <c r="C20" s="4041" t="s">
        <v>7331</v>
      </c>
      <c r="D20" s="4041"/>
    </row>
    <row r="21" spans="1:4" ht="25.5" customHeight="1">
      <c r="A21" s="3993" t="s">
        <v>7332</v>
      </c>
      <c r="B21" s="3993"/>
      <c r="C21" s="3993"/>
      <c r="D21" s="3993"/>
    </row>
    <row r="22" spans="1:4" ht="25.5" customHeight="1">
      <c r="A22" s="2542" t="s">
        <v>2584</v>
      </c>
      <c r="B22" s="2542" t="s">
        <v>284</v>
      </c>
      <c r="C22" s="2542" t="s">
        <v>7262</v>
      </c>
      <c r="D22" s="2542" t="s">
        <v>1255</v>
      </c>
    </row>
    <row r="23" spans="1:4" ht="25.5" customHeight="1">
      <c r="A23" s="2471"/>
      <c r="B23" s="2471"/>
      <c r="C23" s="2528"/>
      <c r="D23" s="2528"/>
    </row>
    <row r="24" spans="1:4" ht="25.5" customHeight="1">
      <c r="A24" s="2470"/>
      <c r="B24" s="2470"/>
      <c r="C24" s="2527"/>
      <c r="D24" s="2527"/>
    </row>
    <row r="25" spans="1:4" ht="25.5" customHeight="1">
      <c r="A25" s="2514" t="s">
        <v>7333</v>
      </c>
      <c r="B25" s="2546">
        <f>基本情况!B12</f>
        <v>0</v>
      </c>
      <c r="C25" s="2514" t="s">
        <v>7334</v>
      </c>
      <c r="D25" s="2521" t="str">
        <f>基本情况!B21</f>
        <v>2017年3月16日</v>
      </c>
    </row>
  </sheetData>
  <mergeCells count="8">
    <mergeCell ref="A20:B20"/>
    <mergeCell ref="C20:D20"/>
    <mergeCell ref="A21:D21"/>
    <mergeCell ref="A1:D1"/>
    <mergeCell ref="A2:D2"/>
    <mergeCell ref="C3:D3"/>
    <mergeCell ref="C4:D4"/>
    <mergeCell ref="C5:D5"/>
  </mergeCells>
  <phoneticPr fontId="51" type="noConversion"/>
  <dataValidations count="1">
    <dataValidation type="list" allowBlank="1" showInputMessage="1" showErrorMessage="1" sqref="B14 IX14 ST14 ACP14 AML14 AWH14 BGD14 BPZ14 BZV14 CJR14 CTN14 DDJ14 DNF14 DXB14 EGX14 EQT14 FAP14 FKL14 FUH14 GED14 GNZ14 GXV14 HHR14 HRN14 IBJ14 ILF14 IVB14 JEX14 JOT14 JYP14 KIL14 KSH14 LCD14 LLZ14 LVV14 MFR14 MPN14 MZJ14 NJF14 NTB14 OCX14 OMT14 OWP14 PGL14 PQH14 QAD14 QJZ14 QTV14 RDR14 RNN14 RXJ14 SHF14 SRB14 TAX14 TKT14 TUP14 UEL14 UOH14 UYD14 VHZ14 VRV14 WBR14 WLN14 WVJ14 B65550 IX65550 ST65550 ACP65550 AML65550 AWH65550 BGD65550 BPZ65550 BZV65550 CJR65550 CTN65550 DDJ65550 DNF65550 DXB65550 EGX65550 EQT65550 FAP65550 FKL65550 FUH65550 GED65550 GNZ65550 GXV65550 HHR65550 HRN65550 IBJ65550 ILF65550 IVB65550 JEX65550 JOT65550 JYP65550 KIL65550 KSH65550 LCD65550 LLZ65550 LVV65550 MFR65550 MPN65550 MZJ65550 NJF65550 NTB65550 OCX65550 OMT65550 OWP65550 PGL65550 PQH65550 QAD65550 QJZ65550 QTV65550 RDR65550 RNN65550 RXJ65550 SHF65550 SRB65550 TAX65550 TKT65550 TUP65550 UEL65550 UOH65550 UYD65550 VHZ65550 VRV65550 WBR65550 WLN65550 WVJ65550 B131086 IX131086 ST131086 ACP131086 AML131086 AWH131086 BGD131086 BPZ131086 BZV131086 CJR131086 CTN131086 DDJ131086 DNF131086 DXB131086 EGX131086 EQT131086 FAP131086 FKL131086 FUH131086 GED131086 GNZ131086 GXV131086 HHR131086 HRN131086 IBJ131086 ILF131086 IVB131086 JEX131086 JOT131086 JYP131086 KIL131086 KSH131086 LCD131086 LLZ131086 LVV131086 MFR131086 MPN131086 MZJ131086 NJF131086 NTB131086 OCX131086 OMT131086 OWP131086 PGL131086 PQH131086 QAD131086 QJZ131086 QTV131086 RDR131086 RNN131086 RXJ131086 SHF131086 SRB131086 TAX131086 TKT131086 TUP131086 UEL131086 UOH131086 UYD131086 VHZ131086 VRV131086 WBR131086 WLN131086 WVJ131086 B196622 IX196622 ST196622 ACP196622 AML196622 AWH196622 BGD196622 BPZ196622 BZV196622 CJR196622 CTN196622 DDJ196622 DNF196622 DXB196622 EGX196622 EQT196622 FAP196622 FKL196622 FUH196622 GED196622 GNZ196622 GXV196622 HHR196622 HRN196622 IBJ196622 ILF196622 IVB196622 JEX196622 JOT196622 JYP196622 KIL196622 KSH196622 LCD196622 LLZ196622 LVV196622 MFR196622 MPN196622 MZJ196622 NJF196622 NTB196622 OCX196622 OMT196622 OWP196622 PGL196622 PQH196622 QAD196622 QJZ196622 QTV196622 RDR196622 RNN196622 RXJ196622 SHF196622 SRB196622 TAX196622 TKT196622 TUP196622 UEL196622 UOH196622 UYD196622 VHZ196622 VRV196622 WBR196622 WLN196622 WVJ196622 B262158 IX262158 ST262158 ACP262158 AML262158 AWH262158 BGD262158 BPZ262158 BZV262158 CJR262158 CTN262158 DDJ262158 DNF262158 DXB262158 EGX262158 EQT262158 FAP262158 FKL262158 FUH262158 GED262158 GNZ262158 GXV262158 HHR262158 HRN262158 IBJ262158 ILF262158 IVB262158 JEX262158 JOT262158 JYP262158 KIL262158 KSH262158 LCD262158 LLZ262158 LVV262158 MFR262158 MPN262158 MZJ262158 NJF262158 NTB262158 OCX262158 OMT262158 OWP262158 PGL262158 PQH262158 QAD262158 QJZ262158 QTV262158 RDR262158 RNN262158 RXJ262158 SHF262158 SRB262158 TAX262158 TKT262158 TUP262158 UEL262158 UOH262158 UYD262158 VHZ262158 VRV262158 WBR262158 WLN262158 WVJ262158 B327694 IX327694 ST327694 ACP327694 AML327694 AWH327694 BGD327694 BPZ327694 BZV327694 CJR327694 CTN327694 DDJ327694 DNF327694 DXB327694 EGX327694 EQT327694 FAP327694 FKL327694 FUH327694 GED327694 GNZ327694 GXV327694 HHR327694 HRN327694 IBJ327694 ILF327694 IVB327694 JEX327694 JOT327694 JYP327694 KIL327694 KSH327694 LCD327694 LLZ327694 LVV327694 MFR327694 MPN327694 MZJ327694 NJF327694 NTB327694 OCX327694 OMT327694 OWP327694 PGL327694 PQH327694 QAD327694 QJZ327694 QTV327694 RDR327694 RNN327694 RXJ327694 SHF327694 SRB327694 TAX327694 TKT327694 TUP327694 UEL327694 UOH327694 UYD327694 VHZ327694 VRV327694 WBR327694 WLN327694 WVJ327694 B393230 IX393230 ST393230 ACP393230 AML393230 AWH393230 BGD393230 BPZ393230 BZV393230 CJR393230 CTN393230 DDJ393230 DNF393230 DXB393230 EGX393230 EQT393230 FAP393230 FKL393230 FUH393230 GED393230 GNZ393230 GXV393230 HHR393230 HRN393230 IBJ393230 ILF393230 IVB393230 JEX393230 JOT393230 JYP393230 KIL393230 KSH393230 LCD393230 LLZ393230 LVV393230 MFR393230 MPN393230 MZJ393230 NJF393230 NTB393230 OCX393230 OMT393230 OWP393230 PGL393230 PQH393230 QAD393230 QJZ393230 QTV393230 RDR393230 RNN393230 RXJ393230 SHF393230 SRB393230 TAX393230 TKT393230 TUP393230 UEL393230 UOH393230 UYD393230 VHZ393230 VRV393230 WBR393230 WLN393230 WVJ393230 B458766 IX458766 ST458766 ACP458766 AML458766 AWH458766 BGD458766 BPZ458766 BZV458766 CJR458766 CTN458766 DDJ458766 DNF458766 DXB458766 EGX458766 EQT458766 FAP458766 FKL458766 FUH458766 GED458766 GNZ458766 GXV458766 HHR458766 HRN458766 IBJ458766 ILF458766 IVB458766 JEX458766 JOT458766 JYP458766 KIL458766 KSH458766 LCD458766 LLZ458766 LVV458766 MFR458766 MPN458766 MZJ458766 NJF458766 NTB458766 OCX458766 OMT458766 OWP458766 PGL458766 PQH458766 QAD458766 QJZ458766 QTV458766 RDR458766 RNN458766 RXJ458766 SHF458766 SRB458766 TAX458766 TKT458766 TUP458766 UEL458766 UOH458766 UYD458766 VHZ458766 VRV458766 WBR458766 WLN458766 WVJ458766 B524302 IX524302 ST524302 ACP524302 AML524302 AWH524302 BGD524302 BPZ524302 BZV524302 CJR524302 CTN524302 DDJ524302 DNF524302 DXB524302 EGX524302 EQT524302 FAP524302 FKL524302 FUH524302 GED524302 GNZ524302 GXV524302 HHR524302 HRN524302 IBJ524302 ILF524302 IVB524302 JEX524302 JOT524302 JYP524302 KIL524302 KSH524302 LCD524302 LLZ524302 LVV524302 MFR524302 MPN524302 MZJ524302 NJF524302 NTB524302 OCX524302 OMT524302 OWP524302 PGL524302 PQH524302 QAD524302 QJZ524302 QTV524302 RDR524302 RNN524302 RXJ524302 SHF524302 SRB524302 TAX524302 TKT524302 TUP524302 UEL524302 UOH524302 UYD524302 VHZ524302 VRV524302 WBR524302 WLN524302 WVJ524302 B589838 IX589838 ST589838 ACP589838 AML589838 AWH589838 BGD589838 BPZ589838 BZV589838 CJR589838 CTN589838 DDJ589838 DNF589838 DXB589838 EGX589838 EQT589838 FAP589838 FKL589838 FUH589838 GED589838 GNZ589838 GXV589838 HHR589838 HRN589838 IBJ589838 ILF589838 IVB589838 JEX589838 JOT589838 JYP589838 KIL589838 KSH589838 LCD589838 LLZ589838 LVV589838 MFR589838 MPN589838 MZJ589838 NJF589838 NTB589838 OCX589838 OMT589838 OWP589838 PGL589838 PQH589838 QAD589838 QJZ589838 QTV589838 RDR589838 RNN589838 RXJ589838 SHF589838 SRB589838 TAX589838 TKT589838 TUP589838 UEL589838 UOH589838 UYD589838 VHZ589838 VRV589838 WBR589838 WLN589838 WVJ589838 B655374 IX655374 ST655374 ACP655374 AML655374 AWH655374 BGD655374 BPZ655374 BZV655374 CJR655374 CTN655374 DDJ655374 DNF655374 DXB655374 EGX655374 EQT655374 FAP655374 FKL655374 FUH655374 GED655374 GNZ655374 GXV655374 HHR655374 HRN655374 IBJ655374 ILF655374 IVB655374 JEX655374 JOT655374 JYP655374 KIL655374 KSH655374 LCD655374 LLZ655374 LVV655374 MFR655374 MPN655374 MZJ655374 NJF655374 NTB655374 OCX655374 OMT655374 OWP655374 PGL655374 PQH655374 QAD655374 QJZ655374 QTV655374 RDR655374 RNN655374 RXJ655374 SHF655374 SRB655374 TAX655374 TKT655374 TUP655374 UEL655374 UOH655374 UYD655374 VHZ655374 VRV655374 WBR655374 WLN655374 WVJ655374 B720910 IX720910 ST720910 ACP720910 AML720910 AWH720910 BGD720910 BPZ720910 BZV720910 CJR720910 CTN720910 DDJ720910 DNF720910 DXB720910 EGX720910 EQT720910 FAP720910 FKL720910 FUH720910 GED720910 GNZ720910 GXV720910 HHR720910 HRN720910 IBJ720910 ILF720910 IVB720910 JEX720910 JOT720910 JYP720910 KIL720910 KSH720910 LCD720910 LLZ720910 LVV720910 MFR720910 MPN720910 MZJ720910 NJF720910 NTB720910 OCX720910 OMT720910 OWP720910 PGL720910 PQH720910 QAD720910 QJZ720910 QTV720910 RDR720910 RNN720910 RXJ720910 SHF720910 SRB720910 TAX720910 TKT720910 TUP720910 UEL720910 UOH720910 UYD720910 VHZ720910 VRV720910 WBR720910 WLN720910 WVJ720910 B786446 IX786446 ST786446 ACP786446 AML786446 AWH786446 BGD786446 BPZ786446 BZV786446 CJR786446 CTN786446 DDJ786446 DNF786446 DXB786446 EGX786446 EQT786446 FAP786446 FKL786446 FUH786446 GED786446 GNZ786446 GXV786446 HHR786446 HRN786446 IBJ786446 ILF786446 IVB786446 JEX786446 JOT786446 JYP786446 KIL786446 KSH786446 LCD786446 LLZ786446 LVV786446 MFR786446 MPN786446 MZJ786446 NJF786446 NTB786446 OCX786446 OMT786446 OWP786446 PGL786446 PQH786446 QAD786446 QJZ786446 QTV786446 RDR786446 RNN786446 RXJ786446 SHF786446 SRB786446 TAX786446 TKT786446 TUP786446 UEL786446 UOH786446 UYD786446 VHZ786446 VRV786446 WBR786446 WLN786446 WVJ786446 B851982 IX851982 ST851982 ACP851982 AML851982 AWH851982 BGD851982 BPZ851982 BZV851982 CJR851982 CTN851982 DDJ851982 DNF851982 DXB851982 EGX851982 EQT851982 FAP851982 FKL851982 FUH851982 GED851982 GNZ851982 GXV851982 HHR851982 HRN851982 IBJ851982 ILF851982 IVB851982 JEX851982 JOT851982 JYP851982 KIL851982 KSH851982 LCD851982 LLZ851982 LVV851982 MFR851982 MPN851982 MZJ851982 NJF851982 NTB851982 OCX851982 OMT851982 OWP851982 PGL851982 PQH851982 QAD851982 QJZ851982 QTV851982 RDR851982 RNN851982 RXJ851982 SHF851982 SRB851982 TAX851982 TKT851982 TUP851982 UEL851982 UOH851982 UYD851982 VHZ851982 VRV851982 WBR851982 WLN851982 WVJ851982 B917518 IX917518 ST917518 ACP917518 AML917518 AWH917518 BGD917518 BPZ917518 BZV917518 CJR917518 CTN917518 DDJ917518 DNF917518 DXB917518 EGX917518 EQT917518 FAP917518 FKL917518 FUH917518 GED917518 GNZ917518 GXV917518 HHR917518 HRN917518 IBJ917518 ILF917518 IVB917518 JEX917518 JOT917518 JYP917518 KIL917518 KSH917518 LCD917518 LLZ917518 LVV917518 MFR917518 MPN917518 MZJ917518 NJF917518 NTB917518 OCX917518 OMT917518 OWP917518 PGL917518 PQH917518 QAD917518 QJZ917518 QTV917518 RDR917518 RNN917518 RXJ917518 SHF917518 SRB917518 TAX917518 TKT917518 TUP917518 UEL917518 UOH917518 UYD917518 VHZ917518 VRV917518 WBR917518 WLN917518 WVJ917518 B983054 IX983054 ST983054 ACP983054 AML983054 AWH983054 BGD983054 BPZ983054 BZV983054 CJR983054 CTN983054 DDJ983054 DNF983054 DXB983054 EGX983054 EQT983054 FAP983054 FKL983054 FUH983054 GED983054 GNZ983054 GXV983054 HHR983054 HRN983054 IBJ983054 ILF983054 IVB983054 JEX983054 JOT983054 JYP983054 KIL983054 KSH983054 LCD983054 LLZ983054 LVV983054 MFR983054 MPN983054 MZJ983054 NJF983054 NTB983054 OCX983054 OMT983054 OWP983054 PGL983054 PQH983054 QAD983054 QJZ983054 QTV983054 RDR983054 RNN983054 RXJ983054 SHF983054 SRB983054 TAX983054 TKT983054 TUP983054 UEL983054 UOH983054 UYD983054 VHZ983054 VRV983054 WBR983054 WLN983054 WVJ983054">
      <formula1>"是,否"</formula1>
    </dataValidation>
  </dataValidations>
  <pageMargins left="0.78740157480314998" right="0.35433070866141703" top="0.511811023622047" bottom="0.11811023622047198" header="0.511811023622047" footer="0.511811023622047"/>
  <pageSetup paperSize="9" orientation="portrait" blackAndWhite="1" r:id="rId1"/>
  <drawing r:id="rId2"/>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pageSetUpPr fitToPage="1"/>
  </sheetPr>
  <dimension ref="A1:G27"/>
  <sheetViews>
    <sheetView topLeftCell="A10" workbookViewId="0">
      <selection activeCell="J16" sqref="J16"/>
    </sheetView>
  </sheetViews>
  <sheetFormatPr defaultColWidth="19.59765625" defaultRowHeight="12"/>
  <cols>
    <col min="1" max="1" width="16.19921875" style="2478" customWidth="1"/>
    <col min="2" max="2" width="15.19921875" style="2478" customWidth="1"/>
    <col min="3" max="3" width="15" style="2478" customWidth="1"/>
    <col min="4" max="4" width="14.69921875" style="2478" customWidth="1"/>
    <col min="5" max="5" width="15" style="2478" customWidth="1"/>
    <col min="6" max="6" width="17.19921875" style="2478" customWidth="1"/>
    <col min="7" max="256" width="19.59765625" style="2478"/>
    <col min="257" max="257" width="16.19921875" style="2478" customWidth="1"/>
    <col min="258" max="258" width="15.19921875" style="2478" customWidth="1"/>
    <col min="259" max="259" width="15" style="2478" customWidth="1"/>
    <col min="260" max="260" width="14.69921875" style="2478" customWidth="1"/>
    <col min="261" max="261" width="15" style="2478" customWidth="1"/>
    <col min="262" max="262" width="17.19921875" style="2478" customWidth="1"/>
    <col min="263" max="512" width="19.59765625" style="2478"/>
    <col min="513" max="513" width="16.19921875" style="2478" customWidth="1"/>
    <col min="514" max="514" width="15.19921875" style="2478" customWidth="1"/>
    <col min="515" max="515" width="15" style="2478" customWidth="1"/>
    <col min="516" max="516" width="14.69921875" style="2478" customWidth="1"/>
    <col min="517" max="517" width="15" style="2478" customWidth="1"/>
    <col min="518" max="518" width="17.19921875" style="2478" customWidth="1"/>
    <col min="519" max="768" width="19.59765625" style="2478"/>
    <col min="769" max="769" width="16.19921875" style="2478" customWidth="1"/>
    <col min="770" max="770" width="15.19921875" style="2478" customWidth="1"/>
    <col min="771" max="771" width="15" style="2478" customWidth="1"/>
    <col min="772" max="772" width="14.69921875" style="2478" customWidth="1"/>
    <col min="773" max="773" width="15" style="2478" customWidth="1"/>
    <col min="774" max="774" width="17.19921875" style="2478" customWidth="1"/>
    <col min="775" max="1024" width="19.59765625" style="2478"/>
    <col min="1025" max="1025" width="16.19921875" style="2478" customWidth="1"/>
    <col min="1026" max="1026" width="15.19921875" style="2478" customWidth="1"/>
    <col min="1027" max="1027" width="15" style="2478" customWidth="1"/>
    <col min="1028" max="1028" width="14.69921875" style="2478" customWidth="1"/>
    <col min="1029" max="1029" width="15" style="2478" customWidth="1"/>
    <col min="1030" max="1030" width="17.19921875" style="2478" customWidth="1"/>
    <col min="1031" max="1280" width="19.59765625" style="2478"/>
    <col min="1281" max="1281" width="16.19921875" style="2478" customWidth="1"/>
    <col min="1282" max="1282" width="15.19921875" style="2478" customWidth="1"/>
    <col min="1283" max="1283" width="15" style="2478" customWidth="1"/>
    <col min="1284" max="1284" width="14.69921875" style="2478" customWidth="1"/>
    <col min="1285" max="1285" width="15" style="2478" customWidth="1"/>
    <col min="1286" max="1286" width="17.19921875" style="2478" customWidth="1"/>
    <col min="1287" max="1536" width="19.59765625" style="2478"/>
    <col min="1537" max="1537" width="16.19921875" style="2478" customWidth="1"/>
    <col min="1538" max="1538" width="15.19921875" style="2478" customWidth="1"/>
    <col min="1539" max="1539" width="15" style="2478" customWidth="1"/>
    <col min="1540" max="1540" width="14.69921875" style="2478" customWidth="1"/>
    <col min="1541" max="1541" width="15" style="2478" customWidth="1"/>
    <col min="1542" max="1542" width="17.19921875" style="2478" customWidth="1"/>
    <col min="1543" max="1792" width="19.59765625" style="2478"/>
    <col min="1793" max="1793" width="16.19921875" style="2478" customWidth="1"/>
    <col min="1794" max="1794" width="15.19921875" style="2478" customWidth="1"/>
    <col min="1795" max="1795" width="15" style="2478" customWidth="1"/>
    <col min="1796" max="1796" width="14.69921875" style="2478" customWidth="1"/>
    <col min="1797" max="1797" width="15" style="2478" customWidth="1"/>
    <col min="1798" max="1798" width="17.19921875" style="2478" customWidth="1"/>
    <col min="1799" max="2048" width="19.59765625" style="2478"/>
    <col min="2049" max="2049" width="16.19921875" style="2478" customWidth="1"/>
    <col min="2050" max="2050" width="15.19921875" style="2478" customWidth="1"/>
    <col min="2051" max="2051" width="15" style="2478" customWidth="1"/>
    <col min="2052" max="2052" width="14.69921875" style="2478" customWidth="1"/>
    <col min="2053" max="2053" width="15" style="2478" customWidth="1"/>
    <col min="2054" max="2054" width="17.19921875" style="2478" customWidth="1"/>
    <col min="2055" max="2304" width="19.59765625" style="2478"/>
    <col min="2305" max="2305" width="16.19921875" style="2478" customWidth="1"/>
    <col min="2306" max="2306" width="15.19921875" style="2478" customWidth="1"/>
    <col min="2307" max="2307" width="15" style="2478" customWidth="1"/>
    <col min="2308" max="2308" width="14.69921875" style="2478" customWidth="1"/>
    <col min="2309" max="2309" width="15" style="2478" customWidth="1"/>
    <col min="2310" max="2310" width="17.19921875" style="2478" customWidth="1"/>
    <col min="2311" max="2560" width="19.59765625" style="2478"/>
    <col min="2561" max="2561" width="16.19921875" style="2478" customWidth="1"/>
    <col min="2562" max="2562" width="15.19921875" style="2478" customWidth="1"/>
    <col min="2563" max="2563" width="15" style="2478" customWidth="1"/>
    <col min="2564" max="2564" width="14.69921875" style="2478" customWidth="1"/>
    <col min="2565" max="2565" width="15" style="2478" customWidth="1"/>
    <col min="2566" max="2566" width="17.19921875" style="2478" customWidth="1"/>
    <col min="2567" max="2816" width="19.59765625" style="2478"/>
    <col min="2817" max="2817" width="16.19921875" style="2478" customWidth="1"/>
    <col min="2818" max="2818" width="15.19921875" style="2478" customWidth="1"/>
    <col min="2819" max="2819" width="15" style="2478" customWidth="1"/>
    <col min="2820" max="2820" width="14.69921875" style="2478" customWidth="1"/>
    <col min="2821" max="2821" width="15" style="2478" customWidth="1"/>
    <col min="2822" max="2822" width="17.19921875" style="2478" customWidth="1"/>
    <col min="2823" max="3072" width="19.59765625" style="2478"/>
    <col min="3073" max="3073" width="16.19921875" style="2478" customWidth="1"/>
    <col min="3074" max="3074" width="15.19921875" style="2478" customWidth="1"/>
    <col min="3075" max="3075" width="15" style="2478" customWidth="1"/>
    <col min="3076" max="3076" width="14.69921875" style="2478" customWidth="1"/>
    <col min="3077" max="3077" width="15" style="2478" customWidth="1"/>
    <col min="3078" max="3078" width="17.19921875" style="2478" customWidth="1"/>
    <col min="3079" max="3328" width="19.59765625" style="2478"/>
    <col min="3329" max="3329" width="16.19921875" style="2478" customWidth="1"/>
    <col min="3330" max="3330" width="15.19921875" style="2478" customWidth="1"/>
    <col min="3331" max="3331" width="15" style="2478" customWidth="1"/>
    <col min="3332" max="3332" width="14.69921875" style="2478" customWidth="1"/>
    <col min="3333" max="3333" width="15" style="2478" customWidth="1"/>
    <col min="3334" max="3334" width="17.19921875" style="2478" customWidth="1"/>
    <col min="3335" max="3584" width="19.59765625" style="2478"/>
    <col min="3585" max="3585" width="16.19921875" style="2478" customWidth="1"/>
    <col min="3586" max="3586" width="15.19921875" style="2478" customWidth="1"/>
    <col min="3587" max="3587" width="15" style="2478" customWidth="1"/>
    <col min="3588" max="3588" width="14.69921875" style="2478" customWidth="1"/>
    <col min="3589" max="3589" width="15" style="2478" customWidth="1"/>
    <col min="3590" max="3590" width="17.19921875" style="2478" customWidth="1"/>
    <col min="3591" max="3840" width="19.59765625" style="2478"/>
    <col min="3841" max="3841" width="16.19921875" style="2478" customWidth="1"/>
    <col min="3842" max="3842" width="15.19921875" style="2478" customWidth="1"/>
    <col min="3843" max="3843" width="15" style="2478" customWidth="1"/>
    <col min="3844" max="3844" width="14.69921875" style="2478" customWidth="1"/>
    <col min="3845" max="3845" width="15" style="2478" customWidth="1"/>
    <col min="3846" max="3846" width="17.19921875" style="2478" customWidth="1"/>
    <col min="3847" max="4096" width="19.59765625" style="2478"/>
    <col min="4097" max="4097" width="16.19921875" style="2478" customWidth="1"/>
    <col min="4098" max="4098" width="15.19921875" style="2478" customWidth="1"/>
    <col min="4099" max="4099" width="15" style="2478" customWidth="1"/>
    <col min="4100" max="4100" width="14.69921875" style="2478" customWidth="1"/>
    <col min="4101" max="4101" width="15" style="2478" customWidth="1"/>
    <col min="4102" max="4102" width="17.19921875" style="2478" customWidth="1"/>
    <col min="4103" max="4352" width="19.59765625" style="2478"/>
    <col min="4353" max="4353" width="16.19921875" style="2478" customWidth="1"/>
    <col min="4354" max="4354" width="15.19921875" style="2478" customWidth="1"/>
    <col min="4355" max="4355" width="15" style="2478" customWidth="1"/>
    <col min="4356" max="4356" width="14.69921875" style="2478" customWidth="1"/>
    <col min="4357" max="4357" width="15" style="2478" customWidth="1"/>
    <col min="4358" max="4358" width="17.19921875" style="2478" customWidth="1"/>
    <col min="4359" max="4608" width="19.59765625" style="2478"/>
    <col min="4609" max="4609" width="16.19921875" style="2478" customWidth="1"/>
    <col min="4610" max="4610" width="15.19921875" style="2478" customWidth="1"/>
    <col min="4611" max="4611" width="15" style="2478" customWidth="1"/>
    <col min="4612" max="4612" width="14.69921875" style="2478" customWidth="1"/>
    <col min="4613" max="4613" width="15" style="2478" customWidth="1"/>
    <col min="4614" max="4614" width="17.19921875" style="2478" customWidth="1"/>
    <col min="4615" max="4864" width="19.59765625" style="2478"/>
    <col min="4865" max="4865" width="16.19921875" style="2478" customWidth="1"/>
    <col min="4866" max="4866" width="15.19921875" style="2478" customWidth="1"/>
    <col min="4867" max="4867" width="15" style="2478" customWidth="1"/>
    <col min="4868" max="4868" width="14.69921875" style="2478" customWidth="1"/>
    <col min="4869" max="4869" width="15" style="2478" customWidth="1"/>
    <col min="4870" max="4870" width="17.19921875" style="2478" customWidth="1"/>
    <col min="4871" max="5120" width="19.59765625" style="2478"/>
    <col min="5121" max="5121" width="16.19921875" style="2478" customWidth="1"/>
    <col min="5122" max="5122" width="15.19921875" style="2478" customWidth="1"/>
    <col min="5123" max="5123" width="15" style="2478" customWidth="1"/>
    <col min="5124" max="5124" width="14.69921875" style="2478" customWidth="1"/>
    <col min="5125" max="5125" width="15" style="2478" customWidth="1"/>
    <col min="5126" max="5126" width="17.19921875" style="2478" customWidth="1"/>
    <col min="5127" max="5376" width="19.59765625" style="2478"/>
    <col min="5377" max="5377" width="16.19921875" style="2478" customWidth="1"/>
    <col min="5378" max="5378" width="15.19921875" style="2478" customWidth="1"/>
    <col min="5379" max="5379" width="15" style="2478" customWidth="1"/>
    <col min="5380" max="5380" width="14.69921875" style="2478" customWidth="1"/>
    <col min="5381" max="5381" width="15" style="2478" customWidth="1"/>
    <col min="5382" max="5382" width="17.19921875" style="2478" customWidth="1"/>
    <col min="5383" max="5632" width="19.59765625" style="2478"/>
    <col min="5633" max="5633" width="16.19921875" style="2478" customWidth="1"/>
    <col min="5634" max="5634" width="15.19921875" style="2478" customWidth="1"/>
    <col min="5635" max="5635" width="15" style="2478" customWidth="1"/>
    <col min="5636" max="5636" width="14.69921875" style="2478" customWidth="1"/>
    <col min="5637" max="5637" width="15" style="2478" customWidth="1"/>
    <col min="5638" max="5638" width="17.19921875" style="2478" customWidth="1"/>
    <col min="5639" max="5888" width="19.59765625" style="2478"/>
    <col min="5889" max="5889" width="16.19921875" style="2478" customWidth="1"/>
    <col min="5890" max="5890" width="15.19921875" style="2478" customWidth="1"/>
    <col min="5891" max="5891" width="15" style="2478" customWidth="1"/>
    <col min="5892" max="5892" width="14.69921875" style="2478" customWidth="1"/>
    <col min="5893" max="5893" width="15" style="2478" customWidth="1"/>
    <col min="5894" max="5894" width="17.19921875" style="2478" customWidth="1"/>
    <col min="5895" max="6144" width="19.59765625" style="2478"/>
    <col min="6145" max="6145" width="16.19921875" style="2478" customWidth="1"/>
    <col min="6146" max="6146" width="15.19921875" style="2478" customWidth="1"/>
    <col min="6147" max="6147" width="15" style="2478" customWidth="1"/>
    <col min="6148" max="6148" width="14.69921875" style="2478" customWidth="1"/>
    <col min="6149" max="6149" width="15" style="2478" customWidth="1"/>
    <col min="6150" max="6150" width="17.19921875" style="2478" customWidth="1"/>
    <col min="6151" max="6400" width="19.59765625" style="2478"/>
    <col min="6401" max="6401" width="16.19921875" style="2478" customWidth="1"/>
    <col min="6402" max="6402" width="15.19921875" style="2478" customWidth="1"/>
    <col min="6403" max="6403" width="15" style="2478" customWidth="1"/>
    <col min="6404" max="6404" width="14.69921875" style="2478" customWidth="1"/>
    <col min="6405" max="6405" width="15" style="2478" customWidth="1"/>
    <col min="6406" max="6406" width="17.19921875" style="2478" customWidth="1"/>
    <col min="6407" max="6656" width="19.59765625" style="2478"/>
    <col min="6657" max="6657" width="16.19921875" style="2478" customWidth="1"/>
    <col min="6658" max="6658" width="15.19921875" style="2478" customWidth="1"/>
    <col min="6659" max="6659" width="15" style="2478" customWidth="1"/>
    <col min="6660" max="6660" width="14.69921875" style="2478" customWidth="1"/>
    <col min="6661" max="6661" width="15" style="2478" customWidth="1"/>
    <col min="6662" max="6662" width="17.19921875" style="2478" customWidth="1"/>
    <col min="6663" max="6912" width="19.59765625" style="2478"/>
    <col min="6913" max="6913" width="16.19921875" style="2478" customWidth="1"/>
    <col min="6914" max="6914" width="15.19921875" style="2478" customWidth="1"/>
    <col min="6915" max="6915" width="15" style="2478" customWidth="1"/>
    <col min="6916" max="6916" width="14.69921875" style="2478" customWidth="1"/>
    <col min="6917" max="6917" width="15" style="2478" customWidth="1"/>
    <col min="6918" max="6918" width="17.19921875" style="2478" customWidth="1"/>
    <col min="6919" max="7168" width="19.59765625" style="2478"/>
    <col min="7169" max="7169" width="16.19921875" style="2478" customWidth="1"/>
    <col min="7170" max="7170" width="15.19921875" style="2478" customWidth="1"/>
    <col min="7171" max="7171" width="15" style="2478" customWidth="1"/>
    <col min="7172" max="7172" width="14.69921875" style="2478" customWidth="1"/>
    <col min="7173" max="7173" width="15" style="2478" customWidth="1"/>
    <col min="7174" max="7174" width="17.19921875" style="2478" customWidth="1"/>
    <col min="7175" max="7424" width="19.59765625" style="2478"/>
    <col min="7425" max="7425" width="16.19921875" style="2478" customWidth="1"/>
    <col min="7426" max="7426" width="15.19921875" style="2478" customWidth="1"/>
    <col min="7427" max="7427" width="15" style="2478" customWidth="1"/>
    <col min="7428" max="7428" width="14.69921875" style="2478" customWidth="1"/>
    <col min="7429" max="7429" width="15" style="2478" customWidth="1"/>
    <col min="7430" max="7430" width="17.19921875" style="2478" customWidth="1"/>
    <col min="7431" max="7680" width="19.59765625" style="2478"/>
    <col min="7681" max="7681" width="16.19921875" style="2478" customWidth="1"/>
    <col min="7682" max="7682" width="15.19921875" style="2478" customWidth="1"/>
    <col min="7683" max="7683" width="15" style="2478" customWidth="1"/>
    <col min="7684" max="7684" width="14.69921875" style="2478" customWidth="1"/>
    <col min="7685" max="7685" width="15" style="2478" customWidth="1"/>
    <col min="7686" max="7686" width="17.19921875" style="2478" customWidth="1"/>
    <col min="7687" max="7936" width="19.59765625" style="2478"/>
    <col min="7937" max="7937" width="16.19921875" style="2478" customWidth="1"/>
    <col min="7938" max="7938" width="15.19921875" style="2478" customWidth="1"/>
    <col min="7939" max="7939" width="15" style="2478" customWidth="1"/>
    <col min="7940" max="7940" width="14.69921875" style="2478" customWidth="1"/>
    <col min="7941" max="7941" width="15" style="2478" customWidth="1"/>
    <col min="7942" max="7942" width="17.19921875" style="2478" customWidth="1"/>
    <col min="7943" max="8192" width="19.59765625" style="2478"/>
    <col min="8193" max="8193" width="16.19921875" style="2478" customWidth="1"/>
    <col min="8194" max="8194" width="15.19921875" style="2478" customWidth="1"/>
    <col min="8195" max="8195" width="15" style="2478" customWidth="1"/>
    <col min="8196" max="8196" width="14.69921875" style="2478" customWidth="1"/>
    <col min="8197" max="8197" width="15" style="2478" customWidth="1"/>
    <col min="8198" max="8198" width="17.19921875" style="2478" customWidth="1"/>
    <col min="8199" max="8448" width="19.59765625" style="2478"/>
    <col min="8449" max="8449" width="16.19921875" style="2478" customWidth="1"/>
    <col min="8450" max="8450" width="15.19921875" style="2478" customWidth="1"/>
    <col min="8451" max="8451" width="15" style="2478" customWidth="1"/>
    <col min="8452" max="8452" width="14.69921875" style="2478" customWidth="1"/>
    <col min="8453" max="8453" width="15" style="2478" customWidth="1"/>
    <col min="8454" max="8454" width="17.19921875" style="2478" customWidth="1"/>
    <col min="8455" max="8704" width="19.59765625" style="2478"/>
    <col min="8705" max="8705" width="16.19921875" style="2478" customWidth="1"/>
    <col min="8706" max="8706" width="15.19921875" style="2478" customWidth="1"/>
    <col min="8707" max="8707" width="15" style="2478" customWidth="1"/>
    <col min="8708" max="8708" width="14.69921875" style="2478" customWidth="1"/>
    <col min="8709" max="8709" width="15" style="2478" customWidth="1"/>
    <col min="8710" max="8710" width="17.19921875" style="2478" customWidth="1"/>
    <col min="8711" max="8960" width="19.59765625" style="2478"/>
    <col min="8961" max="8961" width="16.19921875" style="2478" customWidth="1"/>
    <col min="8962" max="8962" width="15.19921875" style="2478" customWidth="1"/>
    <col min="8963" max="8963" width="15" style="2478" customWidth="1"/>
    <col min="8964" max="8964" width="14.69921875" style="2478" customWidth="1"/>
    <col min="8965" max="8965" width="15" style="2478" customWidth="1"/>
    <col min="8966" max="8966" width="17.19921875" style="2478" customWidth="1"/>
    <col min="8967" max="9216" width="19.59765625" style="2478"/>
    <col min="9217" max="9217" width="16.19921875" style="2478" customWidth="1"/>
    <col min="9218" max="9218" width="15.19921875" style="2478" customWidth="1"/>
    <col min="9219" max="9219" width="15" style="2478" customWidth="1"/>
    <col min="9220" max="9220" width="14.69921875" style="2478" customWidth="1"/>
    <col min="9221" max="9221" width="15" style="2478" customWidth="1"/>
    <col min="9222" max="9222" width="17.19921875" style="2478" customWidth="1"/>
    <col min="9223" max="9472" width="19.59765625" style="2478"/>
    <col min="9473" max="9473" width="16.19921875" style="2478" customWidth="1"/>
    <col min="9474" max="9474" width="15.19921875" style="2478" customWidth="1"/>
    <col min="9475" max="9475" width="15" style="2478" customWidth="1"/>
    <col min="9476" max="9476" width="14.69921875" style="2478" customWidth="1"/>
    <col min="9477" max="9477" width="15" style="2478" customWidth="1"/>
    <col min="9478" max="9478" width="17.19921875" style="2478" customWidth="1"/>
    <col min="9479" max="9728" width="19.59765625" style="2478"/>
    <col min="9729" max="9729" width="16.19921875" style="2478" customWidth="1"/>
    <col min="9730" max="9730" width="15.19921875" style="2478" customWidth="1"/>
    <col min="9731" max="9731" width="15" style="2478" customWidth="1"/>
    <col min="9732" max="9732" width="14.69921875" style="2478" customWidth="1"/>
    <col min="9733" max="9733" width="15" style="2478" customWidth="1"/>
    <col min="9734" max="9734" width="17.19921875" style="2478" customWidth="1"/>
    <col min="9735" max="9984" width="19.59765625" style="2478"/>
    <col min="9985" max="9985" width="16.19921875" style="2478" customWidth="1"/>
    <col min="9986" max="9986" width="15.19921875" style="2478" customWidth="1"/>
    <col min="9987" max="9987" width="15" style="2478" customWidth="1"/>
    <col min="9988" max="9988" width="14.69921875" style="2478" customWidth="1"/>
    <col min="9989" max="9989" width="15" style="2478" customWidth="1"/>
    <col min="9990" max="9990" width="17.19921875" style="2478" customWidth="1"/>
    <col min="9991" max="10240" width="19.59765625" style="2478"/>
    <col min="10241" max="10241" width="16.19921875" style="2478" customWidth="1"/>
    <col min="10242" max="10242" width="15.19921875" style="2478" customWidth="1"/>
    <col min="10243" max="10243" width="15" style="2478" customWidth="1"/>
    <col min="10244" max="10244" width="14.69921875" style="2478" customWidth="1"/>
    <col min="10245" max="10245" width="15" style="2478" customWidth="1"/>
    <col min="10246" max="10246" width="17.19921875" style="2478" customWidth="1"/>
    <col min="10247" max="10496" width="19.59765625" style="2478"/>
    <col min="10497" max="10497" width="16.19921875" style="2478" customWidth="1"/>
    <col min="10498" max="10498" width="15.19921875" style="2478" customWidth="1"/>
    <col min="10499" max="10499" width="15" style="2478" customWidth="1"/>
    <col min="10500" max="10500" width="14.69921875" style="2478" customWidth="1"/>
    <col min="10501" max="10501" width="15" style="2478" customWidth="1"/>
    <col min="10502" max="10502" width="17.19921875" style="2478" customWidth="1"/>
    <col min="10503" max="10752" width="19.59765625" style="2478"/>
    <col min="10753" max="10753" width="16.19921875" style="2478" customWidth="1"/>
    <col min="10754" max="10754" width="15.19921875" style="2478" customWidth="1"/>
    <col min="10755" max="10755" width="15" style="2478" customWidth="1"/>
    <col min="10756" max="10756" width="14.69921875" style="2478" customWidth="1"/>
    <col min="10757" max="10757" width="15" style="2478" customWidth="1"/>
    <col min="10758" max="10758" width="17.19921875" style="2478" customWidth="1"/>
    <col min="10759" max="11008" width="19.59765625" style="2478"/>
    <col min="11009" max="11009" width="16.19921875" style="2478" customWidth="1"/>
    <col min="11010" max="11010" width="15.19921875" style="2478" customWidth="1"/>
    <col min="11011" max="11011" width="15" style="2478" customWidth="1"/>
    <col min="11012" max="11012" width="14.69921875" style="2478" customWidth="1"/>
    <col min="11013" max="11013" width="15" style="2478" customWidth="1"/>
    <col min="11014" max="11014" width="17.19921875" style="2478" customWidth="1"/>
    <col min="11015" max="11264" width="19.59765625" style="2478"/>
    <col min="11265" max="11265" width="16.19921875" style="2478" customWidth="1"/>
    <col min="11266" max="11266" width="15.19921875" style="2478" customWidth="1"/>
    <col min="11267" max="11267" width="15" style="2478" customWidth="1"/>
    <col min="11268" max="11268" width="14.69921875" style="2478" customWidth="1"/>
    <col min="11269" max="11269" width="15" style="2478" customWidth="1"/>
    <col min="11270" max="11270" width="17.19921875" style="2478" customWidth="1"/>
    <col min="11271" max="11520" width="19.59765625" style="2478"/>
    <col min="11521" max="11521" width="16.19921875" style="2478" customWidth="1"/>
    <col min="11522" max="11522" width="15.19921875" style="2478" customWidth="1"/>
    <col min="11523" max="11523" width="15" style="2478" customWidth="1"/>
    <col min="11524" max="11524" width="14.69921875" style="2478" customWidth="1"/>
    <col min="11525" max="11525" width="15" style="2478" customWidth="1"/>
    <col min="11526" max="11526" width="17.19921875" style="2478" customWidth="1"/>
    <col min="11527" max="11776" width="19.59765625" style="2478"/>
    <col min="11777" max="11777" width="16.19921875" style="2478" customWidth="1"/>
    <col min="11778" max="11778" width="15.19921875" style="2478" customWidth="1"/>
    <col min="11779" max="11779" width="15" style="2478" customWidth="1"/>
    <col min="11780" max="11780" width="14.69921875" style="2478" customWidth="1"/>
    <col min="11781" max="11781" width="15" style="2478" customWidth="1"/>
    <col min="11782" max="11782" width="17.19921875" style="2478" customWidth="1"/>
    <col min="11783" max="12032" width="19.59765625" style="2478"/>
    <col min="12033" max="12033" width="16.19921875" style="2478" customWidth="1"/>
    <col min="12034" max="12034" width="15.19921875" style="2478" customWidth="1"/>
    <col min="12035" max="12035" width="15" style="2478" customWidth="1"/>
    <col min="12036" max="12036" width="14.69921875" style="2478" customWidth="1"/>
    <col min="12037" max="12037" width="15" style="2478" customWidth="1"/>
    <col min="12038" max="12038" width="17.19921875" style="2478" customWidth="1"/>
    <col min="12039" max="12288" width="19.59765625" style="2478"/>
    <col min="12289" max="12289" width="16.19921875" style="2478" customWidth="1"/>
    <col min="12290" max="12290" width="15.19921875" style="2478" customWidth="1"/>
    <col min="12291" max="12291" width="15" style="2478" customWidth="1"/>
    <col min="12292" max="12292" width="14.69921875" style="2478" customWidth="1"/>
    <col min="12293" max="12293" width="15" style="2478" customWidth="1"/>
    <col min="12294" max="12294" width="17.19921875" style="2478" customWidth="1"/>
    <col min="12295" max="12544" width="19.59765625" style="2478"/>
    <col min="12545" max="12545" width="16.19921875" style="2478" customWidth="1"/>
    <col min="12546" max="12546" width="15.19921875" style="2478" customWidth="1"/>
    <col min="12547" max="12547" width="15" style="2478" customWidth="1"/>
    <col min="12548" max="12548" width="14.69921875" style="2478" customWidth="1"/>
    <col min="12549" max="12549" width="15" style="2478" customWidth="1"/>
    <col min="12550" max="12550" width="17.19921875" style="2478" customWidth="1"/>
    <col min="12551" max="12800" width="19.59765625" style="2478"/>
    <col min="12801" max="12801" width="16.19921875" style="2478" customWidth="1"/>
    <col min="12802" max="12802" width="15.19921875" style="2478" customWidth="1"/>
    <col min="12803" max="12803" width="15" style="2478" customWidth="1"/>
    <col min="12804" max="12804" width="14.69921875" style="2478" customWidth="1"/>
    <col min="12805" max="12805" width="15" style="2478" customWidth="1"/>
    <col min="12806" max="12806" width="17.19921875" style="2478" customWidth="1"/>
    <col min="12807" max="13056" width="19.59765625" style="2478"/>
    <col min="13057" max="13057" width="16.19921875" style="2478" customWidth="1"/>
    <col min="13058" max="13058" width="15.19921875" style="2478" customWidth="1"/>
    <col min="13059" max="13059" width="15" style="2478" customWidth="1"/>
    <col min="13060" max="13060" width="14.69921875" style="2478" customWidth="1"/>
    <col min="13061" max="13061" width="15" style="2478" customWidth="1"/>
    <col min="13062" max="13062" width="17.19921875" style="2478" customWidth="1"/>
    <col min="13063" max="13312" width="19.59765625" style="2478"/>
    <col min="13313" max="13313" width="16.19921875" style="2478" customWidth="1"/>
    <col min="13314" max="13314" width="15.19921875" style="2478" customWidth="1"/>
    <col min="13315" max="13315" width="15" style="2478" customWidth="1"/>
    <col min="13316" max="13316" width="14.69921875" style="2478" customWidth="1"/>
    <col min="13317" max="13317" width="15" style="2478" customWidth="1"/>
    <col min="13318" max="13318" width="17.19921875" style="2478" customWidth="1"/>
    <col min="13319" max="13568" width="19.59765625" style="2478"/>
    <col min="13569" max="13569" width="16.19921875" style="2478" customWidth="1"/>
    <col min="13570" max="13570" width="15.19921875" style="2478" customWidth="1"/>
    <col min="13571" max="13571" width="15" style="2478" customWidth="1"/>
    <col min="13572" max="13572" width="14.69921875" style="2478" customWidth="1"/>
    <col min="13573" max="13573" width="15" style="2478" customWidth="1"/>
    <col min="13574" max="13574" width="17.19921875" style="2478" customWidth="1"/>
    <col min="13575" max="13824" width="19.59765625" style="2478"/>
    <col min="13825" max="13825" width="16.19921875" style="2478" customWidth="1"/>
    <col min="13826" max="13826" width="15.19921875" style="2478" customWidth="1"/>
    <col min="13827" max="13827" width="15" style="2478" customWidth="1"/>
    <col min="13828" max="13828" width="14.69921875" style="2478" customWidth="1"/>
    <col min="13829" max="13829" width="15" style="2478" customWidth="1"/>
    <col min="13830" max="13830" width="17.19921875" style="2478" customWidth="1"/>
    <col min="13831" max="14080" width="19.59765625" style="2478"/>
    <col min="14081" max="14081" width="16.19921875" style="2478" customWidth="1"/>
    <col min="14082" max="14082" width="15.19921875" style="2478" customWidth="1"/>
    <col min="14083" max="14083" width="15" style="2478" customWidth="1"/>
    <col min="14084" max="14084" width="14.69921875" style="2478" customWidth="1"/>
    <col min="14085" max="14085" width="15" style="2478" customWidth="1"/>
    <col min="14086" max="14086" width="17.19921875" style="2478" customWidth="1"/>
    <col min="14087" max="14336" width="19.59765625" style="2478"/>
    <col min="14337" max="14337" width="16.19921875" style="2478" customWidth="1"/>
    <col min="14338" max="14338" width="15.19921875" style="2478" customWidth="1"/>
    <col min="14339" max="14339" width="15" style="2478" customWidth="1"/>
    <col min="14340" max="14340" width="14.69921875" style="2478" customWidth="1"/>
    <col min="14341" max="14341" width="15" style="2478" customWidth="1"/>
    <col min="14342" max="14342" width="17.19921875" style="2478" customWidth="1"/>
    <col min="14343" max="14592" width="19.59765625" style="2478"/>
    <col min="14593" max="14593" width="16.19921875" style="2478" customWidth="1"/>
    <col min="14594" max="14594" width="15.19921875" style="2478" customWidth="1"/>
    <col min="14595" max="14595" width="15" style="2478" customWidth="1"/>
    <col min="14596" max="14596" width="14.69921875" style="2478" customWidth="1"/>
    <col min="14597" max="14597" width="15" style="2478" customWidth="1"/>
    <col min="14598" max="14598" width="17.19921875" style="2478" customWidth="1"/>
    <col min="14599" max="14848" width="19.59765625" style="2478"/>
    <col min="14849" max="14849" width="16.19921875" style="2478" customWidth="1"/>
    <col min="14850" max="14850" width="15.19921875" style="2478" customWidth="1"/>
    <col min="14851" max="14851" width="15" style="2478" customWidth="1"/>
    <col min="14852" max="14852" width="14.69921875" style="2478" customWidth="1"/>
    <col min="14853" max="14853" width="15" style="2478" customWidth="1"/>
    <col min="14854" max="14854" width="17.19921875" style="2478" customWidth="1"/>
    <col min="14855" max="15104" width="19.59765625" style="2478"/>
    <col min="15105" max="15105" width="16.19921875" style="2478" customWidth="1"/>
    <col min="15106" max="15106" width="15.19921875" style="2478" customWidth="1"/>
    <col min="15107" max="15107" width="15" style="2478" customWidth="1"/>
    <col min="15108" max="15108" width="14.69921875" style="2478" customWidth="1"/>
    <col min="15109" max="15109" width="15" style="2478" customWidth="1"/>
    <col min="15110" max="15110" width="17.19921875" style="2478" customWidth="1"/>
    <col min="15111" max="15360" width="19.59765625" style="2478"/>
    <col min="15361" max="15361" width="16.19921875" style="2478" customWidth="1"/>
    <col min="15362" max="15362" width="15.19921875" style="2478" customWidth="1"/>
    <col min="15363" max="15363" width="15" style="2478" customWidth="1"/>
    <col min="15364" max="15364" width="14.69921875" style="2478" customWidth="1"/>
    <col min="15365" max="15365" width="15" style="2478" customWidth="1"/>
    <col min="15366" max="15366" width="17.19921875" style="2478" customWidth="1"/>
    <col min="15367" max="15616" width="19.59765625" style="2478"/>
    <col min="15617" max="15617" width="16.19921875" style="2478" customWidth="1"/>
    <col min="15618" max="15618" width="15.19921875" style="2478" customWidth="1"/>
    <col min="15619" max="15619" width="15" style="2478" customWidth="1"/>
    <col min="15620" max="15620" width="14.69921875" style="2478" customWidth="1"/>
    <col min="15621" max="15621" width="15" style="2478" customWidth="1"/>
    <col min="15622" max="15622" width="17.19921875" style="2478" customWidth="1"/>
    <col min="15623" max="15872" width="19.59765625" style="2478"/>
    <col min="15873" max="15873" width="16.19921875" style="2478" customWidth="1"/>
    <col min="15874" max="15874" width="15.19921875" style="2478" customWidth="1"/>
    <col min="15875" max="15875" width="15" style="2478" customWidth="1"/>
    <col min="15876" max="15876" width="14.69921875" style="2478" customWidth="1"/>
    <col min="15877" max="15877" width="15" style="2478" customWidth="1"/>
    <col min="15878" max="15878" width="17.19921875" style="2478" customWidth="1"/>
    <col min="15879" max="16128" width="19.59765625" style="2478"/>
    <col min="16129" max="16129" width="16.19921875" style="2478" customWidth="1"/>
    <col min="16130" max="16130" width="15.19921875" style="2478" customWidth="1"/>
    <col min="16131" max="16131" width="15" style="2478" customWidth="1"/>
    <col min="16132" max="16132" width="14.69921875" style="2478" customWidth="1"/>
    <col min="16133" max="16133" width="15" style="2478" customWidth="1"/>
    <col min="16134" max="16134" width="17.19921875" style="2478" customWidth="1"/>
    <col min="16135" max="16384" width="19.59765625" style="2478"/>
  </cols>
  <sheetData>
    <row r="1" spans="1:7" ht="21" customHeight="1">
      <c r="A1" s="4042" t="s">
        <v>7409</v>
      </c>
      <c r="B1" s="4043"/>
      <c r="C1" s="4043"/>
      <c r="D1" s="4043"/>
      <c r="E1" s="4043"/>
      <c r="F1" s="4044"/>
    </row>
    <row r="2" spans="1:7" ht="24" customHeight="1">
      <c r="A2" s="3136" t="s">
        <v>7418</v>
      </c>
      <c r="B2" s="3136"/>
      <c r="C2" s="3136"/>
      <c r="D2" s="3136"/>
      <c r="E2" s="3136"/>
      <c r="F2" s="3136"/>
    </row>
    <row r="3" spans="1:7" ht="25.5" customHeight="1">
      <c r="A3" s="4050" t="s">
        <v>7335</v>
      </c>
      <c r="B3" s="4050"/>
      <c r="C3" s="2504"/>
      <c r="D3" s="4050" t="s">
        <v>7336</v>
      </c>
      <c r="E3" s="4050"/>
      <c r="F3" s="4052"/>
    </row>
    <row r="4" spans="1:7" ht="25.5" customHeight="1">
      <c r="A4" s="4050" t="s">
        <v>7337</v>
      </c>
      <c r="B4" s="4050"/>
      <c r="C4" s="2504"/>
      <c r="D4" s="4050"/>
      <c r="E4" s="4050"/>
      <c r="F4" s="4052"/>
    </row>
    <row r="5" spans="1:7" ht="25.5" customHeight="1">
      <c r="A5" s="4050" t="s">
        <v>7338</v>
      </c>
      <c r="B5" s="4050"/>
      <c r="C5" s="2515" t="s">
        <v>7339</v>
      </c>
      <c r="D5" s="4050" t="s">
        <v>7340</v>
      </c>
      <c r="E5" s="4050"/>
      <c r="F5" s="2515" t="s">
        <v>7341</v>
      </c>
    </row>
    <row r="6" spans="1:7" ht="25.5" customHeight="1">
      <c r="A6" s="4050" t="s">
        <v>1255</v>
      </c>
      <c r="B6" s="4050"/>
      <c r="C6" s="2549"/>
      <c r="D6" s="4051"/>
      <c r="E6" s="4051"/>
      <c r="F6" s="2549"/>
    </row>
    <row r="7" spans="1:7" ht="25.5" customHeight="1">
      <c r="A7" s="4050" t="s">
        <v>7262</v>
      </c>
      <c r="B7" s="4050"/>
      <c r="C7" s="2549"/>
      <c r="D7" s="4051"/>
      <c r="E7" s="4051"/>
      <c r="F7" s="2549"/>
    </row>
    <row r="8" spans="1:7" ht="33.6" customHeight="1">
      <c r="A8" s="2515" t="s">
        <v>7342</v>
      </c>
      <c r="B8" s="2515" t="s">
        <v>7343</v>
      </c>
      <c r="C8" s="2515" t="s">
        <v>7344</v>
      </c>
      <c r="D8" s="2515" t="s">
        <v>7345</v>
      </c>
      <c r="E8" s="2515" t="s">
        <v>7346</v>
      </c>
      <c r="F8" s="2515" t="s">
        <v>7347</v>
      </c>
    </row>
    <row r="9" spans="1:7" ht="25.5" customHeight="1">
      <c r="A9" s="2505"/>
      <c r="B9" s="2505"/>
      <c r="C9" s="2550"/>
      <c r="D9" s="2550"/>
      <c r="E9" s="2550"/>
      <c r="F9" s="2505"/>
    </row>
    <row r="10" spans="1:7" ht="25.5" customHeight="1">
      <c r="A10" s="2505"/>
      <c r="B10" s="2505"/>
      <c r="C10" s="2550"/>
      <c r="D10" s="2550"/>
      <c r="E10" s="2550"/>
      <c r="F10" s="2505"/>
    </row>
    <row r="11" spans="1:7" ht="25.5" customHeight="1">
      <c r="A11" s="4050" t="s">
        <v>7348</v>
      </c>
      <c r="B11" s="4050"/>
      <c r="C11" s="2505"/>
      <c r="D11" s="4050" t="s">
        <v>7349</v>
      </c>
      <c r="E11" s="4050"/>
      <c r="F11" s="4052"/>
      <c r="G11" s="4053" t="s">
        <v>7350</v>
      </c>
    </row>
    <row r="12" spans="1:7" ht="25.5" customHeight="1">
      <c r="A12" s="4050" t="s">
        <v>7351</v>
      </c>
      <c r="B12" s="4050"/>
      <c r="C12" s="2505"/>
      <c r="D12" s="4050"/>
      <c r="E12" s="4050"/>
      <c r="F12" s="4052"/>
      <c r="G12" s="4054"/>
    </row>
    <row r="13" spans="1:7" ht="25.5" customHeight="1">
      <c r="A13" s="4050" t="s">
        <v>7352</v>
      </c>
      <c r="B13" s="4050"/>
      <c r="C13" s="2515" t="s">
        <v>7339</v>
      </c>
      <c r="D13" s="4050" t="s">
        <v>7340</v>
      </c>
      <c r="E13" s="4050"/>
      <c r="F13" s="2515" t="s">
        <v>7341</v>
      </c>
      <c r="G13" s="4054"/>
    </row>
    <row r="14" spans="1:7" ht="25.5" customHeight="1">
      <c r="A14" s="4050" t="s">
        <v>1255</v>
      </c>
      <c r="B14" s="4050"/>
      <c r="C14" s="2550"/>
      <c r="D14" s="4055"/>
      <c r="E14" s="4055"/>
      <c r="F14" s="2550"/>
      <c r="G14" s="4054"/>
    </row>
    <row r="15" spans="1:7" ht="25.5" customHeight="1">
      <c r="A15" s="4050" t="s">
        <v>7262</v>
      </c>
      <c r="B15" s="4050"/>
      <c r="C15" s="2550"/>
      <c r="D15" s="4051"/>
      <c r="E15" s="4051"/>
      <c r="F15" s="2550"/>
      <c r="G15" s="4054"/>
    </row>
    <row r="16" spans="1:7" ht="25.5" customHeight="1">
      <c r="A16" s="4050" t="s">
        <v>7353</v>
      </c>
      <c r="B16" s="4050"/>
      <c r="C16" s="2549"/>
      <c r="D16" s="4050" t="s">
        <v>7354</v>
      </c>
      <c r="E16" s="4050"/>
      <c r="F16" s="2550"/>
    </row>
    <row r="17" spans="1:6" ht="25.5" customHeight="1">
      <c r="A17" s="4050" t="s">
        <v>7315</v>
      </c>
      <c r="B17" s="4050"/>
      <c r="C17" s="2549"/>
      <c r="D17" s="4050" t="s">
        <v>7316</v>
      </c>
      <c r="E17" s="4050"/>
      <c r="F17" s="2549"/>
    </row>
    <row r="18" spans="1:6" ht="25.5" customHeight="1">
      <c r="A18" s="4050" t="s">
        <v>7317</v>
      </c>
      <c r="B18" s="4050"/>
      <c r="C18" s="2549"/>
      <c r="D18" s="4050" t="s">
        <v>7318</v>
      </c>
      <c r="E18" s="4050"/>
      <c r="F18" s="2549"/>
    </row>
    <row r="19" spans="1:6" ht="25.5" customHeight="1">
      <c r="A19" s="4050" t="s">
        <v>7265</v>
      </c>
      <c r="B19" s="4050"/>
      <c r="C19" s="4050"/>
      <c r="D19" s="4051"/>
      <c r="E19" s="4051"/>
      <c r="F19" s="4051"/>
    </row>
    <row r="20" spans="1:6" ht="25.5" customHeight="1">
      <c r="A20" s="4050" t="s">
        <v>7355</v>
      </c>
      <c r="B20" s="4050"/>
      <c r="C20" s="2549"/>
      <c r="D20" s="4050" t="s">
        <v>7356</v>
      </c>
      <c r="E20" s="4050"/>
      <c r="F20" s="2549"/>
    </row>
    <row r="21" spans="1:6" ht="25.5" customHeight="1">
      <c r="A21" s="4050" t="s">
        <v>7357</v>
      </c>
      <c r="B21" s="4050"/>
      <c r="C21" s="2549"/>
      <c r="D21" s="4050" t="s">
        <v>7358</v>
      </c>
      <c r="E21" s="4050"/>
      <c r="F21" s="2549"/>
    </row>
    <row r="22" spans="1:6" ht="25.5" customHeight="1">
      <c r="A22" s="4050" t="s">
        <v>7328</v>
      </c>
      <c r="B22" s="4050"/>
      <c r="C22" s="2549"/>
      <c r="D22" s="4050" t="s">
        <v>7329</v>
      </c>
      <c r="E22" s="4050"/>
      <c r="F22" s="2549"/>
    </row>
    <row r="23" spans="1:6" ht="25.5" customHeight="1">
      <c r="A23" s="4050" t="s">
        <v>7359</v>
      </c>
      <c r="B23" s="4050"/>
      <c r="C23" s="4050"/>
      <c r="D23" s="4050"/>
      <c r="E23" s="4050"/>
      <c r="F23" s="4050"/>
    </row>
    <row r="24" spans="1:6" ht="25.5" customHeight="1">
      <c r="A24" s="4050" t="s">
        <v>2584</v>
      </c>
      <c r="B24" s="4050"/>
      <c r="C24" s="4050" t="s">
        <v>284</v>
      </c>
      <c r="D24" s="4050"/>
      <c r="E24" s="2515" t="s">
        <v>7262</v>
      </c>
      <c r="F24" s="2515" t="s">
        <v>1255</v>
      </c>
    </row>
    <row r="25" spans="1:6" ht="25.5" customHeight="1">
      <c r="A25" s="4047"/>
      <c r="B25" s="4047"/>
      <c r="C25" s="4048"/>
      <c r="D25" s="4048"/>
      <c r="E25" s="2550"/>
      <c r="F25" s="2550"/>
    </row>
    <row r="26" spans="1:6" ht="25.5" customHeight="1">
      <c r="A26" s="4047"/>
      <c r="B26" s="4047"/>
      <c r="C26" s="4048"/>
      <c r="D26" s="4048"/>
      <c r="E26" s="2550"/>
      <c r="F26" s="2549"/>
    </row>
    <row r="27" spans="1:6" ht="25.5" customHeight="1">
      <c r="A27" s="2548" t="s">
        <v>7360</v>
      </c>
      <c r="B27" s="4049">
        <f>基本情况!B12</f>
        <v>0</v>
      </c>
      <c r="C27" s="4049"/>
      <c r="D27" s="2548" t="s">
        <v>7361</v>
      </c>
      <c r="E27" s="4049" t="str">
        <f>基本情况!B21</f>
        <v>2017年3月16日</v>
      </c>
      <c r="F27" s="3995"/>
    </row>
  </sheetData>
  <mergeCells count="46">
    <mergeCell ref="A1:F1"/>
    <mergeCell ref="A2:F2"/>
    <mergeCell ref="A3:B3"/>
    <mergeCell ref="D3:E4"/>
    <mergeCell ref="F3:F4"/>
    <mergeCell ref="A4:B4"/>
    <mergeCell ref="A5:B5"/>
    <mergeCell ref="D5:E5"/>
    <mergeCell ref="A6:B6"/>
    <mergeCell ref="D6:E6"/>
    <mergeCell ref="A7:B7"/>
    <mergeCell ref="D7:E7"/>
    <mergeCell ref="G11:G15"/>
    <mergeCell ref="A12:B12"/>
    <mergeCell ref="A13:B13"/>
    <mergeCell ref="D13:E13"/>
    <mergeCell ref="A14:B14"/>
    <mergeCell ref="D14:E14"/>
    <mergeCell ref="A15:B15"/>
    <mergeCell ref="A18:B18"/>
    <mergeCell ref="D18:E18"/>
    <mergeCell ref="A11:B11"/>
    <mergeCell ref="D11:E12"/>
    <mergeCell ref="F11:F12"/>
    <mergeCell ref="D15:E15"/>
    <mergeCell ref="A16:B16"/>
    <mergeCell ref="D16:E16"/>
    <mergeCell ref="A17:B17"/>
    <mergeCell ref="D17:E17"/>
    <mergeCell ref="A19:C19"/>
    <mergeCell ref="D19:F19"/>
    <mergeCell ref="A20:B20"/>
    <mergeCell ref="D20:E20"/>
    <mergeCell ref="A21:B21"/>
    <mergeCell ref="D21:E21"/>
    <mergeCell ref="A26:B26"/>
    <mergeCell ref="C26:D26"/>
    <mergeCell ref="B27:C27"/>
    <mergeCell ref="E27:F27"/>
    <mergeCell ref="A22:B22"/>
    <mergeCell ref="D22:E22"/>
    <mergeCell ref="A23:F23"/>
    <mergeCell ref="A24:B24"/>
    <mergeCell ref="C24:D24"/>
    <mergeCell ref="A25:B25"/>
    <mergeCell ref="C25:D25"/>
  </mergeCells>
  <phoneticPr fontId="51" type="noConversion"/>
  <pageMargins left="0.78740157480314998" right="0.35433070866141703" top="0.511811023622047" bottom="0.11811023622047198" header="0.511811023622047" footer="0.511811023622047"/>
  <pageSetup paperSize="9" scale="91" orientation="portrait" blackAndWhite="1" r:id="rId1"/>
  <drawing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X23"/>
  <sheetViews>
    <sheetView zoomScaleNormal="100" workbookViewId="0">
      <selection activeCell="D7" sqref="D7"/>
    </sheetView>
  </sheetViews>
  <sheetFormatPr defaultColWidth="8.09765625" defaultRowHeight="12"/>
  <cols>
    <col min="1" max="1" width="8.09765625" style="2472"/>
    <col min="2" max="2" width="4.59765625" style="2472" customWidth="1"/>
    <col min="3" max="3" width="7.5" style="2472" customWidth="1"/>
    <col min="4" max="4" width="8.19921875" style="2472" customWidth="1"/>
    <col min="5" max="5" width="5.69921875" style="2472" customWidth="1"/>
    <col min="6" max="19" width="8.09765625" style="2472"/>
    <col min="20" max="20" width="30.69921875" style="2472" customWidth="1"/>
    <col min="21" max="257" width="8.09765625" style="2472"/>
    <col min="258" max="258" width="4.59765625" style="2472" customWidth="1"/>
    <col min="259" max="259" width="7.5" style="2472" customWidth="1"/>
    <col min="260" max="260" width="6.59765625" style="2472" customWidth="1"/>
    <col min="261" max="261" width="5.69921875" style="2472" customWidth="1"/>
    <col min="262" max="275" width="8.09765625" style="2472"/>
    <col min="276" max="276" width="30.69921875" style="2472" customWidth="1"/>
    <col min="277" max="513" width="8.09765625" style="2472"/>
    <col min="514" max="514" width="4.59765625" style="2472" customWidth="1"/>
    <col min="515" max="515" width="7.5" style="2472" customWidth="1"/>
    <col min="516" max="516" width="6.59765625" style="2472" customWidth="1"/>
    <col min="517" max="517" width="5.69921875" style="2472" customWidth="1"/>
    <col min="518" max="531" width="8.09765625" style="2472"/>
    <col min="532" max="532" width="30.69921875" style="2472" customWidth="1"/>
    <col min="533" max="769" width="8.09765625" style="2472"/>
    <col min="770" max="770" width="4.59765625" style="2472" customWidth="1"/>
    <col min="771" max="771" width="7.5" style="2472" customWidth="1"/>
    <col min="772" max="772" width="6.59765625" style="2472" customWidth="1"/>
    <col min="773" max="773" width="5.69921875" style="2472" customWidth="1"/>
    <col min="774" max="787" width="8.09765625" style="2472"/>
    <col min="788" max="788" width="30.69921875" style="2472" customWidth="1"/>
    <col min="789" max="1025" width="8.09765625" style="2472"/>
    <col min="1026" max="1026" width="4.59765625" style="2472" customWidth="1"/>
    <col min="1027" max="1027" width="7.5" style="2472" customWidth="1"/>
    <col min="1028" max="1028" width="6.59765625" style="2472" customWidth="1"/>
    <col min="1029" max="1029" width="5.69921875" style="2472" customWidth="1"/>
    <col min="1030" max="1043" width="8.09765625" style="2472"/>
    <col min="1044" max="1044" width="30.69921875" style="2472" customWidth="1"/>
    <col min="1045" max="1281" width="8.09765625" style="2472"/>
    <col min="1282" max="1282" width="4.59765625" style="2472" customWidth="1"/>
    <col min="1283" max="1283" width="7.5" style="2472" customWidth="1"/>
    <col min="1284" max="1284" width="6.59765625" style="2472" customWidth="1"/>
    <col min="1285" max="1285" width="5.69921875" style="2472" customWidth="1"/>
    <col min="1286" max="1299" width="8.09765625" style="2472"/>
    <col min="1300" max="1300" width="30.69921875" style="2472" customWidth="1"/>
    <col min="1301" max="1537" width="8.09765625" style="2472"/>
    <col min="1538" max="1538" width="4.59765625" style="2472" customWidth="1"/>
    <col min="1539" max="1539" width="7.5" style="2472" customWidth="1"/>
    <col min="1540" max="1540" width="6.59765625" style="2472" customWidth="1"/>
    <col min="1541" max="1541" width="5.69921875" style="2472" customWidth="1"/>
    <col min="1542" max="1555" width="8.09765625" style="2472"/>
    <col min="1556" max="1556" width="30.69921875" style="2472" customWidth="1"/>
    <col min="1557" max="1793" width="8.09765625" style="2472"/>
    <col min="1794" max="1794" width="4.59765625" style="2472" customWidth="1"/>
    <col min="1795" max="1795" width="7.5" style="2472" customWidth="1"/>
    <col min="1796" max="1796" width="6.59765625" style="2472" customWidth="1"/>
    <col min="1797" max="1797" width="5.69921875" style="2472" customWidth="1"/>
    <col min="1798" max="1811" width="8.09765625" style="2472"/>
    <col min="1812" max="1812" width="30.69921875" style="2472" customWidth="1"/>
    <col min="1813" max="2049" width="8.09765625" style="2472"/>
    <col min="2050" max="2050" width="4.59765625" style="2472" customWidth="1"/>
    <col min="2051" max="2051" width="7.5" style="2472" customWidth="1"/>
    <col min="2052" max="2052" width="6.59765625" style="2472" customWidth="1"/>
    <col min="2053" max="2053" width="5.69921875" style="2472" customWidth="1"/>
    <col min="2054" max="2067" width="8.09765625" style="2472"/>
    <col min="2068" max="2068" width="30.69921875" style="2472" customWidth="1"/>
    <col min="2069" max="2305" width="8.09765625" style="2472"/>
    <col min="2306" max="2306" width="4.59765625" style="2472" customWidth="1"/>
    <col min="2307" max="2307" width="7.5" style="2472" customWidth="1"/>
    <col min="2308" max="2308" width="6.59765625" style="2472" customWidth="1"/>
    <col min="2309" max="2309" width="5.69921875" style="2472" customWidth="1"/>
    <col min="2310" max="2323" width="8.09765625" style="2472"/>
    <col min="2324" max="2324" width="30.69921875" style="2472" customWidth="1"/>
    <col min="2325" max="2561" width="8.09765625" style="2472"/>
    <col min="2562" max="2562" width="4.59765625" style="2472" customWidth="1"/>
    <col min="2563" max="2563" width="7.5" style="2472" customWidth="1"/>
    <col min="2564" max="2564" width="6.59765625" style="2472" customWidth="1"/>
    <col min="2565" max="2565" width="5.69921875" style="2472" customWidth="1"/>
    <col min="2566" max="2579" width="8.09765625" style="2472"/>
    <col min="2580" max="2580" width="30.69921875" style="2472" customWidth="1"/>
    <col min="2581" max="2817" width="8.09765625" style="2472"/>
    <col min="2818" max="2818" width="4.59765625" style="2472" customWidth="1"/>
    <col min="2819" max="2819" width="7.5" style="2472" customWidth="1"/>
    <col min="2820" max="2820" width="6.59765625" style="2472" customWidth="1"/>
    <col min="2821" max="2821" width="5.69921875" style="2472" customWidth="1"/>
    <col min="2822" max="2835" width="8.09765625" style="2472"/>
    <col min="2836" max="2836" width="30.69921875" style="2472" customWidth="1"/>
    <col min="2837" max="3073" width="8.09765625" style="2472"/>
    <col min="3074" max="3074" width="4.59765625" style="2472" customWidth="1"/>
    <col min="3075" max="3075" width="7.5" style="2472" customWidth="1"/>
    <col min="3076" max="3076" width="6.59765625" style="2472" customWidth="1"/>
    <col min="3077" max="3077" width="5.69921875" style="2472" customWidth="1"/>
    <col min="3078" max="3091" width="8.09765625" style="2472"/>
    <col min="3092" max="3092" width="30.69921875" style="2472" customWidth="1"/>
    <col min="3093" max="3329" width="8.09765625" style="2472"/>
    <col min="3330" max="3330" width="4.59765625" style="2472" customWidth="1"/>
    <col min="3331" max="3331" width="7.5" style="2472" customWidth="1"/>
    <col min="3332" max="3332" width="6.59765625" style="2472" customWidth="1"/>
    <col min="3333" max="3333" width="5.69921875" style="2472" customWidth="1"/>
    <col min="3334" max="3347" width="8.09765625" style="2472"/>
    <col min="3348" max="3348" width="30.69921875" style="2472" customWidth="1"/>
    <col min="3349" max="3585" width="8.09765625" style="2472"/>
    <col min="3586" max="3586" width="4.59765625" style="2472" customWidth="1"/>
    <col min="3587" max="3587" width="7.5" style="2472" customWidth="1"/>
    <col min="3588" max="3588" width="6.59765625" style="2472" customWidth="1"/>
    <col min="3589" max="3589" width="5.69921875" style="2472" customWidth="1"/>
    <col min="3590" max="3603" width="8.09765625" style="2472"/>
    <col min="3604" max="3604" width="30.69921875" style="2472" customWidth="1"/>
    <col min="3605" max="3841" width="8.09765625" style="2472"/>
    <col min="3842" max="3842" width="4.59765625" style="2472" customWidth="1"/>
    <col min="3843" max="3843" width="7.5" style="2472" customWidth="1"/>
    <col min="3844" max="3844" width="6.59765625" style="2472" customWidth="1"/>
    <col min="3845" max="3845" width="5.69921875" style="2472" customWidth="1"/>
    <col min="3846" max="3859" width="8.09765625" style="2472"/>
    <col min="3860" max="3860" width="30.69921875" style="2472" customWidth="1"/>
    <col min="3861" max="4097" width="8.09765625" style="2472"/>
    <col min="4098" max="4098" width="4.59765625" style="2472" customWidth="1"/>
    <col min="4099" max="4099" width="7.5" style="2472" customWidth="1"/>
    <col min="4100" max="4100" width="6.59765625" style="2472" customWidth="1"/>
    <col min="4101" max="4101" width="5.69921875" style="2472" customWidth="1"/>
    <col min="4102" max="4115" width="8.09765625" style="2472"/>
    <col min="4116" max="4116" width="30.69921875" style="2472" customWidth="1"/>
    <col min="4117" max="4353" width="8.09765625" style="2472"/>
    <col min="4354" max="4354" width="4.59765625" style="2472" customWidth="1"/>
    <col min="4355" max="4355" width="7.5" style="2472" customWidth="1"/>
    <col min="4356" max="4356" width="6.59765625" style="2472" customWidth="1"/>
    <col min="4357" max="4357" width="5.69921875" style="2472" customWidth="1"/>
    <col min="4358" max="4371" width="8.09765625" style="2472"/>
    <col min="4372" max="4372" width="30.69921875" style="2472" customWidth="1"/>
    <col min="4373" max="4609" width="8.09765625" style="2472"/>
    <col min="4610" max="4610" width="4.59765625" style="2472" customWidth="1"/>
    <col min="4611" max="4611" width="7.5" style="2472" customWidth="1"/>
    <col min="4612" max="4612" width="6.59765625" style="2472" customWidth="1"/>
    <col min="4613" max="4613" width="5.69921875" style="2472" customWidth="1"/>
    <col min="4614" max="4627" width="8.09765625" style="2472"/>
    <col min="4628" max="4628" width="30.69921875" style="2472" customWidth="1"/>
    <col min="4629" max="4865" width="8.09765625" style="2472"/>
    <col min="4866" max="4866" width="4.59765625" style="2472" customWidth="1"/>
    <col min="4867" max="4867" width="7.5" style="2472" customWidth="1"/>
    <col min="4868" max="4868" width="6.59765625" style="2472" customWidth="1"/>
    <col min="4869" max="4869" width="5.69921875" style="2472" customWidth="1"/>
    <col min="4870" max="4883" width="8.09765625" style="2472"/>
    <col min="4884" max="4884" width="30.69921875" style="2472" customWidth="1"/>
    <col min="4885" max="5121" width="8.09765625" style="2472"/>
    <col min="5122" max="5122" width="4.59765625" style="2472" customWidth="1"/>
    <col min="5123" max="5123" width="7.5" style="2472" customWidth="1"/>
    <col min="5124" max="5124" width="6.59765625" style="2472" customWidth="1"/>
    <col min="5125" max="5125" width="5.69921875" style="2472" customWidth="1"/>
    <col min="5126" max="5139" width="8.09765625" style="2472"/>
    <col min="5140" max="5140" width="30.69921875" style="2472" customWidth="1"/>
    <col min="5141" max="5377" width="8.09765625" style="2472"/>
    <col min="5378" max="5378" width="4.59765625" style="2472" customWidth="1"/>
    <col min="5379" max="5379" width="7.5" style="2472" customWidth="1"/>
    <col min="5380" max="5380" width="6.59765625" style="2472" customWidth="1"/>
    <col min="5381" max="5381" width="5.69921875" style="2472" customWidth="1"/>
    <col min="5382" max="5395" width="8.09765625" style="2472"/>
    <col min="5396" max="5396" width="30.69921875" style="2472" customWidth="1"/>
    <col min="5397" max="5633" width="8.09765625" style="2472"/>
    <col min="5634" max="5634" width="4.59765625" style="2472" customWidth="1"/>
    <col min="5635" max="5635" width="7.5" style="2472" customWidth="1"/>
    <col min="5636" max="5636" width="6.59765625" style="2472" customWidth="1"/>
    <col min="5637" max="5637" width="5.69921875" style="2472" customWidth="1"/>
    <col min="5638" max="5651" width="8.09765625" style="2472"/>
    <col min="5652" max="5652" width="30.69921875" style="2472" customWidth="1"/>
    <col min="5653" max="5889" width="8.09765625" style="2472"/>
    <col min="5890" max="5890" width="4.59765625" style="2472" customWidth="1"/>
    <col min="5891" max="5891" width="7.5" style="2472" customWidth="1"/>
    <col min="5892" max="5892" width="6.59765625" style="2472" customWidth="1"/>
    <col min="5893" max="5893" width="5.69921875" style="2472" customWidth="1"/>
    <col min="5894" max="5907" width="8.09765625" style="2472"/>
    <col min="5908" max="5908" width="30.69921875" style="2472" customWidth="1"/>
    <col min="5909" max="6145" width="8.09765625" style="2472"/>
    <col min="6146" max="6146" width="4.59765625" style="2472" customWidth="1"/>
    <col min="6147" max="6147" width="7.5" style="2472" customWidth="1"/>
    <col min="6148" max="6148" width="6.59765625" style="2472" customWidth="1"/>
    <col min="6149" max="6149" width="5.69921875" style="2472" customWidth="1"/>
    <col min="6150" max="6163" width="8.09765625" style="2472"/>
    <col min="6164" max="6164" width="30.69921875" style="2472" customWidth="1"/>
    <col min="6165" max="6401" width="8.09765625" style="2472"/>
    <col min="6402" max="6402" width="4.59765625" style="2472" customWidth="1"/>
    <col min="6403" max="6403" width="7.5" style="2472" customWidth="1"/>
    <col min="6404" max="6404" width="6.59765625" style="2472" customWidth="1"/>
    <col min="6405" max="6405" width="5.69921875" style="2472" customWidth="1"/>
    <col min="6406" max="6419" width="8.09765625" style="2472"/>
    <col min="6420" max="6420" width="30.69921875" style="2472" customWidth="1"/>
    <col min="6421" max="6657" width="8.09765625" style="2472"/>
    <col min="6658" max="6658" width="4.59765625" style="2472" customWidth="1"/>
    <col min="6659" max="6659" width="7.5" style="2472" customWidth="1"/>
    <col min="6660" max="6660" width="6.59765625" style="2472" customWidth="1"/>
    <col min="6661" max="6661" width="5.69921875" style="2472" customWidth="1"/>
    <col min="6662" max="6675" width="8.09765625" style="2472"/>
    <col min="6676" max="6676" width="30.69921875" style="2472" customWidth="1"/>
    <col min="6677" max="6913" width="8.09765625" style="2472"/>
    <col min="6914" max="6914" width="4.59765625" style="2472" customWidth="1"/>
    <col min="6915" max="6915" width="7.5" style="2472" customWidth="1"/>
    <col min="6916" max="6916" width="6.59765625" style="2472" customWidth="1"/>
    <col min="6917" max="6917" width="5.69921875" style="2472" customWidth="1"/>
    <col min="6918" max="6931" width="8.09765625" style="2472"/>
    <col min="6932" max="6932" width="30.69921875" style="2472" customWidth="1"/>
    <col min="6933" max="7169" width="8.09765625" style="2472"/>
    <col min="7170" max="7170" width="4.59765625" style="2472" customWidth="1"/>
    <col min="7171" max="7171" width="7.5" style="2472" customWidth="1"/>
    <col min="7172" max="7172" width="6.59765625" style="2472" customWidth="1"/>
    <col min="7173" max="7173" width="5.69921875" style="2472" customWidth="1"/>
    <col min="7174" max="7187" width="8.09765625" style="2472"/>
    <col min="7188" max="7188" width="30.69921875" style="2472" customWidth="1"/>
    <col min="7189" max="7425" width="8.09765625" style="2472"/>
    <col min="7426" max="7426" width="4.59765625" style="2472" customWidth="1"/>
    <col min="7427" max="7427" width="7.5" style="2472" customWidth="1"/>
    <col min="7428" max="7428" width="6.59765625" style="2472" customWidth="1"/>
    <col min="7429" max="7429" width="5.69921875" style="2472" customWidth="1"/>
    <col min="7430" max="7443" width="8.09765625" style="2472"/>
    <col min="7444" max="7444" width="30.69921875" style="2472" customWidth="1"/>
    <col min="7445" max="7681" width="8.09765625" style="2472"/>
    <col min="7682" max="7682" width="4.59765625" style="2472" customWidth="1"/>
    <col min="7683" max="7683" width="7.5" style="2472" customWidth="1"/>
    <col min="7684" max="7684" width="6.59765625" style="2472" customWidth="1"/>
    <col min="7685" max="7685" width="5.69921875" style="2472" customWidth="1"/>
    <col min="7686" max="7699" width="8.09765625" style="2472"/>
    <col min="7700" max="7700" width="30.69921875" style="2472" customWidth="1"/>
    <col min="7701" max="7937" width="8.09765625" style="2472"/>
    <col min="7938" max="7938" width="4.59765625" style="2472" customWidth="1"/>
    <col min="7939" max="7939" width="7.5" style="2472" customWidth="1"/>
    <col min="7940" max="7940" width="6.59765625" style="2472" customWidth="1"/>
    <col min="7941" max="7941" width="5.69921875" style="2472" customWidth="1"/>
    <col min="7942" max="7955" width="8.09765625" style="2472"/>
    <col min="7956" max="7956" width="30.69921875" style="2472" customWidth="1"/>
    <col min="7957" max="8193" width="8.09765625" style="2472"/>
    <col min="8194" max="8194" width="4.59765625" style="2472" customWidth="1"/>
    <col min="8195" max="8195" width="7.5" style="2472" customWidth="1"/>
    <col min="8196" max="8196" width="6.59765625" style="2472" customWidth="1"/>
    <col min="8197" max="8197" width="5.69921875" style="2472" customWidth="1"/>
    <col min="8198" max="8211" width="8.09765625" style="2472"/>
    <col min="8212" max="8212" width="30.69921875" style="2472" customWidth="1"/>
    <col min="8213" max="8449" width="8.09765625" style="2472"/>
    <col min="8450" max="8450" width="4.59765625" style="2472" customWidth="1"/>
    <col min="8451" max="8451" width="7.5" style="2472" customWidth="1"/>
    <col min="8452" max="8452" width="6.59765625" style="2472" customWidth="1"/>
    <col min="8453" max="8453" width="5.69921875" style="2472" customWidth="1"/>
    <col min="8454" max="8467" width="8.09765625" style="2472"/>
    <col min="8468" max="8468" width="30.69921875" style="2472" customWidth="1"/>
    <col min="8469" max="8705" width="8.09765625" style="2472"/>
    <col min="8706" max="8706" width="4.59765625" style="2472" customWidth="1"/>
    <col min="8707" max="8707" width="7.5" style="2472" customWidth="1"/>
    <col min="8708" max="8708" width="6.59765625" style="2472" customWidth="1"/>
    <col min="8709" max="8709" width="5.69921875" style="2472" customWidth="1"/>
    <col min="8710" max="8723" width="8.09765625" style="2472"/>
    <col min="8724" max="8724" width="30.69921875" style="2472" customWidth="1"/>
    <col min="8725" max="8961" width="8.09765625" style="2472"/>
    <col min="8962" max="8962" width="4.59765625" style="2472" customWidth="1"/>
    <col min="8963" max="8963" width="7.5" style="2472" customWidth="1"/>
    <col min="8964" max="8964" width="6.59765625" style="2472" customWidth="1"/>
    <col min="8965" max="8965" width="5.69921875" style="2472" customWidth="1"/>
    <col min="8966" max="8979" width="8.09765625" style="2472"/>
    <col min="8980" max="8980" width="30.69921875" style="2472" customWidth="1"/>
    <col min="8981" max="9217" width="8.09765625" style="2472"/>
    <col min="9218" max="9218" width="4.59765625" style="2472" customWidth="1"/>
    <col min="9219" max="9219" width="7.5" style="2472" customWidth="1"/>
    <col min="9220" max="9220" width="6.59765625" style="2472" customWidth="1"/>
    <col min="9221" max="9221" width="5.69921875" style="2472" customWidth="1"/>
    <col min="9222" max="9235" width="8.09765625" style="2472"/>
    <col min="9236" max="9236" width="30.69921875" style="2472" customWidth="1"/>
    <col min="9237" max="9473" width="8.09765625" style="2472"/>
    <col min="9474" max="9474" width="4.59765625" style="2472" customWidth="1"/>
    <col min="9475" max="9475" width="7.5" style="2472" customWidth="1"/>
    <col min="9476" max="9476" width="6.59765625" style="2472" customWidth="1"/>
    <col min="9477" max="9477" width="5.69921875" style="2472" customWidth="1"/>
    <col min="9478" max="9491" width="8.09765625" style="2472"/>
    <col min="9492" max="9492" width="30.69921875" style="2472" customWidth="1"/>
    <col min="9493" max="9729" width="8.09765625" style="2472"/>
    <col min="9730" max="9730" width="4.59765625" style="2472" customWidth="1"/>
    <col min="9731" max="9731" width="7.5" style="2472" customWidth="1"/>
    <col min="9732" max="9732" width="6.59765625" style="2472" customWidth="1"/>
    <col min="9733" max="9733" width="5.69921875" style="2472" customWidth="1"/>
    <col min="9734" max="9747" width="8.09765625" style="2472"/>
    <col min="9748" max="9748" width="30.69921875" style="2472" customWidth="1"/>
    <col min="9749" max="9985" width="8.09765625" style="2472"/>
    <col min="9986" max="9986" width="4.59765625" style="2472" customWidth="1"/>
    <col min="9987" max="9987" width="7.5" style="2472" customWidth="1"/>
    <col min="9988" max="9988" width="6.59765625" style="2472" customWidth="1"/>
    <col min="9989" max="9989" width="5.69921875" style="2472" customWidth="1"/>
    <col min="9990" max="10003" width="8.09765625" style="2472"/>
    <col min="10004" max="10004" width="30.69921875" style="2472" customWidth="1"/>
    <col min="10005" max="10241" width="8.09765625" style="2472"/>
    <col min="10242" max="10242" width="4.59765625" style="2472" customWidth="1"/>
    <col min="10243" max="10243" width="7.5" style="2472" customWidth="1"/>
    <col min="10244" max="10244" width="6.59765625" style="2472" customWidth="1"/>
    <col min="10245" max="10245" width="5.69921875" style="2472" customWidth="1"/>
    <col min="10246" max="10259" width="8.09765625" style="2472"/>
    <col min="10260" max="10260" width="30.69921875" style="2472" customWidth="1"/>
    <col min="10261" max="10497" width="8.09765625" style="2472"/>
    <col min="10498" max="10498" width="4.59765625" style="2472" customWidth="1"/>
    <col min="10499" max="10499" width="7.5" style="2472" customWidth="1"/>
    <col min="10500" max="10500" width="6.59765625" style="2472" customWidth="1"/>
    <col min="10501" max="10501" width="5.69921875" style="2472" customWidth="1"/>
    <col min="10502" max="10515" width="8.09765625" style="2472"/>
    <col min="10516" max="10516" width="30.69921875" style="2472" customWidth="1"/>
    <col min="10517" max="10753" width="8.09765625" style="2472"/>
    <col min="10754" max="10754" width="4.59765625" style="2472" customWidth="1"/>
    <col min="10755" max="10755" width="7.5" style="2472" customWidth="1"/>
    <col min="10756" max="10756" width="6.59765625" style="2472" customWidth="1"/>
    <col min="10757" max="10757" width="5.69921875" style="2472" customWidth="1"/>
    <col min="10758" max="10771" width="8.09765625" style="2472"/>
    <col min="10772" max="10772" width="30.69921875" style="2472" customWidth="1"/>
    <col min="10773" max="11009" width="8.09765625" style="2472"/>
    <col min="11010" max="11010" width="4.59765625" style="2472" customWidth="1"/>
    <col min="11011" max="11011" width="7.5" style="2472" customWidth="1"/>
    <col min="11012" max="11012" width="6.59765625" style="2472" customWidth="1"/>
    <col min="11013" max="11013" width="5.69921875" style="2472" customWidth="1"/>
    <col min="11014" max="11027" width="8.09765625" style="2472"/>
    <col min="11028" max="11028" width="30.69921875" style="2472" customWidth="1"/>
    <col min="11029" max="11265" width="8.09765625" style="2472"/>
    <col min="11266" max="11266" width="4.59765625" style="2472" customWidth="1"/>
    <col min="11267" max="11267" width="7.5" style="2472" customWidth="1"/>
    <col min="11268" max="11268" width="6.59765625" style="2472" customWidth="1"/>
    <col min="11269" max="11269" width="5.69921875" style="2472" customWidth="1"/>
    <col min="11270" max="11283" width="8.09765625" style="2472"/>
    <col min="11284" max="11284" width="30.69921875" style="2472" customWidth="1"/>
    <col min="11285" max="11521" width="8.09765625" style="2472"/>
    <col min="11522" max="11522" width="4.59765625" style="2472" customWidth="1"/>
    <col min="11523" max="11523" width="7.5" style="2472" customWidth="1"/>
    <col min="11524" max="11524" width="6.59765625" style="2472" customWidth="1"/>
    <col min="11525" max="11525" width="5.69921875" style="2472" customWidth="1"/>
    <col min="11526" max="11539" width="8.09765625" style="2472"/>
    <col min="11540" max="11540" width="30.69921875" style="2472" customWidth="1"/>
    <col min="11541" max="11777" width="8.09765625" style="2472"/>
    <col min="11778" max="11778" width="4.59765625" style="2472" customWidth="1"/>
    <col min="11779" max="11779" width="7.5" style="2472" customWidth="1"/>
    <col min="11780" max="11780" width="6.59765625" style="2472" customWidth="1"/>
    <col min="11781" max="11781" width="5.69921875" style="2472" customWidth="1"/>
    <col min="11782" max="11795" width="8.09765625" style="2472"/>
    <col min="11796" max="11796" width="30.69921875" style="2472" customWidth="1"/>
    <col min="11797" max="12033" width="8.09765625" style="2472"/>
    <col min="12034" max="12034" width="4.59765625" style="2472" customWidth="1"/>
    <col min="12035" max="12035" width="7.5" style="2472" customWidth="1"/>
    <col min="12036" max="12036" width="6.59765625" style="2472" customWidth="1"/>
    <col min="12037" max="12037" width="5.69921875" style="2472" customWidth="1"/>
    <col min="12038" max="12051" width="8.09765625" style="2472"/>
    <col min="12052" max="12052" width="30.69921875" style="2472" customWidth="1"/>
    <col min="12053" max="12289" width="8.09765625" style="2472"/>
    <col min="12290" max="12290" width="4.59765625" style="2472" customWidth="1"/>
    <col min="12291" max="12291" width="7.5" style="2472" customWidth="1"/>
    <col min="12292" max="12292" width="6.59765625" style="2472" customWidth="1"/>
    <col min="12293" max="12293" width="5.69921875" style="2472" customWidth="1"/>
    <col min="12294" max="12307" width="8.09765625" style="2472"/>
    <col min="12308" max="12308" width="30.69921875" style="2472" customWidth="1"/>
    <col min="12309" max="12545" width="8.09765625" style="2472"/>
    <col min="12546" max="12546" width="4.59765625" style="2472" customWidth="1"/>
    <col min="12547" max="12547" width="7.5" style="2472" customWidth="1"/>
    <col min="12548" max="12548" width="6.59765625" style="2472" customWidth="1"/>
    <col min="12549" max="12549" width="5.69921875" style="2472" customWidth="1"/>
    <col min="12550" max="12563" width="8.09765625" style="2472"/>
    <col min="12564" max="12564" width="30.69921875" style="2472" customWidth="1"/>
    <col min="12565" max="12801" width="8.09765625" style="2472"/>
    <col min="12802" max="12802" width="4.59765625" style="2472" customWidth="1"/>
    <col min="12803" max="12803" width="7.5" style="2472" customWidth="1"/>
    <col min="12804" max="12804" width="6.59765625" style="2472" customWidth="1"/>
    <col min="12805" max="12805" width="5.69921875" style="2472" customWidth="1"/>
    <col min="12806" max="12819" width="8.09765625" style="2472"/>
    <col min="12820" max="12820" width="30.69921875" style="2472" customWidth="1"/>
    <col min="12821" max="13057" width="8.09765625" style="2472"/>
    <col min="13058" max="13058" width="4.59765625" style="2472" customWidth="1"/>
    <col min="13059" max="13059" width="7.5" style="2472" customWidth="1"/>
    <col min="13060" max="13060" width="6.59765625" style="2472" customWidth="1"/>
    <col min="13061" max="13061" width="5.69921875" style="2472" customWidth="1"/>
    <col min="13062" max="13075" width="8.09765625" style="2472"/>
    <col min="13076" max="13076" width="30.69921875" style="2472" customWidth="1"/>
    <col min="13077" max="13313" width="8.09765625" style="2472"/>
    <col min="13314" max="13314" width="4.59765625" style="2472" customWidth="1"/>
    <col min="13315" max="13315" width="7.5" style="2472" customWidth="1"/>
    <col min="13316" max="13316" width="6.59765625" style="2472" customWidth="1"/>
    <col min="13317" max="13317" width="5.69921875" style="2472" customWidth="1"/>
    <col min="13318" max="13331" width="8.09765625" style="2472"/>
    <col min="13332" max="13332" width="30.69921875" style="2472" customWidth="1"/>
    <col min="13333" max="13569" width="8.09765625" style="2472"/>
    <col min="13570" max="13570" width="4.59765625" style="2472" customWidth="1"/>
    <col min="13571" max="13571" width="7.5" style="2472" customWidth="1"/>
    <col min="13572" max="13572" width="6.59765625" style="2472" customWidth="1"/>
    <col min="13573" max="13573" width="5.69921875" style="2472" customWidth="1"/>
    <col min="13574" max="13587" width="8.09765625" style="2472"/>
    <col min="13588" max="13588" width="30.69921875" style="2472" customWidth="1"/>
    <col min="13589" max="13825" width="8.09765625" style="2472"/>
    <col min="13826" max="13826" width="4.59765625" style="2472" customWidth="1"/>
    <col min="13827" max="13827" width="7.5" style="2472" customWidth="1"/>
    <col min="13828" max="13828" width="6.59765625" style="2472" customWidth="1"/>
    <col min="13829" max="13829" width="5.69921875" style="2472" customWidth="1"/>
    <col min="13830" max="13843" width="8.09765625" style="2472"/>
    <col min="13844" max="13844" width="30.69921875" style="2472" customWidth="1"/>
    <col min="13845" max="14081" width="8.09765625" style="2472"/>
    <col min="14082" max="14082" width="4.59765625" style="2472" customWidth="1"/>
    <col min="14083" max="14083" width="7.5" style="2472" customWidth="1"/>
    <col min="14084" max="14084" width="6.59765625" style="2472" customWidth="1"/>
    <col min="14085" max="14085" width="5.69921875" style="2472" customWidth="1"/>
    <col min="14086" max="14099" width="8.09765625" style="2472"/>
    <col min="14100" max="14100" width="30.69921875" style="2472" customWidth="1"/>
    <col min="14101" max="14337" width="8.09765625" style="2472"/>
    <col min="14338" max="14338" width="4.59765625" style="2472" customWidth="1"/>
    <col min="14339" max="14339" width="7.5" style="2472" customWidth="1"/>
    <col min="14340" max="14340" width="6.59765625" style="2472" customWidth="1"/>
    <col min="14341" max="14341" width="5.69921875" style="2472" customWidth="1"/>
    <col min="14342" max="14355" width="8.09765625" style="2472"/>
    <col min="14356" max="14356" width="30.69921875" style="2472" customWidth="1"/>
    <col min="14357" max="14593" width="8.09765625" style="2472"/>
    <col min="14594" max="14594" width="4.59765625" style="2472" customWidth="1"/>
    <col min="14595" max="14595" width="7.5" style="2472" customWidth="1"/>
    <col min="14596" max="14596" width="6.59765625" style="2472" customWidth="1"/>
    <col min="14597" max="14597" width="5.69921875" style="2472" customWidth="1"/>
    <col min="14598" max="14611" width="8.09765625" style="2472"/>
    <col min="14612" max="14612" width="30.69921875" style="2472" customWidth="1"/>
    <col min="14613" max="14849" width="8.09765625" style="2472"/>
    <col min="14850" max="14850" width="4.59765625" style="2472" customWidth="1"/>
    <col min="14851" max="14851" width="7.5" style="2472" customWidth="1"/>
    <col min="14852" max="14852" width="6.59765625" style="2472" customWidth="1"/>
    <col min="14853" max="14853" width="5.69921875" style="2472" customWidth="1"/>
    <col min="14854" max="14867" width="8.09765625" style="2472"/>
    <col min="14868" max="14868" width="30.69921875" style="2472" customWidth="1"/>
    <col min="14869" max="15105" width="8.09765625" style="2472"/>
    <col min="15106" max="15106" width="4.59765625" style="2472" customWidth="1"/>
    <col min="15107" max="15107" width="7.5" style="2472" customWidth="1"/>
    <col min="15108" max="15108" width="6.59765625" style="2472" customWidth="1"/>
    <col min="15109" max="15109" width="5.69921875" style="2472" customWidth="1"/>
    <col min="15110" max="15123" width="8.09765625" style="2472"/>
    <col min="15124" max="15124" width="30.69921875" style="2472" customWidth="1"/>
    <col min="15125" max="15361" width="8.09765625" style="2472"/>
    <col min="15362" max="15362" width="4.59765625" style="2472" customWidth="1"/>
    <col min="15363" max="15363" width="7.5" style="2472" customWidth="1"/>
    <col min="15364" max="15364" width="6.59765625" style="2472" customWidth="1"/>
    <col min="15365" max="15365" width="5.69921875" style="2472" customWidth="1"/>
    <col min="15366" max="15379" width="8.09765625" style="2472"/>
    <col min="15380" max="15380" width="30.69921875" style="2472" customWidth="1"/>
    <col min="15381" max="15617" width="8.09765625" style="2472"/>
    <col min="15618" max="15618" width="4.59765625" style="2472" customWidth="1"/>
    <col min="15619" max="15619" width="7.5" style="2472" customWidth="1"/>
    <col min="15620" max="15620" width="6.59765625" style="2472" customWidth="1"/>
    <col min="15621" max="15621" width="5.69921875" style="2472" customWidth="1"/>
    <col min="15622" max="15635" width="8.09765625" style="2472"/>
    <col min="15636" max="15636" width="30.69921875" style="2472" customWidth="1"/>
    <col min="15637" max="15873" width="8.09765625" style="2472"/>
    <col min="15874" max="15874" width="4.59765625" style="2472" customWidth="1"/>
    <col min="15875" max="15875" width="7.5" style="2472" customWidth="1"/>
    <col min="15876" max="15876" width="6.59765625" style="2472" customWidth="1"/>
    <col min="15877" max="15877" width="5.69921875" style="2472" customWidth="1"/>
    <col min="15878" max="15891" width="8.09765625" style="2472"/>
    <col min="15892" max="15892" width="30.69921875" style="2472" customWidth="1"/>
    <col min="15893" max="16129" width="8.09765625" style="2472"/>
    <col min="16130" max="16130" width="4.59765625" style="2472" customWidth="1"/>
    <col min="16131" max="16131" width="7.5" style="2472" customWidth="1"/>
    <col min="16132" max="16132" width="6.59765625" style="2472" customWidth="1"/>
    <col min="16133" max="16133" width="5.69921875" style="2472" customWidth="1"/>
    <col min="16134" max="16147" width="8.09765625" style="2472"/>
    <col min="16148" max="16148" width="30.69921875" style="2472" customWidth="1"/>
    <col min="16149" max="16384" width="8.09765625" style="2472"/>
  </cols>
  <sheetData>
    <row r="1" spans="1:24" ht="15.6">
      <c r="A1" s="2552" t="s">
        <v>7410</v>
      </c>
      <c r="B1" s="2551"/>
      <c r="C1" s="2551"/>
      <c r="D1" s="2551"/>
      <c r="E1" s="2551"/>
      <c r="F1" s="2551"/>
      <c r="G1" s="2551"/>
      <c r="H1" s="2551"/>
      <c r="I1" s="2551"/>
      <c r="J1" s="2551"/>
      <c r="K1" s="2551"/>
      <c r="L1" s="2551"/>
      <c r="M1" s="2551"/>
      <c r="N1" s="2551"/>
      <c r="O1" s="2551"/>
      <c r="P1" s="2551"/>
      <c r="Q1" s="2551"/>
      <c r="R1" s="2551"/>
      <c r="S1" s="2551"/>
      <c r="T1" s="2551"/>
    </row>
    <row r="2" spans="1:24" ht="31.95" customHeight="1">
      <c r="A2" s="2729" t="s">
        <v>7362</v>
      </c>
      <c r="B2" s="2729"/>
      <c r="C2" s="2729"/>
      <c r="D2" s="2729"/>
      <c r="E2" s="2729"/>
      <c r="F2" s="2729"/>
      <c r="G2" s="2729"/>
      <c r="H2" s="2729"/>
      <c r="I2" s="2729"/>
      <c r="J2" s="2729"/>
      <c r="K2" s="2729"/>
      <c r="L2" s="2729"/>
      <c r="M2" s="2729"/>
      <c r="N2" s="2729"/>
      <c r="O2" s="2729"/>
      <c r="P2" s="2729"/>
      <c r="Q2" s="2729"/>
      <c r="R2" s="2729"/>
      <c r="S2" s="2729"/>
      <c r="T2" s="2729"/>
    </row>
    <row r="3" spans="1:24" ht="25.5" customHeight="1">
      <c r="A3" s="3993" t="s">
        <v>645</v>
      </c>
      <c r="B3" s="4028" t="s">
        <v>7363</v>
      </c>
      <c r="C3" s="4028"/>
      <c r="D3" s="4028"/>
      <c r="E3" s="4028"/>
      <c r="F3" s="4028" t="s">
        <v>7364</v>
      </c>
      <c r="G3" s="4028"/>
      <c r="H3" s="4028"/>
      <c r="I3" s="4028" t="s">
        <v>7365</v>
      </c>
      <c r="J3" s="4028"/>
      <c r="K3" s="4028"/>
      <c r="L3" s="4028"/>
      <c r="M3" s="4028"/>
      <c r="N3" s="4028" t="s">
        <v>7366</v>
      </c>
      <c r="O3" s="4028" t="s">
        <v>7367</v>
      </c>
      <c r="P3" s="4028"/>
      <c r="Q3" s="4028"/>
      <c r="R3" s="4028"/>
      <c r="S3" s="4028"/>
      <c r="T3" s="4028" t="s">
        <v>7368</v>
      </c>
    </row>
    <row r="4" spans="1:24" ht="72">
      <c r="A4" s="3993"/>
      <c r="B4" s="2530" t="s">
        <v>7369</v>
      </c>
      <c r="C4" s="2530" t="s">
        <v>1624</v>
      </c>
      <c r="D4" s="2530" t="s">
        <v>1653</v>
      </c>
      <c r="E4" s="2530" t="s">
        <v>7370</v>
      </c>
      <c r="F4" s="2530" t="s">
        <v>7262</v>
      </c>
      <c r="G4" s="2530" t="s">
        <v>7263</v>
      </c>
      <c r="H4" s="2530" t="s">
        <v>1255</v>
      </c>
      <c r="I4" s="2530" t="s">
        <v>7371</v>
      </c>
      <c r="J4" s="2530" t="s">
        <v>7372</v>
      </c>
      <c r="K4" s="2530" t="s">
        <v>7373</v>
      </c>
      <c r="L4" s="2530" t="s">
        <v>7374</v>
      </c>
      <c r="M4" s="2530" t="s">
        <v>7375</v>
      </c>
      <c r="N4" s="4028"/>
      <c r="O4" s="2530" t="s">
        <v>1348</v>
      </c>
      <c r="P4" s="2530" t="s">
        <v>1349</v>
      </c>
      <c r="Q4" s="2530" t="s">
        <v>1350</v>
      </c>
      <c r="R4" s="2530" t="s">
        <v>1351</v>
      </c>
      <c r="S4" s="2520" t="s">
        <v>1352</v>
      </c>
      <c r="T4" s="4028"/>
    </row>
    <row r="5" spans="1:24" ht="59.4" customHeight="1">
      <c r="A5" s="2520"/>
      <c r="B5" s="2520">
        <v>1</v>
      </c>
      <c r="C5" s="2520">
        <v>2</v>
      </c>
      <c r="D5" s="2520">
        <v>3</v>
      </c>
      <c r="E5" s="2520">
        <v>4</v>
      </c>
      <c r="F5" s="2520">
        <v>5</v>
      </c>
      <c r="G5" s="2520">
        <v>6</v>
      </c>
      <c r="H5" s="2520">
        <v>7</v>
      </c>
      <c r="I5" s="2520">
        <v>8</v>
      </c>
      <c r="J5" s="2520">
        <v>9</v>
      </c>
      <c r="K5" s="2520" t="s">
        <v>7376</v>
      </c>
      <c r="L5" s="2520">
        <v>11</v>
      </c>
      <c r="M5" s="2520" t="s">
        <v>7377</v>
      </c>
      <c r="N5" s="2520">
        <v>13</v>
      </c>
      <c r="O5" s="2520">
        <v>14</v>
      </c>
      <c r="P5" s="2520">
        <v>15</v>
      </c>
      <c r="Q5" s="2520">
        <v>16</v>
      </c>
      <c r="R5" s="2520">
        <v>17</v>
      </c>
      <c r="S5" s="2520" t="s">
        <v>7378</v>
      </c>
      <c r="T5" s="2530" t="s">
        <v>7379</v>
      </c>
    </row>
    <row r="6" spans="1:24" ht="25.5" customHeight="1">
      <c r="A6" s="2549"/>
      <c r="B6" s="2504"/>
      <c r="C6" s="2504"/>
      <c r="D6" s="2504"/>
      <c r="E6" s="2504"/>
      <c r="F6" s="2549"/>
      <c r="G6" s="2549"/>
      <c r="H6" s="2549"/>
      <c r="I6" s="2549"/>
      <c r="J6" s="2549"/>
      <c r="K6" s="2549"/>
      <c r="L6" s="2549"/>
      <c r="M6" s="2549"/>
      <c r="N6" s="2549"/>
      <c r="O6" s="2549"/>
      <c r="P6" s="2549"/>
      <c r="Q6" s="2549"/>
      <c r="R6" s="2549"/>
      <c r="S6" s="2549"/>
      <c r="T6" s="2549"/>
    </row>
    <row r="7" spans="1:24" ht="25.5" customHeight="1">
      <c r="A7" s="2549"/>
      <c r="B7" s="2504"/>
      <c r="C7" s="2504"/>
      <c r="D7" s="2504"/>
      <c r="E7" s="2504"/>
      <c r="F7" s="2549"/>
      <c r="G7" s="2549"/>
      <c r="H7" s="2549"/>
      <c r="I7" s="2549"/>
      <c r="J7" s="2549"/>
      <c r="K7" s="2549"/>
      <c r="L7" s="2549"/>
      <c r="M7" s="2549"/>
      <c r="N7" s="2549"/>
      <c r="O7" s="2549"/>
      <c r="P7" s="2549"/>
      <c r="Q7" s="2549"/>
      <c r="R7" s="2549"/>
      <c r="S7" s="2549"/>
      <c r="T7" s="2549"/>
    </row>
    <row r="8" spans="1:24" ht="25.5" customHeight="1">
      <c r="A8" s="2549"/>
      <c r="B8" s="2504"/>
      <c r="C8" s="2504"/>
      <c r="D8" s="2504"/>
      <c r="E8" s="2504"/>
      <c r="F8" s="2549"/>
      <c r="G8" s="2549"/>
      <c r="H8" s="2549"/>
      <c r="I8" s="2549"/>
      <c r="J8" s="2549"/>
      <c r="K8" s="2549"/>
      <c r="L8" s="2549"/>
      <c r="M8" s="2549"/>
      <c r="N8" s="2549"/>
      <c r="O8" s="2549"/>
      <c r="P8" s="2549"/>
      <c r="Q8" s="2549"/>
      <c r="R8" s="2549"/>
      <c r="S8" s="2549"/>
      <c r="T8" s="2549"/>
    </row>
    <row r="9" spans="1:24" ht="25.5" customHeight="1">
      <c r="A9" s="2498" t="s">
        <v>702</v>
      </c>
      <c r="B9" s="2530" t="s">
        <v>7380</v>
      </c>
      <c r="C9" s="2530" t="s">
        <v>7380</v>
      </c>
      <c r="D9" s="2530" t="s">
        <v>7380</v>
      </c>
      <c r="E9" s="2530" t="s">
        <v>7380</v>
      </c>
      <c r="F9" s="2553"/>
      <c r="G9" s="2553"/>
      <c r="H9" s="2553"/>
      <c r="I9" s="2530" t="s">
        <v>7380</v>
      </c>
      <c r="J9" s="2553"/>
      <c r="K9" s="2553"/>
      <c r="L9" s="2530" t="s">
        <v>7380</v>
      </c>
      <c r="M9" s="2530" t="s">
        <v>7380</v>
      </c>
      <c r="N9" s="2553"/>
      <c r="O9" s="2530" t="s">
        <v>7380</v>
      </c>
      <c r="P9" s="2530" t="s">
        <v>7380</v>
      </c>
      <c r="Q9" s="2530" t="s">
        <v>7380</v>
      </c>
      <c r="R9" s="2530" t="s">
        <v>7380</v>
      </c>
      <c r="S9" s="2553"/>
      <c r="T9" s="2553"/>
    </row>
    <row r="10" spans="1:24" s="2478" customFormat="1" ht="25.5" customHeight="1">
      <c r="A10" s="2516" t="s">
        <v>7300</v>
      </c>
      <c r="B10" s="4056">
        <f>基本情况!B12</f>
        <v>0</v>
      </c>
      <c r="C10" s="4057"/>
      <c r="D10" s="2516" t="s">
        <v>7301</v>
      </c>
      <c r="E10" s="4058" t="str">
        <f>基本情况!B21</f>
        <v>2017年3月16日</v>
      </c>
      <c r="F10" s="4057"/>
    </row>
    <row r="11" spans="1:24">
      <c r="J11" s="2484"/>
      <c r="X11" s="2478"/>
    </row>
    <row r="12" spans="1:24">
      <c r="T12" s="2475"/>
      <c r="X12" s="2478"/>
    </row>
    <row r="13" spans="1:24">
      <c r="H13" s="2475"/>
      <c r="X13" s="2478"/>
    </row>
    <row r="14" spans="1:24">
      <c r="X14" s="2478"/>
    </row>
    <row r="15" spans="1:24">
      <c r="X15" s="2478"/>
    </row>
    <row r="16" spans="1:24">
      <c r="X16" s="2478"/>
    </row>
    <row r="17" spans="24:24">
      <c r="X17" s="2478"/>
    </row>
    <row r="18" spans="24:24">
      <c r="X18" s="2478"/>
    </row>
    <row r="19" spans="24:24">
      <c r="X19" s="2478"/>
    </row>
    <row r="20" spans="24:24">
      <c r="X20" s="2478"/>
    </row>
    <row r="21" spans="24:24">
      <c r="X21" s="2478"/>
    </row>
    <row r="22" spans="24:24">
      <c r="X22" s="2478"/>
    </row>
    <row r="23" spans="24:24">
      <c r="X23" s="2478"/>
    </row>
  </sheetData>
  <mergeCells count="10">
    <mergeCell ref="B10:C10"/>
    <mergeCell ref="E10:F10"/>
    <mergeCell ref="A2:T2"/>
    <mergeCell ref="A3:A4"/>
    <mergeCell ref="B3:E3"/>
    <mergeCell ref="F3:H3"/>
    <mergeCell ref="I3:M3"/>
    <mergeCell ref="N3:N4"/>
    <mergeCell ref="O3:S3"/>
    <mergeCell ref="T3:T4"/>
  </mergeCells>
  <phoneticPr fontId="51" type="noConversion"/>
  <pageMargins left="0.78740157480314998" right="0.35433070866141703" top="0.511811023622047" bottom="0.11811023622047198" header="0.511811023622047" footer="0.511811023622047"/>
  <pageSetup paperSize="9" orientation="landscape" blackAndWhite="1"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J29"/>
  <sheetViews>
    <sheetView zoomScaleNormal="100" workbookViewId="0">
      <selection activeCell="E29" sqref="E29:H29"/>
    </sheetView>
  </sheetViews>
  <sheetFormatPr defaultColWidth="10.59765625" defaultRowHeight="12"/>
  <cols>
    <col min="1" max="2" width="10.59765625" style="2472" customWidth="1"/>
    <col min="3" max="3" width="11.8984375" style="2472" customWidth="1"/>
    <col min="4" max="4" width="11.09765625" style="2472" customWidth="1"/>
    <col min="5" max="5" width="10.59765625" style="2472" customWidth="1"/>
    <col min="6" max="6" width="17.5" style="2472" customWidth="1"/>
    <col min="7" max="7" width="10.59765625" style="2472" customWidth="1"/>
    <col min="8" max="8" width="17.19921875" style="2472" customWidth="1"/>
    <col min="9" max="256" width="10.59765625" style="2472"/>
    <col min="257" max="259" width="10.59765625" style="2472" customWidth="1"/>
    <col min="260" max="260" width="11.09765625" style="2472" customWidth="1"/>
    <col min="261" max="261" width="10.59765625" style="2472" customWidth="1"/>
    <col min="262" max="262" width="17.5" style="2472" customWidth="1"/>
    <col min="263" max="263" width="10.59765625" style="2472" customWidth="1"/>
    <col min="264" max="264" width="17.19921875" style="2472" customWidth="1"/>
    <col min="265" max="512" width="10.59765625" style="2472"/>
    <col min="513" max="515" width="10.59765625" style="2472" customWidth="1"/>
    <col min="516" max="516" width="11.09765625" style="2472" customWidth="1"/>
    <col min="517" max="517" width="10.59765625" style="2472" customWidth="1"/>
    <col min="518" max="518" width="17.5" style="2472" customWidth="1"/>
    <col min="519" max="519" width="10.59765625" style="2472" customWidth="1"/>
    <col min="520" max="520" width="17.19921875" style="2472" customWidth="1"/>
    <col min="521" max="768" width="10.59765625" style="2472"/>
    <col min="769" max="771" width="10.59765625" style="2472" customWidth="1"/>
    <col min="772" max="772" width="11.09765625" style="2472" customWidth="1"/>
    <col min="773" max="773" width="10.59765625" style="2472" customWidth="1"/>
    <col min="774" max="774" width="17.5" style="2472" customWidth="1"/>
    <col min="775" max="775" width="10.59765625" style="2472" customWidth="1"/>
    <col min="776" max="776" width="17.19921875" style="2472" customWidth="1"/>
    <col min="777" max="1024" width="10.59765625" style="2472"/>
    <col min="1025" max="1027" width="10.59765625" style="2472" customWidth="1"/>
    <col min="1028" max="1028" width="11.09765625" style="2472" customWidth="1"/>
    <col min="1029" max="1029" width="10.59765625" style="2472" customWidth="1"/>
    <col min="1030" max="1030" width="17.5" style="2472" customWidth="1"/>
    <col min="1031" max="1031" width="10.59765625" style="2472" customWidth="1"/>
    <col min="1032" max="1032" width="17.19921875" style="2472" customWidth="1"/>
    <col min="1033" max="1280" width="10.59765625" style="2472"/>
    <col min="1281" max="1283" width="10.59765625" style="2472" customWidth="1"/>
    <col min="1284" max="1284" width="11.09765625" style="2472" customWidth="1"/>
    <col min="1285" max="1285" width="10.59765625" style="2472" customWidth="1"/>
    <col min="1286" max="1286" width="17.5" style="2472" customWidth="1"/>
    <col min="1287" max="1287" width="10.59765625" style="2472" customWidth="1"/>
    <col min="1288" max="1288" width="17.19921875" style="2472" customWidth="1"/>
    <col min="1289" max="1536" width="10.59765625" style="2472"/>
    <col min="1537" max="1539" width="10.59765625" style="2472" customWidth="1"/>
    <col min="1540" max="1540" width="11.09765625" style="2472" customWidth="1"/>
    <col min="1541" max="1541" width="10.59765625" style="2472" customWidth="1"/>
    <col min="1542" max="1542" width="17.5" style="2472" customWidth="1"/>
    <col min="1543" max="1543" width="10.59765625" style="2472" customWidth="1"/>
    <col min="1544" max="1544" width="17.19921875" style="2472" customWidth="1"/>
    <col min="1545" max="1792" width="10.59765625" style="2472"/>
    <col min="1793" max="1795" width="10.59765625" style="2472" customWidth="1"/>
    <col min="1796" max="1796" width="11.09765625" style="2472" customWidth="1"/>
    <col min="1797" max="1797" width="10.59765625" style="2472" customWidth="1"/>
    <col min="1798" max="1798" width="17.5" style="2472" customWidth="1"/>
    <col min="1799" max="1799" width="10.59765625" style="2472" customWidth="1"/>
    <col min="1800" max="1800" width="17.19921875" style="2472" customWidth="1"/>
    <col min="1801" max="2048" width="10.59765625" style="2472"/>
    <col min="2049" max="2051" width="10.59765625" style="2472" customWidth="1"/>
    <col min="2052" max="2052" width="11.09765625" style="2472" customWidth="1"/>
    <col min="2053" max="2053" width="10.59765625" style="2472" customWidth="1"/>
    <col min="2054" max="2054" width="17.5" style="2472" customWidth="1"/>
    <col min="2055" max="2055" width="10.59765625" style="2472" customWidth="1"/>
    <col min="2056" max="2056" width="17.19921875" style="2472" customWidth="1"/>
    <col min="2057" max="2304" width="10.59765625" style="2472"/>
    <col min="2305" max="2307" width="10.59765625" style="2472" customWidth="1"/>
    <col min="2308" max="2308" width="11.09765625" style="2472" customWidth="1"/>
    <col min="2309" max="2309" width="10.59765625" style="2472" customWidth="1"/>
    <col min="2310" max="2310" width="17.5" style="2472" customWidth="1"/>
    <col min="2311" max="2311" width="10.59765625" style="2472" customWidth="1"/>
    <col min="2312" max="2312" width="17.19921875" style="2472" customWidth="1"/>
    <col min="2313" max="2560" width="10.59765625" style="2472"/>
    <col min="2561" max="2563" width="10.59765625" style="2472" customWidth="1"/>
    <col min="2564" max="2564" width="11.09765625" style="2472" customWidth="1"/>
    <col min="2565" max="2565" width="10.59765625" style="2472" customWidth="1"/>
    <col min="2566" max="2566" width="17.5" style="2472" customWidth="1"/>
    <col min="2567" max="2567" width="10.59765625" style="2472" customWidth="1"/>
    <col min="2568" max="2568" width="17.19921875" style="2472" customWidth="1"/>
    <col min="2569" max="2816" width="10.59765625" style="2472"/>
    <col min="2817" max="2819" width="10.59765625" style="2472" customWidth="1"/>
    <col min="2820" max="2820" width="11.09765625" style="2472" customWidth="1"/>
    <col min="2821" max="2821" width="10.59765625" style="2472" customWidth="1"/>
    <col min="2822" max="2822" width="17.5" style="2472" customWidth="1"/>
    <col min="2823" max="2823" width="10.59765625" style="2472" customWidth="1"/>
    <col min="2824" max="2824" width="17.19921875" style="2472" customWidth="1"/>
    <col min="2825" max="3072" width="10.59765625" style="2472"/>
    <col min="3073" max="3075" width="10.59765625" style="2472" customWidth="1"/>
    <col min="3076" max="3076" width="11.09765625" style="2472" customWidth="1"/>
    <col min="3077" max="3077" width="10.59765625" style="2472" customWidth="1"/>
    <col min="3078" max="3078" width="17.5" style="2472" customWidth="1"/>
    <col min="3079" max="3079" width="10.59765625" style="2472" customWidth="1"/>
    <col min="3080" max="3080" width="17.19921875" style="2472" customWidth="1"/>
    <col min="3081" max="3328" width="10.59765625" style="2472"/>
    <col min="3329" max="3331" width="10.59765625" style="2472" customWidth="1"/>
    <col min="3332" max="3332" width="11.09765625" style="2472" customWidth="1"/>
    <col min="3333" max="3333" width="10.59765625" style="2472" customWidth="1"/>
    <col min="3334" max="3334" width="17.5" style="2472" customWidth="1"/>
    <col min="3335" max="3335" width="10.59765625" style="2472" customWidth="1"/>
    <col min="3336" max="3336" width="17.19921875" style="2472" customWidth="1"/>
    <col min="3337" max="3584" width="10.59765625" style="2472"/>
    <col min="3585" max="3587" width="10.59765625" style="2472" customWidth="1"/>
    <col min="3588" max="3588" width="11.09765625" style="2472" customWidth="1"/>
    <col min="3589" max="3589" width="10.59765625" style="2472" customWidth="1"/>
    <col min="3590" max="3590" width="17.5" style="2472" customWidth="1"/>
    <col min="3591" max="3591" width="10.59765625" style="2472" customWidth="1"/>
    <col min="3592" max="3592" width="17.19921875" style="2472" customWidth="1"/>
    <col min="3593" max="3840" width="10.59765625" style="2472"/>
    <col min="3841" max="3843" width="10.59765625" style="2472" customWidth="1"/>
    <col min="3844" max="3844" width="11.09765625" style="2472" customWidth="1"/>
    <col min="3845" max="3845" width="10.59765625" style="2472" customWidth="1"/>
    <col min="3846" max="3846" width="17.5" style="2472" customWidth="1"/>
    <col min="3847" max="3847" width="10.59765625" style="2472" customWidth="1"/>
    <col min="3848" max="3848" width="17.19921875" style="2472" customWidth="1"/>
    <col min="3849" max="4096" width="10.59765625" style="2472"/>
    <col min="4097" max="4099" width="10.59765625" style="2472" customWidth="1"/>
    <col min="4100" max="4100" width="11.09765625" style="2472" customWidth="1"/>
    <col min="4101" max="4101" width="10.59765625" style="2472" customWidth="1"/>
    <col min="4102" max="4102" width="17.5" style="2472" customWidth="1"/>
    <col min="4103" max="4103" width="10.59765625" style="2472" customWidth="1"/>
    <col min="4104" max="4104" width="17.19921875" style="2472" customWidth="1"/>
    <col min="4105" max="4352" width="10.59765625" style="2472"/>
    <col min="4353" max="4355" width="10.59765625" style="2472" customWidth="1"/>
    <col min="4356" max="4356" width="11.09765625" style="2472" customWidth="1"/>
    <col min="4357" max="4357" width="10.59765625" style="2472" customWidth="1"/>
    <col min="4358" max="4358" width="17.5" style="2472" customWidth="1"/>
    <col min="4359" max="4359" width="10.59765625" style="2472" customWidth="1"/>
    <col min="4360" max="4360" width="17.19921875" style="2472" customWidth="1"/>
    <col min="4361" max="4608" width="10.59765625" style="2472"/>
    <col min="4609" max="4611" width="10.59765625" style="2472" customWidth="1"/>
    <col min="4612" max="4612" width="11.09765625" style="2472" customWidth="1"/>
    <col min="4613" max="4613" width="10.59765625" style="2472" customWidth="1"/>
    <col min="4614" max="4614" width="17.5" style="2472" customWidth="1"/>
    <col min="4615" max="4615" width="10.59765625" style="2472" customWidth="1"/>
    <col min="4616" max="4616" width="17.19921875" style="2472" customWidth="1"/>
    <col min="4617" max="4864" width="10.59765625" style="2472"/>
    <col min="4865" max="4867" width="10.59765625" style="2472" customWidth="1"/>
    <col min="4868" max="4868" width="11.09765625" style="2472" customWidth="1"/>
    <col min="4869" max="4869" width="10.59765625" style="2472" customWidth="1"/>
    <col min="4870" max="4870" width="17.5" style="2472" customWidth="1"/>
    <col min="4871" max="4871" width="10.59765625" style="2472" customWidth="1"/>
    <col min="4872" max="4872" width="17.19921875" style="2472" customWidth="1"/>
    <col min="4873" max="5120" width="10.59765625" style="2472"/>
    <col min="5121" max="5123" width="10.59765625" style="2472" customWidth="1"/>
    <col min="5124" max="5124" width="11.09765625" style="2472" customWidth="1"/>
    <col min="5125" max="5125" width="10.59765625" style="2472" customWidth="1"/>
    <col min="5126" max="5126" width="17.5" style="2472" customWidth="1"/>
    <col min="5127" max="5127" width="10.59765625" style="2472" customWidth="1"/>
    <col min="5128" max="5128" width="17.19921875" style="2472" customWidth="1"/>
    <col min="5129" max="5376" width="10.59765625" style="2472"/>
    <col min="5377" max="5379" width="10.59765625" style="2472" customWidth="1"/>
    <col min="5380" max="5380" width="11.09765625" style="2472" customWidth="1"/>
    <col min="5381" max="5381" width="10.59765625" style="2472" customWidth="1"/>
    <col min="5382" max="5382" width="17.5" style="2472" customWidth="1"/>
    <col min="5383" max="5383" width="10.59765625" style="2472" customWidth="1"/>
    <col min="5384" max="5384" width="17.19921875" style="2472" customWidth="1"/>
    <col min="5385" max="5632" width="10.59765625" style="2472"/>
    <col min="5633" max="5635" width="10.59765625" style="2472" customWidth="1"/>
    <col min="5636" max="5636" width="11.09765625" style="2472" customWidth="1"/>
    <col min="5637" max="5637" width="10.59765625" style="2472" customWidth="1"/>
    <col min="5638" max="5638" width="17.5" style="2472" customWidth="1"/>
    <col min="5639" max="5639" width="10.59765625" style="2472" customWidth="1"/>
    <col min="5640" max="5640" width="17.19921875" style="2472" customWidth="1"/>
    <col min="5641" max="5888" width="10.59765625" style="2472"/>
    <col min="5889" max="5891" width="10.59765625" style="2472" customWidth="1"/>
    <col min="5892" max="5892" width="11.09765625" style="2472" customWidth="1"/>
    <col min="5893" max="5893" width="10.59765625" style="2472" customWidth="1"/>
    <col min="5894" max="5894" width="17.5" style="2472" customWidth="1"/>
    <col min="5895" max="5895" width="10.59765625" style="2472" customWidth="1"/>
    <col min="5896" max="5896" width="17.19921875" style="2472" customWidth="1"/>
    <col min="5897" max="6144" width="10.59765625" style="2472"/>
    <col min="6145" max="6147" width="10.59765625" style="2472" customWidth="1"/>
    <col min="6148" max="6148" width="11.09765625" style="2472" customWidth="1"/>
    <col min="6149" max="6149" width="10.59765625" style="2472" customWidth="1"/>
    <col min="6150" max="6150" width="17.5" style="2472" customWidth="1"/>
    <col min="6151" max="6151" width="10.59765625" style="2472" customWidth="1"/>
    <col min="6152" max="6152" width="17.19921875" style="2472" customWidth="1"/>
    <col min="6153" max="6400" width="10.59765625" style="2472"/>
    <col min="6401" max="6403" width="10.59765625" style="2472" customWidth="1"/>
    <col min="6404" max="6404" width="11.09765625" style="2472" customWidth="1"/>
    <col min="6405" max="6405" width="10.59765625" style="2472" customWidth="1"/>
    <col min="6406" max="6406" width="17.5" style="2472" customWidth="1"/>
    <col min="6407" max="6407" width="10.59765625" style="2472" customWidth="1"/>
    <col min="6408" max="6408" width="17.19921875" style="2472" customWidth="1"/>
    <col min="6409" max="6656" width="10.59765625" style="2472"/>
    <col min="6657" max="6659" width="10.59765625" style="2472" customWidth="1"/>
    <col min="6660" max="6660" width="11.09765625" style="2472" customWidth="1"/>
    <col min="6661" max="6661" width="10.59765625" style="2472" customWidth="1"/>
    <col min="6662" max="6662" width="17.5" style="2472" customWidth="1"/>
    <col min="6663" max="6663" width="10.59765625" style="2472" customWidth="1"/>
    <col min="6664" max="6664" width="17.19921875" style="2472" customWidth="1"/>
    <col min="6665" max="6912" width="10.59765625" style="2472"/>
    <col min="6913" max="6915" width="10.59765625" style="2472" customWidth="1"/>
    <col min="6916" max="6916" width="11.09765625" style="2472" customWidth="1"/>
    <col min="6917" max="6917" width="10.59765625" style="2472" customWidth="1"/>
    <col min="6918" max="6918" width="17.5" style="2472" customWidth="1"/>
    <col min="6919" max="6919" width="10.59765625" style="2472" customWidth="1"/>
    <col min="6920" max="6920" width="17.19921875" style="2472" customWidth="1"/>
    <col min="6921" max="7168" width="10.59765625" style="2472"/>
    <col min="7169" max="7171" width="10.59765625" style="2472" customWidth="1"/>
    <col min="7172" max="7172" width="11.09765625" style="2472" customWidth="1"/>
    <col min="7173" max="7173" width="10.59765625" style="2472" customWidth="1"/>
    <col min="7174" max="7174" width="17.5" style="2472" customWidth="1"/>
    <col min="7175" max="7175" width="10.59765625" style="2472" customWidth="1"/>
    <col min="7176" max="7176" width="17.19921875" style="2472" customWidth="1"/>
    <col min="7177" max="7424" width="10.59765625" style="2472"/>
    <col min="7425" max="7427" width="10.59765625" style="2472" customWidth="1"/>
    <col min="7428" max="7428" width="11.09765625" style="2472" customWidth="1"/>
    <col min="7429" max="7429" width="10.59765625" style="2472" customWidth="1"/>
    <col min="7430" max="7430" width="17.5" style="2472" customWidth="1"/>
    <col min="7431" max="7431" width="10.59765625" style="2472" customWidth="1"/>
    <col min="7432" max="7432" width="17.19921875" style="2472" customWidth="1"/>
    <col min="7433" max="7680" width="10.59765625" style="2472"/>
    <col min="7681" max="7683" width="10.59765625" style="2472" customWidth="1"/>
    <col min="7684" max="7684" width="11.09765625" style="2472" customWidth="1"/>
    <col min="7685" max="7685" width="10.59765625" style="2472" customWidth="1"/>
    <col min="7686" max="7686" width="17.5" style="2472" customWidth="1"/>
    <col min="7687" max="7687" width="10.59765625" style="2472" customWidth="1"/>
    <col min="7688" max="7688" width="17.19921875" style="2472" customWidth="1"/>
    <col min="7689" max="7936" width="10.59765625" style="2472"/>
    <col min="7937" max="7939" width="10.59765625" style="2472" customWidth="1"/>
    <col min="7940" max="7940" width="11.09765625" style="2472" customWidth="1"/>
    <col min="7941" max="7941" width="10.59765625" style="2472" customWidth="1"/>
    <col min="7942" max="7942" width="17.5" style="2472" customWidth="1"/>
    <col min="7943" max="7943" width="10.59765625" style="2472" customWidth="1"/>
    <col min="7944" max="7944" width="17.19921875" style="2472" customWidth="1"/>
    <col min="7945" max="8192" width="10.59765625" style="2472"/>
    <col min="8193" max="8195" width="10.59765625" style="2472" customWidth="1"/>
    <col min="8196" max="8196" width="11.09765625" style="2472" customWidth="1"/>
    <col min="8197" max="8197" width="10.59765625" style="2472" customWidth="1"/>
    <col min="8198" max="8198" width="17.5" style="2472" customWidth="1"/>
    <col min="8199" max="8199" width="10.59765625" style="2472" customWidth="1"/>
    <col min="8200" max="8200" width="17.19921875" style="2472" customWidth="1"/>
    <col min="8201" max="8448" width="10.59765625" style="2472"/>
    <col min="8449" max="8451" width="10.59765625" style="2472" customWidth="1"/>
    <col min="8452" max="8452" width="11.09765625" style="2472" customWidth="1"/>
    <col min="8453" max="8453" width="10.59765625" style="2472" customWidth="1"/>
    <col min="8454" max="8454" width="17.5" style="2472" customWidth="1"/>
    <col min="8455" max="8455" width="10.59765625" style="2472" customWidth="1"/>
    <col min="8456" max="8456" width="17.19921875" style="2472" customWidth="1"/>
    <col min="8457" max="8704" width="10.59765625" style="2472"/>
    <col min="8705" max="8707" width="10.59765625" style="2472" customWidth="1"/>
    <col min="8708" max="8708" width="11.09765625" style="2472" customWidth="1"/>
    <col min="8709" max="8709" width="10.59765625" style="2472" customWidth="1"/>
    <col min="8710" max="8710" width="17.5" style="2472" customWidth="1"/>
    <col min="8711" max="8711" width="10.59765625" style="2472" customWidth="1"/>
    <col min="8712" max="8712" width="17.19921875" style="2472" customWidth="1"/>
    <col min="8713" max="8960" width="10.59765625" style="2472"/>
    <col min="8961" max="8963" width="10.59765625" style="2472" customWidth="1"/>
    <col min="8964" max="8964" width="11.09765625" style="2472" customWidth="1"/>
    <col min="8965" max="8965" width="10.59765625" style="2472" customWidth="1"/>
    <col min="8966" max="8966" width="17.5" style="2472" customWidth="1"/>
    <col min="8967" max="8967" width="10.59765625" style="2472" customWidth="1"/>
    <col min="8968" max="8968" width="17.19921875" style="2472" customWidth="1"/>
    <col min="8969" max="9216" width="10.59765625" style="2472"/>
    <col min="9217" max="9219" width="10.59765625" style="2472" customWidth="1"/>
    <col min="9220" max="9220" width="11.09765625" style="2472" customWidth="1"/>
    <col min="9221" max="9221" width="10.59765625" style="2472" customWidth="1"/>
    <col min="9222" max="9222" width="17.5" style="2472" customWidth="1"/>
    <col min="9223" max="9223" width="10.59765625" style="2472" customWidth="1"/>
    <col min="9224" max="9224" width="17.19921875" style="2472" customWidth="1"/>
    <col min="9225" max="9472" width="10.59765625" style="2472"/>
    <col min="9473" max="9475" width="10.59765625" style="2472" customWidth="1"/>
    <col min="9476" max="9476" width="11.09765625" style="2472" customWidth="1"/>
    <col min="9477" max="9477" width="10.59765625" style="2472" customWidth="1"/>
    <col min="9478" max="9478" width="17.5" style="2472" customWidth="1"/>
    <col min="9479" max="9479" width="10.59765625" style="2472" customWidth="1"/>
    <col min="9480" max="9480" width="17.19921875" style="2472" customWidth="1"/>
    <col min="9481" max="9728" width="10.59765625" style="2472"/>
    <col min="9729" max="9731" width="10.59765625" style="2472" customWidth="1"/>
    <col min="9732" max="9732" width="11.09765625" style="2472" customWidth="1"/>
    <col min="9733" max="9733" width="10.59765625" style="2472" customWidth="1"/>
    <col min="9734" max="9734" width="17.5" style="2472" customWidth="1"/>
    <col min="9735" max="9735" width="10.59765625" style="2472" customWidth="1"/>
    <col min="9736" max="9736" width="17.19921875" style="2472" customWidth="1"/>
    <col min="9737" max="9984" width="10.59765625" style="2472"/>
    <col min="9985" max="9987" width="10.59765625" style="2472" customWidth="1"/>
    <col min="9988" max="9988" width="11.09765625" style="2472" customWidth="1"/>
    <col min="9989" max="9989" width="10.59765625" style="2472" customWidth="1"/>
    <col min="9990" max="9990" width="17.5" style="2472" customWidth="1"/>
    <col min="9991" max="9991" width="10.59765625" style="2472" customWidth="1"/>
    <col min="9992" max="9992" width="17.19921875" style="2472" customWidth="1"/>
    <col min="9993" max="10240" width="10.59765625" style="2472"/>
    <col min="10241" max="10243" width="10.59765625" style="2472" customWidth="1"/>
    <col min="10244" max="10244" width="11.09765625" style="2472" customWidth="1"/>
    <col min="10245" max="10245" width="10.59765625" style="2472" customWidth="1"/>
    <col min="10246" max="10246" width="17.5" style="2472" customWidth="1"/>
    <col min="10247" max="10247" width="10.59765625" style="2472" customWidth="1"/>
    <col min="10248" max="10248" width="17.19921875" style="2472" customWidth="1"/>
    <col min="10249" max="10496" width="10.59765625" style="2472"/>
    <col min="10497" max="10499" width="10.59765625" style="2472" customWidth="1"/>
    <col min="10500" max="10500" width="11.09765625" style="2472" customWidth="1"/>
    <col min="10501" max="10501" width="10.59765625" style="2472" customWidth="1"/>
    <col min="10502" max="10502" width="17.5" style="2472" customWidth="1"/>
    <col min="10503" max="10503" width="10.59765625" style="2472" customWidth="1"/>
    <col min="10504" max="10504" width="17.19921875" style="2472" customWidth="1"/>
    <col min="10505" max="10752" width="10.59765625" style="2472"/>
    <col min="10753" max="10755" width="10.59765625" style="2472" customWidth="1"/>
    <col min="10756" max="10756" width="11.09765625" style="2472" customWidth="1"/>
    <col min="10757" max="10757" width="10.59765625" style="2472" customWidth="1"/>
    <col min="10758" max="10758" width="17.5" style="2472" customWidth="1"/>
    <col min="10759" max="10759" width="10.59765625" style="2472" customWidth="1"/>
    <col min="10760" max="10760" width="17.19921875" style="2472" customWidth="1"/>
    <col min="10761" max="11008" width="10.59765625" style="2472"/>
    <col min="11009" max="11011" width="10.59765625" style="2472" customWidth="1"/>
    <col min="11012" max="11012" width="11.09765625" style="2472" customWidth="1"/>
    <col min="11013" max="11013" width="10.59765625" style="2472" customWidth="1"/>
    <col min="11014" max="11014" width="17.5" style="2472" customWidth="1"/>
    <col min="11015" max="11015" width="10.59765625" style="2472" customWidth="1"/>
    <col min="11016" max="11016" width="17.19921875" style="2472" customWidth="1"/>
    <col min="11017" max="11264" width="10.59765625" style="2472"/>
    <col min="11265" max="11267" width="10.59765625" style="2472" customWidth="1"/>
    <col min="11268" max="11268" width="11.09765625" style="2472" customWidth="1"/>
    <col min="11269" max="11269" width="10.59765625" style="2472" customWidth="1"/>
    <col min="11270" max="11270" width="17.5" style="2472" customWidth="1"/>
    <col min="11271" max="11271" width="10.59765625" style="2472" customWidth="1"/>
    <col min="11272" max="11272" width="17.19921875" style="2472" customWidth="1"/>
    <col min="11273" max="11520" width="10.59765625" style="2472"/>
    <col min="11521" max="11523" width="10.59765625" style="2472" customWidth="1"/>
    <col min="11524" max="11524" width="11.09765625" style="2472" customWidth="1"/>
    <col min="11525" max="11525" width="10.59765625" style="2472" customWidth="1"/>
    <col min="11526" max="11526" width="17.5" style="2472" customWidth="1"/>
    <col min="11527" max="11527" width="10.59765625" style="2472" customWidth="1"/>
    <col min="11528" max="11528" width="17.19921875" style="2472" customWidth="1"/>
    <col min="11529" max="11776" width="10.59765625" style="2472"/>
    <col min="11777" max="11779" width="10.59765625" style="2472" customWidth="1"/>
    <col min="11780" max="11780" width="11.09765625" style="2472" customWidth="1"/>
    <col min="11781" max="11781" width="10.59765625" style="2472" customWidth="1"/>
    <col min="11782" max="11782" width="17.5" style="2472" customWidth="1"/>
    <col min="11783" max="11783" width="10.59765625" style="2472" customWidth="1"/>
    <col min="11784" max="11784" width="17.19921875" style="2472" customWidth="1"/>
    <col min="11785" max="12032" width="10.59765625" style="2472"/>
    <col min="12033" max="12035" width="10.59765625" style="2472" customWidth="1"/>
    <col min="12036" max="12036" width="11.09765625" style="2472" customWidth="1"/>
    <col min="12037" max="12037" width="10.59765625" style="2472" customWidth="1"/>
    <col min="12038" max="12038" width="17.5" style="2472" customWidth="1"/>
    <col min="12039" max="12039" width="10.59765625" style="2472" customWidth="1"/>
    <col min="12040" max="12040" width="17.19921875" style="2472" customWidth="1"/>
    <col min="12041" max="12288" width="10.59765625" style="2472"/>
    <col min="12289" max="12291" width="10.59765625" style="2472" customWidth="1"/>
    <col min="12292" max="12292" width="11.09765625" style="2472" customWidth="1"/>
    <col min="12293" max="12293" width="10.59765625" style="2472" customWidth="1"/>
    <col min="12294" max="12294" width="17.5" style="2472" customWidth="1"/>
    <col min="12295" max="12295" width="10.59765625" style="2472" customWidth="1"/>
    <col min="12296" max="12296" width="17.19921875" style="2472" customWidth="1"/>
    <col min="12297" max="12544" width="10.59765625" style="2472"/>
    <col min="12545" max="12547" width="10.59765625" style="2472" customWidth="1"/>
    <col min="12548" max="12548" width="11.09765625" style="2472" customWidth="1"/>
    <col min="12549" max="12549" width="10.59765625" style="2472" customWidth="1"/>
    <col min="12550" max="12550" width="17.5" style="2472" customWidth="1"/>
    <col min="12551" max="12551" width="10.59765625" style="2472" customWidth="1"/>
    <col min="12552" max="12552" width="17.19921875" style="2472" customWidth="1"/>
    <col min="12553" max="12800" width="10.59765625" style="2472"/>
    <col min="12801" max="12803" width="10.59765625" style="2472" customWidth="1"/>
    <col min="12804" max="12804" width="11.09765625" style="2472" customWidth="1"/>
    <col min="12805" max="12805" width="10.59765625" style="2472" customWidth="1"/>
    <col min="12806" max="12806" width="17.5" style="2472" customWidth="1"/>
    <col min="12807" max="12807" width="10.59765625" style="2472" customWidth="1"/>
    <col min="12808" max="12808" width="17.19921875" style="2472" customWidth="1"/>
    <col min="12809" max="13056" width="10.59765625" style="2472"/>
    <col min="13057" max="13059" width="10.59765625" style="2472" customWidth="1"/>
    <col min="13060" max="13060" width="11.09765625" style="2472" customWidth="1"/>
    <col min="13061" max="13061" width="10.59765625" style="2472" customWidth="1"/>
    <col min="13062" max="13062" width="17.5" style="2472" customWidth="1"/>
    <col min="13063" max="13063" width="10.59765625" style="2472" customWidth="1"/>
    <col min="13064" max="13064" width="17.19921875" style="2472" customWidth="1"/>
    <col min="13065" max="13312" width="10.59765625" style="2472"/>
    <col min="13313" max="13315" width="10.59765625" style="2472" customWidth="1"/>
    <col min="13316" max="13316" width="11.09765625" style="2472" customWidth="1"/>
    <col min="13317" max="13317" width="10.59765625" style="2472" customWidth="1"/>
    <col min="13318" max="13318" width="17.5" style="2472" customWidth="1"/>
    <col min="13319" max="13319" width="10.59765625" style="2472" customWidth="1"/>
    <col min="13320" max="13320" width="17.19921875" style="2472" customWidth="1"/>
    <col min="13321" max="13568" width="10.59765625" style="2472"/>
    <col min="13569" max="13571" width="10.59765625" style="2472" customWidth="1"/>
    <col min="13572" max="13572" width="11.09765625" style="2472" customWidth="1"/>
    <col min="13573" max="13573" width="10.59765625" style="2472" customWidth="1"/>
    <col min="13574" max="13574" width="17.5" style="2472" customWidth="1"/>
    <col min="13575" max="13575" width="10.59765625" style="2472" customWidth="1"/>
    <col min="13576" max="13576" width="17.19921875" style="2472" customWidth="1"/>
    <col min="13577" max="13824" width="10.59765625" style="2472"/>
    <col min="13825" max="13827" width="10.59765625" style="2472" customWidth="1"/>
    <col min="13828" max="13828" width="11.09765625" style="2472" customWidth="1"/>
    <col min="13829" max="13829" width="10.59765625" style="2472" customWidth="1"/>
    <col min="13830" max="13830" width="17.5" style="2472" customWidth="1"/>
    <col min="13831" max="13831" width="10.59765625" style="2472" customWidth="1"/>
    <col min="13832" max="13832" width="17.19921875" style="2472" customWidth="1"/>
    <col min="13833" max="14080" width="10.59765625" style="2472"/>
    <col min="14081" max="14083" width="10.59765625" style="2472" customWidth="1"/>
    <col min="14084" max="14084" width="11.09765625" style="2472" customWidth="1"/>
    <col min="14085" max="14085" width="10.59765625" style="2472" customWidth="1"/>
    <col min="14086" max="14086" width="17.5" style="2472" customWidth="1"/>
    <col min="14087" max="14087" width="10.59765625" style="2472" customWidth="1"/>
    <col min="14088" max="14088" width="17.19921875" style="2472" customWidth="1"/>
    <col min="14089" max="14336" width="10.59765625" style="2472"/>
    <col min="14337" max="14339" width="10.59765625" style="2472" customWidth="1"/>
    <col min="14340" max="14340" width="11.09765625" style="2472" customWidth="1"/>
    <col min="14341" max="14341" width="10.59765625" style="2472" customWidth="1"/>
    <col min="14342" max="14342" width="17.5" style="2472" customWidth="1"/>
    <col min="14343" max="14343" width="10.59765625" style="2472" customWidth="1"/>
    <col min="14344" max="14344" width="17.19921875" style="2472" customWidth="1"/>
    <col min="14345" max="14592" width="10.59765625" style="2472"/>
    <col min="14593" max="14595" width="10.59765625" style="2472" customWidth="1"/>
    <col min="14596" max="14596" width="11.09765625" style="2472" customWidth="1"/>
    <col min="14597" max="14597" width="10.59765625" style="2472" customWidth="1"/>
    <col min="14598" max="14598" width="17.5" style="2472" customWidth="1"/>
    <col min="14599" max="14599" width="10.59765625" style="2472" customWidth="1"/>
    <col min="14600" max="14600" width="17.19921875" style="2472" customWidth="1"/>
    <col min="14601" max="14848" width="10.59765625" style="2472"/>
    <col min="14849" max="14851" width="10.59765625" style="2472" customWidth="1"/>
    <col min="14852" max="14852" width="11.09765625" style="2472" customWidth="1"/>
    <col min="14853" max="14853" width="10.59765625" style="2472" customWidth="1"/>
    <col min="14854" max="14854" width="17.5" style="2472" customWidth="1"/>
    <col min="14855" max="14855" width="10.59765625" style="2472" customWidth="1"/>
    <col min="14856" max="14856" width="17.19921875" style="2472" customWidth="1"/>
    <col min="14857" max="15104" width="10.59765625" style="2472"/>
    <col min="15105" max="15107" width="10.59765625" style="2472" customWidth="1"/>
    <col min="15108" max="15108" width="11.09765625" style="2472" customWidth="1"/>
    <col min="15109" max="15109" width="10.59765625" style="2472" customWidth="1"/>
    <col min="15110" max="15110" width="17.5" style="2472" customWidth="1"/>
    <col min="15111" max="15111" width="10.59765625" style="2472" customWidth="1"/>
    <col min="15112" max="15112" width="17.19921875" style="2472" customWidth="1"/>
    <col min="15113" max="15360" width="10.59765625" style="2472"/>
    <col min="15361" max="15363" width="10.59765625" style="2472" customWidth="1"/>
    <col min="15364" max="15364" width="11.09765625" style="2472" customWidth="1"/>
    <col min="15365" max="15365" width="10.59765625" style="2472" customWidth="1"/>
    <col min="15366" max="15366" width="17.5" style="2472" customWidth="1"/>
    <col min="15367" max="15367" width="10.59765625" style="2472" customWidth="1"/>
    <col min="15368" max="15368" width="17.19921875" style="2472" customWidth="1"/>
    <col min="15369" max="15616" width="10.59765625" style="2472"/>
    <col min="15617" max="15619" width="10.59765625" style="2472" customWidth="1"/>
    <col min="15620" max="15620" width="11.09765625" style="2472" customWidth="1"/>
    <col min="15621" max="15621" width="10.59765625" style="2472" customWidth="1"/>
    <col min="15622" max="15622" width="17.5" style="2472" customWidth="1"/>
    <col min="15623" max="15623" width="10.59765625" style="2472" customWidth="1"/>
    <col min="15624" max="15624" width="17.19921875" style="2472" customWidth="1"/>
    <col min="15625" max="15872" width="10.59765625" style="2472"/>
    <col min="15873" max="15875" width="10.59765625" style="2472" customWidth="1"/>
    <col min="15876" max="15876" width="11.09765625" style="2472" customWidth="1"/>
    <col min="15877" max="15877" width="10.59765625" style="2472" customWidth="1"/>
    <col min="15878" max="15878" width="17.5" style="2472" customWidth="1"/>
    <col min="15879" max="15879" width="10.59765625" style="2472" customWidth="1"/>
    <col min="15880" max="15880" width="17.19921875" style="2472" customWidth="1"/>
    <col min="15881" max="16128" width="10.59765625" style="2472"/>
    <col min="16129" max="16131" width="10.59765625" style="2472" customWidth="1"/>
    <col min="16132" max="16132" width="11.09765625" style="2472" customWidth="1"/>
    <col min="16133" max="16133" width="10.59765625" style="2472" customWidth="1"/>
    <col min="16134" max="16134" width="17.5" style="2472" customWidth="1"/>
    <col min="16135" max="16135" width="10.59765625" style="2472" customWidth="1"/>
    <col min="16136" max="16136" width="17.19921875" style="2472" customWidth="1"/>
    <col min="16137" max="16384" width="10.59765625" style="2472"/>
  </cols>
  <sheetData>
    <row r="1" spans="1:8" ht="21" customHeight="1">
      <c r="A1" s="4015" t="s">
        <v>7411</v>
      </c>
      <c r="B1" s="4015"/>
      <c r="C1" s="4015"/>
      <c r="D1" s="4015"/>
      <c r="E1" s="4015"/>
      <c r="F1" s="4015"/>
      <c r="G1" s="4015"/>
      <c r="H1" s="4015"/>
    </row>
    <row r="2" spans="1:8" ht="21" customHeight="1">
      <c r="A2" s="2729" t="s">
        <v>7419</v>
      </c>
      <c r="B2" s="2729"/>
      <c r="C2" s="2729"/>
      <c r="D2" s="2729"/>
      <c r="E2" s="2729"/>
      <c r="F2" s="2729"/>
      <c r="G2" s="2729"/>
      <c r="H2" s="2729"/>
    </row>
    <row r="3" spans="1:8" ht="25.5" customHeight="1">
      <c r="A3" s="4023" t="s">
        <v>5975</v>
      </c>
      <c r="B3" s="4022" t="s">
        <v>7381</v>
      </c>
      <c r="C3" s="4022"/>
      <c r="D3" s="4005"/>
      <c r="E3" s="4005"/>
      <c r="F3" s="4005"/>
      <c r="G3" s="4005"/>
      <c r="H3" s="4005"/>
    </row>
    <row r="4" spans="1:8" ht="25.5" customHeight="1">
      <c r="A4" s="4023"/>
      <c r="B4" s="4022" t="s">
        <v>7382</v>
      </c>
      <c r="C4" s="4022"/>
      <c r="D4" s="4005"/>
      <c r="E4" s="4005"/>
      <c r="F4" s="4002" t="s">
        <v>7383</v>
      </c>
      <c r="G4" s="4002"/>
      <c r="H4" s="2500"/>
    </row>
    <row r="5" spans="1:8" ht="25.5" customHeight="1">
      <c r="A5" s="4023"/>
      <c r="B5" s="4022" t="s">
        <v>7384</v>
      </c>
      <c r="C5" s="4022"/>
      <c r="D5" s="4005"/>
      <c r="E5" s="4005"/>
      <c r="F5" s="4005"/>
      <c r="G5" s="4005"/>
      <c r="H5" s="4005"/>
    </row>
    <row r="6" spans="1:8" ht="25.5" customHeight="1">
      <c r="A6" s="4023"/>
      <c r="B6" s="4022" t="s">
        <v>7385</v>
      </c>
      <c r="C6" s="4022"/>
      <c r="D6" s="4061"/>
      <c r="E6" s="4061"/>
      <c r="F6" s="4002" t="s">
        <v>7383</v>
      </c>
      <c r="G6" s="4002"/>
      <c r="H6" s="2500"/>
    </row>
    <row r="7" spans="1:8" ht="25.5" customHeight="1">
      <c r="A7" s="4023"/>
      <c r="B7" s="4022" t="s">
        <v>7386</v>
      </c>
      <c r="C7" s="4022"/>
      <c r="D7" s="2499" t="s">
        <v>7387</v>
      </c>
      <c r="E7" s="4062" t="s">
        <v>7388</v>
      </c>
      <c r="F7" s="4062"/>
      <c r="G7" s="4062"/>
      <c r="H7" s="4062"/>
    </row>
    <row r="8" spans="1:8" ht="25.5" customHeight="1">
      <c r="A8" s="4023"/>
      <c r="B8" s="4022"/>
      <c r="C8" s="4022"/>
      <c r="D8" s="4002" t="s">
        <v>7389</v>
      </c>
      <c r="E8" s="4002"/>
      <c r="F8" s="4002"/>
      <c r="G8" s="4002"/>
      <c r="H8" s="4002"/>
    </row>
    <row r="9" spans="1:8" ht="25.5" customHeight="1">
      <c r="A9" s="4023"/>
      <c r="B9" s="4022"/>
      <c r="C9" s="4022"/>
      <c r="D9" s="2499" t="s">
        <v>7390</v>
      </c>
      <c r="E9" s="4005"/>
      <c r="F9" s="4005"/>
      <c r="G9" s="4005"/>
      <c r="H9" s="4005"/>
    </row>
    <row r="10" spans="1:8" ht="33" customHeight="1">
      <c r="A10" s="4023"/>
      <c r="B10" s="4022"/>
      <c r="C10" s="4022"/>
      <c r="D10" s="2499" t="s">
        <v>7391</v>
      </c>
      <c r="E10" s="4005"/>
      <c r="F10" s="4005"/>
      <c r="G10" s="4005"/>
      <c r="H10" s="4005"/>
    </row>
    <row r="11" spans="1:8" ht="25.5" customHeight="1">
      <c r="A11" s="4023"/>
      <c r="B11" s="4022"/>
      <c r="C11" s="4022"/>
      <c r="D11" s="4002" t="s">
        <v>7392</v>
      </c>
      <c r="E11" s="4002"/>
      <c r="F11" s="4002"/>
      <c r="G11" s="4002"/>
      <c r="H11" s="4002"/>
    </row>
    <row r="12" spans="1:8" ht="25.5" customHeight="1">
      <c r="A12" s="4023"/>
      <c r="B12" s="4022"/>
      <c r="C12" s="4022"/>
      <c r="D12" s="4002" t="s">
        <v>7393</v>
      </c>
      <c r="E12" s="4023" t="s">
        <v>7394</v>
      </c>
      <c r="F12" s="4023"/>
      <c r="G12" s="4023" t="s">
        <v>7395</v>
      </c>
      <c r="H12" s="4023"/>
    </row>
    <row r="13" spans="1:8" ht="25.5" customHeight="1">
      <c r="A13" s="4023"/>
      <c r="B13" s="4022"/>
      <c r="C13" s="4022"/>
      <c r="D13" s="4002"/>
      <c r="E13" s="2512" t="s">
        <v>7344</v>
      </c>
      <c r="F13" s="2512" t="s">
        <v>7396</v>
      </c>
      <c r="G13" s="2512" t="s">
        <v>7344</v>
      </c>
      <c r="H13" s="2512" t="s">
        <v>7396</v>
      </c>
    </row>
    <row r="14" spans="1:8" ht="25.5" customHeight="1">
      <c r="A14" s="4023"/>
      <c r="B14" s="4022"/>
      <c r="C14" s="4022"/>
      <c r="D14" s="2500"/>
      <c r="E14" s="2532"/>
      <c r="F14" s="2502"/>
      <c r="G14" s="2532"/>
      <c r="H14" s="2500"/>
    </row>
    <row r="15" spans="1:8" ht="25.5" customHeight="1">
      <c r="A15" s="4023"/>
      <c r="B15" s="4022"/>
      <c r="C15" s="4022"/>
      <c r="D15" s="2500"/>
      <c r="E15" s="2532"/>
      <c r="F15" s="2502"/>
      <c r="G15" s="2532"/>
      <c r="H15" s="2500"/>
    </row>
    <row r="16" spans="1:8" ht="25.5" customHeight="1">
      <c r="A16" s="4023"/>
      <c r="B16" s="4022"/>
      <c r="C16" s="4022"/>
      <c r="D16" s="2499" t="s">
        <v>702</v>
      </c>
      <c r="E16" s="2532"/>
      <c r="F16" s="2502"/>
      <c r="G16" s="2532"/>
      <c r="H16" s="2502"/>
    </row>
    <row r="17" spans="1:10" ht="25.5" customHeight="1">
      <c r="A17" s="4023"/>
      <c r="B17" s="4022" t="s">
        <v>7397</v>
      </c>
      <c r="C17" s="4022"/>
      <c r="D17" s="4005"/>
      <c r="E17" s="4005"/>
      <c r="F17" s="4005"/>
      <c r="G17" s="4005"/>
      <c r="H17" s="4005"/>
    </row>
    <row r="18" spans="1:10" ht="25.5" customHeight="1">
      <c r="A18" s="4023"/>
      <c r="B18" s="4022" t="s">
        <v>7398</v>
      </c>
      <c r="C18" s="4022"/>
      <c r="D18" s="4009"/>
      <c r="E18" s="4009"/>
      <c r="F18" s="4022" t="s">
        <v>7399</v>
      </c>
      <c r="G18" s="4022"/>
      <c r="H18" s="2532"/>
    </row>
    <row r="19" spans="1:10" ht="25.5" customHeight="1">
      <c r="A19" s="4023" t="s">
        <v>7400</v>
      </c>
      <c r="B19" s="4022" t="s">
        <v>7394</v>
      </c>
      <c r="C19" s="4002" t="s">
        <v>7401</v>
      </c>
      <c r="D19" s="4002"/>
      <c r="E19" s="2512" t="s">
        <v>555</v>
      </c>
      <c r="F19" s="2512" t="s">
        <v>557</v>
      </c>
      <c r="G19" s="4023" t="s">
        <v>7402</v>
      </c>
      <c r="H19" s="4023"/>
    </row>
    <row r="20" spans="1:10" ht="25.5" customHeight="1">
      <c r="A20" s="4023"/>
      <c r="B20" s="4022"/>
      <c r="C20" s="4005"/>
      <c r="D20" s="4005"/>
      <c r="E20" s="2500"/>
      <c r="F20" s="2532"/>
      <c r="G20" s="4009"/>
      <c r="H20" s="4009"/>
    </row>
    <row r="21" spans="1:10" ht="25.5" customHeight="1">
      <c r="A21" s="4023"/>
      <c r="B21" s="4022"/>
      <c r="C21" s="4005"/>
      <c r="D21" s="4005"/>
      <c r="E21" s="2500"/>
      <c r="F21" s="2532"/>
      <c r="G21" s="4009"/>
      <c r="H21" s="4009"/>
    </row>
    <row r="22" spans="1:10" ht="25.5" customHeight="1">
      <c r="A22" s="4023"/>
      <c r="B22" s="4022"/>
      <c r="C22" s="4005"/>
      <c r="D22" s="4005"/>
      <c r="E22" s="2500"/>
      <c r="F22" s="2532"/>
      <c r="G22" s="4009"/>
      <c r="H22" s="4009"/>
    </row>
    <row r="23" spans="1:10" ht="25.5" customHeight="1">
      <c r="A23" s="4023"/>
      <c r="B23" s="4022"/>
      <c r="C23" s="4005"/>
      <c r="D23" s="4005"/>
      <c r="E23" s="2500"/>
      <c r="F23" s="2532"/>
      <c r="G23" s="4009"/>
      <c r="H23" s="4009"/>
    </row>
    <row r="24" spans="1:10" ht="25.5" customHeight="1">
      <c r="A24" s="4023"/>
      <c r="B24" s="4022" t="s">
        <v>7395</v>
      </c>
      <c r="C24" s="4002" t="s">
        <v>7403</v>
      </c>
      <c r="D24" s="4002"/>
      <c r="E24" s="2512" t="s">
        <v>555</v>
      </c>
      <c r="F24" s="2512" t="s">
        <v>557</v>
      </c>
      <c r="G24" s="4023" t="s">
        <v>7402</v>
      </c>
      <c r="H24" s="4023"/>
    </row>
    <row r="25" spans="1:10" ht="25.5" customHeight="1">
      <c r="A25" s="4023"/>
      <c r="B25" s="4022"/>
      <c r="C25" s="4005"/>
      <c r="D25" s="4005"/>
      <c r="E25" s="2500"/>
      <c r="F25" s="2532"/>
      <c r="G25" s="4009"/>
      <c r="H25" s="4009"/>
    </row>
    <row r="26" spans="1:10" ht="25.5" customHeight="1">
      <c r="A26" s="4023"/>
      <c r="B26" s="4022"/>
      <c r="C26" s="4005"/>
      <c r="D26" s="4005"/>
      <c r="E26" s="2500"/>
      <c r="F26" s="2532"/>
      <c r="G26" s="4009"/>
      <c r="H26" s="4009"/>
    </row>
    <row r="27" spans="1:10" ht="25.5" customHeight="1">
      <c r="A27" s="4023"/>
      <c r="B27" s="4022"/>
      <c r="C27" s="4005"/>
      <c r="D27" s="4005"/>
      <c r="E27" s="2519"/>
      <c r="F27" s="2554"/>
      <c r="G27" s="4009"/>
      <c r="H27" s="4009"/>
    </row>
    <row r="28" spans="1:10" ht="25.5" customHeight="1">
      <c r="A28" s="4023"/>
      <c r="B28" s="4022"/>
      <c r="C28" s="4005"/>
      <c r="D28" s="4005"/>
      <c r="E28" s="2500"/>
      <c r="F28" s="2532"/>
      <c r="G28" s="4009"/>
      <c r="H28" s="4009"/>
    </row>
    <row r="29" spans="1:10" s="2478" customFormat="1" ht="25.5" customHeight="1">
      <c r="A29" s="2518" t="s">
        <v>7404</v>
      </c>
      <c r="B29" s="4059">
        <f>基本情况!B12</f>
        <v>0</v>
      </c>
      <c r="C29" s="4059"/>
      <c r="D29" s="2518" t="s">
        <v>7405</v>
      </c>
      <c r="E29" s="4060" t="str">
        <f>基本情况!B21</f>
        <v>2017年3月16日</v>
      </c>
      <c r="F29" s="4059"/>
      <c r="G29" s="4059"/>
      <c r="H29" s="4059"/>
      <c r="J29" s="2472"/>
    </row>
  </sheetData>
  <mergeCells count="52">
    <mergeCell ref="A1:H1"/>
    <mergeCell ref="A2:H2"/>
    <mergeCell ref="A3:A18"/>
    <mergeCell ref="B3:C3"/>
    <mergeCell ref="D3:H3"/>
    <mergeCell ref="B4:C4"/>
    <mergeCell ref="D4:E4"/>
    <mergeCell ref="F4:G4"/>
    <mergeCell ref="B5:C5"/>
    <mergeCell ref="D5:H5"/>
    <mergeCell ref="B6:C6"/>
    <mergeCell ref="D6:E6"/>
    <mergeCell ref="F6:G6"/>
    <mergeCell ref="B7:C16"/>
    <mergeCell ref="E7:H7"/>
    <mergeCell ref="D8:H8"/>
    <mergeCell ref="E9:H9"/>
    <mergeCell ref="E10:H10"/>
    <mergeCell ref="D11:H11"/>
    <mergeCell ref="D12:D13"/>
    <mergeCell ref="E12:F12"/>
    <mergeCell ref="G12:H12"/>
    <mergeCell ref="B17:C17"/>
    <mergeCell ref="D17:H17"/>
    <mergeCell ref="B18:C18"/>
    <mergeCell ref="D18:E18"/>
    <mergeCell ref="F18:G18"/>
    <mergeCell ref="A19:A28"/>
    <mergeCell ref="B19:B23"/>
    <mergeCell ref="C19:D19"/>
    <mergeCell ref="G19:H19"/>
    <mergeCell ref="C20:D20"/>
    <mergeCell ref="G20:H20"/>
    <mergeCell ref="C21:D21"/>
    <mergeCell ref="G21:H21"/>
    <mergeCell ref="C22:D22"/>
    <mergeCell ref="G22:H22"/>
    <mergeCell ref="B29:C29"/>
    <mergeCell ref="E29:H29"/>
    <mergeCell ref="C23:D23"/>
    <mergeCell ref="G23:H23"/>
    <mergeCell ref="B24:B28"/>
    <mergeCell ref="C24:D24"/>
    <mergeCell ref="G24:H24"/>
    <mergeCell ref="C25:D25"/>
    <mergeCell ref="G25:H25"/>
    <mergeCell ref="C26:D26"/>
    <mergeCell ref="G26:H26"/>
    <mergeCell ref="C27:D27"/>
    <mergeCell ref="G27:H27"/>
    <mergeCell ref="C28:D28"/>
    <mergeCell ref="G28:H28"/>
  </mergeCells>
  <phoneticPr fontId="51" type="noConversion"/>
  <dataValidations count="2">
    <dataValidation type="list" allowBlank="1" showInputMessage="1" showErrorMessage="1" sqref="E9:H9 JA9:JD9 SW9:SZ9 ACS9:ACV9 AMO9:AMR9 AWK9:AWN9 BGG9:BGJ9 BQC9:BQF9 BZY9:CAB9 CJU9:CJX9 CTQ9:CTT9 DDM9:DDP9 DNI9:DNL9 DXE9:DXH9 EHA9:EHD9 EQW9:EQZ9 FAS9:FAV9 FKO9:FKR9 FUK9:FUN9 GEG9:GEJ9 GOC9:GOF9 GXY9:GYB9 HHU9:HHX9 HRQ9:HRT9 IBM9:IBP9 ILI9:ILL9 IVE9:IVH9 JFA9:JFD9 JOW9:JOZ9 JYS9:JYV9 KIO9:KIR9 KSK9:KSN9 LCG9:LCJ9 LMC9:LMF9 LVY9:LWB9 MFU9:MFX9 MPQ9:MPT9 MZM9:MZP9 NJI9:NJL9 NTE9:NTH9 ODA9:ODD9 OMW9:OMZ9 OWS9:OWV9 PGO9:PGR9 PQK9:PQN9 QAG9:QAJ9 QKC9:QKF9 QTY9:QUB9 RDU9:RDX9 RNQ9:RNT9 RXM9:RXP9 SHI9:SHL9 SRE9:SRH9 TBA9:TBD9 TKW9:TKZ9 TUS9:TUV9 UEO9:UER9 UOK9:UON9 UYG9:UYJ9 VIC9:VIF9 VRY9:VSB9 WBU9:WBX9 WLQ9:WLT9 WVM9:WVP9 E65545:H65545 JA65545:JD65545 SW65545:SZ65545 ACS65545:ACV65545 AMO65545:AMR65545 AWK65545:AWN65545 BGG65545:BGJ65545 BQC65545:BQF65545 BZY65545:CAB65545 CJU65545:CJX65545 CTQ65545:CTT65545 DDM65545:DDP65545 DNI65545:DNL65545 DXE65545:DXH65545 EHA65545:EHD65545 EQW65545:EQZ65545 FAS65545:FAV65545 FKO65545:FKR65545 FUK65545:FUN65545 GEG65545:GEJ65545 GOC65545:GOF65545 GXY65545:GYB65545 HHU65545:HHX65545 HRQ65545:HRT65545 IBM65545:IBP65545 ILI65545:ILL65545 IVE65545:IVH65545 JFA65545:JFD65545 JOW65545:JOZ65545 JYS65545:JYV65545 KIO65545:KIR65545 KSK65545:KSN65545 LCG65545:LCJ65545 LMC65545:LMF65545 LVY65545:LWB65545 MFU65545:MFX65545 MPQ65545:MPT65545 MZM65545:MZP65545 NJI65545:NJL65545 NTE65545:NTH65545 ODA65545:ODD65545 OMW65545:OMZ65545 OWS65545:OWV65545 PGO65545:PGR65545 PQK65545:PQN65545 QAG65545:QAJ65545 QKC65545:QKF65545 QTY65545:QUB65545 RDU65545:RDX65545 RNQ65545:RNT65545 RXM65545:RXP65545 SHI65545:SHL65545 SRE65545:SRH65545 TBA65545:TBD65545 TKW65545:TKZ65545 TUS65545:TUV65545 UEO65545:UER65545 UOK65545:UON65545 UYG65545:UYJ65545 VIC65545:VIF65545 VRY65545:VSB65545 WBU65545:WBX65545 WLQ65545:WLT65545 WVM65545:WVP65545 E131081:H131081 JA131081:JD131081 SW131081:SZ131081 ACS131081:ACV131081 AMO131081:AMR131081 AWK131081:AWN131081 BGG131081:BGJ131081 BQC131081:BQF131081 BZY131081:CAB131081 CJU131081:CJX131081 CTQ131081:CTT131081 DDM131081:DDP131081 DNI131081:DNL131081 DXE131081:DXH131081 EHA131081:EHD131081 EQW131081:EQZ131081 FAS131081:FAV131081 FKO131081:FKR131081 FUK131081:FUN131081 GEG131081:GEJ131081 GOC131081:GOF131081 GXY131081:GYB131081 HHU131081:HHX131081 HRQ131081:HRT131081 IBM131081:IBP131081 ILI131081:ILL131081 IVE131081:IVH131081 JFA131081:JFD131081 JOW131081:JOZ131081 JYS131081:JYV131081 KIO131081:KIR131081 KSK131081:KSN131081 LCG131081:LCJ131081 LMC131081:LMF131081 LVY131081:LWB131081 MFU131081:MFX131081 MPQ131081:MPT131081 MZM131081:MZP131081 NJI131081:NJL131081 NTE131081:NTH131081 ODA131081:ODD131081 OMW131081:OMZ131081 OWS131081:OWV131081 PGO131081:PGR131081 PQK131081:PQN131081 QAG131081:QAJ131081 QKC131081:QKF131081 QTY131081:QUB131081 RDU131081:RDX131081 RNQ131081:RNT131081 RXM131081:RXP131081 SHI131081:SHL131081 SRE131081:SRH131081 TBA131081:TBD131081 TKW131081:TKZ131081 TUS131081:TUV131081 UEO131081:UER131081 UOK131081:UON131081 UYG131081:UYJ131081 VIC131081:VIF131081 VRY131081:VSB131081 WBU131081:WBX131081 WLQ131081:WLT131081 WVM131081:WVP131081 E196617:H196617 JA196617:JD196617 SW196617:SZ196617 ACS196617:ACV196617 AMO196617:AMR196617 AWK196617:AWN196617 BGG196617:BGJ196617 BQC196617:BQF196617 BZY196617:CAB196617 CJU196617:CJX196617 CTQ196617:CTT196617 DDM196617:DDP196617 DNI196617:DNL196617 DXE196617:DXH196617 EHA196617:EHD196617 EQW196617:EQZ196617 FAS196617:FAV196617 FKO196617:FKR196617 FUK196617:FUN196617 GEG196617:GEJ196617 GOC196617:GOF196617 GXY196617:GYB196617 HHU196617:HHX196617 HRQ196617:HRT196617 IBM196617:IBP196617 ILI196617:ILL196617 IVE196617:IVH196617 JFA196617:JFD196617 JOW196617:JOZ196617 JYS196617:JYV196617 KIO196617:KIR196617 KSK196617:KSN196617 LCG196617:LCJ196617 LMC196617:LMF196617 LVY196617:LWB196617 MFU196617:MFX196617 MPQ196617:MPT196617 MZM196617:MZP196617 NJI196617:NJL196617 NTE196617:NTH196617 ODA196617:ODD196617 OMW196617:OMZ196617 OWS196617:OWV196617 PGO196617:PGR196617 PQK196617:PQN196617 QAG196617:QAJ196617 QKC196617:QKF196617 QTY196617:QUB196617 RDU196617:RDX196617 RNQ196617:RNT196617 RXM196617:RXP196617 SHI196617:SHL196617 SRE196617:SRH196617 TBA196617:TBD196617 TKW196617:TKZ196617 TUS196617:TUV196617 UEO196617:UER196617 UOK196617:UON196617 UYG196617:UYJ196617 VIC196617:VIF196617 VRY196617:VSB196617 WBU196617:WBX196617 WLQ196617:WLT196617 WVM196617:WVP196617 E262153:H262153 JA262153:JD262153 SW262153:SZ262153 ACS262153:ACV262153 AMO262153:AMR262153 AWK262153:AWN262153 BGG262153:BGJ262153 BQC262153:BQF262153 BZY262153:CAB262153 CJU262153:CJX262153 CTQ262153:CTT262153 DDM262153:DDP262153 DNI262153:DNL262153 DXE262153:DXH262153 EHA262153:EHD262153 EQW262153:EQZ262153 FAS262153:FAV262153 FKO262153:FKR262153 FUK262153:FUN262153 GEG262153:GEJ262153 GOC262153:GOF262153 GXY262153:GYB262153 HHU262153:HHX262153 HRQ262153:HRT262153 IBM262153:IBP262153 ILI262153:ILL262153 IVE262153:IVH262153 JFA262153:JFD262153 JOW262153:JOZ262153 JYS262153:JYV262153 KIO262153:KIR262153 KSK262153:KSN262153 LCG262153:LCJ262153 LMC262153:LMF262153 LVY262153:LWB262153 MFU262153:MFX262153 MPQ262153:MPT262153 MZM262153:MZP262153 NJI262153:NJL262153 NTE262153:NTH262153 ODA262153:ODD262153 OMW262153:OMZ262153 OWS262153:OWV262153 PGO262153:PGR262153 PQK262153:PQN262153 QAG262153:QAJ262153 QKC262153:QKF262153 QTY262153:QUB262153 RDU262153:RDX262153 RNQ262153:RNT262153 RXM262153:RXP262153 SHI262153:SHL262153 SRE262153:SRH262153 TBA262153:TBD262153 TKW262153:TKZ262153 TUS262153:TUV262153 UEO262153:UER262153 UOK262153:UON262153 UYG262153:UYJ262153 VIC262153:VIF262153 VRY262153:VSB262153 WBU262153:WBX262153 WLQ262153:WLT262153 WVM262153:WVP262153 E327689:H327689 JA327689:JD327689 SW327689:SZ327689 ACS327689:ACV327689 AMO327689:AMR327689 AWK327689:AWN327689 BGG327689:BGJ327689 BQC327689:BQF327689 BZY327689:CAB327689 CJU327689:CJX327689 CTQ327689:CTT327689 DDM327689:DDP327689 DNI327689:DNL327689 DXE327689:DXH327689 EHA327689:EHD327689 EQW327689:EQZ327689 FAS327689:FAV327689 FKO327689:FKR327689 FUK327689:FUN327689 GEG327689:GEJ327689 GOC327689:GOF327689 GXY327689:GYB327689 HHU327689:HHX327689 HRQ327689:HRT327689 IBM327689:IBP327689 ILI327689:ILL327689 IVE327689:IVH327689 JFA327689:JFD327689 JOW327689:JOZ327689 JYS327689:JYV327689 KIO327689:KIR327689 KSK327689:KSN327689 LCG327689:LCJ327689 LMC327689:LMF327689 LVY327689:LWB327689 MFU327689:MFX327689 MPQ327689:MPT327689 MZM327689:MZP327689 NJI327689:NJL327689 NTE327689:NTH327689 ODA327689:ODD327689 OMW327689:OMZ327689 OWS327689:OWV327689 PGO327689:PGR327689 PQK327689:PQN327689 QAG327689:QAJ327689 QKC327689:QKF327689 QTY327689:QUB327689 RDU327689:RDX327689 RNQ327689:RNT327689 RXM327689:RXP327689 SHI327689:SHL327689 SRE327689:SRH327689 TBA327689:TBD327689 TKW327689:TKZ327689 TUS327689:TUV327689 UEO327689:UER327689 UOK327689:UON327689 UYG327689:UYJ327689 VIC327689:VIF327689 VRY327689:VSB327689 WBU327689:WBX327689 WLQ327689:WLT327689 WVM327689:WVP327689 E393225:H393225 JA393225:JD393225 SW393225:SZ393225 ACS393225:ACV393225 AMO393225:AMR393225 AWK393225:AWN393225 BGG393225:BGJ393225 BQC393225:BQF393225 BZY393225:CAB393225 CJU393225:CJX393225 CTQ393225:CTT393225 DDM393225:DDP393225 DNI393225:DNL393225 DXE393225:DXH393225 EHA393225:EHD393225 EQW393225:EQZ393225 FAS393225:FAV393225 FKO393225:FKR393225 FUK393225:FUN393225 GEG393225:GEJ393225 GOC393225:GOF393225 GXY393225:GYB393225 HHU393225:HHX393225 HRQ393225:HRT393225 IBM393225:IBP393225 ILI393225:ILL393225 IVE393225:IVH393225 JFA393225:JFD393225 JOW393225:JOZ393225 JYS393225:JYV393225 KIO393225:KIR393225 KSK393225:KSN393225 LCG393225:LCJ393225 LMC393225:LMF393225 LVY393225:LWB393225 MFU393225:MFX393225 MPQ393225:MPT393225 MZM393225:MZP393225 NJI393225:NJL393225 NTE393225:NTH393225 ODA393225:ODD393225 OMW393225:OMZ393225 OWS393225:OWV393225 PGO393225:PGR393225 PQK393225:PQN393225 QAG393225:QAJ393225 QKC393225:QKF393225 QTY393225:QUB393225 RDU393225:RDX393225 RNQ393225:RNT393225 RXM393225:RXP393225 SHI393225:SHL393225 SRE393225:SRH393225 TBA393225:TBD393225 TKW393225:TKZ393225 TUS393225:TUV393225 UEO393225:UER393225 UOK393225:UON393225 UYG393225:UYJ393225 VIC393225:VIF393225 VRY393225:VSB393225 WBU393225:WBX393225 WLQ393225:WLT393225 WVM393225:WVP393225 E458761:H458761 JA458761:JD458761 SW458761:SZ458761 ACS458761:ACV458761 AMO458761:AMR458761 AWK458761:AWN458761 BGG458761:BGJ458761 BQC458761:BQF458761 BZY458761:CAB458761 CJU458761:CJX458761 CTQ458761:CTT458761 DDM458761:DDP458761 DNI458761:DNL458761 DXE458761:DXH458761 EHA458761:EHD458761 EQW458761:EQZ458761 FAS458761:FAV458761 FKO458761:FKR458761 FUK458761:FUN458761 GEG458761:GEJ458761 GOC458761:GOF458761 GXY458761:GYB458761 HHU458761:HHX458761 HRQ458761:HRT458761 IBM458761:IBP458761 ILI458761:ILL458761 IVE458761:IVH458761 JFA458761:JFD458761 JOW458761:JOZ458761 JYS458761:JYV458761 KIO458761:KIR458761 KSK458761:KSN458761 LCG458761:LCJ458761 LMC458761:LMF458761 LVY458761:LWB458761 MFU458761:MFX458761 MPQ458761:MPT458761 MZM458761:MZP458761 NJI458761:NJL458761 NTE458761:NTH458761 ODA458761:ODD458761 OMW458761:OMZ458761 OWS458761:OWV458761 PGO458761:PGR458761 PQK458761:PQN458761 QAG458761:QAJ458761 QKC458761:QKF458761 QTY458761:QUB458761 RDU458761:RDX458761 RNQ458761:RNT458761 RXM458761:RXP458761 SHI458761:SHL458761 SRE458761:SRH458761 TBA458761:TBD458761 TKW458761:TKZ458761 TUS458761:TUV458761 UEO458761:UER458761 UOK458761:UON458761 UYG458761:UYJ458761 VIC458761:VIF458761 VRY458761:VSB458761 WBU458761:WBX458761 WLQ458761:WLT458761 WVM458761:WVP458761 E524297:H524297 JA524297:JD524297 SW524297:SZ524297 ACS524297:ACV524297 AMO524297:AMR524297 AWK524297:AWN524297 BGG524297:BGJ524297 BQC524297:BQF524297 BZY524297:CAB524297 CJU524297:CJX524297 CTQ524297:CTT524297 DDM524297:DDP524297 DNI524297:DNL524297 DXE524297:DXH524297 EHA524297:EHD524297 EQW524297:EQZ524297 FAS524297:FAV524297 FKO524297:FKR524297 FUK524297:FUN524297 GEG524297:GEJ524297 GOC524297:GOF524297 GXY524297:GYB524297 HHU524297:HHX524297 HRQ524297:HRT524297 IBM524297:IBP524297 ILI524297:ILL524297 IVE524297:IVH524297 JFA524297:JFD524297 JOW524297:JOZ524297 JYS524297:JYV524297 KIO524297:KIR524297 KSK524297:KSN524297 LCG524297:LCJ524297 LMC524297:LMF524297 LVY524297:LWB524297 MFU524297:MFX524297 MPQ524297:MPT524297 MZM524297:MZP524297 NJI524297:NJL524297 NTE524297:NTH524297 ODA524297:ODD524297 OMW524297:OMZ524297 OWS524297:OWV524297 PGO524297:PGR524297 PQK524297:PQN524297 QAG524297:QAJ524297 QKC524297:QKF524297 QTY524297:QUB524297 RDU524297:RDX524297 RNQ524297:RNT524297 RXM524297:RXP524297 SHI524297:SHL524297 SRE524297:SRH524297 TBA524297:TBD524297 TKW524297:TKZ524297 TUS524297:TUV524297 UEO524297:UER524297 UOK524297:UON524297 UYG524297:UYJ524297 VIC524297:VIF524297 VRY524297:VSB524297 WBU524297:WBX524297 WLQ524297:WLT524297 WVM524297:WVP524297 E589833:H589833 JA589833:JD589833 SW589833:SZ589833 ACS589833:ACV589833 AMO589833:AMR589833 AWK589833:AWN589833 BGG589833:BGJ589833 BQC589833:BQF589833 BZY589833:CAB589833 CJU589833:CJX589833 CTQ589833:CTT589833 DDM589833:DDP589833 DNI589833:DNL589833 DXE589833:DXH589833 EHA589833:EHD589833 EQW589833:EQZ589833 FAS589833:FAV589833 FKO589833:FKR589833 FUK589833:FUN589833 GEG589833:GEJ589833 GOC589833:GOF589833 GXY589833:GYB589833 HHU589833:HHX589833 HRQ589833:HRT589833 IBM589833:IBP589833 ILI589833:ILL589833 IVE589833:IVH589833 JFA589833:JFD589833 JOW589833:JOZ589833 JYS589833:JYV589833 KIO589833:KIR589833 KSK589833:KSN589833 LCG589833:LCJ589833 LMC589833:LMF589833 LVY589833:LWB589833 MFU589833:MFX589833 MPQ589833:MPT589833 MZM589833:MZP589833 NJI589833:NJL589833 NTE589833:NTH589833 ODA589833:ODD589833 OMW589833:OMZ589833 OWS589833:OWV589833 PGO589833:PGR589833 PQK589833:PQN589833 QAG589833:QAJ589833 QKC589833:QKF589833 QTY589833:QUB589833 RDU589833:RDX589833 RNQ589833:RNT589833 RXM589833:RXP589833 SHI589833:SHL589833 SRE589833:SRH589833 TBA589833:TBD589833 TKW589833:TKZ589833 TUS589833:TUV589833 UEO589833:UER589833 UOK589833:UON589833 UYG589833:UYJ589833 VIC589833:VIF589833 VRY589833:VSB589833 WBU589833:WBX589833 WLQ589833:WLT589833 WVM589833:WVP589833 E655369:H655369 JA655369:JD655369 SW655369:SZ655369 ACS655369:ACV655369 AMO655369:AMR655369 AWK655369:AWN655369 BGG655369:BGJ655369 BQC655369:BQF655369 BZY655369:CAB655369 CJU655369:CJX655369 CTQ655369:CTT655369 DDM655369:DDP655369 DNI655369:DNL655369 DXE655369:DXH655369 EHA655369:EHD655369 EQW655369:EQZ655369 FAS655369:FAV655369 FKO655369:FKR655369 FUK655369:FUN655369 GEG655369:GEJ655369 GOC655369:GOF655369 GXY655369:GYB655369 HHU655369:HHX655369 HRQ655369:HRT655369 IBM655369:IBP655369 ILI655369:ILL655369 IVE655369:IVH655369 JFA655369:JFD655369 JOW655369:JOZ655369 JYS655369:JYV655369 KIO655369:KIR655369 KSK655369:KSN655369 LCG655369:LCJ655369 LMC655369:LMF655369 LVY655369:LWB655369 MFU655369:MFX655369 MPQ655369:MPT655369 MZM655369:MZP655369 NJI655369:NJL655369 NTE655369:NTH655369 ODA655369:ODD655369 OMW655369:OMZ655369 OWS655369:OWV655369 PGO655369:PGR655369 PQK655369:PQN655369 QAG655369:QAJ655369 QKC655369:QKF655369 QTY655369:QUB655369 RDU655369:RDX655369 RNQ655369:RNT655369 RXM655369:RXP655369 SHI655369:SHL655369 SRE655369:SRH655369 TBA655369:TBD655369 TKW655369:TKZ655369 TUS655369:TUV655369 UEO655369:UER655369 UOK655369:UON655369 UYG655369:UYJ655369 VIC655369:VIF655369 VRY655369:VSB655369 WBU655369:WBX655369 WLQ655369:WLT655369 WVM655369:WVP655369 E720905:H720905 JA720905:JD720905 SW720905:SZ720905 ACS720905:ACV720905 AMO720905:AMR720905 AWK720905:AWN720905 BGG720905:BGJ720905 BQC720905:BQF720905 BZY720905:CAB720905 CJU720905:CJX720905 CTQ720905:CTT720905 DDM720905:DDP720905 DNI720905:DNL720905 DXE720905:DXH720905 EHA720905:EHD720905 EQW720905:EQZ720905 FAS720905:FAV720905 FKO720905:FKR720905 FUK720905:FUN720905 GEG720905:GEJ720905 GOC720905:GOF720905 GXY720905:GYB720905 HHU720905:HHX720905 HRQ720905:HRT720905 IBM720905:IBP720905 ILI720905:ILL720905 IVE720905:IVH720905 JFA720905:JFD720905 JOW720905:JOZ720905 JYS720905:JYV720905 KIO720905:KIR720905 KSK720905:KSN720905 LCG720905:LCJ720905 LMC720905:LMF720905 LVY720905:LWB720905 MFU720905:MFX720905 MPQ720905:MPT720905 MZM720905:MZP720905 NJI720905:NJL720905 NTE720905:NTH720905 ODA720905:ODD720905 OMW720905:OMZ720905 OWS720905:OWV720905 PGO720905:PGR720905 PQK720905:PQN720905 QAG720905:QAJ720905 QKC720905:QKF720905 QTY720905:QUB720905 RDU720905:RDX720905 RNQ720905:RNT720905 RXM720905:RXP720905 SHI720905:SHL720905 SRE720905:SRH720905 TBA720905:TBD720905 TKW720905:TKZ720905 TUS720905:TUV720905 UEO720905:UER720905 UOK720905:UON720905 UYG720905:UYJ720905 VIC720905:VIF720905 VRY720905:VSB720905 WBU720905:WBX720905 WLQ720905:WLT720905 WVM720905:WVP720905 E786441:H786441 JA786441:JD786441 SW786441:SZ786441 ACS786441:ACV786441 AMO786441:AMR786441 AWK786441:AWN786441 BGG786441:BGJ786441 BQC786441:BQF786441 BZY786441:CAB786441 CJU786441:CJX786441 CTQ786441:CTT786441 DDM786441:DDP786441 DNI786441:DNL786441 DXE786441:DXH786441 EHA786441:EHD786441 EQW786441:EQZ786441 FAS786441:FAV786441 FKO786441:FKR786441 FUK786441:FUN786441 GEG786441:GEJ786441 GOC786441:GOF786441 GXY786441:GYB786441 HHU786441:HHX786441 HRQ786441:HRT786441 IBM786441:IBP786441 ILI786441:ILL786441 IVE786441:IVH786441 JFA786441:JFD786441 JOW786441:JOZ786441 JYS786441:JYV786441 KIO786441:KIR786441 KSK786441:KSN786441 LCG786441:LCJ786441 LMC786441:LMF786441 LVY786441:LWB786441 MFU786441:MFX786441 MPQ786441:MPT786441 MZM786441:MZP786441 NJI786441:NJL786441 NTE786441:NTH786441 ODA786441:ODD786441 OMW786441:OMZ786441 OWS786441:OWV786441 PGO786441:PGR786441 PQK786441:PQN786441 QAG786441:QAJ786441 QKC786441:QKF786441 QTY786441:QUB786441 RDU786441:RDX786441 RNQ786441:RNT786441 RXM786441:RXP786441 SHI786441:SHL786441 SRE786441:SRH786441 TBA786441:TBD786441 TKW786441:TKZ786441 TUS786441:TUV786441 UEO786441:UER786441 UOK786441:UON786441 UYG786441:UYJ786441 VIC786441:VIF786441 VRY786441:VSB786441 WBU786441:WBX786441 WLQ786441:WLT786441 WVM786441:WVP786441 E851977:H851977 JA851977:JD851977 SW851977:SZ851977 ACS851977:ACV851977 AMO851977:AMR851977 AWK851977:AWN851977 BGG851977:BGJ851977 BQC851977:BQF851977 BZY851977:CAB851977 CJU851977:CJX851977 CTQ851977:CTT851977 DDM851977:DDP851977 DNI851977:DNL851977 DXE851977:DXH851977 EHA851977:EHD851977 EQW851977:EQZ851977 FAS851977:FAV851977 FKO851977:FKR851977 FUK851977:FUN851977 GEG851977:GEJ851977 GOC851977:GOF851977 GXY851977:GYB851977 HHU851977:HHX851977 HRQ851977:HRT851977 IBM851977:IBP851977 ILI851977:ILL851977 IVE851977:IVH851977 JFA851977:JFD851977 JOW851977:JOZ851977 JYS851977:JYV851977 KIO851977:KIR851977 KSK851977:KSN851977 LCG851977:LCJ851977 LMC851977:LMF851977 LVY851977:LWB851977 MFU851977:MFX851977 MPQ851977:MPT851977 MZM851977:MZP851977 NJI851977:NJL851977 NTE851977:NTH851977 ODA851977:ODD851977 OMW851977:OMZ851977 OWS851977:OWV851977 PGO851977:PGR851977 PQK851977:PQN851977 QAG851977:QAJ851977 QKC851977:QKF851977 QTY851977:QUB851977 RDU851977:RDX851977 RNQ851977:RNT851977 RXM851977:RXP851977 SHI851977:SHL851977 SRE851977:SRH851977 TBA851977:TBD851977 TKW851977:TKZ851977 TUS851977:TUV851977 UEO851977:UER851977 UOK851977:UON851977 UYG851977:UYJ851977 VIC851977:VIF851977 VRY851977:VSB851977 WBU851977:WBX851977 WLQ851977:WLT851977 WVM851977:WVP851977 E917513:H917513 JA917513:JD917513 SW917513:SZ917513 ACS917513:ACV917513 AMO917513:AMR917513 AWK917513:AWN917513 BGG917513:BGJ917513 BQC917513:BQF917513 BZY917513:CAB917513 CJU917513:CJX917513 CTQ917513:CTT917513 DDM917513:DDP917513 DNI917513:DNL917513 DXE917513:DXH917513 EHA917513:EHD917513 EQW917513:EQZ917513 FAS917513:FAV917513 FKO917513:FKR917513 FUK917513:FUN917513 GEG917513:GEJ917513 GOC917513:GOF917513 GXY917513:GYB917513 HHU917513:HHX917513 HRQ917513:HRT917513 IBM917513:IBP917513 ILI917513:ILL917513 IVE917513:IVH917513 JFA917513:JFD917513 JOW917513:JOZ917513 JYS917513:JYV917513 KIO917513:KIR917513 KSK917513:KSN917513 LCG917513:LCJ917513 LMC917513:LMF917513 LVY917513:LWB917513 MFU917513:MFX917513 MPQ917513:MPT917513 MZM917513:MZP917513 NJI917513:NJL917513 NTE917513:NTH917513 ODA917513:ODD917513 OMW917513:OMZ917513 OWS917513:OWV917513 PGO917513:PGR917513 PQK917513:PQN917513 QAG917513:QAJ917513 QKC917513:QKF917513 QTY917513:QUB917513 RDU917513:RDX917513 RNQ917513:RNT917513 RXM917513:RXP917513 SHI917513:SHL917513 SRE917513:SRH917513 TBA917513:TBD917513 TKW917513:TKZ917513 TUS917513:TUV917513 UEO917513:UER917513 UOK917513:UON917513 UYG917513:UYJ917513 VIC917513:VIF917513 VRY917513:VSB917513 WBU917513:WBX917513 WLQ917513:WLT917513 WVM917513:WVP917513 E983049:H983049 JA983049:JD983049 SW983049:SZ983049 ACS983049:ACV983049 AMO983049:AMR983049 AWK983049:AWN983049 BGG983049:BGJ983049 BQC983049:BQF983049 BZY983049:CAB983049 CJU983049:CJX983049 CTQ983049:CTT983049 DDM983049:DDP983049 DNI983049:DNL983049 DXE983049:DXH983049 EHA983049:EHD983049 EQW983049:EQZ983049 FAS983049:FAV983049 FKO983049:FKR983049 FUK983049:FUN983049 GEG983049:GEJ983049 GOC983049:GOF983049 GXY983049:GYB983049 HHU983049:HHX983049 HRQ983049:HRT983049 IBM983049:IBP983049 ILI983049:ILL983049 IVE983049:IVH983049 JFA983049:JFD983049 JOW983049:JOZ983049 JYS983049:JYV983049 KIO983049:KIR983049 KSK983049:KSN983049 LCG983049:LCJ983049 LMC983049:LMF983049 LVY983049:LWB983049 MFU983049:MFX983049 MPQ983049:MPT983049 MZM983049:MZP983049 NJI983049:NJL983049 NTE983049:NTH983049 ODA983049:ODD983049 OMW983049:OMZ983049 OWS983049:OWV983049 PGO983049:PGR983049 PQK983049:PQN983049 QAG983049:QAJ983049 QKC983049:QKF983049 QTY983049:QUB983049 RDU983049:RDX983049 RNQ983049:RNT983049 RXM983049:RXP983049 SHI983049:SHL983049 SRE983049:SRH983049 TBA983049:TBD983049 TKW983049:TKZ983049 TUS983049:TUV983049 UEO983049:UER983049 UOK983049:UON983049 UYG983049:UYJ983049 VIC983049:VIF983049 VRY983049:VSB983049 WBU983049:WBX983049 WLQ983049:WLT983049 WVM983049:WVP983049">
      <formula1>"划出方,划入方"</formula1>
    </dataValidation>
    <dataValidation type="list" allowBlank="1" showInputMessage="1" showErrorMessage="1" sqref="E7:H7 JA7:JD7 SW7:SZ7 ACS7:ACV7 AMO7:AMR7 AWK7:AWN7 BGG7:BGJ7 BQC7:BQF7 BZY7:CAB7 CJU7:CJX7 CTQ7:CTT7 DDM7:DDP7 DNI7:DNL7 DXE7:DXH7 EHA7:EHD7 EQW7:EQZ7 FAS7:FAV7 FKO7:FKR7 FUK7:FUN7 GEG7:GEJ7 GOC7:GOF7 GXY7:GYB7 HHU7:HHX7 HRQ7:HRT7 IBM7:IBP7 ILI7:ILL7 IVE7:IVH7 JFA7:JFD7 JOW7:JOZ7 JYS7:JYV7 KIO7:KIR7 KSK7:KSN7 LCG7:LCJ7 LMC7:LMF7 LVY7:LWB7 MFU7:MFX7 MPQ7:MPT7 MZM7:MZP7 NJI7:NJL7 NTE7:NTH7 ODA7:ODD7 OMW7:OMZ7 OWS7:OWV7 PGO7:PGR7 PQK7:PQN7 QAG7:QAJ7 QKC7:QKF7 QTY7:QUB7 RDU7:RDX7 RNQ7:RNT7 RXM7:RXP7 SHI7:SHL7 SRE7:SRH7 TBA7:TBD7 TKW7:TKZ7 TUS7:TUV7 UEO7:UER7 UOK7:UON7 UYG7:UYJ7 VIC7:VIF7 VRY7:VSB7 WBU7:WBX7 WLQ7:WLT7 WVM7:WVP7 E65543:H65543 JA65543:JD65543 SW65543:SZ65543 ACS65543:ACV65543 AMO65543:AMR65543 AWK65543:AWN65543 BGG65543:BGJ65543 BQC65543:BQF65543 BZY65543:CAB65543 CJU65543:CJX65543 CTQ65543:CTT65543 DDM65543:DDP65543 DNI65543:DNL65543 DXE65543:DXH65543 EHA65543:EHD65543 EQW65543:EQZ65543 FAS65543:FAV65543 FKO65543:FKR65543 FUK65543:FUN65543 GEG65543:GEJ65543 GOC65543:GOF65543 GXY65543:GYB65543 HHU65543:HHX65543 HRQ65543:HRT65543 IBM65543:IBP65543 ILI65543:ILL65543 IVE65543:IVH65543 JFA65543:JFD65543 JOW65543:JOZ65543 JYS65543:JYV65543 KIO65543:KIR65543 KSK65543:KSN65543 LCG65543:LCJ65543 LMC65543:LMF65543 LVY65543:LWB65543 MFU65543:MFX65543 MPQ65543:MPT65543 MZM65543:MZP65543 NJI65543:NJL65543 NTE65543:NTH65543 ODA65543:ODD65543 OMW65543:OMZ65543 OWS65543:OWV65543 PGO65543:PGR65543 PQK65543:PQN65543 QAG65543:QAJ65543 QKC65543:QKF65543 QTY65543:QUB65543 RDU65543:RDX65543 RNQ65543:RNT65543 RXM65543:RXP65543 SHI65543:SHL65543 SRE65543:SRH65543 TBA65543:TBD65543 TKW65543:TKZ65543 TUS65543:TUV65543 UEO65543:UER65543 UOK65543:UON65543 UYG65543:UYJ65543 VIC65543:VIF65543 VRY65543:VSB65543 WBU65543:WBX65543 WLQ65543:WLT65543 WVM65543:WVP65543 E131079:H131079 JA131079:JD131079 SW131079:SZ131079 ACS131079:ACV131079 AMO131079:AMR131079 AWK131079:AWN131079 BGG131079:BGJ131079 BQC131079:BQF131079 BZY131079:CAB131079 CJU131079:CJX131079 CTQ131079:CTT131079 DDM131079:DDP131079 DNI131079:DNL131079 DXE131079:DXH131079 EHA131079:EHD131079 EQW131079:EQZ131079 FAS131079:FAV131079 FKO131079:FKR131079 FUK131079:FUN131079 GEG131079:GEJ131079 GOC131079:GOF131079 GXY131079:GYB131079 HHU131079:HHX131079 HRQ131079:HRT131079 IBM131079:IBP131079 ILI131079:ILL131079 IVE131079:IVH131079 JFA131079:JFD131079 JOW131079:JOZ131079 JYS131079:JYV131079 KIO131079:KIR131079 KSK131079:KSN131079 LCG131079:LCJ131079 LMC131079:LMF131079 LVY131079:LWB131079 MFU131079:MFX131079 MPQ131079:MPT131079 MZM131079:MZP131079 NJI131079:NJL131079 NTE131079:NTH131079 ODA131079:ODD131079 OMW131079:OMZ131079 OWS131079:OWV131079 PGO131079:PGR131079 PQK131079:PQN131079 QAG131079:QAJ131079 QKC131079:QKF131079 QTY131079:QUB131079 RDU131079:RDX131079 RNQ131079:RNT131079 RXM131079:RXP131079 SHI131079:SHL131079 SRE131079:SRH131079 TBA131079:TBD131079 TKW131079:TKZ131079 TUS131079:TUV131079 UEO131079:UER131079 UOK131079:UON131079 UYG131079:UYJ131079 VIC131079:VIF131079 VRY131079:VSB131079 WBU131079:WBX131079 WLQ131079:WLT131079 WVM131079:WVP131079 E196615:H196615 JA196615:JD196615 SW196615:SZ196615 ACS196615:ACV196615 AMO196615:AMR196615 AWK196615:AWN196615 BGG196615:BGJ196615 BQC196615:BQF196615 BZY196615:CAB196615 CJU196615:CJX196615 CTQ196615:CTT196615 DDM196615:DDP196615 DNI196615:DNL196615 DXE196615:DXH196615 EHA196615:EHD196615 EQW196615:EQZ196615 FAS196615:FAV196615 FKO196615:FKR196615 FUK196615:FUN196615 GEG196615:GEJ196615 GOC196615:GOF196615 GXY196615:GYB196615 HHU196615:HHX196615 HRQ196615:HRT196615 IBM196615:IBP196615 ILI196615:ILL196615 IVE196615:IVH196615 JFA196615:JFD196615 JOW196615:JOZ196615 JYS196615:JYV196615 KIO196615:KIR196615 KSK196615:KSN196615 LCG196615:LCJ196615 LMC196615:LMF196615 LVY196615:LWB196615 MFU196615:MFX196615 MPQ196615:MPT196615 MZM196615:MZP196615 NJI196615:NJL196615 NTE196615:NTH196615 ODA196615:ODD196615 OMW196615:OMZ196615 OWS196615:OWV196615 PGO196615:PGR196615 PQK196615:PQN196615 QAG196615:QAJ196615 QKC196615:QKF196615 QTY196615:QUB196615 RDU196615:RDX196615 RNQ196615:RNT196615 RXM196615:RXP196615 SHI196615:SHL196615 SRE196615:SRH196615 TBA196615:TBD196615 TKW196615:TKZ196615 TUS196615:TUV196615 UEO196615:UER196615 UOK196615:UON196615 UYG196615:UYJ196615 VIC196615:VIF196615 VRY196615:VSB196615 WBU196615:WBX196615 WLQ196615:WLT196615 WVM196615:WVP196615 E262151:H262151 JA262151:JD262151 SW262151:SZ262151 ACS262151:ACV262151 AMO262151:AMR262151 AWK262151:AWN262151 BGG262151:BGJ262151 BQC262151:BQF262151 BZY262151:CAB262151 CJU262151:CJX262151 CTQ262151:CTT262151 DDM262151:DDP262151 DNI262151:DNL262151 DXE262151:DXH262151 EHA262151:EHD262151 EQW262151:EQZ262151 FAS262151:FAV262151 FKO262151:FKR262151 FUK262151:FUN262151 GEG262151:GEJ262151 GOC262151:GOF262151 GXY262151:GYB262151 HHU262151:HHX262151 HRQ262151:HRT262151 IBM262151:IBP262151 ILI262151:ILL262151 IVE262151:IVH262151 JFA262151:JFD262151 JOW262151:JOZ262151 JYS262151:JYV262151 KIO262151:KIR262151 KSK262151:KSN262151 LCG262151:LCJ262151 LMC262151:LMF262151 LVY262151:LWB262151 MFU262151:MFX262151 MPQ262151:MPT262151 MZM262151:MZP262151 NJI262151:NJL262151 NTE262151:NTH262151 ODA262151:ODD262151 OMW262151:OMZ262151 OWS262151:OWV262151 PGO262151:PGR262151 PQK262151:PQN262151 QAG262151:QAJ262151 QKC262151:QKF262151 QTY262151:QUB262151 RDU262151:RDX262151 RNQ262151:RNT262151 RXM262151:RXP262151 SHI262151:SHL262151 SRE262151:SRH262151 TBA262151:TBD262151 TKW262151:TKZ262151 TUS262151:TUV262151 UEO262151:UER262151 UOK262151:UON262151 UYG262151:UYJ262151 VIC262151:VIF262151 VRY262151:VSB262151 WBU262151:WBX262151 WLQ262151:WLT262151 WVM262151:WVP262151 E327687:H327687 JA327687:JD327687 SW327687:SZ327687 ACS327687:ACV327687 AMO327687:AMR327687 AWK327687:AWN327687 BGG327687:BGJ327687 BQC327687:BQF327687 BZY327687:CAB327687 CJU327687:CJX327687 CTQ327687:CTT327687 DDM327687:DDP327687 DNI327687:DNL327687 DXE327687:DXH327687 EHA327687:EHD327687 EQW327687:EQZ327687 FAS327687:FAV327687 FKO327687:FKR327687 FUK327687:FUN327687 GEG327687:GEJ327687 GOC327687:GOF327687 GXY327687:GYB327687 HHU327687:HHX327687 HRQ327687:HRT327687 IBM327687:IBP327687 ILI327687:ILL327687 IVE327687:IVH327687 JFA327687:JFD327687 JOW327687:JOZ327687 JYS327687:JYV327687 KIO327687:KIR327687 KSK327687:KSN327687 LCG327687:LCJ327687 LMC327687:LMF327687 LVY327687:LWB327687 MFU327687:MFX327687 MPQ327687:MPT327687 MZM327687:MZP327687 NJI327687:NJL327687 NTE327687:NTH327687 ODA327687:ODD327687 OMW327687:OMZ327687 OWS327687:OWV327687 PGO327687:PGR327687 PQK327687:PQN327687 QAG327687:QAJ327687 QKC327687:QKF327687 QTY327687:QUB327687 RDU327687:RDX327687 RNQ327687:RNT327687 RXM327687:RXP327687 SHI327687:SHL327687 SRE327687:SRH327687 TBA327687:TBD327687 TKW327687:TKZ327687 TUS327687:TUV327687 UEO327687:UER327687 UOK327687:UON327687 UYG327687:UYJ327687 VIC327687:VIF327687 VRY327687:VSB327687 WBU327687:WBX327687 WLQ327687:WLT327687 WVM327687:WVP327687 E393223:H393223 JA393223:JD393223 SW393223:SZ393223 ACS393223:ACV393223 AMO393223:AMR393223 AWK393223:AWN393223 BGG393223:BGJ393223 BQC393223:BQF393223 BZY393223:CAB393223 CJU393223:CJX393223 CTQ393223:CTT393223 DDM393223:DDP393223 DNI393223:DNL393223 DXE393223:DXH393223 EHA393223:EHD393223 EQW393223:EQZ393223 FAS393223:FAV393223 FKO393223:FKR393223 FUK393223:FUN393223 GEG393223:GEJ393223 GOC393223:GOF393223 GXY393223:GYB393223 HHU393223:HHX393223 HRQ393223:HRT393223 IBM393223:IBP393223 ILI393223:ILL393223 IVE393223:IVH393223 JFA393223:JFD393223 JOW393223:JOZ393223 JYS393223:JYV393223 KIO393223:KIR393223 KSK393223:KSN393223 LCG393223:LCJ393223 LMC393223:LMF393223 LVY393223:LWB393223 MFU393223:MFX393223 MPQ393223:MPT393223 MZM393223:MZP393223 NJI393223:NJL393223 NTE393223:NTH393223 ODA393223:ODD393223 OMW393223:OMZ393223 OWS393223:OWV393223 PGO393223:PGR393223 PQK393223:PQN393223 QAG393223:QAJ393223 QKC393223:QKF393223 QTY393223:QUB393223 RDU393223:RDX393223 RNQ393223:RNT393223 RXM393223:RXP393223 SHI393223:SHL393223 SRE393223:SRH393223 TBA393223:TBD393223 TKW393223:TKZ393223 TUS393223:TUV393223 UEO393223:UER393223 UOK393223:UON393223 UYG393223:UYJ393223 VIC393223:VIF393223 VRY393223:VSB393223 WBU393223:WBX393223 WLQ393223:WLT393223 WVM393223:WVP393223 E458759:H458759 JA458759:JD458759 SW458759:SZ458759 ACS458759:ACV458759 AMO458759:AMR458759 AWK458759:AWN458759 BGG458759:BGJ458759 BQC458759:BQF458759 BZY458759:CAB458759 CJU458759:CJX458759 CTQ458759:CTT458759 DDM458759:DDP458759 DNI458759:DNL458759 DXE458759:DXH458759 EHA458759:EHD458759 EQW458759:EQZ458759 FAS458759:FAV458759 FKO458759:FKR458759 FUK458759:FUN458759 GEG458759:GEJ458759 GOC458759:GOF458759 GXY458759:GYB458759 HHU458759:HHX458759 HRQ458759:HRT458759 IBM458759:IBP458759 ILI458759:ILL458759 IVE458759:IVH458759 JFA458759:JFD458759 JOW458759:JOZ458759 JYS458759:JYV458759 KIO458759:KIR458759 KSK458759:KSN458759 LCG458759:LCJ458759 LMC458759:LMF458759 LVY458759:LWB458759 MFU458759:MFX458759 MPQ458759:MPT458759 MZM458759:MZP458759 NJI458759:NJL458759 NTE458759:NTH458759 ODA458759:ODD458759 OMW458759:OMZ458759 OWS458759:OWV458759 PGO458759:PGR458759 PQK458759:PQN458759 QAG458759:QAJ458759 QKC458759:QKF458759 QTY458759:QUB458759 RDU458759:RDX458759 RNQ458759:RNT458759 RXM458759:RXP458759 SHI458759:SHL458759 SRE458759:SRH458759 TBA458759:TBD458759 TKW458759:TKZ458759 TUS458759:TUV458759 UEO458759:UER458759 UOK458759:UON458759 UYG458759:UYJ458759 VIC458759:VIF458759 VRY458759:VSB458759 WBU458759:WBX458759 WLQ458759:WLT458759 WVM458759:WVP458759 E524295:H524295 JA524295:JD524295 SW524295:SZ524295 ACS524295:ACV524295 AMO524295:AMR524295 AWK524295:AWN524295 BGG524295:BGJ524295 BQC524295:BQF524295 BZY524295:CAB524295 CJU524295:CJX524295 CTQ524295:CTT524295 DDM524295:DDP524295 DNI524295:DNL524295 DXE524295:DXH524295 EHA524295:EHD524295 EQW524295:EQZ524295 FAS524295:FAV524295 FKO524295:FKR524295 FUK524295:FUN524295 GEG524295:GEJ524295 GOC524295:GOF524295 GXY524295:GYB524295 HHU524295:HHX524295 HRQ524295:HRT524295 IBM524295:IBP524295 ILI524295:ILL524295 IVE524295:IVH524295 JFA524295:JFD524295 JOW524295:JOZ524295 JYS524295:JYV524295 KIO524295:KIR524295 KSK524295:KSN524295 LCG524295:LCJ524295 LMC524295:LMF524295 LVY524295:LWB524295 MFU524295:MFX524295 MPQ524295:MPT524295 MZM524295:MZP524295 NJI524295:NJL524295 NTE524295:NTH524295 ODA524295:ODD524295 OMW524295:OMZ524295 OWS524295:OWV524295 PGO524295:PGR524295 PQK524295:PQN524295 QAG524295:QAJ524295 QKC524295:QKF524295 QTY524295:QUB524295 RDU524295:RDX524295 RNQ524295:RNT524295 RXM524295:RXP524295 SHI524295:SHL524295 SRE524295:SRH524295 TBA524295:TBD524295 TKW524295:TKZ524295 TUS524295:TUV524295 UEO524295:UER524295 UOK524295:UON524295 UYG524295:UYJ524295 VIC524295:VIF524295 VRY524295:VSB524295 WBU524295:WBX524295 WLQ524295:WLT524295 WVM524295:WVP524295 E589831:H589831 JA589831:JD589831 SW589831:SZ589831 ACS589831:ACV589831 AMO589831:AMR589831 AWK589831:AWN589831 BGG589831:BGJ589831 BQC589831:BQF589831 BZY589831:CAB589831 CJU589831:CJX589831 CTQ589831:CTT589831 DDM589831:DDP589831 DNI589831:DNL589831 DXE589831:DXH589831 EHA589831:EHD589831 EQW589831:EQZ589831 FAS589831:FAV589831 FKO589831:FKR589831 FUK589831:FUN589831 GEG589831:GEJ589831 GOC589831:GOF589831 GXY589831:GYB589831 HHU589831:HHX589831 HRQ589831:HRT589831 IBM589831:IBP589831 ILI589831:ILL589831 IVE589831:IVH589831 JFA589831:JFD589831 JOW589831:JOZ589831 JYS589831:JYV589831 KIO589831:KIR589831 KSK589831:KSN589831 LCG589831:LCJ589831 LMC589831:LMF589831 LVY589831:LWB589831 MFU589831:MFX589831 MPQ589831:MPT589831 MZM589831:MZP589831 NJI589831:NJL589831 NTE589831:NTH589831 ODA589831:ODD589831 OMW589831:OMZ589831 OWS589831:OWV589831 PGO589831:PGR589831 PQK589831:PQN589831 QAG589831:QAJ589831 QKC589831:QKF589831 QTY589831:QUB589831 RDU589831:RDX589831 RNQ589831:RNT589831 RXM589831:RXP589831 SHI589831:SHL589831 SRE589831:SRH589831 TBA589831:TBD589831 TKW589831:TKZ589831 TUS589831:TUV589831 UEO589831:UER589831 UOK589831:UON589831 UYG589831:UYJ589831 VIC589831:VIF589831 VRY589831:VSB589831 WBU589831:WBX589831 WLQ589831:WLT589831 WVM589831:WVP589831 E655367:H655367 JA655367:JD655367 SW655367:SZ655367 ACS655367:ACV655367 AMO655367:AMR655367 AWK655367:AWN655367 BGG655367:BGJ655367 BQC655367:BQF655367 BZY655367:CAB655367 CJU655367:CJX655367 CTQ655367:CTT655367 DDM655367:DDP655367 DNI655367:DNL655367 DXE655367:DXH655367 EHA655367:EHD655367 EQW655367:EQZ655367 FAS655367:FAV655367 FKO655367:FKR655367 FUK655367:FUN655367 GEG655367:GEJ655367 GOC655367:GOF655367 GXY655367:GYB655367 HHU655367:HHX655367 HRQ655367:HRT655367 IBM655367:IBP655367 ILI655367:ILL655367 IVE655367:IVH655367 JFA655367:JFD655367 JOW655367:JOZ655367 JYS655367:JYV655367 KIO655367:KIR655367 KSK655367:KSN655367 LCG655367:LCJ655367 LMC655367:LMF655367 LVY655367:LWB655367 MFU655367:MFX655367 MPQ655367:MPT655367 MZM655367:MZP655367 NJI655367:NJL655367 NTE655367:NTH655367 ODA655367:ODD655367 OMW655367:OMZ655367 OWS655367:OWV655367 PGO655367:PGR655367 PQK655367:PQN655367 QAG655367:QAJ655367 QKC655367:QKF655367 QTY655367:QUB655367 RDU655367:RDX655367 RNQ655367:RNT655367 RXM655367:RXP655367 SHI655367:SHL655367 SRE655367:SRH655367 TBA655367:TBD655367 TKW655367:TKZ655367 TUS655367:TUV655367 UEO655367:UER655367 UOK655367:UON655367 UYG655367:UYJ655367 VIC655367:VIF655367 VRY655367:VSB655367 WBU655367:WBX655367 WLQ655367:WLT655367 WVM655367:WVP655367 E720903:H720903 JA720903:JD720903 SW720903:SZ720903 ACS720903:ACV720903 AMO720903:AMR720903 AWK720903:AWN720903 BGG720903:BGJ720903 BQC720903:BQF720903 BZY720903:CAB720903 CJU720903:CJX720903 CTQ720903:CTT720903 DDM720903:DDP720903 DNI720903:DNL720903 DXE720903:DXH720903 EHA720903:EHD720903 EQW720903:EQZ720903 FAS720903:FAV720903 FKO720903:FKR720903 FUK720903:FUN720903 GEG720903:GEJ720903 GOC720903:GOF720903 GXY720903:GYB720903 HHU720903:HHX720903 HRQ720903:HRT720903 IBM720903:IBP720903 ILI720903:ILL720903 IVE720903:IVH720903 JFA720903:JFD720903 JOW720903:JOZ720903 JYS720903:JYV720903 KIO720903:KIR720903 KSK720903:KSN720903 LCG720903:LCJ720903 LMC720903:LMF720903 LVY720903:LWB720903 MFU720903:MFX720903 MPQ720903:MPT720903 MZM720903:MZP720903 NJI720903:NJL720903 NTE720903:NTH720903 ODA720903:ODD720903 OMW720903:OMZ720903 OWS720903:OWV720903 PGO720903:PGR720903 PQK720903:PQN720903 QAG720903:QAJ720903 QKC720903:QKF720903 QTY720903:QUB720903 RDU720903:RDX720903 RNQ720903:RNT720903 RXM720903:RXP720903 SHI720903:SHL720903 SRE720903:SRH720903 TBA720903:TBD720903 TKW720903:TKZ720903 TUS720903:TUV720903 UEO720903:UER720903 UOK720903:UON720903 UYG720903:UYJ720903 VIC720903:VIF720903 VRY720903:VSB720903 WBU720903:WBX720903 WLQ720903:WLT720903 WVM720903:WVP720903 E786439:H786439 JA786439:JD786439 SW786439:SZ786439 ACS786439:ACV786439 AMO786439:AMR786439 AWK786439:AWN786439 BGG786439:BGJ786439 BQC786439:BQF786439 BZY786439:CAB786439 CJU786439:CJX786439 CTQ786439:CTT786439 DDM786439:DDP786439 DNI786439:DNL786439 DXE786439:DXH786439 EHA786439:EHD786439 EQW786439:EQZ786439 FAS786439:FAV786439 FKO786439:FKR786439 FUK786439:FUN786439 GEG786439:GEJ786439 GOC786439:GOF786439 GXY786439:GYB786439 HHU786439:HHX786439 HRQ786439:HRT786439 IBM786439:IBP786439 ILI786439:ILL786439 IVE786439:IVH786439 JFA786439:JFD786439 JOW786439:JOZ786439 JYS786439:JYV786439 KIO786439:KIR786439 KSK786439:KSN786439 LCG786439:LCJ786439 LMC786439:LMF786439 LVY786439:LWB786439 MFU786439:MFX786439 MPQ786439:MPT786439 MZM786439:MZP786439 NJI786439:NJL786439 NTE786439:NTH786439 ODA786439:ODD786439 OMW786439:OMZ786439 OWS786439:OWV786439 PGO786439:PGR786439 PQK786439:PQN786439 QAG786439:QAJ786439 QKC786439:QKF786439 QTY786439:QUB786439 RDU786439:RDX786439 RNQ786439:RNT786439 RXM786439:RXP786439 SHI786439:SHL786439 SRE786439:SRH786439 TBA786439:TBD786439 TKW786439:TKZ786439 TUS786439:TUV786439 UEO786439:UER786439 UOK786439:UON786439 UYG786439:UYJ786439 VIC786439:VIF786439 VRY786439:VSB786439 WBU786439:WBX786439 WLQ786439:WLT786439 WVM786439:WVP786439 E851975:H851975 JA851975:JD851975 SW851975:SZ851975 ACS851975:ACV851975 AMO851975:AMR851975 AWK851975:AWN851975 BGG851975:BGJ851975 BQC851975:BQF851975 BZY851975:CAB851975 CJU851975:CJX851975 CTQ851975:CTT851975 DDM851975:DDP851975 DNI851975:DNL851975 DXE851975:DXH851975 EHA851975:EHD851975 EQW851975:EQZ851975 FAS851975:FAV851975 FKO851975:FKR851975 FUK851975:FUN851975 GEG851975:GEJ851975 GOC851975:GOF851975 GXY851975:GYB851975 HHU851975:HHX851975 HRQ851975:HRT851975 IBM851975:IBP851975 ILI851975:ILL851975 IVE851975:IVH851975 JFA851975:JFD851975 JOW851975:JOZ851975 JYS851975:JYV851975 KIO851975:KIR851975 KSK851975:KSN851975 LCG851975:LCJ851975 LMC851975:LMF851975 LVY851975:LWB851975 MFU851975:MFX851975 MPQ851975:MPT851975 MZM851975:MZP851975 NJI851975:NJL851975 NTE851975:NTH851975 ODA851975:ODD851975 OMW851975:OMZ851975 OWS851975:OWV851975 PGO851975:PGR851975 PQK851975:PQN851975 QAG851975:QAJ851975 QKC851975:QKF851975 QTY851975:QUB851975 RDU851975:RDX851975 RNQ851975:RNT851975 RXM851975:RXP851975 SHI851975:SHL851975 SRE851975:SRH851975 TBA851975:TBD851975 TKW851975:TKZ851975 TUS851975:TUV851975 UEO851975:UER851975 UOK851975:UON851975 UYG851975:UYJ851975 VIC851975:VIF851975 VRY851975:VSB851975 WBU851975:WBX851975 WLQ851975:WLT851975 WVM851975:WVP851975 E917511:H917511 JA917511:JD917511 SW917511:SZ917511 ACS917511:ACV917511 AMO917511:AMR917511 AWK917511:AWN917511 BGG917511:BGJ917511 BQC917511:BQF917511 BZY917511:CAB917511 CJU917511:CJX917511 CTQ917511:CTT917511 DDM917511:DDP917511 DNI917511:DNL917511 DXE917511:DXH917511 EHA917511:EHD917511 EQW917511:EQZ917511 FAS917511:FAV917511 FKO917511:FKR917511 FUK917511:FUN917511 GEG917511:GEJ917511 GOC917511:GOF917511 GXY917511:GYB917511 HHU917511:HHX917511 HRQ917511:HRT917511 IBM917511:IBP917511 ILI917511:ILL917511 IVE917511:IVH917511 JFA917511:JFD917511 JOW917511:JOZ917511 JYS917511:JYV917511 KIO917511:KIR917511 KSK917511:KSN917511 LCG917511:LCJ917511 LMC917511:LMF917511 LVY917511:LWB917511 MFU917511:MFX917511 MPQ917511:MPT917511 MZM917511:MZP917511 NJI917511:NJL917511 NTE917511:NTH917511 ODA917511:ODD917511 OMW917511:OMZ917511 OWS917511:OWV917511 PGO917511:PGR917511 PQK917511:PQN917511 QAG917511:QAJ917511 QKC917511:QKF917511 QTY917511:QUB917511 RDU917511:RDX917511 RNQ917511:RNT917511 RXM917511:RXP917511 SHI917511:SHL917511 SRE917511:SRH917511 TBA917511:TBD917511 TKW917511:TKZ917511 TUS917511:TUV917511 UEO917511:UER917511 UOK917511:UON917511 UYG917511:UYJ917511 VIC917511:VIF917511 VRY917511:VSB917511 WBU917511:WBX917511 WLQ917511:WLT917511 WVM917511:WVP917511 E983047:H983047 JA983047:JD983047 SW983047:SZ983047 ACS983047:ACV983047 AMO983047:AMR983047 AWK983047:AWN983047 BGG983047:BGJ983047 BQC983047:BQF983047 BZY983047:CAB983047 CJU983047:CJX983047 CTQ983047:CTT983047 DDM983047:DDP983047 DNI983047:DNL983047 DXE983047:DXH983047 EHA983047:EHD983047 EQW983047:EQZ983047 FAS983047:FAV983047 FKO983047:FKR983047 FUK983047:FUN983047 GEG983047:GEJ983047 GOC983047:GOF983047 GXY983047:GYB983047 HHU983047:HHX983047 HRQ983047:HRT983047 IBM983047:IBP983047 ILI983047:ILL983047 IVE983047:IVH983047 JFA983047:JFD983047 JOW983047:JOZ983047 JYS983047:JYV983047 KIO983047:KIR983047 KSK983047:KSN983047 LCG983047:LCJ983047 LMC983047:LMF983047 LVY983047:LWB983047 MFU983047:MFX983047 MPQ983047:MPT983047 MZM983047:MZP983047 NJI983047:NJL983047 NTE983047:NTH983047 ODA983047:ODD983047 OMW983047:OMZ983047 OWS983047:OWV983047 PGO983047:PGR983047 PQK983047:PQN983047 QAG983047:QAJ983047 QKC983047:QKF983047 QTY983047:QUB983047 RDU983047:RDX983047 RNQ983047:RNT983047 RXM983047:RXP983047 SHI983047:SHL983047 SRE983047:SRH983047 TBA983047:TBD983047 TKW983047:TKZ983047 TUS983047:TUV983047 UEO983047:UER983047 UOK983047:UON983047 UYG983047:UYJ983047 VIC983047:VIF983047 VRY983047:VSB983047 WBU983047:WBX983047 WLQ983047:WLT983047 WVM983047:WVP983047">
      <formula1>"关系1：100%直接控制的母子公司,关系2：受同一或相同多家居民企业100%直接控制   "</formula1>
    </dataValidation>
  </dataValidations>
  <pageMargins left="0.78740157480314998" right="0.35433070866141703" top="0.511811023622047" bottom="0.11811023622047198" header="0.511811023622047" footer="0.511811023622047"/>
  <pageSetup paperSize="9" scale="85" fitToHeight="0" orientation="portrait" blackAndWhite="1"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pageSetUpPr fitToPage="1"/>
  </sheetPr>
  <dimension ref="A1:F116"/>
  <sheetViews>
    <sheetView workbookViewId="0"/>
  </sheetViews>
  <sheetFormatPr defaultColWidth="9" defaultRowHeight="15.6"/>
  <cols>
    <col min="1" max="1" width="4.69921875" style="2671" customWidth="1"/>
    <col min="2" max="2" width="33" style="2671" customWidth="1"/>
    <col min="3" max="3" width="35.69921875" style="2671" customWidth="1"/>
    <col min="4" max="4" width="25.59765625" style="2671" customWidth="1"/>
    <col min="5" max="16384" width="9" style="2670"/>
  </cols>
  <sheetData>
    <row r="1" spans="1:6" ht="20.399999999999999">
      <c r="A1" s="2689"/>
      <c r="B1" s="2686"/>
      <c r="C1" s="2686"/>
      <c r="D1" s="2686"/>
    </row>
    <row r="2" spans="1:6" ht="26.25" customHeight="1">
      <c r="A2" s="4082" t="s">
        <v>10251</v>
      </c>
      <c r="B2" s="4082"/>
      <c r="C2" s="4082"/>
      <c r="D2" s="4082"/>
    </row>
    <row r="3" spans="1:6">
      <c r="A3" s="2688"/>
      <c r="B3" s="2687"/>
      <c r="C3" s="2687"/>
      <c r="D3" s="2686"/>
    </row>
    <row r="4" spans="1:6" ht="16.2" thickBot="1">
      <c r="A4" s="4083"/>
      <c r="B4" s="4084"/>
      <c r="C4" s="2685"/>
      <c r="D4" s="2684" t="s">
        <v>10250</v>
      </c>
    </row>
    <row r="5" spans="1:6" ht="15" customHeight="1">
      <c r="A5" s="2683" t="s">
        <v>10249</v>
      </c>
      <c r="B5" s="4085" t="s">
        <v>10248</v>
      </c>
      <c r="C5" s="4086"/>
      <c r="D5" s="2682" t="s">
        <v>10247</v>
      </c>
    </row>
    <row r="6" spans="1:6" ht="15" customHeight="1">
      <c r="A6" s="2676">
        <v>1</v>
      </c>
      <c r="B6" s="4068" t="s">
        <v>10246</v>
      </c>
      <c r="C6" s="4069"/>
      <c r="D6" s="2677">
        <f>SUM(D7:D9)</f>
        <v>0</v>
      </c>
      <c r="F6" s="2679"/>
    </row>
    <row r="7" spans="1:6" ht="15" customHeight="1">
      <c r="A7" s="2676">
        <v>1.1000000000000001</v>
      </c>
      <c r="B7" s="4080" t="s">
        <v>10245</v>
      </c>
      <c r="C7" s="2681" t="s">
        <v>10244</v>
      </c>
      <c r="D7" s="2675"/>
      <c r="F7" s="2679"/>
    </row>
    <row r="8" spans="1:6" ht="15" customHeight="1">
      <c r="A8" s="2676">
        <v>1.2</v>
      </c>
      <c r="B8" s="4081"/>
      <c r="C8" s="2681" t="s">
        <v>10243</v>
      </c>
      <c r="D8" s="2675"/>
      <c r="F8" s="2679"/>
    </row>
    <row r="9" spans="1:6" ht="15" customHeight="1">
      <c r="A9" s="2676">
        <v>1.3</v>
      </c>
      <c r="B9" s="4070" t="s">
        <v>10242</v>
      </c>
      <c r="C9" s="4071"/>
      <c r="D9" s="2675"/>
      <c r="F9" s="2679"/>
    </row>
    <row r="10" spans="1:6" ht="15" customHeight="1">
      <c r="A10" s="2676">
        <v>2</v>
      </c>
      <c r="B10" s="4068" t="s">
        <v>10241</v>
      </c>
      <c r="C10" s="4069"/>
      <c r="D10" s="2677">
        <f>SUM(D11:D18)</f>
        <v>0</v>
      </c>
      <c r="F10" s="2679"/>
    </row>
    <row r="11" spans="1:6" ht="15" customHeight="1">
      <c r="A11" s="2676">
        <v>2.1</v>
      </c>
      <c r="B11" s="4080" t="s">
        <v>10240</v>
      </c>
      <c r="C11" s="2680" t="s">
        <v>10239</v>
      </c>
      <c r="D11" s="2675"/>
      <c r="F11" s="2679"/>
    </row>
    <row r="12" spans="1:6" ht="15" customHeight="1">
      <c r="A12" s="2676">
        <v>2.2000000000000002</v>
      </c>
      <c r="B12" s="4091"/>
      <c r="C12" s="2680" t="s">
        <v>10238</v>
      </c>
      <c r="D12" s="2675"/>
      <c r="F12" s="2679"/>
    </row>
    <row r="13" spans="1:6" ht="15" customHeight="1">
      <c r="A13" s="2676">
        <v>2.2999999999999998</v>
      </c>
      <c r="B13" s="4081"/>
      <c r="C13" s="2680" t="s">
        <v>10237</v>
      </c>
      <c r="D13" s="2675"/>
      <c r="F13" s="2679"/>
    </row>
    <row r="14" spans="1:6" ht="15" customHeight="1">
      <c r="A14" s="2676">
        <v>2.4</v>
      </c>
      <c r="B14" s="4089" t="s">
        <v>10236</v>
      </c>
      <c r="C14" s="4090"/>
      <c r="D14" s="2675"/>
      <c r="F14" s="2679"/>
    </row>
    <row r="15" spans="1:6" ht="15" customHeight="1">
      <c r="A15" s="2676">
        <v>2.5</v>
      </c>
      <c r="B15" s="4089" t="s">
        <v>10235</v>
      </c>
      <c r="C15" s="4090"/>
      <c r="D15" s="2675"/>
      <c r="F15" s="2679"/>
    </row>
    <row r="16" spans="1:6" ht="15" customHeight="1">
      <c r="A16" s="2676">
        <v>2.6</v>
      </c>
      <c r="B16" s="4089" t="s">
        <v>10234</v>
      </c>
      <c r="C16" s="4090"/>
      <c r="D16" s="2675"/>
      <c r="F16" s="2679"/>
    </row>
    <row r="17" spans="1:6" ht="15" customHeight="1">
      <c r="A17" s="2676">
        <v>2.7</v>
      </c>
      <c r="B17" s="4089" t="s">
        <v>10233</v>
      </c>
      <c r="C17" s="4090"/>
      <c r="D17" s="2675"/>
      <c r="F17" s="2679"/>
    </row>
    <row r="18" spans="1:6" ht="15" customHeight="1">
      <c r="A18" s="2676">
        <v>2.8</v>
      </c>
      <c r="B18" s="4089" t="s">
        <v>10232</v>
      </c>
      <c r="C18" s="4090"/>
      <c r="D18" s="2675"/>
      <c r="F18" s="2679"/>
    </row>
    <row r="19" spans="1:6" ht="15" customHeight="1">
      <c r="A19" s="2676">
        <v>3</v>
      </c>
      <c r="B19" s="4087" t="s">
        <v>10231</v>
      </c>
      <c r="C19" s="4088"/>
      <c r="D19" s="2677">
        <f>SUM(D20:D21)</f>
        <v>0</v>
      </c>
      <c r="F19" s="2679"/>
    </row>
    <row r="20" spans="1:6" ht="15" customHeight="1">
      <c r="A20" s="2676">
        <v>3.1</v>
      </c>
      <c r="B20" s="4072" t="s">
        <v>10230</v>
      </c>
      <c r="C20" s="4073"/>
      <c r="D20" s="2675"/>
      <c r="F20" s="2679"/>
    </row>
    <row r="21" spans="1:6" ht="15" customHeight="1">
      <c r="A21" s="2676">
        <v>3.2</v>
      </c>
      <c r="B21" s="4072" t="s">
        <v>10229</v>
      </c>
      <c r="C21" s="4073"/>
      <c r="D21" s="2675"/>
      <c r="F21" s="2679"/>
    </row>
    <row r="22" spans="1:6" ht="15" customHeight="1">
      <c r="A22" s="2676">
        <v>4</v>
      </c>
      <c r="B22" s="4087" t="s">
        <v>10228</v>
      </c>
      <c r="C22" s="4088"/>
      <c r="D22" s="2677">
        <f>SUM(D23:D25)</f>
        <v>0</v>
      </c>
      <c r="F22" s="2679"/>
    </row>
    <row r="23" spans="1:6" ht="15" customHeight="1">
      <c r="A23" s="2676">
        <v>4.0999999999999996</v>
      </c>
      <c r="B23" s="4072" t="s">
        <v>10227</v>
      </c>
      <c r="C23" s="4071"/>
      <c r="D23" s="2675"/>
      <c r="F23" s="2679"/>
    </row>
    <row r="24" spans="1:6" ht="15" customHeight="1">
      <c r="A24" s="2676">
        <v>4.2</v>
      </c>
      <c r="B24" s="4072" t="s">
        <v>10226</v>
      </c>
      <c r="C24" s="4071"/>
      <c r="D24" s="2675"/>
      <c r="F24" s="2679"/>
    </row>
    <row r="25" spans="1:6" ht="15" customHeight="1">
      <c r="A25" s="2676">
        <v>4.3</v>
      </c>
      <c r="B25" s="4075" t="s">
        <v>10225</v>
      </c>
      <c r="C25" s="4076"/>
      <c r="D25" s="2675"/>
      <c r="F25" s="2679"/>
    </row>
    <row r="26" spans="1:6" ht="15" customHeight="1">
      <c r="A26" s="2676">
        <v>5</v>
      </c>
      <c r="B26" s="4077" t="s">
        <v>10224</v>
      </c>
      <c r="C26" s="4077"/>
      <c r="D26" s="2677">
        <f>SUM(D27:D30)</f>
        <v>0</v>
      </c>
      <c r="F26" s="2679"/>
    </row>
    <row r="27" spans="1:6" ht="15" customHeight="1">
      <c r="A27" s="2676">
        <v>5.0999999999999996</v>
      </c>
      <c r="B27" s="4075" t="s">
        <v>10223</v>
      </c>
      <c r="C27" s="4075"/>
      <c r="D27" s="2675"/>
      <c r="F27" s="2679"/>
    </row>
    <row r="28" spans="1:6" ht="15" customHeight="1">
      <c r="A28" s="2676">
        <v>5.2</v>
      </c>
      <c r="B28" s="4075" t="s">
        <v>10222</v>
      </c>
      <c r="C28" s="4075"/>
      <c r="D28" s="2675"/>
      <c r="F28" s="2679"/>
    </row>
    <row r="29" spans="1:6" ht="15" customHeight="1">
      <c r="A29" s="2676">
        <v>5.3</v>
      </c>
      <c r="B29" s="4075" t="s">
        <v>10221</v>
      </c>
      <c r="C29" s="4075"/>
      <c r="D29" s="2675"/>
      <c r="F29" s="2679"/>
    </row>
    <row r="30" spans="1:6" ht="15" customHeight="1">
      <c r="A30" s="2676">
        <v>5.4</v>
      </c>
      <c r="B30" s="4075" t="s">
        <v>10220</v>
      </c>
      <c r="C30" s="4075"/>
      <c r="D30" s="2675"/>
      <c r="F30" s="2679"/>
    </row>
    <row r="31" spans="1:6" ht="15" customHeight="1">
      <c r="A31" s="2676">
        <v>6</v>
      </c>
      <c r="B31" s="4078" t="s">
        <v>10219</v>
      </c>
      <c r="C31" s="4079"/>
      <c r="D31" s="2677">
        <f>SUM(D32:D71)</f>
        <v>0</v>
      </c>
    </row>
    <row r="32" spans="1:6" ht="15" customHeight="1">
      <c r="A32" s="2678" t="s">
        <v>10218</v>
      </c>
      <c r="B32" s="4063"/>
      <c r="C32" s="4064"/>
      <c r="D32" s="2675"/>
    </row>
    <row r="33" spans="1:4" ht="15" customHeight="1">
      <c r="A33" s="2678" t="s">
        <v>10217</v>
      </c>
      <c r="B33" s="4063"/>
      <c r="C33" s="4064"/>
      <c r="D33" s="2675"/>
    </row>
    <row r="34" spans="1:4" ht="15" customHeight="1">
      <c r="A34" s="2678" t="s">
        <v>10216</v>
      </c>
      <c r="B34" s="4063"/>
      <c r="C34" s="4064"/>
      <c r="D34" s="2675"/>
    </row>
    <row r="35" spans="1:4" ht="15" hidden="1" customHeight="1">
      <c r="A35" s="2678" t="s">
        <v>10215</v>
      </c>
      <c r="B35" s="4063"/>
      <c r="C35" s="4064"/>
      <c r="D35" s="2675"/>
    </row>
    <row r="36" spans="1:4" ht="15" hidden="1" customHeight="1">
      <c r="A36" s="2678" t="s">
        <v>10214</v>
      </c>
      <c r="B36" s="4063"/>
      <c r="C36" s="4064"/>
      <c r="D36" s="2675"/>
    </row>
    <row r="37" spans="1:4" ht="15" hidden="1" customHeight="1">
      <c r="A37" s="2678" t="s">
        <v>10213</v>
      </c>
      <c r="B37" s="4063"/>
      <c r="C37" s="4064"/>
      <c r="D37" s="2675"/>
    </row>
    <row r="38" spans="1:4" ht="15" hidden="1" customHeight="1">
      <c r="A38" s="2678" t="s">
        <v>10212</v>
      </c>
      <c r="B38" s="4063"/>
      <c r="C38" s="4064"/>
      <c r="D38" s="2675"/>
    </row>
    <row r="39" spans="1:4" ht="15" hidden="1" customHeight="1">
      <c r="A39" s="2678" t="s">
        <v>10211</v>
      </c>
      <c r="B39" s="4063"/>
      <c r="C39" s="4064"/>
      <c r="D39" s="2675"/>
    </row>
    <row r="40" spans="1:4" ht="15" hidden="1" customHeight="1">
      <c r="A40" s="2678" t="s">
        <v>10210</v>
      </c>
      <c r="B40" s="4063"/>
      <c r="C40" s="4064"/>
      <c r="D40" s="2675"/>
    </row>
    <row r="41" spans="1:4" ht="15" hidden="1" customHeight="1">
      <c r="A41" s="2678" t="s">
        <v>10209</v>
      </c>
      <c r="B41" s="4063"/>
      <c r="C41" s="4064"/>
      <c r="D41" s="2675"/>
    </row>
    <row r="42" spans="1:4" ht="15" hidden="1" customHeight="1">
      <c r="A42" s="2678" t="s">
        <v>10208</v>
      </c>
      <c r="B42" s="4063"/>
      <c r="C42" s="4064"/>
      <c r="D42" s="2675"/>
    </row>
    <row r="43" spans="1:4" ht="15" hidden="1" customHeight="1">
      <c r="A43" s="2678" t="s">
        <v>10207</v>
      </c>
      <c r="B43" s="4063"/>
      <c r="C43" s="4064"/>
      <c r="D43" s="2675"/>
    </row>
    <row r="44" spans="1:4" ht="15" hidden="1" customHeight="1">
      <c r="A44" s="2678" t="s">
        <v>10206</v>
      </c>
      <c r="B44" s="4063"/>
      <c r="C44" s="4064"/>
      <c r="D44" s="2675"/>
    </row>
    <row r="45" spans="1:4" ht="15" hidden="1" customHeight="1">
      <c r="A45" s="2678" t="s">
        <v>10205</v>
      </c>
      <c r="B45" s="4063"/>
      <c r="C45" s="4064"/>
      <c r="D45" s="2675"/>
    </row>
    <row r="46" spans="1:4" ht="15" hidden="1" customHeight="1">
      <c r="A46" s="2678" t="s">
        <v>10204</v>
      </c>
      <c r="B46" s="4063"/>
      <c r="C46" s="4064"/>
      <c r="D46" s="2675"/>
    </row>
    <row r="47" spans="1:4" ht="15" hidden="1" customHeight="1">
      <c r="A47" s="2678" t="s">
        <v>10203</v>
      </c>
      <c r="B47" s="4063"/>
      <c r="C47" s="4064"/>
      <c r="D47" s="2675"/>
    </row>
    <row r="48" spans="1:4" ht="15" hidden="1" customHeight="1">
      <c r="A48" s="2678" t="s">
        <v>10202</v>
      </c>
      <c r="B48" s="4063"/>
      <c r="C48" s="4064"/>
      <c r="D48" s="2675"/>
    </row>
    <row r="49" spans="1:4" ht="15" hidden="1" customHeight="1">
      <c r="A49" s="2678" t="s">
        <v>10201</v>
      </c>
      <c r="B49" s="4063"/>
      <c r="C49" s="4064"/>
      <c r="D49" s="2675"/>
    </row>
    <row r="50" spans="1:4" ht="15" hidden="1" customHeight="1">
      <c r="A50" s="2678" t="s">
        <v>10200</v>
      </c>
      <c r="B50" s="4063"/>
      <c r="C50" s="4064"/>
      <c r="D50" s="2675"/>
    </row>
    <row r="51" spans="1:4" ht="15" hidden="1" customHeight="1">
      <c r="A51" s="2678" t="s">
        <v>10199</v>
      </c>
      <c r="B51" s="4063"/>
      <c r="C51" s="4064"/>
      <c r="D51" s="2675"/>
    </row>
    <row r="52" spans="1:4" ht="15" hidden="1" customHeight="1">
      <c r="A52" s="2678" t="s">
        <v>10198</v>
      </c>
      <c r="B52" s="4063"/>
      <c r="C52" s="4064"/>
      <c r="D52" s="2675"/>
    </row>
    <row r="53" spans="1:4" ht="15" hidden="1" customHeight="1">
      <c r="A53" s="2678" t="s">
        <v>10197</v>
      </c>
      <c r="B53" s="4063"/>
      <c r="C53" s="4064"/>
      <c r="D53" s="2675"/>
    </row>
    <row r="54" spans="1:4" ht="15" hidden="1" customHeight="1">
      <c r="A54" s="2678" t="s">
        <v>10196</v>
      </c>
      <c r="B54" s="4063"/>
      <c r="C54" s="4064"/>
      <c r="D54" s="2675"/>
    </row>
    <row r="55" spans="1:4" ht="15" hidden="1" customHeight="1">
      <c r="A55" s="2678" t="s">
        <v>10195</v>
      </c>
      <c r="B55" s="4063"/>
      <c r="C55" s="4064"/>
      <c r="D55" s="2675"/>
    </row>
    <row r="56" spans="1:4" ht="15" hidden="1" customHeight="1">
      <c r="A56" s="2678" t="s">
        <v>10194</v>
      </c>
      <c r="B56" s="4063"/>
      <c r="C56" s="4064"/>
      <c r="D56" s="2675"/>
    </row>
    <row r="57" spans="1:4" ht="15" hidden="1" customHeight="1">
      <c r="A57" s="2678" t="s">
        <v>10193</v>
      </c>
      <c r="B57" s="4063"/>
      <c r="C57" s="4064"/>
      <c r="D57" s="2675"/>
    </row>
    <row r="58" spans="1:4" ht="15" hidden="1" customHeight="1">
      <c r="A58" s="2678" t="s">
        <v>10192</v>
      </c>
      <c r="B58" s="4063"/>
      <c r="C58" s="4064"/>
      <c r="D58" s="2675"/>
    </row>
    <row r="59" spans="1:4" ht="15" hidden="1" customHeight="1">
      <c r="A59" s="2678" t="s">
        <v>10191</v>
      </c>
      <c r="B59" s="4063"/>
      <c r="C59" s="4064"/>
      <c r="D59" s="2675"/>
    </row>
    <row r="60" spans="1:4" ht="15" hidden="1" customHeight="1">
      <c r="A60" s="2678" t="s">
        <v>10190</v>
      </c>
      <c r="B60" s="4063"/>
      <c r="C60" s="4064"/>
      <c r="D60" s="2675"/>
    </row>
    <row r="61" spans="1:4" ht="15" hidden="1" customHeight="1">
      <c r="A61" s="2678" t="s">
        <v>10189</v>
      </c>
      <c r="B61" s="4063"/>
      <c r="C61" s="4064"/>
      <c r="D61" s="2675"/>
    </row>
    <row r="62" spans="1:4" ht="15" hidden="1" customHeight="1">
      <c r="A62" s="2678" t="s">
        <v>10188</v>
      </c>
      <c r="B62" s="4063"/>
      <c r="C62" s="4064"/>
      <c r="D62" s="2675"/>
    </row>
    <row r="63" spans="1:4" ht="15" hidden="1" customHeight="1">
      <c r="A63" s="2678" t="s">
        <v>10187</v>
      </c>
      <c r="B63" s="4063"/>
      <c r="C63" s="4064"/>
      <c r="D63" s="2675"/>
    </row>
    <row r="64" spans="1:4" ht="15" hidden="1" customHeight="1">
      <c r="A64" s="2678" t="s">
        <v>10186</v>
      </c>
      <c r="B64" s="4063"/>
      <c r="C64" s="4064"/>
      <c r="D64" s="2675"/>
    </row>
    <row r="65" spans="1:4" ht="15" hidden="1" customHeight="1">
      <c r="A65" s="2678" t="s">
        <v>10185</v>
      </c>
      <c r="B65" s="4063"/>
      <c r="C65" s="4064"/>
      <c r="D65" s="2675"/>
    </row>
    <row r="66" spans="1:4" ht="15" hidden="1" customHeight="1">
      <c r="A66" s="2678" t="s">
        <v>10184</v>
      </c>
      <c r="B66" s="4063"/>
      <c r="C66" s="4064"/>
      <c r="D66" s="2675"/>
    </row>
    <row r="67" spans="1:4" ht="15" hidden="1" customHeight="1">
      <c r="A67" s="2678" t="s">
        <v>10183</v>
      </c>
      <c r="B67" s="4063"/>
      <c r="C67" s="4064"/>
      <c r="D67" s="2675"/>
    </row>
    <row r="68" spans="1:4" ht="15" hidden="1" customHeight="1">
      <c r="A68" s="2678" t="s">
        <v>10182</v>
      </c>
      <c r="B68" s="4063"/>
      <c r="C68" s="4064"/>
      <c r="D68" s="2675"/>
    </row>
    <row r="69" spans="1:4" ht="15" hidden="1" customHeight="1">
      <c r="A69" s="2678" t="s">
        <v>10181</v>
      </c>
      <c r="B69" s="4063"/>
      <c r="C69" s="4064"/>
      <c r="D69" s="2675"/>
    </row>
    <row r="70" spans="1:4" ht="15" hidden="1" customHeight="1">
      <c r="A70" s="2678" t="s">
        <v>10180</v>
      </c>
      <c r="B70" s="4063"/>
      <c r="C70" s="4064"/>
      <c r="D70" s="2675"/>
    </row>
    <row r="71" spans="1:4" ht="15" hidden="1" customHeight="1">
      <c r="A71" s="2678" t="s">
        <v>10179</v>
      </c>
      <c r="B71" s="4063"/>
      <c r="C71" s="4064"/>
      <c r="D71" s="2675"/>
    </row>
    <row r="72" spans="1:4" ht="15" customHeight="1">
      <c r="A72" s="2676">
        <v>7</v>
      </c>
      <c r="B72" s="4068" t="s">
        <v>10178</v>
      </c>
      <c r="C72" s="4069"/>
      <c r="D72" s="2675"/>
    </row>
    <row r="73" spans="1:4" ht="15" customHeight="1">
      <c r="A73" s="2676">
        <v>7.1</v>
      </c>
      <c r="B73" s="4070" t="s">
        <v>10177</v>
      </c>
      <c r="C73" s="4071"/>
      <c r="D73" s="2675"/>
    </row>
    <row r="74" spans="1:4" ht="15" customHeight="1">
      <c r="A74" s="2676">
        <v>8</v>
      </c>
      <c r="B74" s="4068" t="s">
        <v>10176</v>
      </c>
      <c r="C74" s="4069"/>
      <c r="D74" s="2677">
        <f>D6+D10+D19+D22+D26</f>
        <v>0</v>
      </c>
    </row>
    <row r="75" spans="1:4" ht="15" customHeight="1">
      <c r="A75" s="2676">
        <v>8.1</v>
      </c>
      <c r="B75" s="4072" t="s">
        <v>10175</v>
      </c>
      <c r="C75" s="4073"/>
      <c r="D75" s="2677">
        <f>ROUND(D74*0.1/0.9,2)</f>
        <v>0</v>
      </c>
    </row>
    <row r="76" spans="1:4" ht="15" customHeight="1">
      <c r="A76" s="2676">
        <v>9</v>
      </c>
      <c r="B76" s="4068" t="s">
        <v>10174</v>
      </c>
      <c r="C76" s="4069"/>
      <c r="D76" s="2675"/>
    </row>
    <row r="77" spans="1:4" ht="15" customHeight="1">
      <c r="A77" s="2676">
        <v>10</v>
      </c>
      <c r="B77" s="4068" t="s">
        <v>10173</v>
      </c>
      <c r="C77" s="4069"/>
      <c r="D77" s="2675"/>
    </row>
    <row r="78" spans="1:4" ht="15" customHeight="1">
      <c r="A78" s="2676">
        <v>10.1</v>
      </c>
      <c r="B78" s="4070" t="s">
        <v>10172</v>
      </c>
      <c r="C78" s="4071"/>
      <c r="D78" s="2675"/>
    </row>
    <row r="79" spans="1:4" ht="15" customHeight="1" thickBot="1">
      <c r="A79" s="2674">
        <v>11</v>
      </c>
      <c r="B79" s="4066" t="s">
        <v>10171</v>
      </c>
      <c r="C79" s="4067"/>
      <c r="D79" s="2673">
        <f>ROUND((D76+D78)*0.5,2)</f>
        <v>0</v>
      </c>
    </row>
    <row r="80" spans="1:4" ht="15" customHeight="1">
      <c r="A80" s="4074" t="s">
        <v>10170</v>
      </c>
      <c r="B80" s="4074"/>
      <c r="C80" s="4074"/>
      <c r="D80" s="4074"/>
    </row>
    <row r="81" spans="1:4" ht="15" customHeight="1">
      <c r="A81" s="4065" t="s">
        <v>10169</v>
      </c>
      <c r="B81" s="4065"/>
      <c r="C81" s="4065"/>
      <c r="D81" s="4065"/>
    </row>
    <row r="82" spans="1:4" ht="15" customHeight="1">
      <c r="A82" s="4065" t="s">
        <v>10168</v>
      </c>
      <c r="B82" s="4065"/>
      <c r="C82" s="4065"/>
      <c r="D82" s="4065"/>
    </row>
    <row r="83" spans="1:4" ht="15" customHeight="1">
      <c r="A83" s="4065" t="s">
        <v>10167</v>
      </c>
      <c r="B83" s="4065"/>
      <c r="C83" s="4065"/>
      <c r="D83" s="4065"/>
    </row>
    <row r="84" spans="1:4" ht="15" customHeight="1">
      <c r="A84" s="4065" t="s">
        <v>10166</v>
      </c>
      <c r="B84" s="4065"/>
      <c r="C84" s="4065"/>
      <c r="D84" s="4065"/>
    </row>
    <row r="85" spans="1:4" ht="15" customHeight="1">
      <c r="A85" s="4065" t="s">
        <v>10165</v>
      </c>
      <c r="B85" s="4065"/>
      <c r="C85" s="4065"/>
      <c r="D85" s="4065"/>
    </row>
    <row r="86" spans="1:4" ht="15" customHeight="1">
      <c r="A86" s="4065" t="s">
        <v>10164</v>
      </c>
      <c r="B86" s="4065"/>
      <c r="C86" s="4065"/>
      <c r="D86" s="4065"/>
    </row>
    <row r="87" spans="1:4" ht="15" customHeight="1">
      <c r="A87" s="4065" t="s">
        <v>10163</v>
      </c>
      <c r="B87" s="4065"/>
      <c r="C87" s="4065"/>
      <c r="D87" s="4065"/>
    </row>
    <row r="88" spans="1:4" ht="15" customHeight="1">
      <c r="A88" s="4065" t="s">
        <v>10162</v>
      </c>
      <c r="B88" s="4065"/>
      <c r="C88" s="4065"/>
      <c r="D88" s="4065"/>
    </row>
    <row r="89" spans="1:4" ht="15" customHeight="1">
      <c r="A89" s="4065" t="s">
        <v>10161</v>
      </c>
      <c r="B89" s="4065"/>
      <c r="C89" s="4065"/>
      <c r="D89" s="4065"/>
    </row>
    <row r="90" spans="1:4" ht="15" customHeight="1">
      <c r="A90" s="4065" t="s">
        <v>10160</v>
      </c>
      <c r="B90" s="4065"/>
      <c r="C90" s="4065"/>
      <c r="D90" s="4065"/>
    </row>
    <row r="91" spans="1:4" ht="30" customHeight="1">
      <c r="A91" s="4065" t="s">
        <v>10159</v>
      </c>
      <c r="B91" s="4065"/>
      <c r="C91" s="4065"/>
      <c r="D91" s="4065"/>
    </row>
    <row r="92" spans="1:4" ht="30" customHeight="1">
      <c r="A92" s="4065" t="s">
        <v>10158</v>
      </c>
      <c r="B92" s="4065"/>
      <c r="C92" s="4065"/>
      <c r="D92" s="4065"/>
    </row>
    <row r="93" spans="1:4" ht="15" customHeight="1">
      <c r="A93" s="4065" t="s">
        <v>10157</v>
      </c>
      <c r="B93" s="4065"/>
      <c r="C93" s="4065"/>
      <c r="D93" s="4065"/>
    </row>
    <row r="94" spans="1:4" ht="30" customHeight="1">
      <c r="A94" s="4065" t="s">
        <v>10156</v>
      </c>
      <c r="B94" s="4065"/>
      <c r="C94" s="4065"/>
      <c r="D94" s="4065"/>
    </row>
    <row r="95" spans="1:4" ht="26.25" customHeight="1">
      <c r="A95" s="4065" t="s">
        <v>10155</v>
      </c>
      <c r="B95" s="4065"/>
      <c r="C95" s="4065"/>
      <c r="D95" s="4065"/>
    </row>
    <row r="96" spans="1:4" ht="15" customHeight="1">
      <c r="A96" s="4065" t="s">
        <v>10154</v>
      </c>
      <c r="B96" s="4065"/>
      <c r="C96" s="4065"/>
      <c r="D96" s="4065"/>
    </row>
    <row r="97" spans="1:4" ht="15" customHeight="1">
      <c r="A97" s="4065" t="s">
        <v>10153</v>
      </c>
      <c r="B97" s="4065"/>
      <c r="C97" s="4065"/>
      <c r="D97" s="4065"/>
    </row>
    <row r="98" spans="1:4" ht="15" customHeight="1">
      <c r="A98" s="4065" t="s">
        <v>10152</v>
      </c>
      <c r="B98" s="4065"/>
      <c r="C98" s="4065"/>
      <c r="D98" s="4065"/>
    </row>
    <row r="99" spans="1:4" ht="15" customHeight="1">
      <c r="A99" s="4065" t="s">
        <v>10151</v>
      </c>
      <c r="B99" s="4065"/>
      <c r="C99" s="4065"/>
      <c r="D99" s="4065"/>
    </row>
    <row r="100" spans="1:4" ht="15" customHeight="1">
      <c r="A100" s="4065" t="s">
        <v>10150</v>
      </c>
      <c r="B100" s="4065"/>
      <c r="C100" s="4065"/>
      <c r="D100" s="4065"/>
    </row>
    <row r="101" spans="1:4" ht="16.5" customHeight="1">
      <c r="A101" s="4065" t="s">
        <v>10149</v>
      </c>
      <c r="B101" s="4065"/>
      <c r="C101" s="4065"/>
      <c r="D101" s="4065"/>
    </row>
    <row r="102" spans="1:4" ht="30" customHeight="1">
      <c r="A102" s="4065" t="s">
        <v>10148</v>
      </c>
      <c r="B102" s="4065"/>
      <c r="C102" s="4065"/>
      <c r="D102" s="4065"/>
    </row>
    <row r="103" spans="1:4" ht="15" customHeight="1">
      <c r="A103" s="4065" t="s">
        <v>10147</v>
      </c>
      <c r="B103" s="4065"/>
      <c r="C103" s="4065"/>
      <c r="D103" s="4065"/>
    </row>
    <row r="104" spans="1:4" ht="15" customHeight="1">
      <c r="A104" s="4065" t="s">
        <v>10146</v>
      </c>
      <c r="B104" s="4065"/>
      <c r="C104" s="4065"/>
      <c r="D104" s="4065"/>
    </row>
    <row r="105" spans="1:4" ht="15" customHeight="1">
      <c r="A105" s="4065" t="s">
        <v>10145</v>
      </c>
      <c r="B105" s="4065"/>
      <c r="C105" s="4065"/>
      <c r="D105" s="4065"/>
    </row>
    <row r="106" spans="1:4" ht="15" customHeight="1">
      <c r="A106" s="4065" t="s">
        <v>10144</v>
      </c>
      <c r="B106" s="4065"/>
      <c r="C106" s="4065"/>
      <c r="D106" s="4065"/>
    </row>
    <row r="107" spans="1:4" ht="15" customHeight="1">
      <c r="A107" s="4065" t="s">
        <v>10143</v>
      </c>
      <c r="B107" s="4065"/>
      <c r="C107" s="4065"/>
      <c r="D107" s="4065"/>
    </row>
    <row r="108" spans="1:4" ht="15" customHeight="1">
      <c r="A108" s="4065" t="s">
        <v>10142</v>
      </c>
      <c r="B108" s="4065"/>
      <c r="C108" s="4065"/>
      <c r="D108" s="4065"/>
    </row>
    <row r="109" spans="1:4" ht="15" customHeight="1">
      <c r="A109" s="4065" t="s">
        <v>10141</v>
      </c>
      <c r="B109" s="4065"/>
      <c r="C109" s="4065"/>
      <c r="D109" s="4065"/>
    </row>
    <row r="110" spans="1:4" ht="27.75" customHeight="1">
      <c r="A110" s="4065" t="s">
        <v>10140</v>
      </c>
      <c r="B110" s="4065"/>
      <c r="C110" s="4065"/>
      <c r="D110" s="4065"/>
    </row>
    <row r="111" spans="1:4" ht="26.25" customHeight="1">
      <c r="A111" s="4065" t="s">
        <v>10139</v>
      </c>
      <c r="B111" s="4065"/>
      <c r="C111" s="4065"/>
      <c r="D111" s="4065"/>
    </row>
    <row r="112" spans="1:4" ht="24.75" customHeight="1">
      <c r="A112" s="4065" t="s">
        <v>10138</v>
      </c>
      <c r="B112" s="4065"/>
      <c r="C112" s="4065"/>
      <c r="D112" s="4065"/>
    </row>
    <row r="113" spans="1:4" ht="17.25" customHeight="1">
      <c r="A113" s="4065" t="s">
        <v>10137</v>
      </c>
      <c r="B113" s="4065"/>
      <c r="C113" s="4065"/>
      <c r="D113" s="4065"/>
    </row>
    <row r="114" spans="1:4" ht="16.5" customHeight="1">
      <c r="A114" s="4065" t="s">
        <v>10136</v>
      </c>
      <c r="B114" s="4065"/>
      <c r="C114" s="4065"/>
      <c r="D114" s="4065"/>
    </row>
    <row r="115" spans="1:4" ht="24.75" customHeight="1">
      <c r="A115" s="4065" t="s">
        <v>10135</v>
      </c>
      <c r="B115" s="4065"/>
      <c r="C115" s="4065"/>
      <c r="D115" s="4065"/>
    </row>
    <row r="116" spans="1:4">
      <c r="A116" s="2672"/>
      <c r="D116" s="2672"/>
    </row>
  </sheetData>
  <mergeCells count="110">
    <mergeCell ref="B7:B8"/>
    <mergeCell ref="A2:D2"/>
    <mergeCell ref="A4:B4"/>
    <mergeCell ref="B5:C5"/>
    <mergeCell ref="B6:C6"/>
    <mergeCell ref="B23:C23"/>
    <mergeCell ref="B20:C20"/>
    <mergeCell ref="B21:C21"/>
    <mergeCell ref="B22:C22"/>
    <mergeCell ref="B19:C19"/>
    <mergeCell ref="B9:C9"/>
    <mergeCell ref="B16:C16"/>
    <mergeCell ref="B17:C17"/>
    <mergeCell ref="B18:C18"/>
    <mergeCell ref="B10:C10"/>
    <mergeCell ref="B11:B13"/>
    <mergeCell ref="B14:C14"/>
    <mergeCell ref="B15:C15"/>
    <mergeCell ref="B30:C30"/>
    <mergeCell ref="B54:C54"/>
    <mergeCell ref="B55:C55"/>
    <mergeCell ref="B56:C56"/>
    <mergeCell ref="B33:C33"/>
    <mergeCell ref="B49:C49"/>
    <mergeCell ref="B50:C50"/>
    <mergeCell ref="B51:C51"/>
    <mergeCell ref="B35:C35"/>
    <mergeCell ref="B32:C32"/>
    <mergeCell ref="B31:C31"/>
    <mergeCell ref="B34:C34"/>
    <mergeCell ref="B42:C42"/>
    <mergeCell ref="B43:C43"/>
    <mergeCell ref="B44:C44"/>
    <mergeCell ref="B45:C45"/>
    <mergeCell ref="B46:C46"/>
    <mergeCell ref="B47:C47"/>
    <mergeCell ref="B36:C36"/>
    <mergeCell ref="B37:C37"/>
    <mergeCell ref="B38:C38"/>
    <mergeCell ref="B39:C39"/>
    <mergeCell ref="B40:C40"/>
    <mergeCell ref="B41:C41"/>
    <mergeCell ref="B24:C24"/>
    <mergeCell ref="B25:C25"/>
    <mergeCell ref="B26:C26"/>
    <mergeCell ref="B27:C27"/>
    <mergeCell ref="B28:C28"/>
    <mergeCell ref="B29:C29"/>
    <mergeCell ref="B52:C52"/>
    <mergeCell ref="A115:D115"/>
    <mergeCell ref="A92:D92"/>
    <mergeCell ref="A94:D94"/>
    <mergeCell ref="A95:D95"/>
    <mergeCell ref="A101:D101"/>
    <mergeCell ref="A102:D102"/>
    <mergeCell ref="A104:D104"/>
    <mergeCell ref="A110:D110"/>
    <mergeCell ref="A111:D111"/>
    <mergeCell ref="A112:D112"/>
    <mergeCell ref="A97:D97"/>
    <mergeCell ref="A98:D98"/>
    <mergeCell ref="A93:D93"/>
    <mergeCell ref="A113:D113"/>
    <mergeCell ref="A114:D114"/>
    <mergeCell ref="B57:C57"/>
    <mergeCell ref="B58:C58"/>
    <mergeCell ref="B62:C62"/>
    <mergeCell ref="A105:D105"/>
    <mergeCell ref="A106:D106"/>
    <mergeCell ref="B65:C65"/>
    <mergeCell ref="A99:D99"/>
    <mergeCell ref="A107:D107"/>
    <mergeCell ref="A108:D108"/>
    <mergeCell ref="B78:C78"/>
    <mergeCell ref="B66:C66"/>
    <mergeCell ref="B67:C67"/>
    <mergeCell ref="A109:D109"/>
    <mergeCell ref="A100:D100"/>
    <mergeCell ref="A103:D103"/>
    <mergeCell ref="A88:D88"/>
    <mergeCell ref="A89:D89"/>
    <mergeCell ref="A90:D90"/>
    <mergeCell ref="A86:D86"/>
    <mergeCell ref="A87:D87"/>
    <mergeCell ref="A80:D80"/>
    <mergeCell ref="A81:D81"/>
    <mergeCell ref="B48:C48"/>
    <mergeCell ref="A82:D82"/>
    <mergeCell ref="A83:D83"/>
    <mergeCell ref="A96:D96"/>
    <mergeCell ref="B68:C68"/>
    <mergeCell ref="B69:C69"/>
    <mergeCell ref="B70:C70"/>
    <mergeCell ref="B71:C71"/>
    <mergeCell ref="B63:C63"/>
    <mergeCell ref="B64:C64"/>
    <mergeCell ref="B79:C79"/>
    <mergeCell ref="A91:D91"/>
    <mergeCell ref="B59:C59"/>
    <mergeCell ref="B72:C72"/>
    <mergeCell ref="B73:C73"/>
    <mergeCell ref="B74:C74"/>
    <mergeCell ref="B75:C75"/>
    <mergeCell ref="B76:C76"/>
    <mergeCell ref="B77:C77"/>
    <mergeCell ref="A84:D84"/>
    <mergeCell ref="A85:D85"/>
    <mergeCell ref="B53:C53"/>
    <mergeCell ref="B60:C60"/>
    <mergeCell ref="B61:C61"/>
  </mergeCells>
  <phoneticPr fontId="51" type="noConversion"/>
  <printOptions horizontalCentered="1"/>
  <pageMargins left="0.31496062992125984" right="0.31496062992125984" top="0.74803149606299213" bottom="0.74803149606299213" header="0.31496062992125984" footer="0.31496062992125984"/>
  <pageSetup paperSize="9" scale="92" fitToHeight="0" orientation="portrait" blackAndWhite="1"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pageSetUpPr fitToPage="1"/>
  </sheetPr>
  <dimension ref="A1:F79"/>
  <sheetViews>
    <sheetView workbookViewId="0">
      <selection activeCell="E8" sqref="E8"/>
    </sheetView>
  </sheetViews>
  <sheetFormatPr defaultColWidth="9" defaultRowHeight="15.6"/>
  <cols>
    <col min="1" max="1" width="4.69921875" style="2671" customWidth="1"/>
    <col min="2" max="2" width="33" style="2671" customWidth="1"/>
    <col min="3" max="3" width="35.69921875" style="2671" customWidth="1"/>
    <col min="4" max="4" width="25.59765625" style="2671" customWidth="1"/>
    <col min="5" max="16384" width="9" style="2670"/>
  </cols>
  <sheetData>
    <row r="1" spans="1:6" ht="20.399999999999999">
      <c r="A1" s="2689"/>
      <c r="B1" s="2686"/>
      <c r="C1" s="2686"/>
      <c r="D1" s="2686"/>
    </row>
    <row r="2" spans="1:6" ht="26.25" customHeight="1">
      <c r="A2" s="4082" t="s">
        <v>10286</v>
      </c>
      <c r="B2" s="4082"/>
      <c r="C2" s="4082"/>
      <c r="D2" s="4082"/>
    </row>
    <row r="3" spans="1:6">
      <c r="A3" s="2688"/>
      <c r="B3" s="2687"/>
      <c r="C3" s="2687"/>
      <c r="D3" s="2686"/>
    </row>
    <row r="4" spans="1:6" ht="16.2" thickBot="1">
      <c r="A4" s="4083"/>
      <c r="B4" s="4084"/>
      <c r="C4" s="2685"/>
      <c r="D4" s="2684" t="s">
        <v>10285</v>
      </c>
    </row>
    <row r="5" spans="1:6" ht="15" customHeight="1">
      <c r="A5" s="2683" t="s">
        <v>6715</v>
      </c>
      <c r="B5" s="4085" t="s">
        <v>10284</v>
      </c>
      <c r="C5" s="4086"/>
      <c r="D5" s="2682" t="s">
        <v>10283</v>
      </c>
    </row>
    <row r="6" spans="1:6" ht="15" customHeight="1">
      <c r="A6" s="2676">
        <v>1</v>
      </c>
      <c r="B6" s="4068" t="s">
        <v>10246</v>
      </c>
      <c r="C6" s="4069"/>
      <c r="D6" s="2677">
        <f>SUM(D7:D9)</f>
        <v>0</v>
      </c>
      <c r="F6" s="2679"/>
    </row>
    <row r="7" spans="1:6" ht="15" customHeight="1">
      <c r="A7" s="2676">
        <v>1.1000000000000001</v>
      </c>
      <c r="B7" s="4080" t="s">
        <v>10282</v>
      </c>
      <c r="C7" s="2681" t="s">
        <v>10281</v>
      </c>
      <c r="D7" s="2690">
        <f>研发加计扣除归集审核表!D7</f>
        <v>0</v>
      </c>
      <c r="F7" s="2679"/>
    </row>
    <row r="8" spans="1:6" ht="15" customHeight="1">
      <c r="A8" s="2676">
        <v>1.2</v>
      </c>
      <c r="B8" s="4081"/>
      <c r="C8" s="2681" t="s">
        <v>10280</v>
      </c>
      <c r="D8" s="2690">
        <f>研发加计扣除归集审核表!D8</f>
        <v>0</v>
      </c>
      <c r="F8" s="2679"/>
    </row>
    <row r="9" spans="1:6" ht="15" customHeight="1">
      <c r="A9" s="2676">
        <v>1.3</v>
      </c>
      <c r="B9" s="4070" t="s">
        <v>10279</v>
      </c>
      <c r="C9" s="4071"/>
      <c r="D9" s="2690">
        <f>研发加计扣除归集审核表!D9</f>
        <v>0</v>
      </c>
      <c r="F9" s="2679"/>
    </row>
    <row r="10" spans="1:6" ht="15" customHeight="1">
      <c r="A10" s="2676">
        <v>2</v>
      </c>
      <c r="B10" s="4068" t="s">
        <v>10278</v>
      </c>
      <c r="C10" s="4069"/>
      <c r="D10" s="2677">
        <f>SUM(D11:D18)</f>
        <v>0</v>
      </c>
      <c r="F10" s="2679"/>
    </row>
    <row r="11" spans="1:6" ht="15" customHeight="1">
      <c r="A11" s="2676">
        <v>2.1</v>
      </c>
      <c r="B11" s="4080" t="s">
        <v>10277</v>
      </c>
      <c r="C11" s="2680" t="s">
        <v>10276</v>
      </c>
      <c r="D11" s="2690">
        <f>研发加计扣除归集审核表!D11</f>
        <v>0</v>
      </c>
      <c r="F11" s="2679"/>
    </row>
    <row r="12" spans="1:6" ht="15" customHeight="1">
      <c r="A12" s="2676">
        <v>2.2000000000000002</v>
      </c>
      <c r="B12" s="4091"/>
      <c r="C12" s="2680" t="s">
        <v>10275</v>
      </c>
      <c r="D12" s="2690">
        <f>研发加计扣除归集审核表!D12</f>
        <v>0</v>
      </c>
      <c r="F12" s="2679"/>
    </row>
    <row r="13" spans="1:6" ht="15" customHeight="1">
      <c r="A13" s="2676">
        <v>2.2999999999999998</v>
      </c>
      <c r="B13" s="4081"/>
      <c r="C13" s="2680" t="s">
        <v>10237</v>
      </c>
      <c r="D13" s="2690">
        <f>研发加计扣除归集审核表!D13</f>
        <v>0</v>
      </c>
      <c r="F13" s="2679"/>
    </row>
    <row r="14" spans="1:6" ht="15" customHeight="1">
      <c r="A14" s="2676">
        <v>2.4</v>
      </c>
      <c r="B14" s="4089" t="s">
        <v>10274</v>
      </c>
      <c r="C14" s="4090"/>
      <c r="D14" s="2690">
        <f>研发加计扣除归集审核表!D14</f>
        <v>0</v>
      </c>
      <c r="F14" s="2679"/>
    </row>
    <row r="15" spans="1:6" ht="15" customHeight="1">
      <c r="A15" s="2676">
        <v>2.5</v>
      </c>
      <c r="B15" s="4089" t="s">
        <v>10273</v>
      </c>
      <c r="C15" s="4090"/>
      <c r="D15" s="2690">
        <f>研发加计扣除归集审核表!D15</f>
        <v>0</v>
      </c>
      <c r="F15" s="2679"/>
    </row>
    <row r="16" spans="1:6" ht="15" customHeight="1">
      <c r="A16" s="2676">
        <v>2.6</v>
      </c>
      <c r="B16" s="4089" t="s">
        <v>10272</v>
      </c>
      <c r="C16" s="4090"/>
      <c r="D16" s="2690">
        <f>研发加计扣除归集审核表!D16</f>
        <v>0</v>
      </c>
      <c r="F16" s="2679"/>
    </row>
    <row r="17" spans="1:6" ht="15" customHeight="1">
      <c r="A17" s="2676">
        <v>2.7</v>
      </c>
      <c r="B17" s="4089" t="s">
        <v>10271</v>
      </c>
      <c r="C17" s="4090"/>
      <c r="D17" s="2690">
        <f>研发加计扣除归集审核表!D17</f>
        <v>0</v>
      </c>
      <c r="F17" s="2679"/>
    </row>
    <row r="18" spans="1:6" ht="15" customHeight="1">
      <c r="A18" s="2676">
        <v>2.8</v>
      </c>
      <c r="B18" s="4089" t="s">
        <v>10270</v>
      </c>
      <c r="C18" s="4090"/>
      <c r="D18" s="2690">
        <f>研发加计扣除归集审核表!D18</f>
        <v>0</v>
      </c>
      <c r="F18" s="2679"/>
    </row>
    <row r="19" spans="1:6" ht="15" customHeight="1">
      <c r="A19" s="2676">
        <v>3</v>
      </c>
      <c r="B19" s="4087" t="s">
        <v>10231</v>
      </c>
      <c r="C19" s="4088"/>
      <c r="D19" s="2677">
        <f>SUM(D20:D21)</f>
        <v>0</v>
      </c>
      <c r="F19" s="2679"/>
    </row>
    <row r="20" spans="1:6" ht="15" customHeight="1">
      <c r="A20" s="2676">
        <v>3.1</v>
      </c>
      <c r="B20" s="4072" t="s">
        <v>10269</v>
      </c>
      <c r="C20" s="4073"/>
      <c r="D20" s="2690">
        <f>研发加计扣除归集审核表!D20</f>
        <v>0</v>
      </c>
      <c r="F20" s="2679"/>
    </row>
    <row r="21" spans="1:6" ht="15" customHeight="1">
      <c r="A21" s="2676">
        <v>3.2</v>
      </c>
      <c r="B21" s="4072" t="s">
        <v>10268</v>
      </c>
      <c r="C21" s="4073"/>
      <c r="D21" s="2690">
        <f>研发加计扣除归集审核表!D21</f>
        <v>0</v>
      </c>
      <c r="F21" s="2679"/>
    </row>
    <row r="22" spans="1:6" ht="15" customHeight="1">
      <c r="A22" s="2676">
        <v>4</v>
      </c>
      <c r="B22" s="4087" t="s">
        <v>10267</v>
      </c>
      <c r="C22" s="4088"/>
      <c r="D22" s="2677">
        <f>SUM(D23:D25)</f>
        <v>0</v>
      </c>
      <c r="F22" s="2679"/>
    </row>
    <row r="23" spans="1:6" ht="15" customHeight="1">
      <c r="A23" s="2676">
        <v>4.0999999999999996</v>
      </c>
      <c r="B23" s="4072" t="s">
        <v>10266</v>
      </c>
      <c r="C23" s="4071"/>
      <c r="D23" s="2690">
        <f>研发加计扣除归集审核表!D23</f>
        <v>0</v>
      </c>
      <c r="F23" s="2679"/>
    </row>
    <row r="24" spans="1:6" ht="15" customHeight="1">
      <c r="A24" s="2676">
        <v>4.2</v>
      </c>
      <c r="B24" s="4072" t="s">
        <v>10226</v>
      </c>
      <c r="C24" s="4071"/>
      <c r="D24" s="2690">
        <f>研发加计扣除归集审核表!D24</f>
        <v>0</v>
      </c>
      <c r="F24" s="2679"/>
    </row>
    <row r="25" spans="1:6" ht="15" customHeight="1">
      <c r="A25" s="2676">
        <v>4.3</v>
      </c>
      <c r="B25" s="4075" t="s">
        <v>10265</v>
      </c>
      <c r="C25" s="4076"/>
      <c r="D25" s="2690">
        <f>研发加计扣除归集审核表!D25</f>
        <v>0</v>
      </c>
      <c r="F25" s="2679"/>
    </row>
    <row r="26" spans="1:6" ht="15" customHeight="1">
      <c r="A26" s="2676">
        <v>5</v>
      </c>
      <c r="B26" s="4077" t="s">
        <v>10264</v>
      </c>
      <c r="C26" s="4077"/>
      <c r="D26" s="2677">
        <f>SUM(D27:D30)</f>
        <v>0</v>
      </c>
      <c r="F26" s="2679"/>
    </row>
    <row r="27" spans="1:6" ht="15" customHeight="1">
      <c r="A27" s="2676">
        <v>5.0999999999999996</v>
      </c>
      <c r="B27" s="4075" t="s">
        <v>10263</v>
      </c>
      <c r="C27" s="4075"/>
      <c r="D27" s="2690">
        <f>研发加计扣除归集审核表!D27</f>
        <v>0</v>
      </c>
      <c r="F27" s="2679"/>
    </row>
    <row r="28" spans="1:6" ht="15" customHeight="1">
      <c r="A28" s="2676">
        <v>5.2</v>
      </c>
      <c r="B28" s="4075" t="s">
        <v>10262</v>
      </c>
      <c r="C28" s="4075"/>
      <c r="D28" s="2690">
        <f>研发加计扣除归集审核表!D28</f>
        <v>0</v>
      </c>
      <c r="F28" s="2679"/>
    </row>
    <row r="29" spans="1:6" ht="15" customHeight="1">
      <c r="A29" s="2676">
        <v>5.3</v>
      </c>
      <c r="B29" s="4075" t="s">
        <v>10261</v>
      </c>
      <c r="C29" s="4075"/>
      <c r="D29" s="2690">
        <f>研发加计扣除归集审核表!D29</f>
        <v>0</v>
      </c>
      <c r="F29" s="2679"/>
    </row>
    <row r="30" spans="1:6" ht="15" customHeight="1">
      <c r="A30" s="2676">
        <v>5.4</v>
      </c>
      <c r="B30" s="4075" t="s">
        <v>10260</v>
      </c>
      <c r="C30" s="4075"/>
      <c r="D30" s="2690">
        <f>研发加计扣除归集审核表!D30</f>
        <v>0</v>
      </c>
      <c r="F30" s="2679"/>
    </row>
    <row r="31" spans="1:6" ht="15" customHeight="1">
      <c r="A31" s="2676">
        <v>6</v>
      </c>
      <c r="B31" s="4078" t="s">
        <v>10259</v>
      </c>
      <c r="C31" s="4079"/>
      <c r="D31" s="2677">
        <f>SUM(D32:D71)</f>
        <v>0</v>
      </c>
    </row>
    <row r="32" spans="1:6" ht="15" customHeight="1">
      <c r="A32" s="2678" t="s">
        <v>10258</v>
      </c>
      <c r="B32" s="4092" t="str">
        <f>研发加计扣除归集审核表!B32&amp;""</f>
        <v/>
      </c>
      <c r="C32" s="4093"/>
      <c r="D32" s="2690">
        <f>研发加计扣除归集审核表!D32</f>
        <v>0</v>
      </c>
    </row>
    <row r="33" spans="1:4" ht="15" customHeight="1">
      <c r="A33" s="2678" t="s">
        <v>10217</v>
      </c>
      <c r="B33" s="4092" t="str">
        <f>研发加计扣除归集审核表!B33&amp;""</f>
        <v/>
      </c>
      <c r="C33" s="4093"/>
      <c r="D33" s="2690">
        <f>研发加计扣除归集审核表!D33</f>
        <v>0</v>
      </c>
    </row>
    <row r="34" spans="1:4" ht="15" customHeight="1">
      <c r="A34" s="2678" t="s">
        <v>10216</v>
      </c>
      <c r="B34" s="4092" t="str">
        <f>研发加计扣除归集审核表!B34&amp;""</f>
        <v/>
      </c>
      <c r="C34" s="4093"/>
      <c r="D34" s="2690">
        <f>研发加计扣除归集审核表!D34</f>
        <v>0</v>
      </c>
    </row>
    <row r="35" spans="1:4" ht="15" customHeight="1">
      <c r="A35" s="2678" t="s">
        <v>10215</v>
      </c>
      <c r="B35" s="4092" t="str">
        <f>研发加计扣除归集审核表!B35&amp;""</f>
        <v/>
      </c>
      <c r="C35" s="4093"/>
      <c r="D35" s="2690">
        <f>研发加计扣除归集审核表!D35</f>
        <v>0</v>
      </c>
    </row>
    <row r="36" spans="1:4" ht="15" customHeight="1">
      <c r="A36" s="2678" t="s">
        <v>10214</v>
      </c>
      <c r="B36" s="4092" t="str">
        <f>研发加计扣除归集审核表!B36&amp;""</f>
        <v/>
      </c>
      <c r="C36" s="4093"/>
      <c r="D36" s="2690">
        <f>研发加计扣除归集审核表!D36</f>
        <v>0</v>
      </c>
    </row>
    <row r="37" spans="1:4" ht="15" customHeight="1">
      <c r="A37" s="2678" t="s">
        <v>10213</v>
      </c>
      <c r="B37" s="4092" t="str">
        <f>研发加计扣除归集审核表!B37&amp;""</f>
        <v/>
      </c>
      <c r="C37" s="4093"/>
      <c r="D37" s="2690">
        <f>研发加计扣除归集审核表!D37</f>
        <v>0</v>
      </c>
    </row>
    <row r="38" spans="1:4" ht="15" customHeight="1">
      <c r="A38" s="2678" t="s">
        <v>10212</v>
      </c>
      <c r="B38" s="4092" t="str">
        <f>研发加计扣除归集审核表!B38&amp;""</f>
        <v/>
      </c>
      <c r="C38" s="4093"/>
      <c r="D38" s="2690">
        <f>研发加计扣除归集审核表!D38</f>
        <v>0</v>
      </c>
    </row>
    <row r="39" spans="1:4" ht="15" customHeight="1">
      <c r="A39" s="2678" t="s">
        <v>10211</v>
      </c>
      <c r="B39" s="4092" t="str">
        <f>研发加计扣除归集审核表!B39&amp;""</f>
        <v/>
      </c>
      <c r="C39" s="4093"/>
      <c r="D39" s="2690">
        <f>研发加计扣除归集审核表!D39</f>
        <v>0</v>
      </c>
    </row>
    <row r="40" spans="1:4" ht="15" customHeight="1">
      <c r="A40" s="2678" t="s">
        <v>10210</v>
      </c>
      <c r="B40" s="4092" t="str">
        <f>研发加计扣除归集审核表!B40&amp;""</f>
        <v/>
      </c>
      <c r="C40" s="4093"/>
      <c r="D40" s="2690">
        <f>研发加计扣除归集审核表!D40</f>
        <v>0</v>
      </c>
    </row>
    <row r="41" spans="1:4" ht="15" customHeight="1">
      <c r="A41" s="2678" t="s">
        <v>10209</v>
      </c>
      <c r="B41" s="4092" t="str">
        <f>研发加计扣除归集审核表!B41&amp;""</f>
        <v/>
      </c>
      <c r="C41" s="4093"/>
      <c r="D41" s="2690">
        <f>研发加计扣除归集审核表!D41</f>
        <v>0</v>
      </c>
    </row>
    <row r="42" spans="1:4" ht="15" customHeight="1">
      <c r="A42" s="2678" t="s">
        <v>10208</v>
      </c>
      <c r="B42" s="4092" t="str">
        <f>研发加计扣除归集审核表!B42&amp;""</f>
        <v/>
      </c>
      <c r="C42" s="4093"/>
      <c r="D42" s="2690">
        <f>研发加计扣除归集审核表!D42</f>
        <v>0</v>
      </c>
    </row>
    <row r="43" spans="1:4" ht="15" customHeight="1">
      <c r="A43" s="2678" t="s">
        <v>10207</v>
      </c>
      <c r="B43" s="4092" t="str">
        <f>研发加计扣除归集审核表!B43&amp;""</f>
        <v/>
      </c>
      <c r="C43" s="4093"/>
      <c r="D43" s="2690">
        <f>研发加计扣除归集审核表!D43</f>
        <v>0</v>
      </c>
    </row>
    <row r="44" spans="1:4" ht="15" customHeight="1">
      <c r="A44" s="2678" t="s">
        <v>10206</v>
      </c>
      <c r="B44" s="4092" t="str">
        <f>研发加计扣除归集审核表!B44&amp;""</f>
        <v/>
      </c>
      <c r="C44" s="4093"/>
      <c r="D44" s="2690">
        <f>研发加计扣除归集审核表!D44</f>
        <v>0</v>
      </c>
    </row>
    <row r="45" spans="1:4" ht="15" customHeight="1">
      <c r="A45" s="2678" t="s">
        <v>10205</v>
      </c>
      <c r="B45" s="4092" t="str">
        <f>研发加计扣除归集审核表!B45&amp;""</f>
        <v/>
      </c>
      <c r="C45" s="4093"/>
      <c r="D45" s="2690">
        <f>研发加计扣除归集审核表!D45</f>
        <v>0</v>
      </c>
    </row>
    <row r="46" spans="1:4" ht="15" customHeight="1">
      <c r="A46" s="2678" t="s">
        <v>10204</v>
      </c>
      <c r="B46" s="4092" t="str">
        <f>研发加计扣除归集审核表!B46&amp;""</f>
        <v/>
      </c>
      <c r="C46" s="4093"/>
      <c r="D46" s="2690">
        <f>研发加计扣除归集审核表!D46</f>
        <v>0</v>
      </c>
    </row>
    <row r="47" spans="1:4" ht="15" customHeight="1">
      <c r="A47" s="2678" t="s">
        <v>10203</v>
      </c>
      <c r="B47" s="4092" t="str">
        <f>研发加计扣除归集审核表!B47&amp;""</f>
        <v/>
      </c>
      <c r="C47" s="4093"/>
      <c r="D47" s="2690">
        <f>研发加计扣除归集审核表!D47</f>
        <v>0</v>
      </c>
    </row>
    <row r="48" spans="1:4" ht="15" customHeight="1">
      <c r="A48" s="2678" t="s">
        <v>10202</v>
      </c>
      <c r="B48" s="4092" t="str">
        <f>研发加计扣除归集审核表!B48&amp;""</f>
        <v/>
      </c>
      <c r="C48" s="4093"/>
      <c r="D48" s="2690">
        <f>研发加计扣除归集审核表!D48</f>
        <v>0</v>
      </c>
    </row>
    <row r="49" spans="1:4" ht="15" customHeight="1">
      <c r="A49" s="2678" t="s">
        <v>10201</v>
      </c>
      <c r="B49" s="4092" t="str">
        <f>研发加计扣除归集审核表!B49&amp;""</f>
        <v/>
      </c>
      <c r="C49" s="4093"/>
      <c r="D49" s="2690">
        <f>研发加计扣除归集审核表!D49</f>
        <v>0</v>
      </c>
    </row>
    <row r="50" spans="1:4" ht="15" customHeight="1">
      <c r="A50" s="2678" t="s">
        <v>10200</v>
      </c>
      <c r="B50" s="4092" t="str">
        <f>研发加计扣除归集审核表!B50&amp;""</f>
        <v/>
      </c>
      <c r="C50" s="4093"/>
      <c r="D50" s="2690">
        <f>研发加计扣除归集审核表!D50</f>
        <v>0</v>
      </c>
    </row>
    <row r="51" spans="1:4" ht="15" customHeight="1">
      <c r="A51" s="2678" t="s">
        <v>10199</v>
      </c>
      <c r="B51" s="4092" t="str">
        <f>研发加计扣除归集审核表!B51&amp;""</f>
        <v/>
      </c>
      <c r="C51" s="4093"/>
      <c r="D51" s="2690">
        <f>研发加计扣除归集审核表!D51</f>
        <v>0</v>
      </c>
    </row>
    <row r="52" spans="1:4" ht="15" customHeight="1">
      <c r="A52" s="2678" t="s">
        <v>10198</v>
      </c>
      <c r="B52" s="4092" t="str">
        <f>研发加计扣除归集审核表!B52&amp;""</f>
        <v/>
      </c>
      <c r="C52" s="4093"/>
      <c r="D52" s="2690">
        <f>研发加计扣除归集审核表!D52</f>
        <v>0</v>
      </c>
    </row>
    <row r="53" spans="1:4" ht="15" customHeight="1">
      <c r="A53" s="2678" t="s">
        <v>10197</v>
      </c>
      <c r="B53" s="4092" t="str">
        <f>研发加计扣除归集审核表!B53&amp;""</f>
        <v/>
      </c>
      <c r="C53" s="4093"/>
      <c r="D53" s="2690">
        <f>研发加计扣除归集审核表!D53</f>
        <v>0</v>
      </c>
    </row>
    <row r="54" spans="1:4" ht="15" customHeight="1">
      <c r="A54" s="2678" t="s">
        <v>10196</v>
      </c>
      <c r="B54" s="4092" t="str">
        <f>研发加计扣除归集审核表!B54&amp;""</f>
        <v/>
      </c>
      <c r="C54" s="4093"/>
      <c r="D54" s="2690">
        <f>研发加计扣除归集审核表!D54</f>
        <v>0</v>
      </c>
    </row>
    <row r="55" spans="1:4" ht="15" customHeight="1">
      <c r="A55" s="2678" t="s">
        <v>10195</v>
      </c>
      <c r="B55" s="4092" t="str">
        <f>研发加计扣除归集审核表!B55&amp;""</f>
        <v/>
      </c>
      <c r="C55" s="4093"/>
      <c r="D55" s="2690">
        <f>研发加计扣除归集审核表!D55</f>
        <v>0</v>
      </c>
    </row>
    <row r="56" spans="1:4" ht="15" customHeight="1">
      <c r="A56" s="2678" t="s">
        <v>10194</v>
      </c>
      <c r="B56" s="4092" t="str">
        <f>研发加计扣除归集审核表!B56&amp;""</f>
        <v/>
      </c>
      <c r="C56" s="4093"/>
      <c r="D56" s="2690">
        <f>研发加计扣除归集审核表!D56</f>
        <v>0</v>
      </c>
    </row>
    <row r="57" spans="1:4" ht="15" customHeight="1">
      <c r="A57" s="2678" t="s">
        <v>10193</v>
      </c>
      <c r="B57" s="4092" t="str">
        <f>研发加计扣除归集审核表!B57&amp;""</f>
        <v/>
      </c>
      <c r="C57" s="4093"/>
      <c r="D57" s="2690">
        <f>研发加计扣除归集审核表!D57</f>
        <v>0</v>
      </c>
    </row>
    <row r="58" spans="1:4" ht="15" customHeight="1">
      <c r="A58" s="2678" t="s">
        <v>10192</v>
      </c>
      <c r="B58" s="4092" t="str">
        <f>研发加计扣除归集审核表!B58&amp;""</f>
        <v/>
      </c>
      <c r="C58" s="4093"/>
      <c r="D58" s="2690">
        <f>研发加计扣除归集审核表!D58</f>
        <v>0</v>
      </c>
    </row>
    <row r="59" spans="1:4" ht="15" customHeight="1">
      <c r="A59" s="2678" t="s">
        <v>10191</v>
      </c>
      <c r="B59" s="4092" t="str">
        <f>研发加计扣除归集审核表!B59&amp;""</f>
        <v/>
      </c>
      <c r="C59" s="4093"/>
      <c r="D59" s="2690">
        <f>研发加计扣除归集审核表!D59</f>
        <v>0</v>
      </c>
    </row>
    <row r="60" spans="1:4" ht="15" customHeight="1">
      <c r="A60" s="2678" t="s">
        <v>10190</v>
      </c>
      <c r="B60" s="4092" t="str">
        <f>研发加计扣除归集审核表!B60&amp;""</f>
        <v/>
      </c>
      <c r="C60" s="4093"/>
      <c r="D60" s="2690">
        <f>研发加计扣除归集审核表!D60</f>
        <v>0</v>
      </c>
    </row>
    <row r="61" spans="1:4" ht="15" customHeight="1">
      <c r="A61" s="2678" t="s">
        <v>10189</v>
      </c>
      <c r="B61" s="4092" t="str">
        <f>研发加计扣除归集审核表!B61&amp;""</f>
        <v/>
      </c>
      <c r="C61" s="4093"/>
      <c r="D61" s="2690">
        <f>研发加计扣除归集审核表!D61</f>
        <v>0</v>
      </c>
    </row>
    <row r="62" spans="1:4" ht="15" customHeight="1">
      <c r="A62" s="2678" t="s">
        <v>10188</v>
      </c>
      <c r="B62" s="4092" t="str">
        <f>研发加计扣除归集审核表!B62&amp;""</f>
        <v/>
      </c>
      <c r="C62" s="4093"/>
      <c r="D62" s="2690">
        <f>研发加计扣除归集审核表!D62</f>
        <v>0</v>
      </c>
    </row>
    <row r="63" spans="1:4" ht="15" customHeight="1">
      <c r="A63" s="2678" t="s">
        <v>10187</v>
      </c>
      <c r="B63" s="4092" t="str">
        <f>研发加计扣除归集审核表!B63&amp;""</f>
        <v/>
      </c>
      <c r="C63" s="4093"/>
      <c r="D63" s="2690">
        <f>研发加计扣除归集审核表!D63</f>
        <v>0</v>
      </c>
    </row>
    <row r="64" spans="1:4" ht="15" customHeight="1">
      <c r="A64" s="2678" t="s">
        <v>10186</v>
      </c>
      <c r="B64" s="4092" t="str">
        <f>研发加计扣除归集审核表!B64&amp;""</f>
        <v/>
      </c>
      <c r="C64" s="4093"/>
      <c r="D64" s="2690">
        <f>研发加计扣除归集审核表!D64</f>
        <v>0</v>
      </c>
    </row>
    <row r="65" spans="1:4" ht="15" customHeight="1">
      <c r="A65" s="2678" t="s">
        <v>10185</v>
      </c>
      <c r="B65" s="4092" t="str">
        <f>研发加计扣除归集审核表!B65&amp;""</f>
        <v/>
      </c>
      <c r="C65" s="4093"/>
      <c r="D65" s="2690">
        <f>研发加计扣除归集审核表!D65</f>
        <v>0</v>
      </c>
    </row>
    <row r="66" spans="1:4" ht="15" customHeight="1">
      <c r="A66" s="2678" t="s">
        <v>10184</v>
      </c>
      <c r="B66" s="4092" t="str">
        <f>研发加计扣除归集审核表!B66&amp;""</f>
        <v/>
      </c>
      <c r="C66" s="4093"/>
      <c r="D66" s="2690">
        <f>研发加计扣除归集审核表!D66</f>
        <v>0</v>
      </c>
    </row>
    <row r="67" spans="1:4" ht="15" customHeight="1">
      <c r="A67" s="2678" t="s">
        <v>10183</v>
      </c>
      <c r="B67" s="4092" t="str">
        <f>研发加计扣除归集审核表!B67&amp;""</f>
        <v/>
      </c>
      <c r="C67" s="4093"/>
      <c r="D67" s="2690">
        <f>研发加计扣除归集审核表!D67</f>
        <v>0</v>
      </c>
    </row>
    <row r="68" spans="1:4" ht="15" customHeight="1">
      <c r="A68" s="2678" t="s">
        <v>10182</v>
      </c>
      <c r="B68" s="4092" t="str">
        <f>研发加计扣除归集审核表!B68&amp;""</f>
        <v/>
      </c>
      <c r="C68" s="4093"/>
      <c r="D68" s="2690">
        <f>研发加计扣除归集审核表!D68</f>
        <v>0</v>
      </c>
    </row>
    <row r="69" spans="1:4" ht="15" customHeight="1">
      <c r="A69" s="2678" t="s">
        <v>10181</v>
      </c>
      <c r="B69" s="4092" t="str">
        <f>研发加计扣除归集审核表!B69&amp;""</f>
        <v/>
      </c>
      <c r="C69" s="4093"/>
      <c r="D69" s="2690">
        <f>研发加计扣除归集审核表!D69</f>
        <v>0</v>
      </c>
    </row>
    <row r="70" spans="1:4" ht="15" customHeight="1">
      <c r="A70" s="2678" t="s">
        <v>10180</v>
      </c>
      <c r="B70" s="4092" t="str">
        <f>研发加计扣除归集审核表!B70&amp;""</f>
        <v/>
      </c>
      <c r="C70" s="4093"/>
      <c r="D70" s="2690">
        <f>研发加计扣除归集审核表!D70</f>
        <v>0</v>
      </c>
    </row>
    <row r="71" spans="1:4" ht="15" customHeight="1">
      <c r="A71" s="2678" t="s">
        <v>10179</v>
      </c>
      <c r="B71" s="4092" t="str">
        <f>研发加计扣除归集审核表!B71&amp;""</f>
        <v/>
      </c>
      <c r="C71" s="4093"/>
      <c r="D71" s="2690">
        <f>研发加计扣除归集审核表!D71</f>
        <v>0</v>
      </c>
    </row>
    <row r="72" spans="1:4" ht="15" customHeight="1">
      <c r="A72" s="2676">
        <v>7</v>
      </c>
      <c r="B72" s="4068" t="s">
        <v>10178</v>
      </c>
      <c r="C72" s="4069"/>
      <c r="D72" s="2690">
        <f>研发加计扣除归集审核表!D72</f>
        <v>0</v>
      </c>
    </row>
    <row r="73" spans="1:4" ht="15" customHeight="1">
      <c r="A73" s="2676">
        <v>7.1</v>
      </c>
      <c r="B73" s="4070" t="s">
        <v>10257</v>
      </c>
      <c r="C73" s="4071"/>
      <c r="D73" s="2690">
        <f>研发加计扣除归集审核表!D73</f>
        <v>0</v>
      </c>
    </row>
    <row r="74" spans="1:4" ht="15" customHeight="1">
      <c r="A74" s="2676">
        <v>8</v>
      </c>
      <c r="B74" s="4068" t="s">
        <v>10256</v>
      </c>
      <c r="C74" s="4069"/>
      <c r="D74" s="2677">
        <f>D6+D10+D19+D22+D26</f>
        <v>0</v>
      </c>
    </row>
    <row r="75" spans="1:4" ht="15" customHeight="1">
      <c r="A75" s="2676">
        <v>8.1</v>
      </c>
      <c r="B75" s="4072" t="s">
        <v>10175</v>
      </c>
      <c r="C75" s="4073"/>
      <c r="D75" s="2677">
        <f>ROUND(D74*0.1/0.9,2)</f>
        <v>0</v>
      </c>
    </row>
    <row r="76" spans="1:4" ht="15" customHeight="1">
      <c r="A76" s="2676">
        <v>9</v>
      </c>
      <c r="B76" s="4068" t="s">
        <v>10255</v>
      </c>
      <c r="C76" s="4069"/>
      <c r="D76" s="2690">
        <f>研发加计扣除归集审核表!D76</f>
        <v>0</v>
      </c>
    </row>
    <row r="77" spans="1:4" ht="15" customHeight="1">
      <c r="A77" s="2676">
        <v>10</v>
      </c>
      <c r="B77" s="4068" t="s">
        <v>10254</v>
      </c>
      <c r="C77" s="4069"/>
      <c r="D77" s="2690">
        <f>研发加计扣除归集审核表!D77</f>
        <v>0</v>
      </c>
    </row>
    <row r="78" spans="1:4" ht="15" customHeight="1">
      <c r="A78" s="2676">
        <v>10.1</v>
      </c>
      <c r="B78" s="4070" t="s">
        <v>10253</v>
      </c>
      <c r="C78" s="4071"/>
      <c r="D78" s="2690">
        <f>研发加计扣除归集审核表!D78</f>
        <v>0</v>
      </c>
    </row>
    <row r="79" spans="1:4" ht="15" customHeight="1" thickBot="1">
      <c r="A79" s="2674">
        <v>11</v>
      </c>
      <c r="B79" s="4066" t="s">
        <v>10252</v>
      </c>
      <c r="C79" s="4067"/>
      <c r="D79" s="2673">
        <f>ROUND((D76+D78)*0.5,2)</f>
        <v>0</v>
      </c>
    </row>
  </sheetData>
  <mergeCells count="74">
    <mergeCell ref="A2:D2"/>
    <mergeCell ref="A4:B4"/>
    <mergeCell ref="B5:C5"/>
    <mergeCell ref="B6:C6"/>
    <mergeCell ref="B7:B8"/>
    <mergeCell ref="B17:C17"/>
    <mergeCell ref="B18:C18"/>
    <mergeCell ref="B19:C19"/>
    <mergeCell ref="B20:C20"/>
    <mergeCell ref="B9:C9"/>
    <mergeCell ref="B10:C10"/>
    <mergeCell ref="B11:B13"/>
    <mergeCell ref="B14:C14"/>
    <mergeCell ref="B15:C15"/>
    <mergeCell ref="B16:C16"/>
    <mergeCell ref="B21:C21"/>
    <mergeCell ref="B22:C22"/>
    <mergeCell ref="B35:C35"/>
    <mergeCell ref="B24:C24"/>
    <mergeCell ref="B25:C25"/>
    <mergeCell ref="B26:C26"/>
    <mergeCell ref="B27:C27"/>
    <mergeCell ref="B28:C28"/>
    <mergeCell ref="B29:C29"/>
    <mergeCell ref="B30:C30"/>
    <mergeCell ref="B23:C23"/>
    <mergeCell ref="B31:C31"/>
    <mergeCell ref="B32:C32"/>
    <mergeCell ref="B33:C33"/>
    <mergeCell ref="B34:C34"/>
    <mergeCell ref="B36:C36"/>
    <mergeCell ref="B37:C37"/>
    <mergeCell ref="B38:C38"/>
    <mergeCell ref="B39:C39"/>
    <mergeCell ref="B40:C40"/>
    <mergeCell ref="B53:C53"/>
    <mergeCell ref="B54:C54"/>
    <mergeCell ref="B55:C55"/>
    <mergeCell ref="B56:C56"/>
    <mergeCell ref="B41:C41"/>
    <mergeCell ref="B42:C42"/>
    <mergeCell ref="B43:C43"/>
    <mergeCell ref="B44:C44"/>
    <mergeCell ref="B45:C45"/>
    <mergeCell ref="B46:C46"/>
    <mergeCell ref="B48:C48"/>
    <mergeCell ref="B49:C49"/>
    <mergeCell ref="B50:C50"/>
    <mergeCell ref="B51:C51"/>
    <mergeCell ref="B52:C52"/>
    <mergeCell ref="B47:C47"/>
    <mergeCell ref="B57:C57"/>
    <mergeCell ref="B58:C58"/>
    <mergeCell ref="B71:C71"/>
    <mergeCell ref="B60:C60"/>
    <mergeCell ref="B61:C61"/>
    <mergeCell ref="B62:C62"/>
    <mergeCell ref="B63:C63"/>
    <mergeCell ref="B64:C64"/>
    <mergeCell ref="B65:C65"/>
    <mergeCell ref="B66:C66"/>
    <mergeCell ref="B59:C59"/>
    <mergeCell ref="B67:C67"/>
    <mergeCell ref="B68:C68"/>
    <mergeCell ref="B69:C69"/>
    <mergeCell ref="B70:C70"/>
    <mergeCell ref="B78:C78"/>
    <mergeCell ref="B79:C79"/>
    <mergeCell ref="B72:C72"/>
    <mergeCell ref="B73:C73"/>
    <mergeCell ref="B74:C74"/>
    <mergeCell ref="B75:C75"/>
    <mergeCell ref="B76:C76"/>
    <mergeCell ref="B77:C77"/>
  </mergeCells>
  <phoneticPr fontId="51" type="noConversion"/>
  <printOptions horizontalCentered="1"/>
  <pageMargins left="0.31496062992125984" right="0.31496062992125984" top="0.74803149606299213" bottom="0.74803149606299213" header="0.31496062992125984" footer="0.31496062992125984"/>
  <pageSetup paperSize="9" scale="92" fitToHeight="0" orientation="portrait" blackAndWhite="1"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1:G48"/>
  <sheetViews>
    <sheetView workbookViewId="0">
      <selection activeCell="H6" sqref="H6"/>
    </sheetView>
  </sheetViews>
  <sheetFormatPr defaultRowHeight="15.6"/>
  <cols>
    <col min="1" max="1" width="5.5" style="1498" bestFit="1" customWidth="1"/>
    <col min="2" max="2" width="7.3984375" style="1498" customWidth="1"/>
    <col min="3" max="4" width="13.59765625" style="1498" customWidth="1"/>
    <col min="5" max="5" width="32" style="1498" customWidth="1"/>
    <col min="6" max="6" width="21.3984375" style="1510" customWidth="1"/>
    <col min="7" max="7" width="12.59765625" style="1498" customWidth="1"/>
    <col min="8" max="256" width="9" style="1498"/>
    <col min="257" max="257" width="5.5" style="1498" bestFit="1" customWidth="1"/>
    <col min="258" max="258" width="7.3984375" style="1498" customWidth="1"/>
    <col min="259" max="260" width="13.59765625" style="1498" customWidth="1"/>
    <col min="261" max="261" width="32" style="1498" customWidth="1"/>
    <col min="262" max="262" width="21.3984375" style="1498" customWidth="1"/>
    <col min="263" max="263" width="12.59765625" style="1498" customWidth="1"/>
    <col min="264" max="512" width="9" style="1498"/>
    <col min="513" max="513" width="5.5" style="1498" bestFit="1" customWidth="1"/>
    <col min="514" max="514" width="7.3984375" style="1498" customWidth="1"/>
    <col min="515" max="516" width="13.59765625" style="1498" customWidth="1"/>
    <col min="517" max="517" width="32" style="1498" customWidth="1"/>
    <col min="518" max="518" width="21.3984375" style="1498" customWidth="1"/>
    <col min="519" max="519" width="12.59765625" style="1498" customWidth="1"/>
    <col min="520" max="768" width="9" style="1498"/>
    <col min="769" max="769" width="5.5" style="1498" bestFit="1" customWidth="1"/>
    <col min="770" max="770" width="7.3984375" style="1498" customWidth="1"/>
    <col min="771" max="772" width="13.59765625" style="1498" customWidth="1"/>
    <col min="773" max="773" width="32" style="1498" customWidth="1"/>
    <col min="774" max="774" width="21.3984375" style="1498" customWidth="1"/>
    <col min="775" max="775" width="12.59765625" style="1498" customWidth="1"/>
    <col min="776" max="1024" width="9" style="1498"/>
    <col min="1025" max="1025" width="5.5" style="1498" bestFit="1" customWidth="1"/>
    <col min="1026" max="1026" width="7.3984375" style="1498" customWidth="1"/>
    <col min="1027" max="1028" width="13.59765625" style="1498" customWidth="1"/>
    <col min="1029" max="1029" width="32" style="1498" customWidth="1"/>
    <col min="1030" max="1030" width="21.3984375" style="1498" customWidth="1"/>
    <col min="1031" max="1031" width="12.59765625" style="1498" customWidth="1"/>
    <col min="1032" max="1280" width="9" style="1498"/>
    <col min="1281" max="1281" width="5.5" style="1498" bestFit="1" customWidth="1"/>
    <col min="1282" max="1282" width="7.3984375" style="1498" customWidth="1"/>
    <col min="1283" max="1284" width="13.59765625" style="1498" customWidth="1"/>
    <col min="1285" max="1285" width="32" style="1498" customWidth="1"/>
    <col min="1286" max="1286" width="21.3984375" style="1498" customWidth="1"/>
    <col min="1287" max="1287" width="12.59765625" style="1498" customWidth="1"/>
    <col min="1288" max="1536" width="9" style="1498"/>
    <col min="1537" max="1537" width="5.5" style="1498" bestFit="1" customWidth="1"/>
    <col min="1538" max="1538" width="7.3984375" style="1498" customWidth="1"/>
    <col min="1539" max="1540" width="13.59765625" style="1498" customWidth="1"/>
    <col min="1541" max="1541" width="32" style="1498" customWidth="1"/>
    <col min="1542" max="1542" width="21.3984375" style="1498" customWidth="1"/>
    <col min="1543" max="1543" width="12.59765625" style="1498" customWidth="1"/>
    <col min="1544" max="1792" width="9" style="1498"/>
    <col min="1793" max="1793" width="5.5" style="1498" bestFit="1" customWidth="1"/>
    <col min="1794" max="1794" width="7.3984375" style="1498" customWidth="1"/>
    <col min="1795" max="1796" width="13.59765625" style="1498" customWidth="1"/>
    <col min="1797" max="1797" width="32" style="1498" customWidth="1"/>
    <col min="1798" max="1798" width="21.3984375" style="1498" customWidth="1"/>
    <col min="1799" max="1799" width="12.59765625" style="1498" customWidth="1"/>
    <col min="1800" max="2048" width="9" style="1498"/>
    <col min="2049" max="2049" width="5.5" style="1498" bestFit="1" customWidth="1"/>
    <col min="2050" max="2050" width="7.3984375" style="1498" customWidth="1"/>
    <col min="2051" max="2052" width="13.59765625" style="1498" customWidth="1"/>
    <col min="2053" max="2053" width="32" style="1498" customWidth="1"/>
    <col min="2054" max="2054" width="21.3984375" style="1498" customWidth="1"/>
    <col min="2055" max="2055" width="12.59765625" style="1498" customWidth="1"/>
    <col min="2056" max="2304" width="9" style="1498"/>
    <col min="2305" max="2305" width="5.5" style="1498" bestFit="1" customWidth="1"/>
    <col min="2306" max="2306" width="7.3984375" style="1498" customWidth="1"/>
    <col min="2307" max="2308" width="13.59765625" style="1498" customWidth="1"/>
    <col min="2309" max="2309" width="32" style="1498" customWidth="1"/>
    <col min="2310" max="2310" width="21.3984375" style="1498" customWidth="1"/>
    <col min="2311" max="2311" width="12.59765625" style="1498" customWidth="1"/>
    <col min="2312" max="2560" width="9" style="1498"/>
    <col min="2561" max="2561" width="5.5" style="1498" bestFit="1" customWidth="1"/>
    <col min="2562" max="2562" width="7.3984375" style="1498" customWidth="1"/>
    <col min="2563" max="2564" width="13.59765625" style="1498" customWidth="1"/>
    <col min="2565" max="2565" width="32" style="1498" customWidth="1"/>
    <col min="2566" max="2566" width="21.3984375" style="1498" customWidth="1"/>
    <col min="2567" max="2567" width="12.59765625" style="1498" customWidth="1"/>
    <col min="2568" max="2816" width="9" style="1498"/>
    <col min="2817" max="2817" width="5.5" style="1498" bestFit="1" customWidth="1"/>
    <col min="2818" max="2818" width="7.3984375" style="1498" customWidth="1"/>
    <col min="2819" max="2820" width="13.59765625" style="1498" customWidth="1"/>
    <col min="2821" max="2821" width="32" style="1498" customWidth="1"/>
    <col min="2822" max="2822" width="21.3984375" style="1498" customWidth="1"/>
    <col min="2823" max="2823" width="12.59765625" style="1498" customWidth="1"/>
    <col min="2824" max="3072" width="9" style="1498"/>
    <col min="3073" max="3073" width="5.5" style="1498" bestFit="1" customWidth="1"/>
    <col min="3074" max="3074" width="7.3984375" style="1498" customWidth="1"/>
    <col min="3075" max="3076" width="13.59765625" style="1498" customWidth="1"/>
    <col min="3077" max="3077" width="32" style="1498" customWidth="1"/>
    <col min="3078" max="3078" width="21.3984375" style="1498" customWidth="1"/>
    <col min="3079" max="3079" width="12.59765625" style="1498" customWidth="1"/>
    <col min="3080" max="3328" width="9" style="1498"/>
    <col min="3329" max="3329" width="5.5" style="1498" bestFit="1" customWidth="1"/>
    <col min="3330" max="3330" width="7.3984375" style="1498" customWidth="1"/>
    <col min="3331" max="3332" width="13.59765625" style="1498" customWidth="1"/>
    <col min="3333" max="3333" width="32" style="1498" customWidth="1"/>
    <col min="3334" max="3334" width="21.3984375" style="1498" customWidth="1"/>
    <col min="3335" max="3335" width="12.59765625" style="1498" customWidth="1"/>
    <col min="3336" max="3584" width="9" style="1498"/>
    <col min="3585" max="3585" width="5.5" style="1498" bestFit="1" customWidth="1"/>
    <col min="3586" max="3586" width="7.3984375" style="1498" customWidth="1"/>
    <col min="3587" max="3588" width="13.59765625" style="1498" customWidth="1"/>
    <col min="3589" max="3589" width="32" style="1498" customWidth="1"/>
    <col min="3590" max="3590" width="21.3984375" style="1498" customWidth="1"/>
    <col min="3591" max="3591" width="12.59765625" style="1498" customWidth="1"/>
    <col min="3592" max="3840" width="9" style="1498"/>
    <col min="3841" max="3841" width="5.5" style="1498" bestFit="1" customWidth="1"/>
    <col min="3842" max="3842" width="7.3984375" style="1498" customWidth="1"/>
    <col min="3843" max="3844" width="13.59765625" style="1498" customWidth="1"/>
    <col min="3845" max="3845" width="32" style="1498" customWidth="1"/>
    <col min="3846" max="3846" width="21.3984375" style="1498" customWidth="1"/>
    <col min="3847" max="3847" width="12.59765625" style="1498" customWidth="1"/>
    <col min="3848" max="4096" width="9" style="1498"/>
    <col min="4097" max="4097" width="5.5" style="1498" bestFit="1" customWidth="1"/>
    <col min="4098" max="4098" width="7.3984375" style="1498" customWidth="1"/>
    <col min="4099" max="4100" width="13.59765625" style="1498" customWidth="1"/>
    <col min="4101" max="4101" width="32" style="1498" customWidth="1"/>
    <col min="4102" max="4102" width="21.3984375" style="1498" customWidth="1"/>
    <col min="4103" max="4103" width="12.59765625" style="1498" customWidth="1"/>
    <col min="4104" max="4352" width="9" style="1498"/>
    <col min="4353" max="4353" width="5.5" style="1498" bestFit="1" customWidth="1"/>
    <col min="4354" max="4354" width="7.3984375" style="1498" customWidth="1"/>
    <col min="4355" max="4356" width="13.59765625" style="1498" customWidth="1"/>
    <col min="4357" max="4357" width="32" style="1498" customWidth="1"/>
    <col min="4358" max="4358" width="21.3984375" style="1498" customWidth="1"/>
    <col min="4359" max="4359" width="12.59765625" style="1498" customWidth="1"/>
    <col min="4360" max="4608" width="9" style="1498"/>
    <col min="4609" max="4609" width="5.5" style="1498" bestFit="1" customWidth="1"/>
    <col min="4610" max="4610" width="7.3984375" style="1498" customWidth="1"/>
    <col min="4611" max="4612" width="13.59765625" style="1498" customWidth="1"/>
    <col min="4613" max="4613" width="32" style="1498" customWidth="1"/>
    <col min="4614" max="4614" width="21.3984375" style="1498" customWidth="1"/>
    <col min="4615" max="4615" width="12.59765625" style="1498" customWidth="1"/>
    <col min="4616" max="4864" width="9" style="1498"/>
    <col min="4865" max="4865" width="5.5" style="1498" bestFit="1" customWidth="1"/>
    <col min="4866" max="4866" width="7.3984375" style="1498" customWidth="1"/>
    <col min="4867" max="4868" width="13.59765625" style="1498" customWidth="1"/>
    <col min="4869" max="4869" width="32" style="1498" customWidth="1"/>
    <col min="4870" max="4870" width="21.3984375" style="1498" customWidth="1"/>
    <col min="4871" max="4871" width="12.59765625" style="1498" customWidth="1"/>
    <col min="4872" max="5120" width="9" style="1498"/>
    <col min="5121" max="5121" width="5.5" style="1498" bestFit="1" customWidth="1"/>
    <col min="5122" max="5122" width="7.3984375" style="1498" customWidth="1"/>
    <col min="5123" max="5124" width="13.59765625" style="1498" customWidth="1"/>
    <col min="5125" max="5125" width="32" style="1498" customWidth="1"/>
    <col min="5126" max="5126" width="21.3984375" style="1498" customWidth="1"/>
    <col min="5127" max="5127" width="12.59765625" style="1498" customWidth="1"/>
    <col min="5128" max="5376" width="9" style="1498"/>
    <col min="5377" max="5377" width="5.5" style="1498" bestFit="1" customWidth="1"/>
    <col min="5378" max="5378" width="7.3984375" style="1498" customWidth="1"/>
    <col min="5379" max="5380" width="13.59765625" style="1498" customWidth="1"/>
    <col min="5381" max="5381" width="32" style="1498" customWidth="1"/>
    <col min="5382" max="5382" width="21.3984375" style="1498" customWidth="1"/>
    <col min="5383" max="5383" width="12.59765625" style="1498" customWidth="1"/>
    <col min="5384" max="5632" width="9" style="1498"/>
    <col min="5633" max="5633" width="5.5" style="1498" bestFit="1" customWidth="1"/>
    <col min="5634" max="5634" width="7.3984375" style="1498" customWidth="1"/>
    <col min="5635" max="5636" width="13.59765625" style="1498" customWidth="1"/>
    <col min="5637" max="5637" width="32" style="1498" customWidth="1"/>
    <col min="5638" max="5638" width="21.3984375" style="1498" customWidth="1"/>
    <col min="5639" max="5639" width="12.59765625" style="1498" customWidth="1"/>
    <col min="5640" max="5888" width="9" style="1498"/>
    <col min="5889" max="5889" width="5.5" style="1498" bestFit="1" customWidth="1"/>
    <col min="5890" max="5890" width="7.3984375" style="1498" customWidth="1"/>
    <col min="5891" max="5892" width="13.59765625" style="1498" customWidth="1"/>
    <col min="5893" max="5893" width="32" style="1498" customWidth="1"/>
    <col min="5894" max="5894" width="21.3984375" style="1498" customWidth="1"/>
    <col min="5895" max="5895" width="12.59765625" style="1498" customWidth="1"/>
    <col min="5896" max="6144" width="9" style="1498"/>
    <col min="6145" max="6145" width="5.5" style="1498" bestFit="1" customWidth="1"/>
    <col min="6146" max="6146" width="7.3984375" style="1498" customWidth="1"/>
    <col min="6147" max="6148" width="13.59765625" style="1498" customWidth="1"/>
    <col min="6149" max="6149" width="32" style="1498" customWidth="1"/>
    <col min="6150" max="6150" width="21.3984375" style="1498" customWidth="1"/>
    <col min="6151" max="6151" width="12.59765625" style="1498" customWidth="1"/>
    <col min="6152" max="6400" width="9" style="1498"/>
    <col min="6401" max="6401" width="5.5" style="1498" bestFit="1" customWidth="1"/>
    <col min="6402" max="6402" width="7.3984375" style="1498" customWidth="1"/>
    <col min="6403" max="6404" width="13.59765625" style="1498" customWidth="1"/>
    <col min="6405" max="6405" width="32" style="1498" customWidth="1"/>
    <col min="6406" max="6406" width="21.3984375" style="1498" customWidth="1"/>
    <col min="6407" max="6407" width="12.59765625" style="1498" customWidth="1"/>
    <col min="6408" max="6656" width="9" style="1498"/>
    <col min="6657" max="6657" width="5.5" style="1498" bestFit="1" customWidth="1"/>
    <col min="6658" max="6658" width="7.3984375" style="1498" customWidth="1"/>
    <col min="6659" max="6660" width="13.59765625" style="1498" customWidth="1"/>
    <col min="6661" max="6661" width="32" style="1498" customWidth="1"/>
    <col min="6662" max="6662" width="21.3984375" style="1498" customWidth="1"/>
    <col min="6663" max="6663" width="12.59765625" style="1498" customWidth="1"/>
    <col min="6664" max="6912" width="9" style="1498"/>
    <col min="6913" max="6913" width="5.5" style="1498" bestFit="1" customWidth="1"/>
    <col min="6914" max="6914" width="7.3984375" style="1498" customWidth="1"/>
    <col min="6915" max="6916" width="13.59765625" style="1498" customWidth="1"/>
    <col min="6917" max="6917" width="32" style="1498" customWidth="1"/>
    <col min="6918" max="6918" width="21.3984375" style="1498" customWidth="1"/>
    <col min="6919" max="6919" width="12.59765625" style="1498" customWidth="1"/>
    <col min="6920" max="7168" width="9" style="1498"/>
    <col min="7169" max="7169" width="5.5" style="1498" bestFit="1" customWidth="1"/>
    <col min="7170" max="7170" width="7.3984375" style="1498" customWidth="1"/>
    <col min="7171" max="7172" width="13.59765625" style="1498" customWidth="1"/>
    <col min="7173" max="7173" width="32" style="1498" customWidth="1"/>
    <col min="7174" max="7174" width="21.3984375" style="1498" customWidth="1"/>
    <col min="7175" max="7175" width="12.59765625" style="1498" customWidth="1"/>
    <col min="7176" max="7424" width="9" style="1498"/>
    <col min="7425" max="7425" width="5.5" style="1498" bestFit="1" customWidth="1"/>
    <col min="7426" max="7426" width="7.3984375" style="1498" customWidth="1"/>
    <col min="7427" max="7428" width="13.59765625" style="1498" customWidth="1"/>
    <col min="7429" max="7429" width="32" style="1498" customWidth="1"/>
    <col min="7430" max="7430" width="21.3984375" style="1498" customWidth="1"/>
    <col min="7431" max="7431" width="12.59765625" style="1498" customWidth="1"/>
    <col min="7432" max="7680" width="9" style="1498"/>
    <col min="7681" max="7681" width="5.5" style="1498" bestFit="1" customWidth="1"/>
    <col min="7682" max="7682" width="7.3984375" style="1498" customWidth="1"/>
    <col min="7683" max="7684" width="13.59765625" style="1498" customWidth="1"/>
    <col min="7685" max="7685" width="32" style="1498" customWidth="1"/>
    <col min="7686" max="7686" width="21.3984375" style="1498" customWidth="1"/>
    <col min="7687" max="7687" width="12.59765625" style="1498" customWidth="1"/>
    <col min="7688" max="7936" width="9" style="1498"/>
    <col min="7937" max="7937" width="5.5" style="1498" bestFit="1" customWidth="1"/>
    <col min="7938" max="7938" width="7.3984375" style="1498" customWidth="1"/>
    <col min="7939" max="7940" width="13.59765625" style="1498" customWidth="1"/>
    <col min="7941" max="7941" width="32" style="1498" customWidth="1"/>
    <col min="7942" max="7942" width="21.3984375" style="1498" customWidth="1"/>
    <col min="7943" max="7943" width="12.59765625" style="1498" customWidth="1"/>
    <col min="7944" max="8192" width="9" style="1498"/>
    <col min="8193" max="8193" width="5.5" style="1498" bestFit="1" customWidth="1"/>
    <col min="8194" max="8194" width="7.3984375" style="1498" customWidth="1"/>
    <col min="8195" max="8196" width="13.59765625" style="1498" customWidth="1"/>
    <col min="8197" max="8197" width="32" style="1498" customWidth="1"/>
    <col min="8198" max="8198" width="21.3984375" style="1498" customWidth="1"/>
    <col min="8199" max="8199" width="12.59765625" style="1498" customWidth="1"/>
    <col min="8200" max="8448" width="9" style="1498"/>
    <col min="8449" max="8449" width="5.5" style="1498" bestFit="1" customWidth="1"/>
    <col min="8450" max="8450" width="7.3984375" style="1498" customWidth="1"/>
    <col min="8451" max="8452" width="13.59765625" style="1498" customWidth="1"/>
    <col min="8453" max="8453" width="32" style="1498" customWidth="1"/>
    <col min="8454" max="8454" width="21.3984375" style="1498" customWidth="1"/>
    <col min="8455" max="8455" width="12.59765625" style="1498" customWidth="1"/>
    <col min="8456" max="8704" width="9" style="1498"/>
    <col min="8705" max="8705" width="5.5" style="1498" bestFit="1" customWidth="1"/>
    <col min="8706" max="8706" width="7.3984375" style="1498" customWidth="1"/>
    <col min="8707" max="8708" width="13.59765625" style="1498" customWidth="1"/>
    <col min="8709" max="8709" width="32" style="1498" customWidth="1"/>
    <col min="8710" max="8710" width="21.3984375" style="1498" customWidth="1"/>
    <col min="8711" max="8711" width="12.59765625" style="1498" customWidth="1"/>
    <col min="8712" max="8960" width="9" style="1498"/>
    <col min="8961" max="8961" width="5.5" style="1498" bestFit="1" customWidth="1"/>
    <col min="8962" max="8962" width="7.3984375" style="1498" customWidth="1"/>
    <col min="8963" max="8964" width="13.59765625" style="1498" customWidth="1"/>
    <col min="8965" max="8965" width="32" style="1498" customWidth="1"/>
    <col min="8966" max="8966" width="21.3984375" style="1498" customWidth="1"/>
    <col min="8967" max="8967" width="12.59765625" style="1498" customWidth="1"/>
    <col min="8968" max="9216" width="9" style="1498"/>
    <col min="9217" max="9217" width="5.5" style="1498" bestFit="1" customWidth="1"/>
    <col min="9218" max="9218" width="7.3984375" style="1498" customWidth="1"/>
    <col min="9219" max="9220" width="13.59765625" style="1498" customWidth="1"/>
    <col min="9221" max="9221" width="32" style="1498" customWidth="1"/>
    <col min="9222" max="9222" width="21.3984375" style="1498" customWidth="1"/>
    <col min="9223" max="9223" width="12.59765625" style="1498" customWidth="1"/>
    <col min="9224" max="9472" width="9" style="1498"/>
    <col min="9473" max="9473" width="5.5" style="1498" bestFit="1" customWidth="1"/>
    <col min="9474" max="9474" width="7.3984375" style="1498" customWidth="1"/>
    <col min="9475" max="9476" width="13.59765625" style="1498" customWidth="1"/>
    <col min="9477" max="9477" width="32" style="1498" customWidth="1"/>
    <col min="9478" max="9478" width="21.3984375" style="1498" customWidth="1"/>
    <col min="9479" max="9479" width="12.59765625" style="1498" customWidth="1"/>
    <col min="9480" max="9728" width="9" style="1498"/>
    <col min="9729" max="9729" width="5.5" style="1498" bestFit="1" customWidth="1"/>
    <col min="9730" max="9730" width="7.3984375" style="1498" customWidth="1"/>
    <col min="9731" max="9732" width="13.59765625" style="1498" customWidth="1"/>
    <col min="9733" max="9733" width="32" style="1498" customWidth="1"/>
    <col min="9734" max="9734" width="21.3984375" style="1498" customWidth="1"/>
    <col min="9735" max="9735" width="12.59765625" style="1498" customWidth="1"/>
    <col min="9736" max="9984" width="9" style="1498"/>
    <col min="9985" max="9985" width="5.5" style="1498" bestFit="1" customWidth="1"/>
    <col min="9986" max="9986" width="7.3984375" style="1498" customWidth="1"/>
    <col min="9987" max="9988" width="13.59765625" style="1498" customWidth="1"/>
    <col min="9989" max="9989" width="32" style="1498" customWidth="1"/>
    <col min="9990" max="9990" width="21.3984375" style="1498" customWidth="1"/>
    <col min="9991" max="9991" width="12.59765625" style="1498" customWidth="1"/>
    <col min="9992" max="10240" width="9" style="1498"/>
    <col min="10241" max="10241" width="5.5" style="1498" bestFit="1" customWidth="1"/>
    <col min="10242" max="10242" width="7.3984375" style="1498" customWidth="1"/>
    <col min="10243" max="10244" width="13.59765625" style="1498" customWidth="1"/>
    <col min="10245" max="10245" width="32" style="1498" customWidth="1"/>
    <col min="10246" max="10246" width="21.3984375" style="1498" customWidth="1"/>
    <col min="10247" max="10247" width="12.59765625" style="1498" customWidth="1"/>
    <col min="10248" max="10496" width="9" style="1498"/>
    <col min="10497" max="10497" width="5.5" style="1498" bestFit="1" customWidth="1"/>
    <col min="10498" max="10498" width="7.3984375" style="1498" customWidth="1"/>
    <col min="10499" max="10500" width="13.59765625" style="1498" customWidth="1"/>
    <col min="10501" max="10501" width="32" style="1498" customWidth="1"/>
    <col min="10502" max="10502" width="21.3984375" style="1498" customWidth="1"/>
    <col min="10503" max="10503" width="12.59765625" style="1498" customWidth="1"/>
    <col min="10504" max="10752" width="9" style="1498"/>
    <col min="10753" max="10753" width="5.5" style="1498" bestFit="1" customWidth="1"/>
    <col min="10754" max="10754" width="7.3984375" style="1498" customWidth="1"/>
    <col min="10755" max="10756" width="13.59765625" style="1498" customWidth="1"/>
    <col min="10757" max="10757" width="32" style="1498" customWidth="1"/>
    <col min="10758" max="10758" width="21.3984375" style="1498" customWidth="1"/>
    <col min="10759" max="10759" width="12.59765625" style="1498" customWidth="1"/>
    <col min="10760" max="11008" width="9" style="1498"/>
    <col min="11009" max="11009" width="5.5" style="1498" bestFit="1" customWidth="1"/>
    <col min="11010" max="11010" width="7.3984375" style="1498" customWidth="1"/>
    <col min="11011" max="11012" width="13.59765625" style="1498" customWidth="1"/>
    <col min="11013" max="11013" width="32" style="1498" customWidth="1"/>
    <col min="11014" max="11014" width="21.3984375" style="1498" customWidth="1"/>
    <col min="11015" max="11015" width="12.59765625" style="1498" customWidth="1"/>
    <col min="11016" max="11264" width="9" style="1498"/>
    <col min="11265" max="11265" width="5.5" style="1498" bestFit="1" customWidth="1"/>
    <col min="11266" max="11266" width="7.3984375" style="1498" customWidth="1"/>
    <col min="11267" max="11268" width="13.59765625" style="1498" customWidth="1"/>
    <col min="11269" max="11269" width="32" style="1498" customWidth="1"/>
    <col min="11270" max="11270" width="21.3984375" style="1498" customWidth="1"/>
    <col min="11271" max="11271" width="12.59765625" style="1498" customWidth="1"/>
    <col min="11272" max="11520" width="9" style="1498"/>
    <col min="11521" max="11521" width="5.5" style="1498" bestFit="1" customWidth="1"/>
    <col min="11522" max="11522" width="7.3984375" style="1498" customWidth="1"/>
    <col min="11523" max="11524" width="13.59765625" style="1498" customWidth="1"/>
    <col min="11525" max="11525" width="32" style="1498" customWidth="1"/>
    <col min="11526" max="11526" width="21.3984375" style="1498" customWidth="1"/>
    <col min="11527" max="11527" width="12.59765625" style="1498" customWidth="1"/>
    <col min="11528" max="11776" width="9" style="1498"/>
    <col min="11777" max="11777" width="5.5" style="1498" bestFit="1" customWidth="1"/>
    <col min="11778" max="11778" width="7.3984375" style="1498" customWidth="1"/>
    <col min="11779" max="11780" width="13.59765625" style="1498" customWidth="1"/>
    <col min="11781" max="11781" width="32" style="1498" customWidth="1"/>
    <col min="11782" max="11782" width="21.3984375" style="1498" customWidth="1"/>
    <col min="11783" max="11783" width="12.59765625" style="1498" customWidth="1"/>
    <col min="11784" max="12032" width="9" style="1498"/>
    <col min="12033" max="12033" width="5.5" style="1498" bestFit="1" customWidth="1"/>
    <col min="12034" max="12034" width="7.3984375" style="1498" customWidth="1"/>
    <col min="12035" max="12036" width="13.59765625" style="1498" customWidth="1"/>
    <col min="12037" max="12037" width="32" style="1498" customWidth="1"/>
    <col min="12038" max="12038" width="21.3984375" style="1498" customWidth="1"/>
    <col min="12039" max="12039" width="12.59765625" style="1498" customWidth="1"/>
    <col min="12040" max="12288" width="9" style="1498"/>
    <col min="12289" max="12289" width="5.5" style="1498" bestFit="1" customWidth="1"/>
    <col min="12290" max="12290" width="7.3984375" style="1498" customWidth="1"/>
    <col min="12291" max="12292" width="13.59765625" style="1498" customWidth="1"/>
    <col min="12293" max="12293" width="32" style="1498" customWidth="1"/>
    <col min="12294" max="12294" width="21.3984375" style="1498" customWidth="1"/>
    <col min="12295" max="12295" width="12.59765625" style="1498" customWidth="1"/>
    <col min="12296" max="12544" width="9" style="1498"/>
    <col min="12545" max="12545" width="5.5" style="1498" bestFit="1" customWidth="1"/>
    <col min="12546" max="12546" width="7.3984375" style="1498" customWidth="1"/>
    <col min="12547" max="12548" width="13.59765625" style="1498" customWidth="1"/>
    <col min="12549" max="12549" width="32" style="1498" customWidth="1"/>
    <col min="12550" max="12550" width="21.3984375" style="1498" customWidth="1"/>
    <col min="12551" max="12551" width="12.59765625" style="1498" customWidth="1"/>
    <col min="12552" max="12800" width="9" style="1498"/>
    <col min="12801" max="12801" width="5.5" style="1498" bestFit="1" customWidth="1"/>
    <col min="12802" max="12802" width="7.3984375" style="1498" customWidth="1"/>
    <col min="12803" max="12804" width="13.59765625" style="1498" customWidth="1"/>
    <col min="12805" max="12805" width="32" style="1498" customWidth="1"/>
    <col min="12806" max="12806" width="21.3984375" style="1498" customWidth="1"/>
    <col min="12807" max="12807" width="12.59765625" style="1498" customWidth="1"/>
    <col min="12808" max="13056" width="9" style="1498"/>
    <col min="13057" max="13057" width="5.5" style="1498" bestFit="1" customWidth="1"/>
    <col min="13058" max="13058" width="7.3984375" style="1498" customWidth="1"/>
    <col min="13059" max="13060" width="13.59765625" style="1498" customWidth="1"/>
    <col min="13061" max="13061" width="32" style="1498" customWidth="1"/>
    <col min="13062" max="13062" width="21.3984375" style="1498" customWidth="1"/>
    <col min="13063" max="13063" width="12.59765625" style="1498" customWidth="1"/>
    <col min="13064" max="13312" width="9" style="1498"/>
    <col min="13313" max="13313" width="5.5" style="1498" bestFit="1" customWidth="1"/>
    <col min="13314" max="13314" width="7.3984375" style="1498" customWidth="1"/>
    <col min="13315" max="13316" width="13.59765625" style="1498" customWidth="1"/>
    <col min="13317" max="13317" width="32" style="1498" customWidth="1"/>
    <col min="13318" max="13318" width="21.3984375" style="1498" customWidth="1"/>
    <col min="13319" max="13319" width="12.59765625" style="1498" customWidth="1"/>
    <col min="13320" max="13568" width="9" style="1498"/>
    <col min="13569" max="13569" width="5.5" style="1498" bestFit="1" customWidth="1"/>
    <col min="13570" max="13570" width="7.3984375" style="1498" customWidth="1"/>
    <col min="13571" max="13572" width="13.59765625" style="1498" customWidth="1"/>
    <col min="13573" max="13573" width="32" style="1498" customWidth="1"/>
    <col min="13574" max="13574" width="21.3984375" style="1498" customWidth="1"/>
    <col min="13575" max="13575" width="12.59765625" style="1498" customWidth="1"/>
    <col min="13576" max="13824" width="9" style="1498"/>
    <col min="13825" max="13825" width="5.5" style="1498" bestFit="1" customWidth="1"/>
    <col min="13826" max="13826" width="7.3984375" style="1498" customWidth="1"/>
    <col min="13827" max="13828" width="13.59765625" style="1498" customWidth="1"/>
    <col min="13829" max="13829" width="32" style="1498" customWidth="1"/>
    <col min="13830" max="13830" width="21.3984375" style="1498" customWidth="1"/>
    <col min="13831" max="13831" width="12.59765625" style="1498" customWidth="1"/>
    <col min="13832" max="14080" width="9" style="1498"/>
    <col min="14081" max="14081" width="5.5" style="1498" bestFit="1" customWidth="1"/>
    <col min="14082" max="14082" width="7.3984375" style="1498" customWidth="1"/>
    <col min="14083" max="14084" width="13.59765625" style="1498" customWidth="1"/>
    <col min="14085" max="14085" width="32" style="1498" customWidth="1"/>
    <col min="14086" max="14086" width="21.3984375" style="1498" customWidth="1"/>
    <col min="14087" max="14087" width="12.59765625" style="1498" customWidth="1"/>
    <col min="14088" max="14336" width="9" style="1498"/>
    <col min="14337" max="14337" width="5.5" style="1498" bestFit="1" customWidth="1"/>
    <col min="14338" max="14338" width="7.3984375" style="1498" customWidth="1"/>
    <col min="14339" max="14340" width="13.59765625" style="1498" customWidth="1"/>
    <col min="14341" max="14341" width="32" style="1498" customWidth="1"/>
    <col min="14342" max="14342" width="21.3984375" style="1498" customWidth="1"/>
    <col min="14343" max="14343" width="12.59765625" style="1498" customWidth="1"/>
    <col min="14344" max="14592" width="9" style="1498"/>
    <col min="14593" max="14593" width="5.5" style="1498" bestFit="1" customWidth="1"/>
    <col min="14594" max="14594" width="7.3984375" style="1498" customWidth="1"/>
    <col min="14595" max="14596" width="13.59765625" style="1498" customWidth="1"/>
    <col min="14597" max="14597" width="32" style="1498" customWidth="1"/>
    <col min="14598" max="14598" width="21.3984375" style="1498" customWidth="1"/>
    <col min="14599" max="14599" width="12.59765625" style="1498" customWidth="1"/>
    <col min="14600" max="14848" width="9" style="1498"/>
    <col min="14849" max="14849" width="5.5" style="1498" bestFit="1" customWidth="1"/>
    <col min="14850" max="14850" width="7.3984375" style="1498" customWidth="1"/>
    <col min="14851" max="14852" width="13.59765625" style="1498" customWidth="1"/>
    <col min="14853" max="14853" width="32" style="1498" customWidth="1"/>
    <col min="14854" max="14854" width="21.3984375" style="1498" customWidth="1"/>
    <col min="14855" max="14855" width="12.59765625" style="1498" customWidth="1"/>
    <col min="14856" max="15104" width="9" style="1498"/>
    <col min="15105" max="15105" width="5.5" style="1498" bestFit="1" customWidth="1"/>
    <col min="15106" max="15106" width="7.3984375" style="1498" customWidth="1"/>
    <col min="15107" max="15108" width="13.59765625" style="1498" customWidth="1"/>
    <col min="15109" max="15109" width="32" style="1498" customWidth="1"/>
    <col min="15110" max="15110" width="21.3984375" style="1498" customWidth="1"/>
    <col min="15111" max="15111" width="12.59765625" style="1498" customWidth="1"/>
    <col min="15112" max="15360" width="9" style="1498"/>
    <col min="15361" max="15361" width="5.5" style="1498" bestFit="1" customWidth="1"/>
    <col min="15362" max="15362" width="7.3984375" style="1498" customWidth="1"/>
    <col min="15363" max="15364" width="13.59765625" style="1498" customWidth="1"/>
    <col min="15365" max="15365" width="32" style="1498" customWidth="1"/>
    <col min="15366" max="15366" width="21.3984375" style="1498" customWidth="1"/>
    <col min="15367" max="15367" width="12.59765625" style="1498" customWidth="1"/>
    <col min="15368" max="15616" width="9" style="1498"/>
    <col min="15617" max="15617" width="5.5" style="1498" bestFit="1" customWidth="1"/>
    <col min="15618" max="15618" width="7.3984375" style="1498" customWidth="1"/>
    <col min="15619" max="15620" width="13.59765625" style="1498" customWidth="1"/>
    <col min="15621" max="15621" width="32" style="1498" customWidth="1"/>
    <col min="15622" max="15622" width="21.3984375" style="1498" customWidth="1"/>
    <col min="15623" max="15623" width="12.59765625" style="1498" customWidth="1"/>
    <col min="15624" max="15872" width="9" style="1498"/>
    <col min="15873" max="15873" width="5.5" style="1498" bestFit="1" customWidth="1"/>
    <col min="15874" max="15874" width="7.3984375" style="1498" customWidth="1"/>
    <col min="15875" max="15876" width="13.59765625" style="1498" customWidth="1"/>
    <col min="15877" max="15877" width="32" style="1498" customWidth="1"/>
    <col min="15878" max="15878" width="21.3984375" style="1498" customWidth="1"/>
    <col min="15879" max="15879" width="12.59765625" style="1498" customWidth="1"/>
    <col min="15880" max="16128" width="9" style="1498"/>
    <col min="16129" max="16129" width="5.5" style="1498" bestFit="1" customWidth="1"/>
    <col min="16130" max="16130" width="7.3984375" style="1498" customWidth="1"/>
    <col min="16131" max="16132" width="13.59765625" style="1498" customWidth="1"/>
    <col min="16133" max="16133" width="32" style="1498" customWidth="1"/>
    <col min="16134" max="16134" width="21.3984375" style="1498" customWidth="1"/>
    <col min="16135" max="16135" width="12.59765625" style="1498" customWidth="1"/>
    <col min="16136" max="16384" width="9" style="1498"/>
  </cols>
  <sheetData>
    <row r="1" spans="1:7" ht="36" customHeight="1">
      <c r="A1" s="4102" t="s">
        <v>2431</v>
      </c>
      <c r="B1" s="4102"/>
      <c r="C1" s="4102"/>
      <c r="D1" s="4102"/>
      <c r="E1" s="4102"/>
      <c r="F1" s="4102"/>
      <c r="G1" s="4102"/>
    </row>
    <row r="2" spans="1:7" s="1499" customFormat="1" ht="39.75" customHeight="1">
      <c r="A2" s="4103" t="s">
        <v>2432</v>
      </c>
      <c r="B2" s="4103"/>
      <c r="C2" s="4103"/>
      <c r="D2" s="4103"/>
      <c r="E2" s="4103"/>
      <c r="F2" s="4103"/>
      <c r="G2" s="4103"/>
    </row>
    <row r="3" spans="1:7" s="1500" customFormat="1" ht="21" customHeight="1">
      <c r="A3" s="4104" t="s">
        <v>2433</v>
      </c>
      <c r="B3" s="4104"/>
      <c r="C3" s="4104"/>
      <c r="D3" s="4104"/>
      <c r="E3" s="4104"/>
      <c r="F3" s="4104"/>
      <c r="G3" s="4104"/>
    </row>
    <row r="4" spans="1:7" s="1500" customFormat="1" ht="15.9" customHeight="1">
      <c r="A4" s="1501" t="s">
        <v>2434</v>
      </c>
      <c r="B4" s="4097" t="s">
        <v>2435</v>
      </c>
      <c r="C4" s="4097"/>
      <c r="D4" s="4097"/>
      <c r="E4" s="4097"/>
      <c r="F4" s="1502" t="s">
        <v>2436</v>
      </c>
      <c r="G4" s="1503" t="s">
        <v>2412</v>
      </c>
    </row>
    <row r="5" spans="1:7" s="1500" customFormat="1" ht="15.9" customHeight="1">
      <c r="A5" s="1501">
        <v>1</v>
      </c>
      <c r="B5" s="4100" t="s">
        <v>2437</v>
      </c>
      <c r="C5" s="4100"/>
      <c r="D5" s="4100"/>
      <c r="E5" s="4100"/>
      <c r="F5" s="4100"/>
      <c r="G5" s="3505" t="s">
        <v>2438</v>
      </c>
    </row>
    <row r="6" spans="1:7" s="1500" customFormat="1" ht="15.9" customHeight="1">
      <c r="A6" s="1501">
        <v>2</v>
      </c>
      <c r="B6" s="4101" t="s">
        <v>2439</v>
      </c>
      <c r="C6" s="4101"/>
      <c r="D6" s="4101"/>
      <c r="E6" s="4101"/>
      <c r="F6" s="1504" t="s">
        <v>2440</v>
      </c>
      <c r="G6" s="3505"/>
    </row>
    <row r="7" spans="1:7" s="1500" customFormat="1" ht="15.9" customHeight="1">
      <c r="A7" s="1501">
        <v>3</v>
      </c>
      <c r="B7" s="4101" t="s">
        <v>2441</v>
      </c>
      <c r="C7" s="4101"/>
      <c r="D7" s="4101"/>
      <c r="E7" s="4101"/>
      <c r="F7" s="1504" t="s">
        <v>2440</v>
      </c>
      <c r="G7" s="3505"/>
    </row>
    <row r="8" spans="1:7" s="1500" customFormat="1" ht="15.9" customHeight="1">
      <c r="A8" s="1501">
        <v>4</v>
      </c>
      <c r="B8" s="4101" t="s">
        <v>495</v>
      </c>
      <c r="C8" s="4101"/>
      <c r="D8" s="4101"/>
      <c r="E8" s="4101"/>
      <c r="F8" s="1504" t="s">
        <v>2440</v>
      </c>
      <c r="G8" s="3505"/>
    </row>
    <row r="9" spans="1:7" s="1500" customFormat="1" ht="15.9" customHeight="1">
      <c r="A9" s="1501">
        <v>5</v>
      </c>
      <c r="B9" s="4095" t="s">
        <v>2442</v>
      </c>
      <c r="C9" s="4095"/>
      <c r="D9" s="4095"/>
      <c r="E9" s="4095"/>
      <c r="F9" s="1504" t="s">
        <v>2440</v>
      </c>
      <c r="G9" s="3505"/>
    </row>
    <row r="10" spans="1:7" s="1500" customFormat="1" ht="15.9" customHeight="1">
      <c r="A10" s="1501">
        <v>6</v>
      </c>
      <c r="B10" s="4095" t="s">
        <v>2443</v>
      </c>
      <c r="C10" s="4095"/>
      <c r="D10" s="4095"/>
      <c r="E10" s="4095"/>
      <c r="F10" s="1504" t="s">
        <v>2440</v>
      </c>
      <c r="G10" s="3505"/>
    </row>
    <row r="11" spans="1:7" s="1500" customFormat="1" ht="15.9" customHeight="1">
      <c r="A11" s="1501">
        <v>7</v>
      </c>
      <c r="B11" s="4095" t="s">
        <v>2444</v>
      </c>
      <c r="C11" s="4095"/>
      <c r="D11" s="4095"/>
      <c r="E11" s="4095"/>
      <c r="F11" s="1504" t="s">
        <v>2440</v>
      </c>
      <c r="G11" s="3505"/>
    </row>
    <row r="12" spans="1:7" s="1500" customFormat="1" ht="15.9" customHeight="1">
      <c r="A12" s="1501">
        <v>8</v>
      </c>
      <c r="B12" s="4095" t="s">
        <v>2445</v>
      </c>
      <c r="C12" s="4095"/>
      <c r="D12" s="4095"/>
      <c r="E12" s="4095"/>
      <c r="F12" s="1504" t="s">
        <v>2440</v>
      </c>
      <c r="G12" s="3505"/>
    </row>
    <row r="13" spans="1:7" s="1500" customFormat="1" ht="15.9" customHeight="1">
      <c r="A13" s="1501">
        <v>9</v>
      </c>
      <c r="B13" s="4095" t="s">
        <v>2446</v>
      </c>
      <c r="C13" s="4095"/>
      <c r="D13" s="4095"/>
      <c r="E13" s="4095"/>
      <c r="F13" s="1504" t="s">
        <v>2440</v>
      </c>
      <c r="G13" s="3505"/>
    </row>
    <row r="14" spans="1:7" s="1500" customFormat="1" ht="15.9" customHeight="1">
      <c r="A14" s="1501">
        <v>10</v>
      </c>
      <c r="B14" s="4101" t="s">
        <v>2447</v>
      </c>
      <c r="C14" s="4101"/>
      <c r="D14" s="4101"/>
      <c r="E14" s="4101"/>
      <c r="F14" s="1504" t="s">
        <v>2440</v>
      </c>
      <c r="G14" s="3505"/>
    </row>
    <row r="15" spans="1:7" s="1500" customFormat="1" ht="15.9" customHeight="1">
      <c r="A15" s="1501">
        <v>11</v>
      </c>
      <c r="B15" s="4101" t="s">
        <v>2448</v>
      </c>
      <c r="C15" s="4101"/>
      <c r="D15" s="4101"/>
      <c r="E15" s="4101"/>
      <c r="F15" s="1504" t="s">
        <v>2440</v>
      </c>
      <c r="G15" s="3505"/>
    </row>
    <row r="16" spans="1:7" s="1500" customFormat="1" ht="15.9" customHeight="1">
      <c r="A16" s="1501">
        <v>12</v>
      </c>
      <c r="B16" s="4101" t="s">
        <v>1623</v>
      </c>
      <c r="C16" s="4101"/>
      <c r="D16" s="4101"/>
      <c r="E16" s="4101"/>
      <c r="F16" s="1504" t="s">
        <v>2440</v>
      </c>
      <c r="G16" s="3505"/>
    </row>
    <row r="17" spans="1:7" s="1500" customFormat="1" ht="15.9" customHeight="1">
      <c r="A17" s="1501">
        <v>13</v>
      </c>
      <c r="B17" s="4101" t="s">
        <v>2449</v>
      </c>
      <c r="C17" s="4101"/>
      <c r="D17" s="4101"/>
      <c r="E17" s="4101"/>
      <c r="F17" s="1504" t="s">
        <v>2440</v>
      </c>
      <c r="G17" s="3505"/>
    </row>
    <row r="18" spans="1:7" s="1500" customFormat="1" ht="15.9" customHeight="1">
      <c r="A18" s="1501">
        <v>14</v>
      </c>
      <c r="B18" s="4095" t="s">
        <v>2450</v>
      </c>
      <c r="C18" s="4095"/>
      <c r="D18" s="4095"/>
      <c r="E18" s="4095"/>
      <c r="F18" s="1504" t="s">
        <v>2440</v>
      </c>
      <c r="G18" s="3505"/>
    </row>
    <row r="19" spans="1:7" s="1500" customFormat="1" ht="15.9" customHeight="1">
      <c r="A19" s="1501">
        <v>15</v>
      </c>
      <c r="B19" s="4101" t="s">
        <v>2451</v>
      </c>
      <c r="C19" s="4101"/>
      <c r="D19" s="4101"/>
      <c r="E19" s="4101"/>
      <c r="F19" s="1504" t="s">
        <v>2440</v>
      </c>
      <c r="G19" s="3505"/>
    </row>
    <row r="20" spans="1:7" s="1500" customFormat="1" ht="15.9" customHeight="1">
      <c r="A20" s="1501">
        <v>16</v>
      </c>
      <c r="B20" s="4095" t="s">
        <v>2452</v>
      </c>
      <c r="C20" s="4095"/>
      <c r="D20" s="4095"/>
      <c r="E20" s="4095"/>
      <c r="F20" s="1504" t="s">
        <v>2440</v>
      </c>
      <c r="G20" s="3505"/>
    </row>
    <row r="21" spans="1:7" s="1500" customFormat="1" ht="15.9" customHeight="1">
      <c r="A21" s="1501">
        <v>17</v>
      </c>
      <c r="B21" s="4095" t="s">
        <v>2453</v>
      </c>
      <c r="C21" s="4095"/>
      <c r="D21" s="4095"/>
      <c r="E21" s="4095"/>
      <c r="F21" s="1504" t="s">
        <v>2440</v>
      </c>
      <c r="G21" s="3505"/>
    </row>
    <row r="22" spans="1:7" s="1500" customFormat="1" ht="15.9" customHeight="1">
      <c r="A22" s="1501">
        <v>18</v>
      </c>
      <c r="B22" s="4100" t="s">
        <v>2454</v>
      </c>
      <c r="C22" s="4100"/>
      <c r="D22" s="4100"/>
      <c r="E22" s="4100"/>
      <c r="F22" s="4100"/>
      <c r="G22" s="3505"/>
    </row>
    <row r="23" spans="1:7" s="1500" customFormat="1" ht="15.9" customHeight="1">
      <c r="A23" s="1501">
        <v>19</v>
      </c>
      <c r="B23" s="4101" t="s">
        <v>2455</v>
      </c>
      <c r="C23" s="4101"/>
      <c r="D23" s="4101"/>
      <c r="E23" s="4101"/>
      <c r="F23" s="1504" t="s">
        <v>2440</v>
      </c>
      <c r="G23" s="3505"/>
    </row>
    <row r="24" spans="1:7" s="1500" customFormat="1" ht="15.9" customHeight="1">
      <c r="A24" s="1501">
        <v>20</v>
      </c>
      <c r="B24" s="4101" t="s">
        <v>2456</v>
      </c>
      <c r="C24" s="4101"/>
      <c r="D24" s="4101"/>
      <c r="E24" s="4101"/>
      <c r="F24" s="1504" t="s">
        <v>2440</v>
      </c>
      <c r="G24" s="3505"/>
    </row>
    <row r="25" spans="1:7" s="1500" customFormat="1" ht="15.9" customHeight="1">
      <c r="A25" s="1501">
        <v>21</v>
      </c>
      <c r="B25" s="4101" t="s">
        <v>2447</v>
      </c>
      <c r="C25" s="4101"/>
      <c r="D25" s="4101"/>
      <c r="E25" s="4101"/>
      <c r="F25" s="1504" t="s">
        <v>2440</v>
      </c>
      <c r="G25" s="3505"/>
    </row>
    <row r="26" spans="1:7" s="1500" customFormat="1" ht="15.9" customHeight="1">
      <c r="A26" s="1501">
        <v>22</v>
      </c>
      <c r="B26" s="4101" t="s">
        <v>2457</v>
      </c>
      <c r="C26" s="4101"/>
      <c r="D26" s="4101"/>
      <c r="E26" s="4101"/>
      <c r="F26" s="1504" t="s">
        <v>2440</v>
      </c>
      <c r="G26" s="3505"/>
    </row>
    <row r="27" spans="1:7" s="1500" customFormat="1" ht="15.9" customHeight="1">
      <c r="A27" s="1501">
        <v>23</v>
      </c>
      <c r="B27" s="4100" t="s">
        <v>2458</v>
      </c>
      <c r="C27" s="4100"/>
      <c r="D27" s="4100"/>
      <c r="E27" s="4100"/>
      <c r="F27" s="4100"/>
      <c r="G27" s="3505"/>
    </row>
    <row r="28" spans="1:7" s="1500" customFormat="1" ht="15.9" customHeight="1">
      <c r="A28" s="1501">
        <v>24</v>
      </c>
      <c r="B28" s="4095" t="s">
        <v>2459</v>
      </c>
      <c r="C28" s="4095"/>
      <c r="D28" s="4095"/>
      <c r="E28" s="4095"/>
      <c r="F28" s="1504" t="s">
        <v>2440</v>
      </c>
      <c r="G28" s="3505"/>
    </row>
    <row r="29" spans="1:7" s="1500" customFormat="1" ht="15.9" customHeight="1">
      <c r="A29" s="1501">
        <v>25</v>
      </c>
      <c r="B29" s="4097" t="s">
        <v>2460</v>
      </c>
      <c r="C29" s="4097"/>
      <c r="D29" s="4097"/>
      <c r="E29" s="4097"/>
      <c r="F29" s="4097"/>
      <c r="G29" s="3505"/>
    </row>
    <row r="30" spans="1:7" s="1500" customFormat="1" ht="21.75" customHeight="1">
      <c r="A30" s="1501">
        <v>26</v>
      </c>
      <c r="B30" s="3505" t="s">
        <v>2461</v>
      </c>
      <c r="C30" s="4098" t="s">
        <v>2462</v>
      </c>
      <c r="D30" s="4099"/>
      <c r="E30" s="4099"/>
      <c r="F30" s="1504" t="s">
        <v>2440</v>
      </c>
      <c r="G30" s="3505"/>
    </row>
    <row r="31" spans="1:7" s="1500" customFormat="1" ht="21.75" customHeight="1">
      <c r="A31" s="1501">
        <v>27</v>
      </c>
      <c r="B31" s="3505"/>
      <c r="C31" s="4098" t="s">
        <v>2463</v>
      </c>
      <c r="D31" s="4098"/>
      <c r="E31" s="4098"/>
      <c r="F31" s="1505" t="s">
        <v>2440</v>
      </c>
      <c r="G31" s="3505"/>
    </row>
    <row r="32" spans="1:7" s="1500" customFormat="1" ht="21.75" customHeight="1">
      <c r="A32" s="1501">
        <v>28</v>
      </c>
      <c r="B32" s="3505"/>
      <c r="C32" s="4095" t="s">
        <v>2464</v>
      </c>
      <c r="D32" s="4095"/>
      <c r="E32" s="4096"/>
      <c r="F32" s="1506"/>
      <c r="G32" s="1507" t="s">
        <v>2465</v>
      </c>
    </row>
    <row r="33" spans="1:7" s="1500" customFormat="1" ht="21.75" customHeight="1">
      <c r="A33" s="1501">
        <v>29</v>
      </c>
      <c r="B33" s="3505"/>
      <c r="C33" s="4095" t="s">
        <v>2466</v>
      </c>
      <c r="D33" s="4095"/>
      <c r="E33" s="4095"/>
      <c r="F33" s="1508" t="s">
        <v>2440</v>
      </c>
      <c r="G33" s="1342" t="s">
        <v>2467</v>
      </c>
    </row>
    <row r="34" spans="1:7" s="1500" customFormat="1" ht="21.75" customHeight="1">
      <c r="A34" s="1501">
        <v>30</v>
      </c>
      <c r="B34" s="3505"/>
      <c r="C34" s="4098" t="s">
        <v>2468</v>
      </c>
      <c r="D34" s="4098"/>
      <c r="E34" s="4098"/>
      <c r="F34" s="1505" t="s">
        <v>2440</v>
      </c>
      <c r="G34" s="1342" t="s">
        <v>2467</v>
      </c>
    </row>
    <row r="35" spans="1:7" s="1500" customFormat="1" ht="21.75" customHeight="1">
      <c r="A35" s="1501">
        <v>31</v>
      </c>
      <c r="B35" s="3505" t="s">
        <v>2469</v>
      </c>
      <c r="C35" s="4095" t="s">
        <v>2470</v>
      </c>
      <c r="D35" s="4095"/>
      <c r="E35" s="4096"/>
      <c r="F35" s="1509"/>
      <c r="G35" s="1507" t="s">
        <v>2465</v>
      </c>
    </row>
    <row r="36" spans="1:7" s="1500" customFormat="1" ht="21.75" customHeight="1">
      <c r="A36" s="1501">
        <v>32</v>
      </c>
      <c r="B36" s="4094"/>
      <c r="C36" s="4095" t="s">
        <v>2471</v>
      </c>
      <c r="D36" s="4095"/>
      <c r="E36" s="4096"/>
      <c r="F36" s="1506"/>
      <c r="G36" s="1507" t="s">
        <v>2465</v>
      </c>
    </row>
    <row r="37" spans="1:7" s="1511" customFormat="1" ht="15.9" customHeight="1">
      <c r="A37" s="1498"/>
      <c r="B37" s="1498"/>
      <c r="C37" s="1498"/>
      <c r="D37" s="1498"/>
      <c r="E37" s="1498"/>
      <c r="F37" s="1510"/>
    </row>
    <row r="38" spans="1:7" s="1511" customFormat="1" ht="15.9" customHeight="1">
      <c r="A38" s="1498"/>
      <c r="B38" s="1498"/>
      <c r="C38" s="1498"/>
      <c r="D38" s="1498"/>
      <c r="E38" s="1498"/>
      <c r="F38" s="1510"/>
      <c r="G38" s="1512"/>
    </row>
    <row r="39" spans="1:7" s="1511" customFormat="1" ht="15.9" customHeight="1">
      <c r="A39" s="1498"/>
      <c r="B39" s="1498"/>
      <c r="C39" s="1498"/>
      <c r="D39" s="1498"/>
      <c r="E39" s="1498"/>
      <c r="F39" s="1510"/>
    </row>
    <row r="40" spans="1:7" s="1511" customFormat="1" ht="18.899999999999999" customHeight="1">
      <c r="A40" s="1498"/>
      <c r="B40" s="1498"/>
      <c r="C40" s="1498"/>
      <c r="D40" s="1498"/>
      <c r="E40" s="1498"/>
      <c r="F40" s="1510"/>
      <c r="G40" s="1513"/>
    </row>
    <row r="41" spans="1:7" s="1511" customFormat="1" ht="18.899999999999999" customHeight="1">
      <c r="A41" s="1498"/>
      <c r="B41" s="1498"/>
      <c r="C41" s="1498"/>
      <c r="D41" s="1498"/>
      <c r="E41" s="1498"/>
      <c r="F41" s="1510"/>
      <c r="G41" s="1513"/>
    </row>
    <row r="42" spans="1:7" s="1511" customFormat="1" ht="18.899999999999999" customHeight="1">
      <c r="A42" s="1498"/>
      <c r="B42" s="1498"/>
      <c r="C42" s="1498"/>
      <c r="D42" s="1498"/>
      <c r="E42" s="1498"/>
      <c r="F42" s="1510"/>
      <c r="G42" s="1514"/>
    </row>
    <row r="43" spans="1:7" s="1511" customFormat="1" ht="18.899999999999999" customHeight="1">
      <c r="A43" s="1498"/>
      <c r="B43" s="1498"/>
      <c r="C43" s="1498"/>
      <c r="D43" s="1498"/>
      <c r="E43" s="1498"/>
      <c r="F43" s="1510"/>
      <c r="G43" s="1515"/>
    </row>
    <row r="44" spans="1:7" s="1511" customFormat="1" ht="18.899999999999999" customHeight="1">
      <c r="A44" s="1498"/>
      <c r="B44" s="1498"/>
      <c r="C44" s="1498"/>
      <c r="D44" s="1498"/>
      <c r="E44" s="1498"/>
      <c r="F44" s="1510"/>
      <c r="G44" s="1515"/>
    </row>
    <row r="45" spans="1:7" s="1511" customFormat="1" ht="18.899999999999999" customHeight="1">
      <c r="A45" s="1498"/>
      <c r="B45" s="1498"/>
      <c r="C45" s="1498"/>
      <c r="D45" s="1498"/>
      <c r="E45" s="1498"/>
      <c r="F45" s="1510"/>
      <c r="G45" s="1515"/>
    </row>
    <row r="46" spans="1:7" s="1511" customFormat="1" ht="18.899999999999999" customHeight="1">
      <c r="A46" s="1498"/>
      <c r="B46" s="1498"/>
      <c r="C46" s="1498"/>
      <c r="D46" s="1498"/>
      <c r="E46" s="1498"/>
      <c r="F46" s="1510"/>
      <c r="G46" s="1516"/>
    </row>
    <row r="47" spans="1:7" s="1511" customFormat="1" ht="18.899999999999999" customHeight="1">
      <c r="A47" s="1498"/>
      <c r="B47" s="1498"/>
      <c r="C47" s="1498"/>
      <c r="D47" s="1498"/>
      <c r="E47" s="1498"/>
      <c r="F47" s="1510"/>
      <c r="G47" s="1498"/>
    </row>
    <row r="48" spans="1:7" ht="18.899999999999999" customHeight="1"/>
  </sheetData>
  <mergeCells count="39">
    <mergeCell ref="B15:E15"/>
    <mergeCell ref="A1:G1"/>
    <mergeCell ref="A2:G2"/>
    <mergeCell ref="A3:G3"/>
    <mergeCell ref="B4:E4"/>
    <mergeCell ref="B5:F5"/>
    <mergeCell ref="G5:G31"/>
    <mergeCell ref="B6:E6"/>
    <mergeCell ref="B7:E7"/>
    <mergeCell ref="B8:E8"/>
    <mergeCell ref="B9:E9"/>
    <mergeCell ref="B10:E10"/>
    <mergeCell ref="B11:E11"/>
    <mergeCell ref="B12:E12"/>
    <mergeCell ref="B13:E13"/>
    <mergeCell ref="B14:E14"/>
    <mergeCell ref="B27:F27"/>
    <mergeCell ref="B16:E16"/>
    <mergeCell ref="B17:E17"/>
    <mergeCell ref="B18:E18"/>
    <mergeCell ref="B19:E19"/>
    <mergeCell ref="B20:E20"/>
    <mergeCell ref="B21:E21"/>
    <mergeCell ref="B22:F22"/>
    <mergeCell ref="B23:E23"/>
    <mergeCell ref="B24:E24"/>
    <mergeCell ref="B25:E25"/>
    <mergeCell ref="B26:E26"/>
    <mergeCell ref="B35:B36"/>
    <mergeCell ref="C35:E35"/>
    <mergeCell ref="C36:E36"/>
    <mergeCell ref="B28:E28"/>
    <mergeCell ref="B29:F29"/>
    <mergeCell ref="B30:B34"/>
    <mergeCell ref="C30:E30"/>
    <mergeCell ref="C31:E31"/>
    <mergeCell ref="C32:E32"/>
    <mergeCell ref="C33:E33"/>
    <mergeCell ref="C34:E3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G70"/>
  <sheetViews>
    <sheetView workbookViewId="0">
      <selection activeCell="I14" sqref="I14"/>
    </sheetView>
  </sheetViews>
  <sheetFormatPr defaultRowHeight="20.100000000000001" customHeight="1"/>
  <cols>
    <col min="1" max="1" width="4.5" style="1428" customWidth="1"/>
    <col min="2" max="2" width="14.19921875" style="1428" customWidth="1"/>
    <col min="3" max="3" width="17.09765625" style="1443" customWidth="1"/>
    <col min="4" max="6" width="17.3984375" style="1444" customWidth="1"/>
    <col min="7" max="7" width="18.19921875" style="1445" customWidth="1"/>
    <col min="8" max="256" width="9" style="1428"/>
    <col min="257" max="257" width="4.5" style="1428" customWidth="1"/>
    <col min="258" max="258" width="14.19921875" style="1428" customWidth="1"/>
    <col min="259" max="259" width="17.09765625" style="1428" customWidth="1"/>
    <col min="260" max="262" width="17.3984375" style="1428" customWidth="1"/>
    <col min="263" max="263" width="18.19921875" style="1428" customWidth="1"/>
    <col min="264" max="512" width="9" style="1428"/>
    <col min="513" max="513" width="4.5" style="1428" customWidth="1"/>
    <col min="514" max="514" width="14.19921875" style="1428" customWidth="1"/>
    <col min="515" max="515" width="17.09765625" style="1428" customWidth="1"/>
    <col min="516" max="518" width="17.3984375" style="1428" customWidth="1"/>
    <col min="519" max="519" width="18.19921875" style="1428" customWidth="1"/>
    <col min="520" max="768" width="9" style="1428"/>
    <col min="769" max="769" width="4.5" style="1428" customWidth="1"/>
    <col min="770" max="770" width="14.19921875" style="1428" customWidth="1"/>
    <col min="771" max="771" width="17.09765625" style="1428" customWidth="1"/>
    <col min="772" max="774" width="17.3984375" style="1428" customWidth="1"/>
    <col min="775" max="775" width="18.19921875" style="1428" customWidth="1"/>
    <col min="776" max="1024" width="9" style="1428"/>
    <col min="1025" max="1025" width="4.5" style="1428" customWidth="1"/>
    <col min="1026" max="1026" width="14.19921875" style="1428" customWidth="1"/>
    <col min="1027" max="1027" width="17.09765625" style="1428" customWidth="1"/>
    <col min="1028" max="1030" width="17.3984375" style="1428" customWidth="1"/>
    <col min="1031" max="1031" width="18.19921875" style="1428" customWidth="1"/>
    <col min="1032" max="1280" width="9" style="1428"/>
    <col min="1281" max="1281" width="4.5" style="1428" customWidth="1"/>
    <col min="1282" max="1282" width="14.19921875" style="1428" customWidth="1"/>
    <col min="1283" max="1283" width="17.09765625" style="1428" customWidth="1"/>
    <col min="1284" max="1286" width="17.3984375" style="1428" customWidth="1"/>
    <col min="1287" max="1287" width="18.19921875" style="1428" customWidth="1"/>
    <col min="1288" max="1536" width="9" style="1428"/>
    <col min="1537" max="1537" width="4.5" style="1428" customWidth="1"/>
    <col min="1538" max="1538" width="14.19921875" style="1428" customWidth="1"/>
    <col min="1539" max="1539" width="17.09765625" style="1428" customWidth="1"/>
    <col min="1540" max="1542" width="17.3984375" style="1428" customWidth="1"/>
    <col min="1543" max="1543" width="18.19921875" style="1428" customWidth="1"/>
    <col min="1544" max="1792" width="9" style="1428"/>
    <col min="1793" max="1793" width="4.5" style="1428" customWidth="1"/>
    <col min="1794" max="1794" width="14.19921875" style="1428" customWidth="1"/>
    <col min="1795" max="1795" width="17.09765625" style="1428" customWidth="1"/>
    <col min="1796" max="1798" width="17.3984375" style="1428" customWidth="1"/>
    <col min="1799" max="1799" width="18.19921875" style="1428" customWidth="1"/>
    <col min="1800" max="2048" width="9" style="1428"/>
    <col min="2049" max="2049" width="4.5" style="1428" customWidth="1"/>
    <col min="2050" max="2050" width="14.19921875" style="1428" customWidth="1"/>
    <col min="2051" max="2051" width="17.09765625" style="1428" customWidth="1"/>
    <col min="2052" max="2054" width="17.3984375" style="1428" customWidth="1"/>
    <col min="2055" max="2055" width="18.19921875" style="1428" customWidth="1"/>
    <col min="2056" max="2304" width="9" style="1428"/>
    <col min="2305" max="2305" width="4.5" style="1428" customWidth="1"/>
    <col min="2306" max="2306" width="14.19921875" style="1428" customWidth="1"/>
    <col min="2307" max="2307" width="17.09765625" style="1428" customWidth="1"/>
    <col min="2308" max="2310" width="17.3984375" style="1428" customWidth="1"/>
    <col min="2311" max="2311" width="18.19921875" style="1428" customWidth="1"/>
    <col min="2312" max="2560" width="9" style="1428"/>
    <col min="2561" max="2561" width="4.5" style="1428" customWidth="1"/>
    <col min="2562" max="2562" width="14.19921875" style="1428" customWidth="1"/>
    <col min="2563" max="2563" width="17.09765625" style="1428" customWidth="1"/>
    <col min="2564" max="2566" width="17.3984375" style="1428" customWidth="1"/>
    <col min="2567" max="2567" width="18.19921875" style="1428" customWidth="1"/>
    <col min="2568" max="2816" width="9" style="1428"/>
    <col min="2817" max="2817" width="4.5" style="1428" customWidth="1"/>
    <col min="2818" max="2818" width="14.19921875" style="1428" customWidth="1"/>
    <col min="2819" max="2819" width="17.09765625" style="1428" customWidth="1"/>
    <col min="2820" max="2822" width="17.3984375" style="1428" customWidth="1"/>
    <col min="2823" max="2823" width="18.19921875" style="1428" customWidth="1"/>
    <col min="2824" max="3072" width="9" style="1428"/>
    <col min="3073" max="3073" width="4.5" style="1428" customWidth="1"/>
    <col min="3074" max="3074" width="14.19921875" style="1428" customWidth="1"/>
    <col min="3075" max="3075" width="17.09765625" style="1428" customWidth="1"/>
    <col min="3076" max="3078" width="17.3984375" style="1428" customWidth="1"/>
    <col min="3079" max="3079" width="18.19921875" style="1428" customWidth="1"/>
    <col min="3080" max="3328" width="9" style="1428"/>
    <col min="3329" max="3329" width="4.5" style="1428" customWidth="1"/>
    <col min="3330" max="3330" width="14.19921875" style="1428" customWidth="1"/>
    <col min="3331" max="3331" width="17.09765625" style="1428" customWidth="1"/>
    <col min="3332" max="3334" width="17.3984375" style="1428" customWidth="1"/>
    <col min="3335" max="3335" width="18.19921875" style="1428" customWidth="1"/>
    <col min="3336" max="3584" width="9" style="1428"/>
    <col min="3585" max="3585" width="4.5" style="1428" customWidth="1"/>
    <col min="3586" max="3586" width="14.19921875" style="1428" customWidth="1"/>
    <col min="3587" max="3587" width="17.09765625" style="1428" customWidth="1"/>
    <col min="3588" max="3590" width="17.3984375" style="1428" customWidth="1"/>
    <col min="3591" max="3591" width="18.19921875" style="1428" customWidth="1"/>
    <col min="3592" max="3840" width="9" style="1428"/>
    <col min="3841" max="3841" width="4.5" style="1428" customWidth="1"/>
    <col min="3842" max="3842" width="14.19921875" style="1428" customWidth="1"/>
    <col min="3843" max="3843" width="17.09765625" style="1428" customWidth="1"/>
    <col min="3844" max="3846" width="17.3984375" style="1428" customWidth="1"/>
    <col min="3847" max="3847" width="18.19921875" style="1428" customWidth="1"/>
    <col min="3848" max="4096" width="9" style="1428"/>
    <col min="4097" max="4097" width="4.5" style="1428" customWidth="1"/>
    <col min="4098" max="4098" width="14.19921875" style="1428" customWidth="1"/>
    <col min="4099" max="4099" width="17.09765625" style="1428" customWidth="1"/>
    <col min="4100" max="4102" width="17.3984375" style="1428" customWidth="1"/>
    <col min="4103" max="4103" width="18.19921875" style="1428" customWidth="1"/>
    <col min="4104" max="4352" width="9" style="1428"/>
    <col min="4353" max="4353" width="4.5" style="1428" customWidth="1"/>
    <col min="4354" max="4354" width="14.19921875" style="1428" customWidth="1"/>
    <col min="4355" max="4355" width="17.09765625" style="1428" customWidth="1"/>
    <col min="4356" max="4358" width="17.3984375" style="1428" customWidth="1"/>
    <col min="4359" max="4359" width="18.19921875" style="1428" customWidth="1"/>
    <col min="4360" max="4608" width="9" style="1428"/>
    <col min="4609" max="4609" width="4.5" style="1428" customWidth="1"/>
    <col min="4610" max="4610" width="14.19921875" style="1428" customWidth="1"/>
    <col min="4611" max="4611" width="17.09765625" style="1428" customWidth="1"/>
    <col min="4612" max="4614" width="17.3984375" style="1428" customWidth="1"/>
    <col min="4615" max="4615" width="18.19921875" style="1428" customWidth="1"/>
    <col min="4616" max="4864" width="9" style="1428"/>
    <col min="4865" max="4865" width="4.5" style="1428" customWidth="1"/>
    <col min="4866" max="4866" width="14.19921875" style="1428" customWidth="1"/>
    <col min="4867" max="4867" width="17.09765625" style="1428" customWidth="1"/>
    <col min="4868" max="4870" width="17.3984375" style="1428" customWidth="1"/>
    <col min="4871" max="4871" width="18.19921875" style="1428" customWidth="1"/>
    <col min="4872" max="5120" width="9" style="1428"/>
    <col min="5121" max="5121" width="4.5" style="1428" customWidth="1"/>
    <col min="5122" max="5122" width="14.19921875" style="1428" customWidth="1"/>
    <col min="5123" max="5123" width="17.09765625" style="1428" customWidth="1"/>
    <col min="5124" max="5126" width="17.3984375" style="1428" customWidth="1"/>
    <col min="5127" max="5127" width="18.19921875" style="1428" customWidth="1"/>
    <col min="5128" max="5376" width="9" style="1428"/>
    <col min="5377" max="5377" width="4.5" style="1428" customWidth="1"/>
    <col min="5378" max="5378" width="14.19921875" style="1428" customWidth="1"/>
    <col min="5379" max="5379" width="17.09765625" style="1428" customWidth="1"/>
    <col min="5380" max="5382" width="17.3984375" style="1428" customWidth="1"/>
    <col min="5383" max="5383" width="18.19921875" style="1428" customWidth="1"/>
    <col min="5384" max="5632" width="9" style="1428"/>
    <col min="5633" max="5633" width="4.5" style="1428" customWidth="1"/>
    <col min="5634" max="5634" width="14.19921875" style="1428" customWidth="1"/>
    <col min="5635" max="5635" width="17.09765625" style="1428" customWidth="1"/>
    <col min="5636" max="5638" width="17.3984375" style="1428" customWidth="1"/>
    <col min="5639" max="5639" width="18.19921875" style="1428" customWidth="1"/>
    <col min="5640" max="5888" width="9" style="1428"/>
    <col min="5889" max="5889" width="4.5" style="1428" customWidth="1"/>
    <col min="5890" max="5890" width="14.19921875" style="1428" customWidth="1"/>
    <col min="5891" max="5891" width="17.09765625" style="1428" customWidth="1"/>
    <col min="5892" max="5894" width="17.3984375" style="1428" customWidth="1"/>
    <col min="5895" max="5895" width="18.19921875" style="1428" customWidth="1"/>
    <col min="5896" max="6144" width="9" style="1428"/>
    <col min="6145" max="6145" width="4.5" style="1428" customWidth="1"/>
    <col min="6146" max="6146" width="14.19921875" style="1428" customWidth="1"/>
    <col min="6147" max="6147" width="17.09765625" style="1428" customWidth="1"/>
    <col min="6148" max="6150" width="17.3984375" style="1428" customWidth="1"/>
    <col min="6151" max="6151" width="18.19921875" style="1428" customWidth="1"/>
    <col min="6152" max="6400" width="9" style="1428"/>
    <col min="6401" max="6401" width="4.5" style="1428" customWidth="1"/>
    <col min="6402" max="6402" width="14.19921875" style="1428" customWidth="1"/>
    <col min="6403" max="6403" width="17.09765625" style="1428" customWidth="1"/>
    <col min="6404" max="6406" width="17.3984375" style="1428" customWidth="1"/>
    <col min="6407" max="6407" width="18.19921875" style="1428" customWidth="1"/>
    <col min="6408" max="6656" width="9" style="1428"/>
    <col min="6657" max="6657" width="4.5" style="1428" customWidth="1"/>
    <col min="6658" max="6658" width="14.19921875" style="1428" customWidth="1"/>
    <col min="6659" max="6659" width="17.09765625" style="1428" customWidth="1"/>
    <col min="6660" max="6662" width="17.3984375" style="1428" customWidth="1"/>
    <col min="6663" max="6663" width="18.19921875" style="1428" customWidth="1"/>
    <col min="6664" max="6912" width="9" style="1428"/>
    <col min="6913" max="6913" width="4.5" style="1428" customWidth="1"/>
    <col min="6914" max="6914" width="14.19921875" style="1428" customWidth="1"/>
    <col min="6915" max="6915" width="17.09765625" style="1428" customWidth="1"/>
    <col min="6916" max="6918" width="17.3984375" style="1428" customWidth="1"/>
    <col min="6919" max="6919" width="18.19921875" style="1428" customWidth="1"/>
    <col min="6920" max="7168" width="9" style="1428"/>
    <col min="7169" max="7169" width="4.5" style="1428" customWidth="1"/>
    <col min="7170" max="7170" width="14.19921875" style="1428" customWidth="1"/>
    <col min="7171" max="7171" width="17.09765625" style="1428" customWidth="1"/>
    <col min="7172" max="7174" width="17.3984375" style="1428" customWidth="1"/>
    <col min="7175" max="7175" width="18.19921875" style="1428" customWidth="1"/>
    <col min="7176" max="7424" width="9" style="1428"/>
    <col min="7425" max="7425" width="4.5" style="1428" customWidth="1"/>
    <col min="7426" max="7426" width="14.19921875" style="1428" customWidth="1"/>
    <col min="7427" max="7427" width="17.09765625" style="1428" customWidth="1"/>
    <col min="7428" max="7430" width="17.3984375" style="1428" customWidth="1"/>
    <col min="7431" max="7431" width="18.19921875" style="1428" customWidth="1"/>
    <col min="7432" max="7680" width="9" style="1428"/>
    <col min="7681" max="7681" width="4.5" style="1428" customWidth="1"/>
    <col min="7682" max="7682" width="14.19921875" style="1428" customWidth="1"/>
    <col min="7683" max="7683" width="17.09765625" style="1428" customWidth="1"/>
    <col min="7684" max="7686" width="17.3984375" style="1428" customWidth="1"/>
    <col min="7687" max="7687" width="18.19921875" style="1428" customWidth="1"/>
    <col min="7688" max="7936" width="9" style="1428"/>
    <col min="7937" max="7937" width="4.5" style="1428" customWidth="1"/>
    <col min="7938" max="7938" width="14.19921875" style="1428" customWidth="1"/>
    <col min="7939" max="7939" width="17.09765625" style="1428" customWidth="1"/>
    <col min="7940" max="7942" width="17.3984375" style="1428" customWidth="1"/>
    <col min="7943" max="7943" width="18.19921875" style="1428" customWidth="1"/>
    <col min="7944" max="8192" width="9" style="1428"/>
    <col min="8193" max="8193" width="4.5" style="1428" customWidth="1"/>
    <col min="8194" max="8194" width="14.19921875" style="1428" customWidth="1"/>
    <col min="8195" max="8195" width="17.09765625" style="1428" customWidth="1"/>
    <col min="8196" max="8198" width="17.3984375" style="1428" customWidth="1"/>
    <col min="8199" max="8199" width="18.19921875" style="1428" customWidth="1"/>
    <col min="8200" max="8448" width="9" style="1428"/>
    <col min="8449" max="8449" width="4.5" style="1428" customWidth="1"/>
    <col min="8450" max="8450" width="14.19921875" style="1428" customWidth="1"/>
    <col min="8451" max="8451" width="17.09765625" style="1428" customWidth="1"/>
    <col min="8452" max="8454" width="17.3984375" style="1428" customWidth="1"/>
    <col min="8455" max="8455" width="18.19921875" style="1428" customWidth="1"/>
    <col min="8456" max="8704" width="9" style="1428"/>
    <col min="8705" max="8705" width="4.5" style="1428" customWidth="1"/>
    <col min="8706" max="8706" width="14.19921875" style="1428" customWidth="1"/>
    <col min="8707" max="8707" width="17.09765625" style="1428" customWidth="1"/>
    <col min="8708" max="8710" width="17.3984375" style="1428" customWidth="1"/>
    <col min="8711" max="8711" width="18.19921875" style="1428" customWidth="1"/>
    <col min="8712" max="8960" width="9" style="1428"/>
    <col min="8961" max="8961" width="4.5" style="1428" customWidth="1"/>
    <col min="8962" max="8962" width="14.19921875" style="1428" customWidth="1"/>
    <col min="8963" max="8963" width="17.09765625" style="1428" customWidth="1"/>
    <col min="8964" max="8966" width="17.3984375" style="1428" customWidth="1"/>
    <col min="8967" max="8967" width="18.19921875" style="1428" customWidth="1"/>
    <col min="8968" max="9216" width="9" style="1428"/>
    <col min="9217" max="9217" width="4.5" style="1428" customWidth="1"/>
    <col min="9218" max="9218" width="14.19921875" style="1428" customWidth="1"/>
    <col min="9219" max="9219" width="17.09765625" style="1428" customWidth="1"/>
    <col min="9220" max="9222" width="17.3984375" style="1428" customWidth="1"/>
    <col min="9223" max="9223" width="18.19921875" style="1428" customWidth="1"/>
    <col min="9224" max="9472" width="9" style="1428"/>
    <col min="9473" max="9473" width="4.5" style="1428" customWidth="1"/>
    <col min="9474" max="9474" width="14.19921875" style="1428" customWidth="1"/>
    <col min="9475" max="9475" width="17.09765625" style="1428" customWidth="1"/>
    <col min="9476" max="9478" width="17.3984375" style="1428" customWidth="1"/>
    <col min="9479" max="9479" width="18.19921875" style="1428" customWidth="1"/>
    <col min="9480" max="9728" width="9" style="1428"/>
    <col min="9729" max="9729" width="4.5" style="1428" customWidth="1"/>
    <col min="9730" max="9730" width="14.19921875" style="1428" customWidth="1"/>
    <col min="9731" max="9731" width="17.09765625" style="1428" customWidth="1"/>
    <col min="9732" max="9734" width="17.3984375" style="1428" customWidth="1"/>
    <col min="9735" max="9735" width="18.19921875" style="1428" customWidth="1"/>
    <col min="9736" max="9984" width="9" style="1428"/>
    <col min="9985" max="9985" width="4.5" style="1428" customWidth="1"/>
    <col min="9986" max="9986" width="14.19921875" style="1428" customWidth="1"/>
    <col min="9987" max="9987" width="17.09765625" style="1428" customWidth="1"/>
    <col min="9988" max="9990" width="17.3984375" style="1428" customWidth="1"/>
    <col min="9991" max="9991" width="18.19921875" style="1428" customWidth="1"/>
    <col min="9992" max="10240" width="9" style="1428"/>
    <col min="10241" max="10241" width="4.5" style="1428" customWidth="1"/>
    <col min="10242" max="10242" width="14.19921875" style="1428" customWidth="1"/>
    <col min="10243" max="10243" width="17.09765625" style="1428" customWidth="1"/>
    <col min="10244" max="10246" width="17.3984375" style="1428" customWidth="1"/>
    <col min="10247" max="10247" width="18.19921875" style="1428" customWidth="1"/>
    <col min="10248" max="10496" width="9" style="1428"/>
    <col min="10497" max="10497" width="4.5" style="1428" customWidth="1"/>
    <col min="10498" max="10498" width="14.19921875" style="1428" customWidth="1"/>
    <col min="10499" max="10499" width="17.09765625" style="1428" customWidth="1"/>
    <col min="10500" max="10502" width="17.3984375" style="1428" customWidth="1"/>
    <col min="10503" max="10503" width="18.19921875" style="1428" customWidth="1"/>
    <col min="10504" max="10752" width="9" style="1428"/>
    <col min="10753" max="10753" width="4.5" style="1428" customWidth="1"/>
    <col min="10754" max="10754" width="14.19921875" style="1428" customWidth="1"/>
    <col min="10755" max="10755" width="17.09765625" style="1428" customWidth="1"/>
    <col min="10756" max="10758" width="17.3984375" style="1428" customWidth="1"/>
    <col min="10759" max="10759" width="18.19921875" style="1428" customWidth="1"/>
    <col min="10760" max="11008" width="9" style="1428"/>
    <col min="11009" max="11009" width="4.5" style="1428" customWidth="1"/>
    <col min="11010" max="11010" width="14.19921875" style="1428" customWidth="1"/>
    <col min="11011" max="11011" width="17.09765625" style="1428" customWidth="1"/>
    <col min="11012" max="11014" width="17.3984375" style="1428" customWidth="1"/>
    <col min="11015" max="11015" width="18.19921875" style="1428" customWidth="1"/>
    <col min="11016" max="11264" width="9" style="1428"/>
    <col min="11265" max="11265" width="4.5" style="1428" customWidth="1"/>
    <col min="11266" max="11266" width="14.19921875" style="1428" customWidth="1"/>
    <col min="11267" max="11267" width="17.09765625" style="1428" customWidth="1"/>
    <col min="11268" max="11270" width="17.3984375" style="1428" customWidth="1"/>
    <col min="11271" max="11271" width="18.19921875" style="1428" customWidth="1"/>
    <col min="11272" max="11520" width="9" style="1428"/>
    <col min="11521" max="11521" width="4.5" style="1428" customWidth="1"/>
    <col min="11522" max="11522" width="14.19921875" style="1428" customWidth="1"/>
    <col min="11523" max="11523" width="17.09765625" style="1428" customWidth="1"/>
    <col min="11524" max="11526" width="17.3984375" style="1428" customWidth="1"/>
    <col min="11527" max="11527" width="18.19921875" style="1428" customWidth="1"/>
    <col min="11528" max="11776" width="9" style="1428"/>
    <col min="11777" max="11777" width="4.5" style="1428" customWidth="1"/>
    <col min="11778" max="11778" width="14.19921875" style="1428" customWidth="1"/>
    <col min="11779" max="11779" width="17.09765625" style="1428" customWidth="1"/>
    <col min="11780" max="11782" width="17.3984375" style="1428" customWidth="1"/>
    <col min="11783" max="11783" width="18.19921875" style="1428" customWidth="1"/>
    <col min="11784" max="12032" width="9" style="1428"/>
    <col min="12033" max="12033" width="4.5" style="1428" customWidth="1"/>
    <col min="12034" max="12034" width="14.19921875" style="1428" customWidth="1"/>
    <col min="12035" max="12035" width="17.09765625" style="1428" customWidth="1"/>
    <col min="12036" max="12038" width="17.3984375" style="1428" customWidth="1"/>
    <col min="12039" max="12039" width="18.19921875" style="1428" customWidth="1"/>
    <col min="12040" max="12288" width="9" style="1428"/>
    <col min="12289" max="12289" width="4.5" style="1428" customWidth="1"/>
    <col min="12290" max="12290" width="14.19921875" style="1428" customWidth="1"/>
    <col min="12291" max="12291" width="17.09765625" style="1428" customWidth="1"/>
    <col min="12292" max="12294" width="17.3984375" style="1428" customWidth="1"/>
    <col min="12295" max="12295" width="18.19921875" style="1428" customWidth="1"/>
    <col min="12296" max="12544" width="9" style="1428"/>
    <col min="12545" max="12545" width="4.5" style="1428" customWidth="1"/>
    <col min="12546" max="12546" width="14.19921875" style="1428" customWidth="1"/>
    <col min="12547" max="12547" width="17.09765625" style="1428" customWidth="1"/>
    <col min="12548" max="12550" width="17.3984375" style="1428" customWidth="1"/>
    <col min="12551" max="12551" width="18.19921875" style="1428" customWidth="1"/>
    <col min="12552" max="12800" width="9" style="1428"/>
    <col min="12801" max="12801" width="4.5" style="1428" customWidth="1"/>
    <col min="12802" max="12802" width="14.19921875" style="1428" customWidth="1"/>
    <col min="12803" max="12803" width="17.09765625" style="1428" customWidth="1"/>
    <col min="12804" max="12806" width="17.3984375" style="1428" customWidth="1"/>
    <col min="12807" max="12807" width="18.19921875" style="1428" customWidth="1"/>
    <col min="12808" max="13056" width="9" style="1428"/>
    <col min="13057" max="13057" width="4.5" style="1428" customWidth="1"/>
    <col min="13058" max="13058" width="14.19921875" style="1428" customWidth="1"/>
    <col min="13059" max="13059" width="17.09765625" style="1428" customWidth="1"/>
    <col min="13060" max="13062" width="17.3984375" style="1428" customWidth="1"/>
    <col min="13063" max="13063" width="18.19921875" style="1428" customWidth="1"/>
    <col min="13064" max="13312" width="9" style="1428"/>
    <col min="13313" max="13313" width="4.5" style="1428" customWidth="1"/>
    <col min="13314" max="13314" width="14.19921875" style="1428" customWidth="1"/>
    <col min="13315" max="13315" width="17.09765625" style="1428" customWidth="1"/>
    <col min="13316" max="13318" width="17.3984375" style="1428" customWidth="1"/>
    <col min="13319" max="13319" width="18.19921875" style="1428" customWidth="1"/>
    <col min="13320" max="13568" width="9" style="1428"/>
    <col min="13569" max="13569" width="4.5" style="1428" customWidth="1"/>
    <col min="13570" max="13570" width="14.19921875" style="1428" customWidth="1"/>
    <col min="13571" max="13571" width="17.09765625" style="1428" customWidth="1"/>
    <col min="13572" max="13574" width="17.3984375" style="1428" customWidth="1"/>
    <col min="13575" max="13575" width="18.19921875" style="1428" customWidth="1"/>
    <col min="13576" max="13824" width="9" style="1428"/>
    <col min="13825" max="13825" width="4.5" style="1428" customWidth="1"/>
    <col min="13826" max="13826" width="14.19921875" style="1428" customWidth="1"/>
    <col min="13827" max="13827" width="17.09765625" style="1428" customWidth="1"/>
    <col min="13828" max="13830" width="17.3984375" style="1428" customWidth="1"/>
    <col min="13831" max="13831" width="18.19921875" style="1428" customWidth="1"/>
    <col min="13832" max="14080" width="9" style="1428"/>
    <col min="14081" max="14081" width="4.5" style="1428" customWidth="1"/>
    <col min="14082" max="14082" width="14.19921875" style="1428" customWidth="1"/>
    <col min="14083" max="14083" width="17.09765625" style="1428" customWidth="1"/>
    <col min="14084" max="14086" width="17.3984375" style="1428" customWidth="1"/>
    <col min="14087" max="14087" width="18.19921875" style="1428" customWidth="1"/>
    <col min="14088" max="14336" width="9" style="1428"/>
    <col min="14337" max="14337" width="4.5" style="1428" customWidth="1"/>
    <col min="14338" max="14338" width="14.19921875" style="1428" customWidth="1"/>
    <col min="14339" max="14339" width="17.09765625" style="1428" customWidth="1"/>
    <col min="14340" max="14342" width="17.3984375" style="1428" customWidth="1"/>
    <col min="14343" max="14343" width="18.19921875" style="1428" customWidth="1"/>
    <col min="14344" max="14592" width="9" style="1428"/>
    <col min="14593" max="14593" width="4.5" style="1428" customWidth="1"/>
    <col min="14594" max="14594" width="14.19921875" style="1428" customWidth="1"/>
    <col min="14595" max="14595" width="17.09765625" style="1428" customWidth="1"/>
    <col min="14596" max="14598" width="17.3984375" style="1428" customWidth="1"/>
    <col min="14599" max="14599" width="18.19921875" style="1428" customWidth="1"/>
    <col min="14600" max="14848" width="9" style="1428"/>
    <col min="14849" max="14849" width="4.5" style="1428" customWidth="1"/>
    <col min="14850" max="14850" width="14.19921875" style="1428" customWidth="1"/>
    <col min="14851" max="14851" width="17.09765625" style="1428" customWidth="1"/>
    <col min="14852" max="14854" width="17.3984375" style="1428" customWidth="1"/>
    <col min="14855" max="14855" width="18.19921875" style="1428" customWidth="1"/>
    <col min="14856" max="15104" width="9" style="1428"/>
    <col min="15105" max="15105" width="4.5" style="1428" customWidth="1"/>
    <col min="15106" max="15106" width="14.19921875" style="1428" customWidth="1"/>
    <col min="15107" max="15107" width="17.09765625" style="1428" customWidth="1"/>
    <col min="15108" max="15110" width="17.3984375" style="1428" customWidth="1"/>
    <col min="15111" max="15111" width="18.19921875" style="1428" customWidth="1"/>
    <col min="15112" max="15360" width="9" style="1428"/>
    <col min="15361" max="15361" width="4.5" style="1428" customWidth="1"/>
    <col min="15362" max="15362" width="14.19921875" style="1428" customWidth="1"/>
    <col min="15363" max="15363" width="17.09765625" style="1428" customWidth="1"/>
    <col min="15364" max="15366" width="17.3984375" style="1428" customWidth="1"/>
    <col min="15367" max="15367" width="18.19921875" style="1428" customWidth="1"/>
    <col min="15368" max="15616" width="9" style="1428"/>
    <col min="15617" max="15617" width="4.5" style="1428" customWidth="1"/>
    <col min="15618" max="15618" width="14.19921875" style="1428" customWidth="1"/>
    <col min="15619" max="15619" width="17.09765625" style="1428" customWidth="1"/>
    <col min="15620" max="15622" width="17.3984375" style="1428" customWidth="1"/>
    <col min="15623" max="15623" width="18.19921875" style="1428" customWidth="1"/>
    <col min="15624" max="15872" width="9" style="1428"/>
    <col min="15873" max="15873" width="4.5" style="1428" customWidth="1"/>
    <col min="15874" max="15874" width="14.19921875" style="1428" customWidth="1"/>
    <col min="15875" max="15875" width="17.09765625" style="1428" customWidth="1"/>
    <col min="15876" max="15878" width="17.3984375" style="1428" customWidth="1"/>
    <col min="15879" max="15879" width="18.19921875" style="1428" customWidth="1"/>
    <col min="15880" max="16128" width="9" style="1428"/>
    <col min="16129" max="16129" width="4.5" style="1428" customWidth="1"/>
    <col min="16130" max="16130" width="14.19921875" style="1428" customWidth="1"/>
    <col min="16131" max="16131" width="17.09765625" style="1428" customWidth="1"/>
    <col min="16132" max="16134" width="17.3984375" style="1428" customWidth="1"/>
    <col min="16135" max="16135" width="18.19921875" style="1428" customWidth="1"/>
    <col min="16136" max="16384" width="9" style="1428"/>
  </cols>
  <sheetData>
    <row r="1" spans="1:7" ht="25.5" customHeight="1">
      <c r="A1" s="4106" t="s">
        <v>2354</v>
      </c>
      <c r="B1" s="4106"/>
      <c r="C1" s="4106"/>
      <c r="D1" s="4106"/>
      <c r="E1" s="4106"/>
      <c r="F1" s="4106"/>
      <c r="G1" s="4106"/>
    </row>
    <row r="2" spans="1:7" s="1430" customFormat="1" ht="20.100000000000001" customHeight="1">
      <c r="A2" s="4107" t="s">
        <v>2355</v>
      </c>
      <c r="B2" s="4107"/>
      <c r="C2" s="1429" t="str">
        <f>'(二)企业基本情况和审核事项说明'!B15</f>
        <v>2016-01-01</v>
      </c>
      <c r="D2" s="4108" t="s">
        <v>2356</v>
      </c>
      <c r="E2" s="4108"/>
      <c r="F2" s="4108"/>
      <c r="G2" s="4108"/>
    </row>
    <row r="3" spans="1:7" s="1430" customFormat="1" ht="20.100000000000001" customHeight="1">
      <c r="A3" s="4107" t="s">
        <v>2357</v>
      </c>
      <c r="B3" s="4107"/>
      <c r="C3" s="1431" t="str">
        <f>'(二)企业基本情况和审核事项说明'!D15</f>
        <v>2016-12-31</v>
      </c>
      <c r="D3" s="4108" t="s">
        <v>2358</v>
      </c>
      <c r="E3" s="4108"/>
      <c r="F3" s="4108"/>
      <c r="G3" s="4108"/>
    </row>
    <row r="4" spans="1:7" s="1430" customFormat="1" ht="20.100000000000001" customHeight="1">
      <c r="A4" s="4109" t="s">
        <v>1632</v>
      </c>
      <c r="B4" s="4109"/>
      <c r="C4" s="4109"/>
      <c r="D4" s="4109"/>
      <c r="E4" s="4109"/>
      <c r="F4" s="4109"/>
      <c r="G4" s="4109"/>
    </row>
    <row r="5" spans="1:7" s="1430" customFormat="1" ht="19.5" customHeight="1">
      <c r="A5" s="1371" t="s">
        <v>2359</v>
      </c>
      <c r="B5" s="1432" t="s">
        <v>177</v>
      </c>
      <c r="C5" s="1433" t="s">
        <v>665</v>
      </c>
      <c r="D5" s="1393" t="s">
        <v>1628</v>
      </c>
      <c r="E5" s="1393" t="s">
        <v>27</v>
      </c>
      <c r="F5" s="1393" t="s">
        <v>2360</v>
      </c>
      <c r="G5" s="1382" t="s">
        <v>2361</v>
      </c>
    </row>
    <row r="6" spans="1:7" s="1430" customFormat="1" ht="20.100000000000001" customHeight="1">
      <c r="A6" s="1371">
        <v>1</v>
      </c>
      <c r="B6" s="4105" t="s">
        <v>12</v>
      </c>
      <c r="C6" s="1434" t="s">
        <v>707</v>
      </c>
      <c r="D6" s="1435">
        <f>企业各税审核汇总表!D6</f>
        <v>0</v>
      </c>
      <c r="E6" s="1435">
        <f>企业各税审核汇总表!E6</f>
        <v>0</v>
      </c>
      <c r="F6" s="1435">
        <f>企业各税审核汇总表!F6</f>
        <v>0</v>
      </c>
      <c r="G6" s="1435"/>
    </row>
    <row r="7" spans="1:7" s="1430" customFormat="1" ht="20.100000000000001" customHeight="1">
      <c r="A7" s="1371">
        <v>2</v>
      </c>
      <c r="B7" s="4105"/>
      <c r="C7" s="1434" t="s">
        <v>664</v>
      </c>
      <c r="D7" s="1435">
        <f>企业各税审核汇总表!D7</f>
        <v>0</v>
      </c>
      <c r="E7" s="1435">
        <f>企业各税审核汇总表!E7</f>
        <v>0</v>
      </c>
      <c r="F7" s="1435">
        <f>企业各税审核汇总表!F7</f>
        <v>0</v>
      </c>
      <c r="G7" s="1384"/>
    </row>
    <row r="8" spans="1:7" s="1430" customFormat="1" ht="20.100000000000001" customHeight="1">
      <c r="A8" s="1371">
        <v>3</v>
      </c>
      <c r="B8" s="4105"/>
      <c r="C8" s="1434" t="s">
        <v>708</v>
      </c>
      <c r="D8" s="1435">
        <f>企业各税审核汇总表!D8</f>
        <v>0</v>
      </c>
      <c r="E8" s="1435">
        <f>企业各税审核汇总表!E8</f>
        <v>0</v>
      </c>
      <c r="F8" s="1435">
        <f>企业各税审核汇总表!F8</f>
        <v>0</v>
      </c>
      <c r="G8" s="1384"/>
    </row>
    <row r="9" spans="1:7" s="1430" customFormat="1" ht="20.100000000000001" customHeight="1">
      <c r="A9" s="1371">
        <v>4</v>
      </c>
      <c r="B9" s="4105"/>
      <c r="C9" s="1434" t="s">
        <v>709</v>
      </c>
      <c r="D9" s="1435">
        <f>企业各税审核汇总表!D9</f>
        <v>0</v>
      </c>
      <c r="E9" s="1435">
        <f>企业各税审核汇总表!E9</f>
        <v>0</v>
      </c>
      <c r="F9" s="1435">
        <f>企业各税审核汇总表!F9</f>
        <v>0</v>
      </c>
      <c r="G9" s="1384"/>
    </row>
    <row r="10" spans="1:7" s="1430" customFormat="1" ht="20.100000000000001" customHeight="1">
      <c r="A10" s="1371">
        <v>5</v>
      </c>
      <c r="B10" s="4105" t="s">
        <v>224</v>
      </c>
      <c r="C10" s="1434" t="s">
        <v>707</v>
      </c>
      <c r="D10" s="1435">
        <f>企业各税审核汇总表!D10</f>
        <v>0</v>
      </c>
      <c r="E10" s="1435">
        <f>企业各税审核汇总表!E10</f>
        <v>0</v>
      </c>
      <c r="F10" s="1435">
        <f>企业各税审核汇总表!F10</f>
        <v>0</v>
      </c>
      <c r="G10" s="1436"/>
    </row>
    <row r="11" spans="1:7" s="1430" customFormat="1" ht="20.100000000000001" customHeight="1">
      <c r="A11" s="1371">
        <v>6</v>
      </c>
      <c r="B11" s="4105"/>
      <c r="C11" s="1434" t="s">
        <v>664</v>
      </c>
      <c r="D11" s="1435">
        <f>企业各税审核汇总表!D11</f>
        <v>0</v>
      </c>
      <c r="E11" s="1435">
        <f>企业各税审核汇总表!E11</f>
        <v>0</v>
      </c>
      <c r="F11" s="1435">
        <f>企业各税审核汇总表!F11</f>
        <v>0</v>
      </c>
      <c r="G11" s="1437"/>
    </row>
    <row r="12" spans="1:7" s="1430" customFormat="1" ht="20.100000000000001" customHeight="1">
      <c r="A12" s="1371">
        <v>7</v>
      </c>
      <c r="B12" s="4105"/>
      <c r="C12" s="1434" t="s">
        <v>708</v>
      </c>
      <c r="D12" s="1435">
        <f>企业各税审核汇总表!D12</f>
        <v>0</v>
      </c>
      <c r="E12" s="1435">
        <f>企业各税审核汇总表!E12</f>
        <v>0</v>
      </c>
      <c r="F12" s="1435">
        <f>企业各税审核汇总表!F12</f>
        <v>0</v>
      </c>
      <c r="G12" s="1384"/>
    </row>
    <row r="13" spans="1:7" s="1430" customFormat="1" ht="20.100000000000001" customHeight="1">
      <c r="A13" s="1371">
        <v>8</v>
      </c>
      <c r="B13" s="4105"/>
      <c r="C13" s="1434" t="s">
        <v>709</v>
      </c>
      <c r="D13" s="1435">
        <f>企业各税审核汇总表!D13</f>
        <v>0</v>
      </c>
      <c r="E13" s="1435">
        <f>企业各税审核汇总表!E13</f>
        <v>0</v>
      </c>
      <c r="F13" s="1435">
        <f>企业各税审核汇总表!F13</f>
        <v>0</v>
      </c>
      <c r="G13" s="1384"/>
    </row>
    <row r="14" spans="1:7" s="1430" customFormat="1" ht="20.100000000000001" customHeight="1">
      <c r="A14" s="1371">
        <v>9</v>
      </c>
      <c r="B14" s="4105" t="s">
        <v>1270</v>
      </c>
      <c r="C14" s="1434" t="s">
        <v>707</v>
      </c>
      <c r="D14" s="1435">
        <f>企业各税审核汇总表!D14</f>
        <v>0</v>
      </c>
      <c r="E14" s="1435">
        <f>企业各税审核汇总表!E14</f>
        <v>0</v>
      </c>
      <c r="F14" s="1435">
        <f>企业各税审核汇总表!F14</f>
        <v>0</v>
      </c>
      <c r="G14" s="1384"/>
    </row>
    <row r="15" spans="1:7" s="1430" customFormat="1" ht="20.100000000000001" customHeight="1">
      <c r="A15" s="1371">
        <v>10</v>
      </c>
      <c r="B15" s="4105"/>
      <c r="C15" s="1434" t="s">
        <v>664</v>
      </c>
      <c r="D15" s="1435">
        <f>企业各税审核汇总表!D15</f>
        <v>0</v>
      </c>
      <c r="E15" s="1435">
        <f>企业各税审核汇总表!E15</f>
        <v>0</v>
      </c>
      <c r="F15" s="1435">
        <f>企业各税审核汇总表!F15</f>
        <v>0</v>
      </c>
      <c r="G15" s="1437"/>
    </row>
    <row r="16" spans="1:7" s="1430" customFormat="1" ht="20.100000000000001" customHeight="1">
      <c r="A16" s="1371">
        <v>11</v>
      </c>
      <c r="B16" s="4105"/>
      <c r="C16" s="1434" t="s">
        <v>708</v>
      </c>
      <c r="D16" s="1435">
        <f>企业各税审核汇总表!D16</f>
        <v>0</v>
      </c>
      <c r="E16" s="1435">
        <f>企业各税审核汇总表!E16</f>
        <v>0</v>
      </c>
      <c r="F16" s="1435">
        <f>企业各税审核汇总表!F16</f>
        <v>0</v>
      </c>
      <c r="G16" s="1436"/>
    </row>
    <row r="17" spans="1:7" s="1430" customFormat="1" ht="20.100000000000001" customHeight="1">
      <c r="A17" s="1371">
        <v>12</v>
      </c>
      <c r="B17" s="4105"/>
      <c r="C17" s="1434" t="s">
        <v>709</v>
      </c>
      <c r="D17" s="1435">
        <f>企业各税审核汇总表!D17</f>
        <v>0</v>
      </c>
      <c r="E17" s="1435">
        <f>企业各税审核汇总表!E17</f>
        <v>0</v>
      </c>
      <c r="F17" s="1435">
        <f>企业各税审核汇总表!F17</f>
        <v>0</v>
      </c>
      <c r="G17" s="1437"/>
    </row>
    <row r="18" spans="1:7" s="1430" customFormat="1" ht="20.100000000000001" customHeight="1">
      <c r="A18" s="1371">
        <v>13</v>
      </c>
      <c r="B18" s="4105" t="s">
        <v>710</v>
      </c>
      <c r="C18" s="1434" t="s">
        <v>707</v>
      </c>
      <c r="D18" s="1435">
        <f>企业各税审核汇总表!D18</f>
        <v>0</v>
      </c>
      <c r="E18" s="1435">
        <f>企业各税审核汇总表!E18</f>
        <v>0</v>
      </c>
      <c r="F18" s="1435">
        <f>企业各税审核汇总表!F18</f>
        <v>0</v>
      </c>
      <c r="G18" s="1384"/>
    </row>
    <row r="19" spans="1:7" s="1430" customFormat="1" ht="20.100000000000001" customHeight="1">
      <c r="A19" s="1371">
        <v>14</v>
      </c>
      <c r="B19" s="4105"/>
      <c r="C19" s="1434" t="s">
        <v>664</v>
      </c>
      <c r="D19" s="1435">
        <f>企业各税审核汇总表!D19</f>
        <v>0</v>
      </c>
      <c r="E19" s="1435">
        <f>企业各税审核汇总表!E19</f>
        <v>0</v>
      </c>
      <c r="F19" s="1435">
        <f>企业各税审核汇总表!F19</f>
        <v>0</v>
      </c>
      <c r="G19" s="1437"/>
    </row>
    <row r="20" spans="1:7" s="1430" customFormat="1" ht="20.100000000000001" customHeight="1">
      <c r="A20" s="1371">
        <v>15</v>
      </c>
      <c r="B20" s="4105"/>
      <c r="C20" s="1434" t="s">
        <v>708</v>
      </c>
      <c r="D20" s="1435">
        <f>企业各税审核汇总表!D20</f>
        <v>0</v>
      </c>
      <c r="E20" s="1435">
        <f>企业各税审核汇总表!E20</f>
        <v>0</v>
      </c>
      <c r="F20" s="1435">
        <f>企业各税审核汇总表!F20</f>
        <v>0</v>
      </c>
      <c r="G20" s="1437"/>
    </row>
    <row r="21" spans="1:7" s="1430" customFormat="1" ht="20.100000000000001" customHeight="1">
      <c r="A21" s="1371">
        <v>16</v>
      </c>
      <c r="B21" s="4105"/>
      <c r="C21" s="1434" t="s">
        <v>709</v>
      </c>
      <c r="D21" s="1435">
        <f>企业各税审核汇总表!D21</f>
        <v>0</v>
      </c>
      <c r="E21" s="1435">
        <f>企业各税审核汇总表!E21</f>
        <v>0</v>
      </c>
      <c r="F21" s="1435">
        <f>企业各税审核汇总表!F21</f>
        <v>0</v>
      </c>
      <c r="G21" s="1437"/>
    </row>
    <row r="22" spans="1:7" s="1430" customFormat="1" ht="20.100000000000001" customHeight="1">
      <c r="A22" s="1371">
        <v>17</v>
      </c>
      <c r="B22" s="4105" t="s">
        <v>1272</v>
      </c>
      <c r="C22" s="1434" t="s">
        <v>707</v>
      </c>
      <c r="D22" s="1435">
        <f>企业各税审核汇总表!D22</f>
        <v>0</v>
      </c>
      <c r="E22" s="1435">
        <f>企业各税审核汇总表!E22</f>
        <v>0</v>
      </c>
      <c r="F22" s="1435">
        <f>企业各税审核汇总表!F22</f>
        <v>0</v>
      </c>
      <c r="G22" s="1437"/>
    </row>
    <row r="23" spans="1:7" s="1430" customFormat="1" ht="20.100000000000001" customHeight="1">
      <c r="A23" s="1371">
        <v>18</v>
      </c>
      <c r="B23" s="4105"/>
      <c r="C23" s="1434" t="s">
        <v>664</v>
      </c>
      <c r="D23" s="1435">
        <f>企业各税审核汇总表!D23</f>
        <v>0</v>
      </c>
      <c r="E23" s="1435">
        <f>企业各税审核汇总表!E23</f>
        <v>0</v>
      </c>
      <c r="F23" s="1435">
        <f>企业各税审核汇总表!F23</f>
        <v>0</v>
      </c>
      <c r="G23" s="1437"/>
    </row>
    <row r="24" spans="1:7" s="1430" customFormat="1" ht="20.100000000000001" customHeight="1">
      <c r="A24" s="1371">
        <v>19</v>
      </c>
      <c r="B24" s="4105"/>
      <c r="C24" s="1434" t="s">
        <v>708</v>
      </c>
      <c r="D24" s="1435">
        <f>企业各税审核汇总表!D24</f>
        <v>0</v>
      </c>
      <c r="E24" s="1435">
        <f>企业各税审核汇总表!E24</f>
        <v>0</v>
      </c>
      <c r="F24" s="1435">
        <f>企业各税审核汇总表!F24</f>
        <v>0</v>
      </c>
      <c r="G24" s="1384"/>
    </row>
    <row r="25" spans="1:7" s="1430" customFormat="1" ht="20.100000000000001" customHeight="1">
      <c r="A25" s="1371">
        <v>20</v>
      </c>
      <c r="B25" s="4105"/>
      <c r="C25" s="1434" t="s">
        <v>709</v>
      </c>
      <c r="D25" s="1435">
        <f>企业各税审核汇总表!D25</f>
        <v>0</v>
      </c>
      <c r="E25" s="1435">
        <f>企业各税审核汇总表!E25</f>
        <v>0</v>
      </c>
      <c r="F25" s="1435">
        <f>企业各税审核汇总表!F25</f>
        <v>0</v>
      </c>
      <c r="G25" s="1436"/>
    </row>
    <row r="26" spans="1:7" s="1430" customFormat="1" ht="20.100000000000001" customHeight="1">
      <c r="A26" s="1371">
        <v>21</v>
      </c>
      <c r="B26" s="4105" t="s">
        <v>1273</v>
      </c>
      <c r="C26" s="1434" t="s">
        <v>707</v>
      </c>
      <c r="D26" s="1435">
        <f>企业各税审核汇总表!D26</f>
        <v>0</v>
      </c>
      <c r="E26" s="1435">
        <f>企业各税审核汇总表!E26</f>
        <v>0</v>
      </c>
      <c r="F26" s="1435">
        <f>企业各税审核汇总表!F26</f>
        <v>0</v>
      </c>
      <c r="G26" s="1437"/>
    </row>
    <row r="27" spans="1:7" s="1430" customFormat="1" ht="20.100000000000001" customHeight="1">
      <c r="A27" s="1371">
        <v>22</v>
      </c>
      <c r="B27" s="4105"/>
      <c r="C27" s="1434" t="s">
        <v>664</v>
      </c>
      <c r="D27" s="1435">
        <f>企业各税审核汇总表!D27</f>
        <v>0</v>
      </c>
      <c r="E27" s="1435">
        <f>企业各税审核汇总表!E27</f>
        <v>0</v>
      </c>
      <c r="F27" s="1435">
        <f>企业各税审核汇总表!F27</f>
        <v>0</v>
      </c>
      <c r="G27" s="1384"/>
    </row>
    <row r="28" spans="1:7" s="1430" customFormat="1" ht="20.100000000000001" customHeight="1">
      <c r="A28" s="1371">
        <v>23</v>
      </c>
      <c r="B28" s="4105"/>
      <c r="C28" s="1434" t="s">
        <v>708</v>
      </c>
      <c r="D28" s="1435">
        <f>企业各税审核汇总表!D28</f>
        <v>0</v>
      </c>
      <c r="E28" s="1435">
        <f>企业各税审核汇总表!E28</f>
        <v>0</v>
      </c>
      <c r="F28" s="1435">
        <f>企业各税审核汇总表!F28</f>
        <v>0</v>
      </c>
      <c r="G28" s="1384"/>
    </row>
    <row r="29" spans="1:7" s="1430" customFormat="1" ht="20.100000000000001" customHeight="1">
      <c r="A29" s="1371">
        <v>24</v>
      </c>
      <c r="B29" s="4105"/>
      <c r="C29" s="1434" t="s">
        <v>709</v>
      </c>
      <c r="D29" s="1435">
        <f>企业各税审核汇总表!D29</f>
        <v>0</v>
      </c>
      <c r="E29" s="1435">
        <f>企业各税审核汇总表!E29</f>
        <v>0</v>
      </c>
      <c r="F29" s="1435">
        <f>企业各税审核汇总表!F29</f>
        <v>0</v>
      </c>
      <c r="G29" s="1384"/>
    </row>
    <row r="30" spans="1:7" s="1430" customFormat="1" ht="20.100000000000001" customHeight="1">
      <c r="A30" s="1371">
        <v>25</v>
      </c>
      <c r="B30" s="4105" t="s">
        <v>226</v>
      </c>
      <c r="C30" s="1434" t="s">
        <v>707</v>
      </c>
      <c r="D30" s="1435">
        <f>企业各税审核汇总表!D30</f>
        <v>0</v>
      </c>
      <c r="E30" s="1435">
        <f>企业各税审核汇总表!E30</f>
        <v>0</v>
      </c>
      <c r="F30" s="1435">
        <f>企业各税审核汇总表!F30</f>
        <v>0</v>
      </c>
      <c r="G30" s="1384"/>
    </row>
    <row r="31" spans="1:7" s="1430" customFormat="1" ht="20.100000000000001" customHeight="1">
      <c r="A31" s="1371">
        <v>26</v>
      </c>
      <c r="B31" s="4105"/>
      <c r="C31" s="1434" t="s">
        <v>664</v>
      </c>
      <c r="D31" s="1435">
        <f>企业各税审核汇总表!D31</f>
        <v>0</v>
      </c>
      <c r="E31" s="1435">
        <f>企业各税审核汇总表!E31</f>
        <v>0</v>
      </c>
      <c r="F31" s="1435">
        <f>企业各税审核汇总表!F31</f>
        <v>0</v>
      </c>
      <c r="G31" s="1384"/>
    </row>
    <row r="32" spans="1:7" s="1430" customFormat="1" ht="20.100000000000001" customHeight="1">
      <c r="A32" s="1371">
        <v>27</v>
      </c>
      <c r="B32" s="4105"/>
      <c r="C32" s="1434" t="s">
        <v>708</v>
      </c>
      <c r="D32" s="1435">
        <f>企业各税审核汇总表!D32</f>
        <v>0</v>
      </c>
      <c r="E32" s="1435">
        <f>企业各税审核汇总表!E32</f>
        <v>0</v>
      </c>
      <c r="F32" s="1435">
        <f>企业各税审核汇总表!F32</f>
        <v>0</v>
      </c>
      <c r="G32" s="1384"/>
    </row>
    <row r="33" spans="1:7" s="1430" customFormat="1" ht="20.100000000000001" customHeight="1">
      <c r="A33" s="1371">
        <v>28</v>
      </c>
      <c r="B33" s="4105"/>
      <c r="C33" s="1434" t="s">
        <v>709</v>
      </c>
      <c r="D33" s="1435">
        <f>企业各税审核汇总表!D33</f>
        <v>0</v>
      </c>
      <c r="E33" s="1435">
        <f>企业各税审核汇总表!E33</f>
        <v>0</v>
      </c>
      <c r="F33" s="1435">
        <f>企业各税审核汇总表!F33</f>
        <v>0</v>
      </c>
      <c r="G33" s="1384"/>
    </row>
    <row r="34" spans="1:7" s="1430" customFormat="1" ht="20.100000000000001" customHeight="1">
      <c r="A34" s="1371">
        <v>29</v>
      </c>
      <c r="B34" s="4105" t="s">
        <v>230</v>
      </c>
      <c r="C34" s="1434" t="s">
        <v>707</v>
      </c>
      <c r="D34" s="1435">
        <f>企业各税审核汇总表!D34</f>
        <v>0</v>
      </c>
      <c r="E34" s="1435">
        <f>企业各税审核汇总表!E34</f>
        <v>0</v>
      </c>
      <c r="F34" s="1435">
        <f>企业各税审核汇总表!F34</f>
        <v>0</v>
      </c>
      <c r="G34" s="1436"/>
    </row>
    <row r="35" spans="1:7" s="1430" customFormat="1" ht="20.100000000000001" customHeight="1">
      <c r="A35" s="1371">
        <v>30</v>
      </c>
      <c r="B35" s="4105"/>
      <c r="C35" s="1434" t="s">
        <v>664</v>
      </c>
      <c r="D35" s="1435">
        <f>企业各税审核汇总表!D35</f>
        <v>0</v>
      </c>
      <c r="E35" s="1435">
        <f>企业各税审核汇总表!E35</f>
        <v>0</v>
      </c>
      <c r="F35" s="1435">
        <f>企业各税审核汇总表!F35</f>
        <v>0</v>
      </c>
      <c r="G35" s="1384"/>
    </row>
    <row r="36" spans="1:7" s="1430" customFormat="1" ht="20.100000000000001" customHeight="1">
      <c r="A36" s="1371">
        <v>31</v>
      </c>
      <c r="B36" s="4105"/>
      <c r="C36" s="1434" t="s">
        <v>708</v>
      </c>
      <c r="D36" s="1435">
        <f>企业各税审核汇总表!D36</f>
        <v>0</v>
      </c>
      <c r="E36" s="1435">
        <f>企业各税审核汇总表!E36</f>
        <v>0</v>
      </c>
      <c r="F36" s="1435">
        <f>企业各税审核汇总表!F36</f>
        <v>0</v>
      </c>
      <c r="G36" s="1384"/>
    </row>
    <row r="37" spans="1:7" s="1430" customFormat="1" ht="20.100000000000001" customHeight="1">
      <c r="A37" s="1371">
        <v>32</v>
      </c>
      <c r="B37" s="4105"/>
      <c r="C37" s="1434" t="s">
        <v>709</v>
      </c>
      <c r="D37" s="1435">
        <f>企业各税审核汇总表!D37</f>
        <v>0</v>
      </c>
      <c r="E37" s="1435">
        <f>企业各税审核汇总表!E37</f>
        <v>0</v>
      </c>
      <c r="F37" s="1435">
        <f>企业各税审核汇总表!F37</f>
        <v>0</v>
      </c>
      <c r="G37" s="1384"/>
    </row>
    <row r="38" spans="1:7" s="1430" customFormat="1" ht="20.100000000000001" customHeight="1">
      <c r="A38" s="1371">
        <v>33</v>
      </c>
      <c r="B38" s="4105" t="s">
        <v>1277</v>
      </c>
      <c r="C38" s="1434" t="s">
        <v>707</v>
      </c>
      <c r="D38" s="1435">
        <f>企业各税审核汇总表!D38</f>
        <v>0</v>
      </c>
      <c r="E38" s="1435">
        <f>企业各税审核汇总表!E38</f>
        <v>0</v>
      </c>
      <c r="F38" s="1435">
        <f>企业各税审核汇总表!F38</f>
        <v>0</v>
      </c>
      <c r="G38" s="1384"/>
    </row>
    <row r="39" spans="1:7" s="1430" customFormat="1" ht="20.100000000000001" customHeight="1">
      <c r="A39" s="1371">
        <v>34</v>
      </c>
      <c r="B39" s="4105"/>
      <c r="C39" s="1434" t="s">
        <v>664</v>
      </c>
      <c r="D39" s="1435">
        <f>企业各税审核汇总表!D39</f>
        <v>0</v>
      </c>
      <c r="E39" s="1435">
        <f>企业各税审核汇总表!E39</f>
        <v>0</v>
      </c>
      <c r="F39" s="1435">
        <f>企业各税审核汇总表!F39</f>
        <v>0</v>
      </c>
      <c r="G39" s="1436"/>
    </row>
    <row r="40" spans="1:7" s="1430" customFormat="1" ht="20.100000000000001" customHeight="1">
      <c r="A40" s="1371">
        <v>35</v>
      </c>
      <c r="B40" s="4105"/>
      <c r="C40" s="1434" t="s">
        <v>708</v>
      </c>
      <c r="D40" s="1435">
        <f>企业各税审核汇总表!D40</f>
        <v>0</v>
      </c>
      <c r="E40" s="1435">
        <f>企业各税审核汇总表!E40</f>
        <v>0</v>
      </c>
      <c r="F40" s="1435">
        <f>企业各税审核汇总表!F40</f>
        <v>0</v>
      </c>
      <c r="G40" s="1436"/>
    </row>
    <row r="41" spans="1:7" s="1430" customFormat="1" ht="20.100000000000001" customHeight="1">
      <c r="A41" s="1371">
        <v>36</v>
      </c>
      <c r="B41" s="4105"/>
      <c r="C41" s="1434" t="s">
        <v>709</v>
      </c>
      <c r="D41" s="1435">
        <f>企业各税审核汇总表!D41</f>
        <v>0</v>
      </c>
      <c r="E41" s="1435">
        <f>企业各税审核汇总表!E41</f>
        <v>0</v>
      </c>
      <c r="F41" s="1435">
        <f>企业各税审核汇总表!F41</f>
        <v>0</v>
      </c>
      <c r="G41" s="1384"/>
    </row>
    <row r="42" spans="1:7" s="1430" customFormat="1" ht="20.100000000000001" customHeight="1">
      <c r="A42" s="1371">
        <v>37</v>
      </c>
      <c r="B42" s="4105" t="s">
        <v>2362</v>
      </c>
      <c r="C42" s="1434" t="s">
        <v>707</v>
      </c>
      <c r="D42" s="1435">
        <f>企业各税审核汇总表!D42</f>
        <v>0</v>
      </c>
      <c r="E42" s="1435">
        <f>企业各税审核汇总表!E42</f>
        <v>0</v>
      </c>
      <c r="F42" s="1435">
        <f>企业各税审核汇总表!F42</f>
        <v>0</v>
      </c>
      <c r="G42" s="1384"/>
    </row>
    <row r="43" spans="1:7" s="1430" customFormat="1" ht="20.100000000000001" customHeight="1">
      <c r="A43" s="1371">
        <v>38</v>
      </c>
      <c r="B43" s="4105"/>
      <c r="C43" s="1434" t="s">
        <v>664</v>
      </c>
      <c r="D43" s="1435">
        <f>企业各税审核汇总表!D43</f>
        <v>0</v>
      </c>
      <c r="E43" s="1435">
        <f>企业各税审核汇总表!E43</f>
        <v>0</v>
      </c>
      <c r="F43" s="1435">
        <f>企业各税审核汇总表!F43</f>
        <v>0</v>
      </c>
      <c r="G43" s="1384"/>
    </row>
    <row r="44" spans="1:7" s="1430" customFormat="1" ht="20.100000000000001" customHeight="1">
      <c r="A44" s="1371">
        <v>39</v>
      </c>
      <c r="B44" s="4105"/>
      <c r="C44" s="1434" t="s">
        <v>708</v>
      </c>
      <c r="D44" s="1435">
        <f>企业各税审核汇总表!D44</f>
        <v>0</v>
      </c>
      <c r="E44" s="1435">
        <f>企业各税审核汇总表!E44</f>
        <v>0</v>
      </c>
      <c r="F44" s="1435">
        <f>企业各税审核汇总表!F44</f>
        <v>0</v>
      </c>
      <c r="G44" s="1437"/>
    </row>
    <row r="45" spans="1:7" s="1430" customFormat="1" ht="20.100000000000001" customHeight="1">
      <c r="A45" s="1371">
        <v>40</v>
      </c>
      <c r="B45" s="4105"/>
      <c r="C45" s="1434" t="s">
        <v>709</v>
      </c>
      <c r="D45" s="1435">
        <f>企业各税审核汇总表!D45</f>
        <v>0</v>
      </c>
      <c r="E45" s="1435">
        <f>企业各税审核汇总表!E45</f>
        <v>0</v>
      </c>
      <c r="F45" s="1435">
        <f>企业各税审核汇总表!F45</f>
        <v>0</v>
      </c>
      <c r="G45" s="1384"/>
    </row>
    <row r="46" spans="1:7" s="1430" customFormat="1" ht="20.100000000000001" customHeight="1">
      <c r="A46" s="1371">
        <v>41</v>
      </c>
      <c r="B46" s="4105" t="s">
        <v>184</v>
      </c>
      <c r="C46" s="1434" t="s">
        <v>707</v>
      </c>
      <c r="D46" s="1435">
        <f>企业各税审核汇总表!D46</f>
        <v>0</v>
      </c>
      <c r="E46" s="1435">
        <f>企业各税审核汇总表!E46</f>
        <v>0</v>
      </c>
      <c r="F46" s="1435">
        <f>企业各税审核汇总表!F46</f>
        <v>0</v>
      </c>
      <c r="G46" s="1436"/>
    </row>
    <row r="47" spans="1:7" s="1430" customFormat="1" ht="20.100000000000001" customHeight="1">
      <c r="A47" s="1371">
        <v>42</v>
      </c>
      <c r="B47" s="4105"/>
      <c r="C47" s="1434" t="s">
        <v>664</v>
      </c>
      <c r="D47" s="1435">
        <f>企业各税审核汇总表!D47</f>
        <v>0</v>
      </c>
      <c r="E47" s="1435">
        <f>企业各税审核汇总表!E47</f>
        <v>0</v>
      </c>
      <c r="F47" s="1435">
        <f>企业各税审核汇总表!F47</f>
        <v>0</v>
      </c>
      <c r="G47" s="1384"/>
    </row>
    <row r="48" spans="1:7" s="1430" customFormat="1" ht="20.100000000000001" customHeight="1">
      <c r="A48" s="1371">
        <v>43</v>
      </c>
      <c r="B48" s="4105"/>
      <c r="C48" s="1434" t="s">
        <v>708</v>
      </c>
      <c r="D48" s="1435">
        <f>企业各税审核汇总表!D48</f>
        <v>0</v>
      </c>
      <c r="E48" s="1435">
        <f>企业各税审核汇总表!E48</f>
        <v>0</v>
      </c>
      <c r="F48" s="1435">
        <f>企业各税审核汇总表!F48</f>
        <v>0</v>
      </c>
      <c r="G48" s="1437"/>
    </row>
    <row r="49" spans="1:7" s="1430" customFormat="1" ht="20.100000000000001" customHeight="1">
      <c r="A49" s="1371">
        <v>44</v>
      </c>
      <c r="B49" s="4105"/>
      <c r="C49" s="1434" t="s">
        <v>709</v>
      </c>
      <c r="D49" s="1435">
        <f>企业各税审核汇总表!D49</f>
        <v>0</v>
      </c>
      <c r="E49" s="1435">
        <f>企业各税审核汇总表!E49</f>
        <v>0</v>
      </c>
      <c r="F49" s="1435">
        <f>企业各税审核汇总表!F49</f>
        <v>0</v>
      </c>
      <c r="G49" s="1437"/>
    </row>
    <row r="50" spans="1:7" s="1430" customFormat="1" ht="20.100000000000001" customHeight="1">
      <c r="A50" s="1371">
        <v>45</v>
      </c>
      <c r="B50" s="4105" t="s">
        <v>1279</v>
      </c>
      <c r="C50" s="1434" t="s">
        <v>707</v>
      </c>
      <c r="D50" s="1435">
        <f>企业各税审核汇总表!D50</f>
        <v>0</v>
      </c>
      <c r="E50" s="1435">
        <f>企业各税审核汇总表!E50</f>
        <v>0</v>
      </c>
      <c r="F50" s="1435">
        <f>企业各税审核汇总表!F50</f>
        <v>0</v>
      </c>
      <c r="G50" s="1437"/>
    </row>
    <row r="51" spans="1:7" s="1430" customFormat="1" ht="20.100000000000001" customHeight="1">
      <c r="A51" s="1371">
        <v>46</v>
      </c>
      <c r="B51" s="4105"/>
      <c r="C51" s="1434" t="s">
        <v>664</v>
      </c>
      <c r="D51" s="1435">
        <f>企业各税审核汇总表!D51</f>
        <v>0</v>
      </c>
      <c r="E51" s="1435">
        <f>企业各税审核汇总表!E51</f>
        <v>0</v>
      </c>
      <c r="F51" s="1435">
        <f>企业各税审核汇总表!F51</f>
        <v>0</v>
      </c>
      <c r="G51" s="1437"/>
    </row>
    <row r="52" spans="1:7" s="1430" customFormat="1" ht="20.100000000000001" customHeight="1">
      <c r="A52" s="1371">
        <v>47</v>
      </c>
      <c r="B52" s="4105"/>
      <c r="C52" s="1434" t="s">
        <v>708</v>
      </c>
      <c r="D52" s="1435">
        <f>企业各税审核汇总表!D52</f>
        <v>0</v>
      </c>
      <c r="E52" s="1435">
        <f>企业各税审核汇总表!E52</f>
        <v>0</v>
      </c>
      <c r="F52" s="1435">
        <f>企业各税审核汇总表!F52</f>
        <v>0</v>
      </c>
      <c r="G52" s="1384"/>
    </row>
    <row r="53" spans="1:7" s="1430" customFormat="1" ht="20.100000000000001" customHeight="1">
      <c r="A53" s="1371">
        <v>48</v>
      </c>
      <c r="B53" s="4105"/>
      <c r="C53" s="1434" t="s">
        <v>709</v>
      </c>
      <c r="D53" s="1435">
        <f>企业各税审核汇总表!D53</f>
        <v>0</v>
      </c>
      <c r="E53" s="1435">
        <f>企业各税审核汇总表!E53</f>
        <v>0</v>
      </c>
      <c r="F53" s="1435">
        <f>企业各税审核汇总表!F53</f>
        <v>0</v>
      </c>
      <c r="G53" s="1437"/>
    </row>
    <row r="54" spans="1:7" s="1430" customFormat="1" ht="20.100000000000001" customHeight="1">
      <c r="A54" s="1371">
        <v>49</v>
      </c>
      <c r="B54" s="4105" t="s">
        <v>228</v>
      </c>
      <c r="C54" s="1434" t="s">
        <v>707</v>
      </c>
      <c r="D54" s="1435">
        <f>企业各税审核汇总表!D54</f>
        <v>0</v>
      </c>
      <c r="E54" s="1435">
        <f>企业各税审核汇总表!E54</f>
        <v>0</v>
      </c>
      <c r="F54" s="1435">
        <f>企业各税审核汇总表!F54</f>
        <v>0</v>
      </c>
      <c r="G54" s="1437"/>
    </row>
    <row r="55" spans="1:7" s="1430" customFormat="1" ht="20.100000000000001" customHeight="1">
      <c r="A55" s="1371">
        <v>50</v>
      </c>
      <c r="B55" s="4105"/>
      <c r="C55" s="1434" t="s">
        <v>664</v>
      </c>
      <c r="D55" s="1435">
        <f>企业各税审核汇总表!D55</f>
        <v>0</v>
      </c>
      <c r="E55" s="1435">
        <f>企业各税审核汇总表!E55</f>
        <v>0</v>
      </c>
      <c r="F55" s="1435">
        <f>企业各税审核汇总表!F55</f>
        <v>0</v>
      </c>
      <c r="G55" s="1384"/>
    </row>
    <row r="56" spans="1:7" s="1430" customFormat="1" ht="20.100000000000001" customHeight="1">
      <c r="A56" s="1371">
        <v>51</v>
      </c>
      <c r="B56" s="4105"/>
      <c r="C56" s="1434" t="s">
        <v>708</v>
      </c>
      <c r="D56" s="1435">
        <f>企业各税审核汇总表!D56</f>
        <v>0</v>
      </c>
      <c r="E56" s="1435">
        <f>企业各税审核汇总表!E56</f>
        <v>0</v>
      </c>
      <c r="F56" s="1435">
        <f>企业各税审核汇总表!F56</f>
        <v>0</v>
      </c>
      <c r="G56" s="1437"/>
    </row>
    <row r="57" spans="1:7" s="1430" customFormat="1" ht="20.100000000000001" customHeight="1">
      <c r="A57" s="1371">
        <v>52</v>
      </c>
      <c r="B57" s="4105"/>
      <c r="C57" s="1434" t="s">
        <v>709</v>
      </c>
      <c r="D57" s="1435">
        <f>企业各税审核汇总表!D57</f>
        <v>0</v>
      </c>
      <c r="E57" s="1435">
        <f>企业各税审核汇总表!E57</f>
        <v>0</v>
      </c>
      <c r="F57" s="1435">
        <f>企业各税审核汇总表!F57</f>
        <v>0</v>
      </c>
      <c r="G57" s="1384"/>
    </row>
    <row r="58" spans="1:7" s="1430" customFormat="1" ht="20.100000000000001" customHeight="1">
      <c r="A58" s="1371">
        <v>53</v>
      </c>
      <c r="B58" s="4105" t="s">
        <v>1276</v>
      </c>
      <c r="C58" s="1434" t="s">
        <v>707</v>
      </c>
      <c r="D58" s="1435">
        <f>企业各税审核汇总表!D58</f>
        <v>0</v>
      </c>
      <c r="E58" s="1435">
        <f>企业各税审核汇总表!E58</f>
        <v>0</v>
      </c>
      <c r="F58" s="1435">
        <f>企业各税审核汇总表!F58</f>
        <v>0</v>
      </c>
      <c r="G58" s="1384"/>
    </row>
    <row r="59" spans="1:7" s="1430" customFormat="1" ht="20.100000000000001" customHeight="1">
      <c r="A59" s="1371">
        <v>54</v>
      </c>
      <c r="B59" s="4105"/>
      <c r="C59" s="1434" t="s">
        <v>664</v>
      </c>
      <c r="D59" s="1435">
        <f>企业各税审核汇总表!D59</f>
        <v>0</v>
      </c>
      <c r="E59" s="1435">
        <f>企业各税审核汇总表!E59</f>
        <v>0</v>
      </c>
      <c r="F59" s="1435">
        <f>企业各税审核汇总表!F59</f>
        <v>0</v>
      </c>
      <c r="G59" s="1384"/>
    </row>
    <row r="60" spans="1:7" s="1430" customFormat="1" ht="20.100000000000001" customHeight="1">
      <c r="A60" s="1371">
        <v>55</v>
      </c>
      <c r="B60" s="4105"/>
      <c r="C60" s="1434" t="s">
        <v>708</v>
      </c>
      <c r="D60" s="1435">
        <f>企业各税审核汇总表!D60</f>
        <v>0</v>
      </c>
      <c r="E60" s="1435">
        <f>企业各税审核汇总表!E60</f>
        <v>0</v>
      </c>
      <c r="F60" s="1435">
        <f>企业各税审核汇总表!F60</f>
        <v>0</v>
      </c>
      <c r="G60" s="1384"/>
    </row>
    <row r="61" spans="1:7" s="1430" customFormat="1" ht="20.100000000000001" customHeight="1">
      <c r="A61" s="1371">
        <v>56</v>
      </c>
      <c r="B61" s="4105"/>
      <c r="C61" s="1434" t="s">
        <v>709</v>
      </c>
      <c r="D61" s="1435">
        <f>企业各税审核汇总表!D61</f>
        <v>0</v>
      </c>
      <c r="E61" s="1435">
        <f>企业各税审核汇总表!E61</f>
        <v>0</v>
      </c>
      <c r="F61" s="1435">
        <f>企业各税审核汇总表!F61</f>
        <v>0</v>
      </c>
      <c r="G61" s="1384"/>
    </row>
    <row r="62" spans="1:7" s="1430" customFormat="1" ht="20.100000000000001" customHeight="1">
      <c r="A62" s="1371">
        <v>57</v>
      </c>
      <c r="B62" s="4105" t="s">
        <v>233</v>
      </c>
      <c r="C62" s="1434" t="s">
        <v>707</v>
      </c>
      <c r="D62" s="1435">
        <f>企业各税审核汇总表!D62</f>
        <v>0</v>
      </c>
      <c r="E62" s="1435">
        <f>企业各税审核汇总表!E62</f>
        <v>0</v>
      </c>
      <c r="F62" s="1435">
        <f>企业各税审核汇总表!F62</f>
        <v>0</v>
      </c>
      <c r="G62" s="1384"/>
    </row>
    <row r="63" spans="1:7" s="1430" customFormat="1" ht="20.100000000000001" customHeight="1">
      <c r="A63" s="1371">
        <v>58</v>
      </c>
      <c r="B63" s="4105"/>
      <c r="C63" s="1434" t="s">
        <v>664</v>
      </c>
      <c r="D63" s="1435">
        <f>企业各税审核汇总表!D63</f>
        <v>0</v>
      </c>
      <c r="E63" s="1435">
        <f>企业各税审核汇总表!E63</f>
        <v>0</v>
      </c>
      <c r="F63" s="1435">
        <f>企业各税审核汇总表!F63</f>
        <v>0</v>
      </c>
      <c r="G63" s="1384"/>
    </row>
    <row r="64" spans="1:7" s="1430" customFormat="1" ht="20.100000000000001" customHeight="1">
      <c r="A64" s="1371">
        <v>59</v>
      </c>
      <c r="B64" s="4105"/>
      <c r="C64" s="1434" t="s">
        <v>708</v>
      </c>
      <c r="D64" s="1435">
        <f>企业各税审核汇总表!D64</f>
        <v>0</v>
      </c>
      <c r="E64" s="1435">
        <f>企业各税审核汇总表!E64</f>
        <v>0</v>
      </c>
      <c r="F64" s="1435">
        <f>企业各税审核汇总表!F64</f>
        <v>0</v>
      </c>
      <c r="G64" s="1384"/>
    </row>
    <row r="65" spans="1:7" s="1430" customFormat="1" ht="20.100000000000001" customHeight="1">
      <c r="A65" s="1371">
        <v>60</v>
      </c>
      <c r="B65" s="4105"/>
      <c r="C65" s="1434" t="s">
        <v>709</v>
      </c>
      <c r="D65" s="1435">
        <f>企业各税审核汇总表!D65</f>
        <v>0</v>
      </c>
      <c r="E65" s="1435">
        <f>企业各税审核汇总表!E65</f>
        <v>0</v>
      </c>
      <c r="F65" s="1435">
        <f>企业各税审核汇总表!F65</f>
        <v>0</v>
      </c>
      <c r="G65" s="1437"/>
    </row>
    <row r="66" spans="1:7" s="1430" customFormat="1" ht="20.100000000000001" customHeight="1">
      <c r="A66" s="1438"/>
      <c r="C66" s="1439"/>
      <c r="D66" s="1440"/>
      <c r="E66" s="1440"/>
      <c r="F66" s="1440"/>
      <c r="G66" s="1441"/>
    </row>
    <row r="67" spans="1:7" ht="20.100000000000001" customHeight="1">
      <c r="A67" s="4110" t="s">
        <v>2363</v>
      </c>
      <c r="B67" s="4111"/>
      <c r="C67" s="4111"/>
      <c r="D67" s="4111"/>
      <c r="E67" s="4111"/>
      <c r="F67" s="4111"/>
      <c r="G67" s="4111"/>
    </row>
    <row r="68" spans="1:7" ht="20.100000000000001" customHeight="1">
      <c r="A68" s="1442"/>
    </row>
    <row r="69" spans="1:7" ht="20.100000000000001" customHeight="1">
      <c r="A69" s="1442"/>
    </row>
    <row r="70" spans="1:7" ht="20.100000000000001" customHeight="1">
      <c r="A70" s="1442"/>
    </row>
  </sheetData>
  <mergeCells count="22">
    <mergeCell ref="B54:B57"/>
    <mergeCell ref="B58:B61"/>
    <mergeCell ref="B62:B65"/>
    <mergeCell ref="A67:G67"/>
    <mergeCell ref="B30:B33"/>
    <mergeCell ref="B34:B37"/>
    <mergeCell ref="B38:B41"/>
    <mergeCell ref="B42:B45"/>
    <mergeCell ref="B46:B49"/>
    <mergeCell ref="B50:B53"/>
    <mergeCell ref="B26:B29"/>
    <mergeCell ref="A1:G1"/>
    <mergeCell ref="A2:B2"/>
    <mergeCell ref="D2:G2"/>
    <mergeCell ref="A3:B3"/>
    <mergeCell ref="D3:G3"/>
    <mergeCell ref="A4:G4"/>
    <mergeCell ref="B6:B9"/>
    <mergeCell ref="B10:B13"/>
    <mergeCell ref="B14:B17"/>
    <mergeCell ref="B18:B21"/>
    <mergeCell ref="B22:B25"/>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H5"/>
  <sheetViews>
    <sheetView workbookViewId="0">
      <selection activeCell="I14" sqref="I14"/>
    </sheetView>
  </sheetViews>
  <sheetFormatPr defaultRowHeight="30" customHeight="1"/>
  <cols>
    <col min="1" max="7" width="12" style="1447" customWidth="1"/>
    <col min="8" max="8" width="19.3984375" style="1447" customWidth="1"/>
    <col min="9" max="256" width="9" style="1447"/>
    <col min="257" max="263" width="12" style="1447" customWidth="1"/>
    <col min="264" max="264" width="19.3984375" style="1447" customWidth="1"/>
    <col min="265" max="512" width="9" style="1447"/>
    <col min="513" max="519" width="12" style="1447" customWidth="1"/>
    <col min="520" max="520" width="19.3984375" style="1447" customWidth="1"/>
    <col min="521" max="768" width="9" style="1447"/>
    <col min="769" max="775" width="12" style="1447" customWidth="1"/>
    <col min="776" max="776" width="19.3984375" style="1447" customWidth="1"/>
    <col min="777" max="1024" width="9" style="1447"/>
    <col min="1025" max="1031" width="12" style="1447" customWidth="1"/>
    <col min="1032" max="1032" width="19.3984375" style="1447" customWidth="1"/>
    <col min="1033" max="1280" width="9" style="1447"/>
    <col min="1281" max="1287" width="12" style="1447" customWidth="1"/>
    <col min="1288" max="1288" width="19.3984375" style="1447" customWidth="1"/>
    <col min="1289" max="1536" width="9" style="1447"/>
    <col min="1537" max="1543" width="12" style="1447" customWidth="1"/>
    <col min="1544" max="1544" width="19.3984375" style="1447" customWidth="1"/>
    <col min="1545" max="1792" width="9" style="1447"/>
    <col min="1793" max="1799" width="12" style="1447" customWidth="1"/>
    <col min="1800" max="1800" width="19.3984375" style="1447" customWidth="1"/>
    <col min="1801" max="2048" width="9" style="1447"/>
    <col min="2049" max="2055" width="12" style="1447" customWidth="1"/>
    <col min="2056" max="2056" width="19.3984375" style="1447" customWidth="1"/>
    <col min="2057" max="2304" width="9" style="1447"/>
    <col min="2305" max="2311" width="12" style="1447" customWidth="1"/>
    <col min="2312" max="2312" width="19.3984375" style="1447" customWidth="1"/>
    <col min="2313" max="2560" width="9" style="1447"/>
    <col min="2561" max="2567" width="12" style="1447" customWidth="1"/>
    <col min="2568" max="2568" width="19.3984375" style="1447" customWidth="1"/>
    <col min="2569" max="2816" width="9" style="1447"/>
    <col min="2817" max="2823" width="12" style="1447" customWidth="1"/>
    <col min="2824" max="2824" width="19.3984375" style="1447" customWidth="1"/>
    <col min="2825" max="3072" width="9" style="1447"/>
    <col min="3073" max="3079" width="12" style="1447" customWidth="1"/>
    <col min="3080" max="3080" width="19.3984375" style="1447" customWidth="1"/>
    <col min="3081" max="3328" width="9" style="1447"/>
    <col min="3329" max="3335" width="12" style="1447" customWidth="1"/>
    <col min="3336" max="3336" width="19.3984375" style="1447" customWidth="1"/>
    <col min="3337" max="3584" width="9" style="1447"/>
    <col min="3585" max="3591" width="12" style="1447" customWidth="1"/>
    <col min="3592" max="3592" width="19.3984375" style="1447" customWidth="1"/>
    <col min="3593" max="3840" width="9" style="1447"/>
    <col min="3841" max="3847" width="12" style="1447" customWidth="1"/>
    <col min="3848" max="3848" width="19.3984375" style="1447" customWidth="1"/>
    <col min="3849" max="4096" width="9" style="1447"/>
    <col min="4097" max="4103" width="12" style="1447" customWidth="1"/>
    <col min="4104" max="4104" width="19.3984375" style="1447" customWidth="1"/>
    <col min="4105" max="4352" width="9" style="1447"/>
    <col min="4353" max="4359" width="12" style="1447" customWidth="1"/>
    <col min="4360" max="4360" width="19.3984375" style="1447" customWidth="1"/>
    <col min="4361" max="4608" width="9" style="1447"/>
    <col min="4609" max="4615" width="12" style="1447" customWidth="1"/>
    <col min="4616" max="4616" width="19.3984375" style="1447" customWidth="1"/>
    <col min="4617" max="4864" width="9" style="1447"/>
    <col min="4865" max="4871" width="12" style="1447" customWidth="1"/>
    <col min="4872" max="4872" width="19.3984375" style="1447" customWidth="1"/>
    <col min="4873" max="5120" width="9" style="1447"/>
    <col min="5121" max="5127" width="12" style="1447" customWidth="1"/>
    <col min="5128" max="5128" width="19.3984375" style="1447" customWidth="1"/>
    <col min="5129" max="5376" width="9" style="1447"/>
    <col min="5377" max="5383" width="12" style="1447" customWidth="1"/>
    <col min="5384" max="5384" width="19.3984375" style="1447" customWidth="1"/>
    <col min="5385" max="5632" width="9" style="1447"/>
    <col min="5633" max="5639" width="12" style="1447" customWidth="1"/>
    <col min="5640" max="5640" width="19.3984375" style="1447" customWidth="1"/>
    <col min="5641" max="5888" width="9" style="1447"/>
    <col min="5889" max="5895" width="12" style="1447" customWidth="1"/>
    <col min="5896" max="5896" width="19.3984375" style="1447" customWidth="1"/>
    <col min="5897" max="6144" width="9" style="1447"/>
    <col min="6145" max="6151" width="12" style="1447" customWidth="1"/>
    <col min="6152" max="6152" width="19.3984375" style="1447" customWidth="1"/>
    <col min="6153" max="6400" width="9" style="1447"/>
    <col min="6401" max="6407" width="12" style="1447" customWidth="1"/>
    <col min="6408" max="6408" width="19.3984375" style="1447" customWidth="1"/>
    <col min="6409" max="6656" width="9" style="1447"/>
    <col min="6657" max="6663" width="12" style="1447" customWidth="1"/>
    <col min="6664" max="6664" width="19.3984375" style="1447" customWidth="1"/>
    <col min="6665" max="6912" width="9" style="1447"/>
    <col min="6913" max="6919" width="12" style="1447" customWidth="1"/>
    <col min="6920" max="6920" width="19.3984375" style="1447" customWidth="1"/>
    <col min="6921" max="7168" width="9" style="1447"/>
    <col min="7169" max="7175" width="12" style="1447" customWidth="1"/>
    <col min="7176" max="7176" width="19.3984375" style="1447" customWidth="1"/>
    <col min="7177" max="7424" width="9" style="1447"/>
    <col min="7425" max="7431" width="12" style="1447" customWidth="1"/>
    <col min="7432" max="7432" width="19.3984375" style="1447" customWidth="1"/>
    <col min="7433" max="7680" width="9" style="1447"/>
    <col min="7681" max="7687" width="12" style="1447" customWidth="1"/>
    <col min="7688" max="7688" width="19.3984375" style="1447" customWidth="1"/>
    <col min="7689" max="7936" width="9" style="1447"/>
    <col min="7937" max="7943" width="12" style="1447" customWidth="1"/>
    <col min="7944" max="7944" width="19.3984375" style="1447" customWidth="1"/>
    <col min="7945" max="8192" width="9" style="1447"/>
    <col min="8193" max="8199" width="12" style="1447" customWidth="1"/>
    <col min="8200" max="8200" width="19.3984375" style="1447" customWidth="1"/>
    <col min="8201" max="8448" width="9" style="1447"/>
    <col min="8449" max="8455" width="12" style="1447" customWidth="1"/>
    <col min="8456" max="8456" width="19.3984375" style="1447" customWidth="1"/>
    <col min="8457" max="8704" width="9" style="1447"/>
    <col min="8705" max="8711" width="12" style="1447" customWidth="1"/>
    <col min="8712" max="8712" width="19.3984375" style="1447" customWidth="1"/>
    <col min="8713" max="8960" width="9" style="1447"/>
    <col min="8961" max="8967" width="12" style="1447" customWidth="1"/>
    <col min="8968" max="8968" width="19.3984375" style="1447" customWidth="1"/>
    <col min="8969" max="9216" width="9" style="1447"/>
    <col min="9217" max="9223" width="12" style="1447" customWidth="1"/>
    <col min="9224" max="9224" width="19.3984375" style="1447" customWidth="1"/>
    <col min="9225" max="9472" width="9" style="1447"/>
    <col min="9473" max="9479" width="12" style="1447" customWidth="1"/>
    <col min="9480" max="9480" width="19.3984375" style="1447" customWidth="1"/>
    <col min="9481" max="9728" width="9" style="1447"/>
    <col min="9729" max="9735" width="12" style="1447" customWidth="1"/>
    <col min="9736" max="9736" width="19.3984375" style="1447" customWidth="1"/>
    <col min="9737" max="9984" width="9" style="1447"/>
    <col min="9985" max="9991" width="12" style="1447" customWidth="1"/>
    <col min="9992" max="9992" width="19.3984375" style="1447" customWidth="1"/>
    <col min="9993" max="10240" width="9" style="1447"/>
    <col min="10241" max="10247" width="12" style="1447" customWidth="1"/>
    <col min="10248" max="10248" width="19.3984375" style="1447" customWidth="1"/>
    <col min="10249" max="10496" width="9" style="1447"/>
    <col min="10497" max="10503" width="12" style="1447" customWidth="1"/>
    <col min="10504" max="10504" width="19.3984375" style="1447" customWidth="1"/>
    <col min="10505" max="10752" width="9" style="1447"/>
    <col min="10753" max="10759" width="12" style="1447" customWidth="1"/>
    <col min="10760" max="10760" width="19.3984375" style="1447" customWidth="1"/>
    <col min="10761" max="11008" width="9" style="1447"/>
    <col min="11009" max="11015" width="12" style="1447" customWidth="1"/>
    <col min="11016" max="11016" width="19.3984375" style="1447" customWidth="1"/>
    <col min="11017" max="11264" width="9" style="1447"/>
    <col min="11265" max="11271" width="12" style="1447" customWidth="1"/>
    <col min="11272" max="11272" width="19.3984375" style="1447" customWidth="1"/>
    <col min="11273" max="11520" width="9" style="1447"/>
    <col min="11521" max="11527" width="12" style="1447" customWidth="1"/>
    <col min="11528" max="11528" width="19.3984375" style="1447" customWidth="1"/>
    <col min="11529" max="11776" width="9" style="1447"/>
    <col min="11777" max="11783" width="12" style="1447" customWidth="1"/>
    <col min="11784" max="11784" width="19.3984375" style="1447" customWidth="1"/>
    <col min="11785" max="12032" width="9" style="1447"/>
    <col min="12033" max="12039" width="12" style="1447" customWidth="1"/>
    <col min="12040" max="12040" width="19.3984375" style="1447" customWidth="1"/>
    <col min="12041" max="12288" width="9" style="1447"/>
    <col min="12289" max="12295" width="12" style="1447" customWidth="1"/>
    <col min="12296" max="12296" width="19.3984375" style="1447" customWidth="1"/>
    <col min="12297" max="12544" width="9" style="1447"/>
    <col min="12545" max="12551" width="12" style="1447" customWidth="1"/>
    <col min="12552" max="12552" width="19.3984375" style="1447" customWidth="1"/>
    <col min="12553" max="12800" width="9" style="1447"/>
    <col min="12801" max="12807" width="12" style="1447" customWidth="1"/>
    <col min="12808" max="12808" width="19.3984375" style="1447" customWidth="1"/>
    <col min="12809" max="13056" width="9" style="1447"/>
    <col min="13057" max="13063" width="12" style="1447" customWidth="1"/>
    <col min="13064" max="13064" width="19.3984375" style="1447" customWidth="1"/>
    <col min="13065" max="13312" width="9" style="1447"/>
    <col min="13313" max="13319" width="12" style="1447" customWidth="1"/>
    <col min="13320" max="13320" width="19.3984375" style="1447" customWidth="1"/>
    <col min="13321" max="13568" width="9" style="1447"/>
    <col min="13569" max="13575" width="12" style="1447" customWidth="1"/>
    <col min="13576" max="13576" width="19.3984375" style="1447" customWidth="1"/>
    <col min="13577" max="13824" width="9" style="1447"/>
    <col min="13825" max="13831" width="12" style="1447" customWidth="1"/>
    <col min="13832" max="13832" width="19.3984375" style="1447" customWidth="1"/>
    <col min="13833" max="14080" width="9" style="1447"/>
    <col min="14081" max="14087" width="12" style="1447" customWidth="1"/>
    <col min="14088" max="14088" width="19.3984375" style="1447" customWidth="1"/>
    <col min="14089" max="14336" width="9" style="1447"/>
    <col min="14337" max="14343" width="12" style="1447" customWidth="1"/>
    <col min="14344" max="14344" width="19.3984375" style="1447" customWidth="1"/>
    <col min="14345" max="14592" width="9" style="1447"/>
    <col min="14593" max="14599" width="12" style="1447" customWidth="1"/>
    <col min="14600" max="14600" width="19.3984375" style="1447" customWidth="1"/>
    <col min="14601" max="14848" width="9" style="1447"/>
    <col min="14849" max="14855" width="12" style="1447" customWidth="1"/>
    <col min="14856" max="14856" width="19.3984375" style="1447" customWidth="1"/>
    <col min="14857" max="15104" width="9" style="1447"/>
    <col min="15105" max="15111" width="12" style="1447" customWidth="1"/>
    <col min="15112" max="15112" width="19.3984375" style="1447" customWidth="1"/>
    <col min="15113" max="15360" width="9" style="1447"/>
    <col min="15361" max="15367" width="12" style="1447" customWidth="1"/>
    <col min="15368" max="15368" width="19.3984375" style="1447" customWidth="1"/>
    <col min="15369" max="15616" width="9" style="1447"/>
    <col min="15617" max="15623" width="12" style="1447" customWidth="1"/>
    <col min="15624" max="15624" width="19.3984375" style="1447" customWidth="1"/>
    <col min="15625" max="15872" width="9" style="1447"/>
    <col min="15873" max="15879" width="12" style="1447" customWidth="1"/>
    <col min="15880" max="15880" width="19.3984375" style="1447" customWidth="1"/>
    <col min="15881" max="16128" width="9" style="1447"/>
    <col min="16129" max="16135" width="12" style="1447" customWidth="1"/>
    <col min="16136" max="16136" width="19.3984375" style="1447" customWidth="1"/>
    <col min="16137" max="16384" width="9" style="1447"/>
  </cols>
  <sheetData>
    <row r="1" spans="1:8" ht="30" customHeight="1">
      <c r="A1" s="4112" t="s">
        <v>2364</v>
      </c>
      <c r="B1" s="4113"/>
      <c r="C1" s="4113"/>
      <c r="D1" s="4113"/>
      <c r="E1" s="4113"/>
      <c r="F1" s="4113"/>
      <c r="G1" s="4113"/>
      <c r="H1" s="1446" t="s">
        <v>609</v>
      </c>
    </row>
    <row r="2" spans="1:8" ht="30" customHeight="1">
      <c r="A2" s="4114" t="s">
        <v>2365</v>
      </c>
      <c r="B2" s="4114"/>
      <c r="C2" s="4114"/>
      <c r="D2" s="4114" t="s">
        <v>2366</v>
      </c>
      <c r="E2" s="4114"/>
      <c r="F2" s="4114"/>
      <c r="G2" s="4114"/>
      <c r="H2" s="4115" t="s">
        <v>2367</v>
      </c>
    </row>
    <row r="3" spans="1:8" ht="43.5" customHeight="1">
      <c r="A3" s="1448" t="s">
        <v>2368</v>
      </c>
      <c r="B3" s="1448" t="s">
        <v>2369</v>
      </c>
      <c r="C3" s="1448" t="s">
        <v>2370</v>
      </c>
      <c r="D3" s="1448" t="s">
        <v>2371</v>
      </c>
      <c r="E3" s="1448" t="s">
        <v>2372</v>
      </c>
      <c r="F3" s="1448" t="s">
        <v>2373</v>
      </c>
      <c r="G3" s="1448" t="s">
        <v>2374</v>
      </c>
      <c r="H3" s="4116"/>
    </row>
    <row r="4" spans="1:8" ht="30" customHeight="1">
      <c r="A4" s="1449"/>
      <c r="B4" s="1449"/>
      <c r="C4" s="1449"/>
      <c r="D4" s="1435"/>
      <c r="E4" s="1435"/>
      <c r="F4" s="1435"/>
      <c r="G4" s="1435"/>
      <c r="H4" s="1450"/>
    </row>
    <row r="5" spans="1:8" ht="99" customHeight="1">
      <c r="A5" s="4117" t="s">
        <v>2375</v>
      </c>
      <c r="B5" s="4118"/>
      <c r="C5" s="4118"/>
      <c r="D5" s="4118"/>
      <c r="E5" s="4118"/>
      <c r="F5" s="4118"/>
      <c r="G5" s="4118"/>
      <c r="H5" s="4118"/>
    </row>
  </sheetData>
  <mergeCells count="5">
    <mergeCell ref="A1:G1"/>
    <mergeCell ref="A2:C2"/>
    <mergeCell ref="D2:G2"/>
    <mergeCell ref="H2:H3"/>
    <mergeCell ref="A5:H5"/>
  </mergeCells>
  <phoneticPr fontId="51" type="noConversion"/>
  <pageMargins left="0.78740157480314998" right="0.35433070866141703" top="0.511811023622047" bottom="0.11811023622047198" header="0.511811023622047" footer="0.511811023622047"/>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173</vt:i4>
      </vt:variant>
      <vt:variant>
        <vt:lpstr>命名范围</vt:lpstr>
      </vt:variant>
      <vt:variant>
        <vt:i4>120</vt:i4>
      </vt:variant>
    </vt:vector>
  </HeadingPairs>
  <TitlesOfParts>
    <vt:vector size="293" baseType="lpstr">
      <vt:lpstr>档案封面</vt:lpstr>
      <vt:lpstr>待办事项</vt:lpstr>
      <vt:lpstr>档案索引</vt:lpstr>
      <vt:lpstr>签发单</vt:lpstr>
      <vt:lpstr>三级复核</vt:lpstr>
      <vt:lpstr>业务约定</vt:lpstr>
      <vt:lpstr>地税、基本情况</vt:lpstr>
      <vt:lpstr>基本情况</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凭证检查</vt:lpstr>
      <vt:lpstr>使用说明</vt:lpstr>
      <vt:lpstr>资产负债</vt:lpstr>
      <vt:lpstr>利润</vt:lpstr>
      <vt:lpstr>纳税申报数据</vt:lpstr>
      <vt:lpstr>工资福利</vt:lpstr>
      <vt:lpstr>招待</vt:lpstr>
      <vt:lpstr>固资折旧</vt:lpstr>
      <vt:lpstr>折旧测算</vt:lpstr>
      <vt:lpstr>无形长摊</vt:lpstr>
      <vt:lpstr>社保</vt:lpstr>
      <vt:lpstr>社保明细工资人数</vt:lpstr>
      <vt:lpstr>广宣</vt:lpstr>
      <vt:lpstr>捐赠</vt:lpstr>
      <vt:lpstr>利息</vt:lpstr>
      <vt:lpstr>租金</vt:lpstr>
      <vt:lpstr>补亏</vt:lpstr>
      <vt:lpstr>其他事项</vt:lpstr>
      <vt:lpstr>无限期结转扣除项目审核表</vt:lpstr>
      <vt:lpstr>跨年度确认所得情况表</vt:lpstr>
      <vt:lpstr>视同销售和房地产开发企业特定业务审核表</vt:lpstr>
      <vt:lpstr>未按权责发生制确认收入审核表</vt:lpstr>
      <vt:lpstr>投资收益审核表</vt:lpstr>
      <vt:lpstr>专项用途财政性资金审核表</vt:lpstr>
      <vt:lpstr>固定资产加速折旧审核表</vt:lpstr>
      <vt:lpstr>资产损失税前扣除审核表</vt:lpstr>
      <vt:lpstr>资产损失（专项申报）税前扣除审核表</vt:lpstr>
      <vt:lpstr>企业重组审核表</vt:lpstr>
      <vt:lpstr>政策性搬迁审核表</vt:lpstr>
      <vt:lpstr>特殊行业准备金审核表</vt:lpstr>
      <vt:lpstr>免税、减计收入及加计扣除优惠审核表</vt:lpstr>
      <vt:lpstr>股息红利优惠审核表</vt:lpstr>
      <vt:lpstr>综合利用资源生产产品取得的收入优惠审核表</vt:lpstr>
      <vt:lpstr>金融保险等机构取得涉农利息保费收入优惠审核表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减值准备审核表</vt:lpstr>
      <vt:lpstr>公允价值变动审定表</vt:lpstr>
      <vt:lpstr>主页</vt:lpstr>
      <vt:lpstr>报告目录</vt:lpstr>
      <vt:lpstr>主营收支</vt:lpstr>
      <vt:lpstr>收入与申报核对表</vt:lpstr>
      <vt:lpstr>毛利分析</vt:lpstr>
      <vt:lpstr>制造费用、生产成本</vt:lpstr>
      <vt:lpstr>成本倒轧</vt:lpstr>
      <vt:lpstr>存货计价测试</vt:lpstr>
      <vt:lpstr>主营税金</vt:lpstr>
      <vt:lpstr>税费缴纳测算</vt:lpstr>
      <vt:lpstr>其他业务</vt:lpstr>
      <vt:lpstr>营业费用</vt:lpstr>
      <vt:lpstr>管理费用</vt:lpstr>
      <vt:lpstr>财务费用</vt:lpstr>
      <vt:lpstr>营外收支</vt:lpstr>
      <vt:lpstr>货币资金</vt:lpstr>
      <vt:lpstr>现金证明</vt:lpstr>
      <vt:lpstr>银行调节</vt:lpstr>
      <vt:lpstr>应收</vt:lpstr>
      <vt:lpstr>预付</vt:lpstr>
      <vt:lpstr>其他应收</vt:lpstr>
      <vt:lpstr>存货</vt:lpstr>
      <vt:lpstr>待摊预提</vt:lpstr>
      <vt:lpstr>在建工程审核表</vt:lpstr>
      <vt:lpstr>对外投资</vt:lpstr>
      <vt:lpstr>应付</vt:lpstr>
      <vt:lpstr>预收</vt:lpstr>
      <vt:lpstr>其他应付</vt:lpstr>
      <vt:lpstr>借款</vt:lpstr>
      <vt:lpstr>实收公积</vt:lpstr>
      <vt:lpstr>未分利润</vt:lpstr>
      <vt:lpstr>报告封面</vt:lpstr>
      <vt:lpstr>报告正文</vt:lpstr>
      <vt:lpstr>企业情况表</vt:lpstr>
      <vt:lpstr>事项说明</vt:lpstr>
      <vt:lpstr>企业各税审核汇总表</vt:lpstr>
      <vt:lpstr>检查表</vt:lpstr>
      <vt:lpstr>余额表</vt:lpstr>
      <vt:lpstr>税金申报明细</vt:lpstr>
      <vt:lpstr>(三)子表12.企业所得税汇总纳税分支机构所得税分配表</vt:lpstr>
      <vt:lpstr>(四)无限期结转扣除项目情况表</vt:lpstr>
      <vt:lpstr>(五)跨年度确认所得情况表</vt:lpstr>
      <vt:lpstr>基本情况（封面）</vt:lpstr>
      <vt:lpstr>1.保留意见</vt:lpstr>
      <vt:lpstr>2.否定意见</vt:lpstr>
      <vt:lpstr>3.无保留意见</vt:lpstr>
      <vt:lpstr>4.无法表明意见</vt:lpstr>
      <vt:lpstr>(二)企业基本情况和审核事项说明</vt:lpstr>
      <vt:lpstr>(二)附表-科目说明</vt:lpstr>
      <vt:lpstr>(二)附表-纳税调整额的审核</vt:lpstr>
      <vt:lpstr>（三）企业所得税年度纳税申报表填报表单</vt:lpstr>
      <vt:lpstr>A000000企业基础信息表</vt:lpstr>
      <vt:lpstr>A100000中华人民共和国企业所得税年度纳税申报表（A类）</vt:lpstr>
      <vt:lpstr>A101010一般企业收入明细表</vt:lpstr>
      <vt:lpstr>A101020金融企业收入明细表</vt:lpstr>
      <vt:lpstr>A102010一般企业成本支出明细表</vt:lpstr>
      <vt:lpstr>A102020金融企业支出明细表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A105050职工薪酬纳税调整明细表</vt:lpstr>
      <vt:lpstr>A105060广告费和业务宣传费跨年度纳税调整明细表</vt:lpstr>
      <vt:lpstr>A105070捐赠支出纳税调整明细表</vt:lpstr>
      <vt:lpstr>A105080资产折旧、摊销情况及纳税调整明细表</vt:lpstr>
      <vt:lpstr>A105081固定资产加速折旧、扣除明细表</vt:lpstr>
      <vt:lpstr>A105090资产损失税前扣除及纳税调整明细表</vt:lpstr>
      <vt:lpstr>A105091资产损失（专项申报）税前扣除及纳税调整明细表</vt:lpstr>
      <vt:lpstr>A105100企业重组纳税调整明细表</vt:lpstr>
      <vt:lpstr>A105110政策性搬迁纳税调整明细表</vt:lpstr>
      <vt:lpstr>A105120特殊行业准备金纳税调整明细表</vt:lpstr>
      <vt:lpstr>A106000企业所得税弥补亏损明细表</vt:lpstr>
      <vt:lpstr>A107010免税、减计收入及加计扣除优惠明细表</vt:lpstr>
      <vt:lpstr>A107011股息红利优惠明细表</vt:lpstr>
      <vt:lpstr>A107012综合利用资源生产产品取得的收入优惠明细表</vt:lpstr>
      <vt:lpstr>A107013金融保险等机构取得涉农利息保费收入优惠明细表</vt:lpstr>
      <vt:lpstr>A107014研发费用加计扣除优惠明细表</vt:lpstr>
      <vt:lpstr>A107020所得减免优惠明细表</vt:lpstr>
      <vt:lpstr>A107030抵扣应纳税所得额明细表</vt:lpstr>
      <vt:lpstr>A107040减免所得税优惠明细表</vt:lpstr>
      <vt:lpstr>A107041高新技术企业优惠情况及明细表</vt:lpstr>
      <vt:lpstr>A107042软件、集成电路企业优惠情况及明细表</vt:lpstr>
      <vt:lpstr>A107050税额抵免优惠明细表</vt:lpstr>
      <vt:lpstr>A108000境外所得税收抵免明细表</vt:lpstr>
      <vt:lpstr>A108010境外所得纳税调整后所得明细表</vt:lpstr>
      <vt:lpstr>A108020境外分支机构弥补亏损明细表</vt:lpstr>
      <vt:lpstr>A108030跨年度结转抵免境外所得税明细表</vt:lpstr>
      <vt:lpstr>A109000跨地区经营汇总纳税企业年度分摊企业所得税明细表</vt:lpstr>
      <vt:lpstr>A109010企业所得税汇总纳税分支机构所得税分配表</vt:lpstr>
      <vt:lpstr>A110010特殊性处理报告表</vt:lpstr>
      <vt:lpstr>A110011债务重组报告表</vt:lpstr>
      <vt:lpstr>A110012股权收购报告表 </vt:lpstr>
      <vt:lpstr>A110013资产收购报告表</vt:lpstr>
      <vt:lpstr>A110014企业合并报告表 </vt:lpstr>
      <vt:lpstr>A110015企业分立申报表</vt:lpstr>
      <vt:lpstr>A110016非货币资产投资递延纳税调整表</vt:lpstr>
      <vt:lpstr>A110017居民企业资产（股权）划转特殊性税务处理申报表</vt:lpstr>
      <vt:lpstr>研发加计扣除归集审核表</vt:lpstr>
      <vt:lpstr>研发项目可加计扣除研究开发费用情况归集表</vt:lpstr>
      <vt:lpstr>分支机构企业所得税申报表（A类）</vt:lpstr>
      <vt:lpstr>（四）企业各税（费）审核汇总表</vt:lpstr>
      <vt:lpstr>（五）社会保险费明细表</vt:lpstr>
      <vt:lpstr>A000000企业基础信息表!Print_Area</vt:lpstr>
      <vt:lpstr>'A100000中华人民共和国企业所得税年度纳税申报表（A类）'!Print_Area</vt:lpstr>
      <vt:lpstr>A110010特殊性处理报告表!Print_Area</vt:lpstr>
      <vt:lpstr>A110011债务重组报告表!Print_Area</vt:lpstr>
      <vt:lpstr>'A110012股权收购报告表 '!Print_Area</vt:lpstr>
      <vt:lpstr>A110013资产收购报告表!Print_Area</vt:lpstr>
      <vt:lpstr>'A110014企业合并报告表 '!Print_Area</vt:lpstr>
      <vt:lpstr>A110015企业分立申报表!Print_Area</vt:lpstr>
      <vt:lpstr>A110016非货币资产投资递延纳税调整表!Print_Area</vt:lpstr>
      <vt:lpstr>'A110017居民企业资产（股权）划转特殊性税务处理申报表'!Print_Area</vt:lpstr>
      <vt:lpstr>报告封面!Print_Area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档案封面!Print_Area</vt:lpstr>
      <vt:lpstr>档案索引!Print_Area</vt:lpstr>
      <vt:lpstr>对外投资!Print_Area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借款!Print_Area</vt:lpstr>
      <vt:lpstr>捐赠!Print_Area</vt:lpstr>
      <vt:lpstr>跨年度确认所得情况表!Print_Area</vt:lpstr>
      <vt:lpstr>利润!Print_Area</vt:lpstr>
      <vt:lpstr>利息!Print_Area</vt:lpstr>
      <vt:lpstr>毛利分析!Print_Area</vt:lpstr>
      <vt:lpstr>纳税申报数据!Print_Area</vt:lpstr>
      <vt:lpstr>内控!Print_Area</vt:lpstr>
      <vt:lpstr>盘点表!Print_Area</vt:lpstr>
      <vt:lpstr>凭证检查!Print_Area</vt:lpstr>
      <vt:lpstr>其他事项!Print_Area</vt:lpstr>
      <vt:lpstr>其他业务!Print_Area</vt:lpstr>
      <vt:lpstr>其他应付!Print_Area</vt:lpstr>
      <vt:lpstr>其他应收!Print_Area</vt:lpstr>
      <vt:lpstr>企业各税审核汇总表!Print_Area</vt:lpstr>
      <vt:lpstr>企业情况表!Print_Area</vt:lpstr>
      <vt:lpstr>签发单!Print_Area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事项说明!Print_Area</vt:lpstr>
      <vt:lpstr>视同销售和房地产开发企业特定业务审核表!Print_Area</vt:lpstr>
      <vt:lpstr>收入与申报核对表!Print_Area</vt:lpstr>
      <vt:lpstr>税费缴纳测算!Print_Area</vt:lpstr>
      <vt:lpstr>税审收费标准!Print_Area</vt:lpstr>
      <vt:lpstr>通用记录!Print_Area</vt:lpstr>
      <vt:lpstr>未分利润!Print_Area</vt:lpstr>
      <vt:lpstr>无限期结转扣除项目审核表!Print_Area</vt:lpstr>
      <vt:lpstr>无形长摊!Print_Area</vt:lpstr>
      <vt:lpstr>现金证明!Print_Area</vt:lpstr>
      <vt:lpstr>研发加计扣除归集审核表!Print_Area</vt:lpstr>
      <vt:lpstr>研发项目可加计扣除研究开发费用情况归集表!Print_Area</vt:lpstr>
      <vt:lpstr>业务约定!Print_Area</vt:lpstr>
      <vt:lpstr>银行调节!Print_Area</vt:lpstr>
      <vt:lpstr>营外收支!Print_Area</vt:lpstr>
      <vt:lpstr>营业费用!Print_Area</vt:lpstr>
      <vt:lpstr>应付!Print_Area</vt:lpstr>
      <vt:lpstr>应收!Print_Area</vt:lpstr>
      <vt:lpstr>预付!Print_Area</vt:lpstr>
      <vt:lpstr>预收!Print_Area</vt:lpstr>
      <vt:lpstr>在建工程审核表!Print_Area</vt:lpstr>
      <vt:lpstr>招待!Print_Area</vt:lpstr>
      <vt:lpstr>折旧测算!Print_Area</vt:lpstr>
      <vt:lpstr>制造费用、生产成本!Print_Area</vt:lpstr>
      <vt:lpstr>重大问题!Print_Area</vt:lpstr>
      <vt:lpstr>主页!Print_Area</vt:lpstr>
      <vt:lpstr>主营收支!Print_Area</vt:lpstr>
      <vt:lpstr>主营税金!Print_Area</vt:lpstr>
      <vt:lpstr>资产负债!Print_Area</vt:lpstr>
      <vt:lpstr>资料清单!Print_Area</vt:lpstr>
      <vt:lpstr>租金!Print_Area</vt:lpstr>
      <vt:lpstr>'A110012股权收购报告表 '!Print_Titles</vt:lpstr>
      <vt:lpstr>档案索引!Print_Titles</vt:lpstr>
      <vt:lpstr>凭证检查!Print_Titles</vt:lpstr>
      <vt:lpstr>其他应付!Print_Titles</vt:lpstr>
      <vt:lpstr>其他应收!Print_Titles</vt:lpstr>
      <vt:lpstr>应付!Print_Titles</vt:lpstr>
      <vt:lpstr>应收!Print_Titles</vt:lpstr>
      <vt:lpstr>预付!Print_Titles</vt:lpstr>
      <vt:lpstr>预收!Print_Titles</vt:lpstr>
      <vt:lpstr>折旧测算!Print_Titles</vt:lpstr>
      <vt:lpstr>本年度</vt:lpstr>
      <vt:lpstr>本年折旧</vt:lpstr>
      <vt:lpstr>编制列表</vt:lpstr>
      <vt:lpstr>工业企业</vt:lpstr>
      <vt:lpstr>工作人员列表</vt:lpstr>
      <vt:lpstr>购入日期</vt:lpstr>
      <vt:lpstr>行业类型</vt:lpstr>
      <vt:lpstr>减少日期</vt:lpstr>
      <vt:lpstr>建筑业</vt:lpstr>
      <vt:lpstr>截止日</vt:lpstr>
      <vt:lpstr>截止月</vt:lpstr>
      <vt:lpstr>企业类型</vt:lpstr>
      <vt:lpstr>起始日</vt:lpstr>
      <vt:lpstr>起始月</vt:lpstr>
      <vt:lpstr>签字列表</vt:lpstr>
      <vt:lpstr>税收折旧</vt:lpstr>
      <vt:lpstr>一至三年</vt:lpstr>
      <vt:lpstr>折旧明细</vt:lpstr>
      <vt:lpstr>资产购入金额</vt:lpstr>
      <vt:lpstr>资产减少金额</vt:lpstr>
      <vt:lpstr>资产类别</vt:lpstr>
      <vt:lpstr>资产原值</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半妖白鷐</cp:lastModifiedBy>
  <cp:lastPrinted>2017-06-21T15:02:47Z</cp:lastPrinted>
  <dcterms:created xsi:type="dcterms:W3CDTF">2012-02-13T06:17:15Z</dcterms:created>
  <dcterms:modified xsi:type="dcterms:W3CDTF">2017-12-15T12:32:38Z</dcterms:modified>
</cp:coreProperties>
</file>